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6\2026 07 27\"/>
    </mc:Choice>
  </mc:AlternateContent>
  <xr:revisionPtr revIDLastSave="0" documentId="13_ncr:1_{DAA057E5-7A6F-410D-8109-491220ADA989}" xr6:coauthVersionLast="47" xr6:coauthVersionMax="47" xr10:uidLastSave="{00000000-0000-0000-0000-000000000000}"/>
  <bookViews>
    <workbookView xWindow="-110" yWindow="-110" windowWidth="19420" windowHeight="11500" tabRatio="903"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state="hidden" r:id="rId47"/>
    <sheet name="Calendar" sheetId="40" r:id="rId48"/>
    <sheet name="Annex 12" sheetId="54" r:id="rId49"/>
    <sheet name="Sheet1" sheetId="62" state="hidden" r:id="rId50"/>
    <sheet name="Annex 14" sheetId="53" r:id="rId51"/>
    <sheet name="2_Securitisation" sheetId="55" state="hidden" r:id="rId52"/>
    <sheet name="2_Cashflow" sheetId="56" state="hidden" r:id="rId53"/>
    <sheet name="12_Counterparty" sheetId="57" state="hidden" r:id="rId54"/>
    <sheet name="12_Securitisation" sheetId="58" state="hidden" r:id="rId55"/>
    <sheet name="12_Account" sheetId="59" state="hidden" r:id="rId56"/>
    <sheet name="12_Bond" sheetId="60" state="hidden" r:id="rId57"/>
    <sheet name="2_TestsEventsTriggers" sheetId="61" state="hidden"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3" i="42" l="1"/>
  <c r="G82" i="42"/>
  <c r="G81" i="42"/>
  <c r="G80" i="42"/>
  <c r="G79" i="42"/>
  <c r="G78" i="42"/>
  <c r="G77" i="42"/>
  <c r="G76" i="42"/>
  <c r="G75" i="42"/>
  <c r="G74" i="42"/>
  <c r="G73" i="42"/>
  <c r="G72" i="42"/>
  <c r="G71" i="42"/>
  <c r="G70" i="42"/>
  <c r="G69" i="42"/>
  <c r="G68" i="42"/>
  <c r="G67" i="42"/>
  <c r="G66" i="42"/>
  <c r="G65" i="42"/>
  <c r="G64" i="42"/>
  <c r="G63" i="42"/>
  <c r="G62" i="42"/>
  <c r="G61" i="42"/>
  <c r="G60" i="42"/>
  <c r="G59" i="42"/>
  <c r="G58" i="42"/>
  <c r="G57" i="42"/>
  <c r="G56" i="42"/>
  <c r="G55" i="42"/>
  <c r="G54" i="42"/>
  <c r="G53" i="42"/>
  <c r="G52" i="42"/>
  <c r="G51" i="42"/>
  <c r="G50" i="42"/>
  <c r="G49" i="42"/>
  <c r="G48" i="42"/>
  <c r="G47" i="42"/>
  <c r="G46" i="42"/>
  <c r="G45" i="42"/>
  <c r="G44" i="42"/>
  <c r="G43" i="42"/>
  <c r="G42" i="42"/>
  <c r="G41" i="42"/>
  <c r="G40" i="42"/>
  <c r="G39" i="42"/>
  <c r="G38" i="42"/>
  <c r="G37" i="42"/>
  <c r="G36" i="42"/>
  <c r="G35" i="42"/>
  <c r="L83" i="42"/>
  <c r="L82" i="42"/>
  <c r="L81" i="42"/>
  <c r="L80" i="42"/>
  <c r="L79" i="42"/>
  <c r="L78" i="42"/>
  <c r="L77" i="42"/>
  <c r="L76" i="42"/>
  <c r="L75" i="42"/>
  <c r="L74" i="42"/>
  <c r="L73" i="42"/>
  <c r="L72" i="42"/>
  <c r="L71" i="42"/>
  <c r="L70" i="42"/>
  <c r="L69" i="42"/>
  <c r="L68" i="42"/>
  <c r="L67" i="42"/>
  <c r="L66" i="42"/>
  <c r="L65" i="42"/>
  <c r="L64" i="42"/>
  <c r="L63" i="42"/>
  <c r="L62" i="42"/>
  <c r="L61" i="42"/>
  <c r="L60" i="42"/>
  <c r="L59" i="42"/>
  <c r="L58" i="42"/>
  <c r="L57" i="42"/>
  <c r="L56" i="42"/>
  <c r="L55" i="42"/>
  <c r="L54" i="42"/>
  <c r="L53" i="42"/>
  <c r="L52" i="42"/>
  <c r="L51" i="42"/>
  <c r="L50" i="42"/>
  <c r="L49" i="42"/>
  <c r="L48" i="42"/>
  <c r="L47" i="42"/>
  <c r="L46" i="42"/>
  <c r="L45" i="42"/>
  <c r="L44" i="42"/>
  <c r="L43" i="42"/>
  <c r="L42" i="42"/>
  <c r="L41" i="42"/>
  <c r="L40" i="42"/>
  <c r="L39" i="42"/>
  <c r="L38" i="42"/>
  <c r="L37" i="42"/>
  <c r="L36" i="42"/>
  <c r="L35" i="42"/>
  <c r="Q83" i="42"/>
  <c r="Q82" i="42"/>
  <c r="Q81" i="42"/>
  <c r="Q80" i="42"/>
  <c r="Q79" i="42"/>
  <c r="Q78" i="42"/>
  <c r="Q77" i="42"/>
  <c r="Q76" i="42"/>
  <c r="Q75" i="42"/>
  <c r="Q74" i="42"/>
  <c r="Q73" i="42"/>
  <c r="Q72" i="42"/>
  <c r="Q71" i="42"/>
  <c r="Q70" i="42"/>
  <c r="Q69" i="42"/>
  <c r="Q68" i="42"/>
  <c r="Q67" i="42"/>
  <c r="Q66" i="42"/>
  <c r="Q65" i="42"/>
  <c r="Q64" i="42"/>
  <c r="Q63" i="42"/>
  <c r="Q62" i="42"/>
  <c r="Q61" i="42"/>
  <c r="Q60" i="42"/>
  <c r="Q59" i="42"/>
  <c r="Q58" i="42"/>
  <c r="Q57" i="42"/>
  <c r="Q56" i="42"/>
  <c r="Q55" i="42"/>
  <c r="Q54" i="42"/>
  <c r="Q53" i="42"/>
  <c r="Q52" i="42"/>
  <c r="Q51" i="42"/>
  <c r="Q50" i="42"/>
  <c r="Q49" i="42"/>
  <c r="Q48" i="42"/>
  <c r="Q47" i="42"/>
  <c r="Q46" i="42"/>
  <c r="Q45" i="42"/>
  <c r="Q44" i="42"/>
  <c r="Q43" i="42"/>
  <c r="Q42" i="42"/>
  <c r="Q41" i="42"/>
  <c r="Q40" i="42"/>
  <c r="Q39" i="42"/>
  <c r="Q38" i="42"/>
  <c r="Q37" i="42"/>
  <c r="Q36" i="42"/>
  <c r="Q35" i="42"/>
  <c r="U83" i="42"/>
  <c r="U82" i="42"/>
  <c r="U81" i="42"/>
  <c r="U80" i="42"/>
  <c r="U79" i="42"/>
  <c r="U78" i="42"/>
  <c r="U77" i="42"/>
  <c r="U76" i="42"/>
  <c r="U75" i="42"/>
  <c r="U74" i="42"/>
  <c r="U73" i="42"/>
  <c r="U72" i="42"/>
  <c r="U71" i="42"/>
  <c r="U70" i="42"/>
  <c r="U69" i="42"/>
  <c r="U68" i="42"/>
  <c r="U67" i="42"/>
  <c r="U66" i="42"/>
  <c r="U65" i="42"/>
  <c r="U64" i="42"/>
  <c r="U63" i="42"/>
  <c r="U62" i="42"/>
  <c r="U61" i="42"/>
  <c r="U60" i="42"/>
  <c r="U59" i="42"/>
  <c r="U58" i="42"/>
  <c r="U57" i="42"/>
  <c r="U56" i="42"/>
  <c r="U55" i="42"/>
  <c r="U54" i="42"/>
  <c r="U53" i="42"/>
  <c r="U52" i="42"/>
  <c r="U51" i="42"/>
  <c r="U50" i="42"/>
  <c r="U49" i="42"/>
  <c r="U48" i="42"/>
  <c r="U47" i="42"/>
  <c r="U46" i="42"/>
  <c r="U45" i="42"/>
  <c r="U44" i="42"/>
  <c r="U43" i="42"/>
  <c r="U42" i="42"/>
  <c r="U41" i="42"/>
  <c r="U40" i="42"/>
  <c r="U39" i="42"/>
  <c r="U38" i="42"/>
  <c r="U37" i="42"/>
  <c r="U36" i="42"/>
  <c r="U35" i="42"/>
  <c r="P83" i="42"/>
  <c r="P82" i="42"/>
  <c r="P81" i="42"/>
  <c r="P80" i="42"/>
  <c r="P79" i="42"/>
  <c r="P78" i="42"/>
  <c r="P77" i="42"/>
  <c r="P76" i="42"/>
  <c r="P75" i="42"/>
  <c r="P74" i="42"/>
  <c r="P73" i="42"/>
  <c r="P72" i="42"/>
  <c r="P71" i="42"/>
  <c r="P70" i="42"/>
  <c r="P69" i="42"/>
  <c r="P68" i="42"/>
  <c r="P67" i="42"/>
  <c r="P66" i="42"/>
  <c r="P65" i="42"/>
  <c r="P64" i="42"/>
  <c r="P63" i="42"/>
  <c r="P62" i="42"/>
  <c r="P61" i="42"/>
  <c r="P60" i="42"/>
  <c r="P59" i="42"/>
  <c r="P58" i="42"/>
  <c r="P57" i="42"/>
  <c r="P56" i="42"/>
  <c r="P55" i="42"/>
  <c r="P54" i="42"/>
  <c r="P53" i="42"/>
  <c r="P52" i="42"/>
  <c r="P51" i="42"/>
  <c r="P50" i="42"/>
  <c r="P49" i="42"/>
  <c r="P48" i="42"/>
  <c r="P47" i="42"/>
  <c r="P46" i="42"/>
  <c r="P45" i="42"/>
  <c r="P44" i="42"/>
  <c r="P43" i="42"/>
  <c r="P42" i="42"/>
  <c r="P41" i="42"/>
  <c r="P40" i="42"/>
  <c r="P39" i="42"/>
  <c r="P38" i="42"/>
  <c r="P37" i="42"/>
  <c r="P36" i="42"/>
  <c r="P35"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3" i="42"/>
  <c r="K52" i="42"/>
  <c r="K51" i="42"/>
  <c r="K50" i="42"/>
  <c r="K49" i="42"/>
  <c r="K48" i="42"/>
  <c r="K47" i="42"/>
  <c r="K46" i="42"/>
  <c r="K45" i="42"/>
  <c r="K44" i="42"/>
  <c r="K43" i="42"/>
  <c r="K42" i="42"/>
  <c r="K41" i="42"/>
  <c r="K40" i="42"/>
  <c r="K39" i="42"/>
  <c r="K38" i="42"/>
  <c r="K37" i="42"/>
  <c r="K36" i="42"/>
  <c r="K35"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L17" i="67" l="1"/>
  <c r="E42" i="14" l="1"/>
  <c r="E39" i="14"/>
  <c r="J28" i="14" l="1"/>
  <c r="D26" i="22" l="1"/>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Y14" i="24" s="1"/>
  <c r="T20" i="12"/>
  <c r="U14" i="24" s="1"/>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T14" i="24" s="1"/>
  <c r="O28" i="11"/>
  <c r="S14" i="24" s="1"/>
  <c r="P28" i="11"/>
  <c r="Q28" i="11"/>
  <c r="X14" i="24" s="1"/>
  <c r="R28" i="11"/>
  <c r="W14" i="24" s="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H26" i="11"/>
  <c r="I26" i="11"/>
  <c r="J26" i="11"/>
  <c r="D26" i="11"/>
  <c r="B27" i="11"/>
  <c r="O13" i="24" s="1"/>
  <c r="B28" i="11"/>
  <c r="O14" i="24" s="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D25" i="11" l="1"/>
  <c r="E14" i="19" s="1"/>
  <c r="E19" i="11"/>
  <c r="D17" i="45"/>
  <c r="W17" i="45"/>
  <c r="E46" i="34"/>
  <c r="J46" i="34"/>
  <c r="J32" i="34"/>
  <c r="E32" i="34"/>
  <c r="E47" i="34"/>
  <c r="J47" i="34"/>
  <c r="E45" i="34"/>
  <c r="J45" i="34"/>
  <c r="E55" i="34"/>
  <c r="G55" i="34" s="1"/>
  <c r="J55" i="34"/>
  <c r="K55" i="34" s="1"/>
  <c r="J43" i="34"/>
  <c r="E43" i="34"/>
  <c r="J31" i="34"/>
  <c r="E31" i="34"/>
  <c r="J33" i="34"/>
  <c r="E33" i="34"/>
  <c r="J44" i="34"/>
  <c r="E44" i="34"/>
  <c r="E54" i="34"/>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4" i="34" l="1"/>
  <c r="G53" i="34" s="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J49" i="14" s="1"/>
  <c r="J27" i="27" s="1"/>
  <c r="B20" i="4"/>
  <c r="B21" i="4"/>
  <c r="B16" i="6" s="1"/>
  <c r="C14" i="35" s="1"/>
  <c r="B22" i="4"/>
  <c r="B17" i="6" s="1"/>
  <c r="C15" i="35" s="1"/>
  <c r="B23" i="4"/>
  <c r="B18" i="6" s="1"/>
  <c r="C16" i="35" s="1"/>
  <c r="B24" i="4"/>
  <c r="B19" i="6" s="1"/>
  <c r="B25" i="4"/>
  <c r="B20" i="6" s="1"/>
  <c r="B26" i="4"/>
  <c r="B21" i="6" s="1"/>
  <c r="B27" i="4"/>
  <c r="B28" i="4"/>
  <c r="CF28" i="4" s="1"/>
  <c r="B29" i="4"/>
  <c r="B30" i="4"/>
  <c r="B25" i="6" s="1"/>
  <c r="B31" i="4"/>
  <c r="B26" i="6" s="1"/>
  <c r="B32" i="4"/>
  <c r="B27" i="6" s="1"/>
  <c r="B33" i="4"/>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Q14" i="24" s="1"/>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CR77" i="4" s="1"/>
  <c r="B78" i="4"/>
  <c r="K78" i="4" s="1"/>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M82" i="42" s="1"/>
  <c r="B81" i="42"/>
  <c r="AF81" i="42" s="1"/>
  <c r="B80" i="42"/>
  <c r="X80" i="42" s="1"/>
  <c r="B79" i="42"/>
  <c r="B78" i="42"/>
  <c r="B77" i="42"/>
  <c r="B76" i="42"/>
  <c r="H76" i="42" s="1"/>
  <c r="B75" i="42"/>
  <c r="H75" i="42" s="1"/>
  <c r="B74" i="42"/>
  <c r="AQ74" i="42" s="1"/>
  <c r="B73" i="42"/>
  <c r="B72" i="42"/>
  <c r="B71" i="42"/>
  <c r="B70" i="42"/>
  <c r="E70" i="42" s="1"/>
  <c r="B69" i="42"/>
  <c r="B68" i="42"/>
  <c r="B67" i="42"/>
  <c r="B66" i="42"/>
  <c r="R66" i="42" s="1"/>
  <c r="B65" i="42"/>
  <c r="B64" i="42"/>
  <c r="AQ64" i="42" s="1"/>
  <c r="B63" i="42"/>
  <c r="AM63" i="42" s="1"/>
  <c r="B62" i="42"/>
  <c r="AF62" i="42" s="1"/>
  <c r="B61" i="42"/>
  <c r="B60" i="42"/>
  <c r="B59" i="42"/>
  <c r="B58" i="42"/>
  <c r="M58" i="42" s="1"/>
  <c r="B57" i="42"/>
  <c r="B56" i="42"/>
  <c r="W56" i="42" s="1"/>
  <c r="B55" i="42"/>
  <c r="B54" i="42"/>
  <c r="AF54" i="42" s="1"/>
  <c r="B53" i="42"/>
  <c r="AQ53" i="42" s="1"/>
  <c r="B52" i="42"/>
  <c r="AA52" i="42" s="1"/>
  <c r="B51" i="42"/>
  <c r="B50" i="42"/>
  <c r="B49" i="42"/>
  <c r="B48" i="42"/>
  <c r="B47" i="42"/>
  <c r="B46" i="42"/>
  <c r="X46" i="42" s="1"/>
  <c r="B45" i="42"/>
  <c r="B44" i="42"/>
  <c r="B43" i="42"/>
  <c r="B42" i="42"/>
  <c r="AB42" i="42" s="1"/>
  <c r="B41" i="42"/>
  <c r="B40" i="42"/>
  <c r="AM40" i="42" s="1"/>
  <c r="B39" i="42"/>
  <c r="N39" i="42" s="1"/>
  <c r="B38" i="42"/>
  <c r="C38" i="42" s="1"/>
  <c r="B37" i="42"/>
  <c r="B36" i="42"/>
  <c r="B35" i="42"/>
  <c r="B34" i="42"/>
  <c r="B33" i="42"/>
  <c r="I33" i="42" s="1"/>
  <c r="B32" i="42"/>
  <c r="B31" i="42"/>
  <c r="O31" i="42" s="1"/>
  <c r="B30" i="42"/>
  <c r="B29" i="42"/>
  <c r="B28" i="42"/>
  <c r="B27" i="42"/>
  <c r="B26" i="42"/>
  <c r="B25" i="42"/>
  <c r="B24" i="42"/>
  <c r="B23" i="42"/>
  <c r="B22" i="42"/>
  <c r="B21" i="42"/>
  <c r="AI21" i="42" s="1"/>
  <c r="B20" i="42"/>
  <c r="B19" i="42"/>
  <c r="B18" i="42"/>
  <c r="B17" i="42"/>
  <c r="B16" i="42"/>
  <c r="B15" i="42"/>
  <c r="B14" i="42"/>
  <c r="T12" i="42"/>
  <c r="S12" i="42"/>
  <c r="R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BB26" i="4"/>
  <c r="BD73" i="4"/>
  <c r="CP73" i="4"/>
  <c r="CR73" i="4"/>
  <c r="CQ73" i="4"/>
  <c r="AY61" i="4"/>
  <c r="CR61" i="4"/>
  <c r="CQ61" i="4"/>
  <c r="CP61" i="4"/>
  <c r="W49" i="4"/>
  <c r="CP49" i="4"/>
  <c r="CR49" i="4"/>
  <c r="CQ49" i="4"/>
  <c r="BE84" i="4"/>
  <c r="CR84" i="4"/>
  <c r="CQ84" i="4"/>
  <c r="CP84" i="4"/>
  <c r="BB72" i="4"/>
  <c r="CQ72" i="4"/>
  <c r="CR72" i="4"/>
  <c r="CP72" i="4"/>
  <c r="BA60" i="4"/>
  <c r="CR60" i="4"/>
  <c r="CQ60" i="4"/>
  <c r="CP60" i="4"/>
  <c r="BB48" i="4"/>
  <c r="CQ48" i="4"/>
  <c r="CR48" i="4"/>
  <c r="CP48" i="4"/>
  <c r="F36" i="4"/>
  <c r="BB71" i="4"/>
  <c r="CQ71" i="4"/>
  <c r="BN59" i="4"/>
  <c r="CR59" i="4"/>
  <c r="CQ59" i="4"/>
  <c r="CP59" i="4"/>
  <c r="BA47" i="4"/>
  <c r="CR47" i="4"/>
  <c r="CQ47" i="4"/>
  <c r="CP47" i="4"/>
  <c r="BH35" i="4"/>
  <c r="Y23" i="4"/>
  <c r="BD82" i="4"/>
  <c r="CR82" i="4"/>
  <c r="CQ82" i="4"/>
  <c r="CP82" i="4"/>
  <c r="BM70" i="4"/>
  <c r="CR70" i="4"/>
  <c r="CQ70" i="4"/>
  <c r="CP70" i="4"/>
  <c r="BC58" i="4"/>
  <c r="CR58" i="4"/>
  <c r="CQ58" i="4"/>
  <c r="CP58" i="4"/>
  <c r="BM22" i="4"/>
  <c r="BD81" i="4"/>
  <c r="CP81" i="4"/>
  <c r="CR81" i="4"/>
  <c r="CQ81" i="4"/>
  <c r="BE69" i="4"/>
  <c r="CR69" i="4"/>
  <c r="CP69" i="4"/>
  <c r="CQ69" i="4"/>
  <c r="U57" i="4"/>
  <c r="CP57" i="4"/>
  <c r="CR57" i="4"/>
  <c r="CQ57" i="4"/>
  <c r="BC45" i="4"/>
  <c r="CR45" i="4"/>
  <c r="CQ45" i="4"/>
  <c r="CP45" i="4"/>
  <c r="BJ33" i="4"/>
  <c r="BM21" i="4"/>
  <c r="BB68" i="4"/>
  <c r="CQ68" i="4"/>
  <c r="CR68" i="4"/>
  <c r="CP68" i="4"/>
  <c r="AJ56" i="4"/>
  <c r="CQ56" i="4"/>
  <c r="CR56" i="4"/>
  <c r="CP56" i="4"/>
  <c r="BI20" i="4"/>
  <c r="BA67" i="4"/>
  <c r="CR67" i="4"/>
  <c r="CQ67" i="4"/>
  <c r="CP67" i="4"/>
  <c r="U55" i="4"/>
  <c r="CQ55" i="4"/>
  <c r="BA43" i="4"/>
  <c r="CR43" i="4"/>
  <c r="CQ43" i="4"/>
  <c r="CP43" i="4"/>
  <c r="P31"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H22" i="4"/>
  <c r="B54" i="8"/>
  <c r="AD34" i="4"/>
  <c r="J58" i="4"/>
  <c r="AB82" i="4"/>
  <c r="AT82" i="4"/>
  <c r="E22" i="4"/>
  <c r="AD52" i="4"/>
  <c r="AA59" i="42"/>
  <c r="I18" i="4"/>
  <c r="T52" i="4"/>
  <c r="BY18" i="4"/>
  <c r="P18" i="4"/>
  <c r="CB18" i="4"/>
  <c r="AL18" i="4"/>
  <c r="N18" i="4"/>
  <c r="C52" i="4"/>
  <c r="D45" i="34" s="1"/>
  <c r="AQ59" i="42"/>
  <c r="E35" i="42"/>
  <c r="W26" i="4"/>
  <c r="C56" i="4"/>
  <c r="D49" i="34" s="1"/>
  <c r="W56" i="4"/>
  <c r="F68" i="4"/>
  <c r="AI59" i="42"/>
  <c r="AH47" i="42"/>
  <c r="AH84" i="4"/>
  <c r="AG38" i="4"/>
  <c r="AJ62" i="4"/>
  <c r="K38" i="4"/>
  <c r="F31" i="34" s="1"/>
  <c r="AQ62" i="4"/>
  <c r="AD38" i="4"/>
  <c r="AF50" i="4"/>
  <c r="AM50" i="4"/>
  <c r="Z38" i="4"/>
  <c r="F74" i="4"/>
  <c r="AA38" i="4"/>
  <c r="T50" i="4"/>
  <c r="AH74" i="4"/>
  <c r="J84" i="5"/>
  <c r="AL26" i="4"/>
  <c r="R26" i="4"/>
  <c r="M96" i="5"/>
  <c r="AN26" i="4"/>
  <c r="AN50" i="4"/>
  <c r="V74" i="4"/>
  <c r="S88" i="5"/>
  <c r="X61" i="4"/>
  <c r="R73" i="4"/>
  <c r="AG85" i="4"/>
  <c r="AY49" i="4"/>
  <c r="D73" i="4"/>
  <c r="AO73" i="4"/>
  <c r="AE73" i="4"/>
  <c r="AX49" i="4"/>
  <c r="C73" i="4"/>
  <c r="C81" i="5"/>
  <c r="AR81" i="5" s="1"/>
  <c r="AE49" i="4"/>
  <c r="G49" i="4"/>
  <c r="U73" i="4"/>
  <c r="T84" i="4"/>
  <c r="G84" i="4"/>
  <c r="AP84" i="4"/>
  <c r="H18" i="24"/>
  <c r="AP48" i="4"/>
  <c r="Q90" i="5"/>
  <c r="B101" i="5"/>
  <c r="M102" i="5"/>
  <c r="M84" i="4"/>
  <c r="AX84" i="4"/>
  <c r="AJ84" i="4"/>
  <c r="AB84" i="4"/>
  <c r="AJ32" i="24"/>
  <c r="P84" i="4"/>
  <c r="D84" i="4"/>
  <c r="AM84" i="4"/>
  <c r="AE84" i="4"/>
  <c r="AH60" i="4"/>
  <c r="U60" i="4"/>
  <c r="Z84" i="4"/>
  <c r="N84" i="4"/>
  <c r="AV84" i="4"/>
  <c r="I48" i="4"/>
  <c r="AS72" i="4"/>
  <c r="AE60" i="4"/>
  <c r="AV60" i="4"/>
  <c r="C84" i="4"/>
  <c r="W84" i="4"/>
  <c r="Q84" i="4"/>
  <c r="AY84" i="4"/>
  <c r="AF84" i="4"/>
  <c r="U84" i="4"/>
  <c r="E84" i="4"/>
  <c r="B56" i="8"/>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AL73" i="4"/>
  <c r="H25" i="4"/>
  <c r="F49" i="4"/>
  <c r="AX73" i="4"/>
  <c r="C57" i="5"/>
  <c r="AR57" i="5" s="1"/>
  <c r="E49" i="4"/>
  <c r="H73" i="4"/>
  <c r="P49" i="4"/>
  <c r="AB73" i="4"/>
  <c r="P61" i="4"/>
  <c r="B45" i="8"/>
  <c r="AW85" i="4"/>
  <c r="C49" i="4"/>
  <c r="D42" i="34" s="1"/>
  <c r="AV73" i="4"/>
  <c r="AK49" i="4"/>
  <c r="Q73" i="4"/>
  <c r="AK25" i="4"/>
  <c r="AV49" i="4"/>
  <c r="N73" i="4"/>
  <c r="AS61" i="4"/>
  <c r="AG49" i="4"/>
  <c r="D85" i="4"/>
  <c r="AQ49" i="4"/>
  <c r="F73" i="4"/>
  <c r="AN49" i="4"/>
  <c r="Z49" i="4"/>
  <c r="D25" i="4"/>
  <c r="AL61" i="4"/>
  <c r="AU61" i="4"/>
  <c r="AL49" i="4"/>
  <c r="AD49" i="4"/>
  <c r="AC85" i="4"/>
  <c r="E73" i="4"/>
  <c r="S49" i="4"/>
  <c r="AJ25" i="4"/>
  <c r="AD61" i="4"/>
  <c r="V49" i="4"/>
  <c r="I73" i="4"/>
  <c r="Y73" i="4"/>
  <c r="P73" i="4"/>
  <c r="M85" i="4"/>
  <c r="J49" i="4"/>
  <c r="K49" i="4"/>
  <c r="F42" i="34" s="1"/>
  <c r="AT49" i="4"/>
  <c r="AM49" i="4"/>
  <c r="AT73" i="4"/>
  <c r="AS49" i="4"/>
  <c r="AF73" i="4"/>
  <c r="J73" i="4"/>
  <c r="AM73" i="4"/>
  <c r="AK37" i="4"/>
  <c r="K73" i="4"/>
  <c r="AJ61" i="4"/>
  <c r="X73" i="4"/>
  <c r="X49" i="4"/>
  <c r="AF49" i="4"/>
  <c r="AN73" i="4"/>
  <c r="AP49" i="4"/>
  <c r="D49" i="4"/>
  <c r="AQ73" i="4"/>
  <c r="AK73" i="4"/>
  <c r="AA85" i="4"/>
  <c r="T73" i="4"/>
  <c r="AW49" i="4"/>
  <c r="AD73" i="4"/>
  <c r="S25" i="4"/>
  <c r="Q49" i="4"/>
  <c r="AI73" i="4"/>
  <c r="AU49" i="4"/>
  <c r="AR49" i="4"/>
  <c r="S73" i="4"/>
  <c r="AR73" i="4"/>
  <c r="G73" i="4"/>
  <c r="AA73" i="4"/>
  <c r="N49" i="4"/>
  <c r="AO49" i="4"/>
  <c r="Z73" i="4"/>
  <c r="I49" i="4"/>
  <c r="AC73" i="4"/>
  <c r="AN25" i="4"/>
  <c r="AO61" i="4"/>
  <c r="U49" i="4"/>
  <c r="AC49" i="4"/>
  <c r="C69" i="5"/>
  <c r="AR69" i="5" s="1"/>
  <c r="AA49" i="4"/>
  <c r="AH73" i="4"/>
  <c r="AJ49" i="4"/>
  <c r="AJ73" i="4"/>
  <c r="C45" i="5"/>
  <c r="AR45" i="5" s="1"/>
  <c r="AG73" i="4"/>
  <c r="AD25" i="4"/>
  <c r="V73" i="4"/>
  <c r="T49" i="4"/>
  <c r="B57" i="8"/>
  <c r="R61" i="4"/>
  <c r="G61" i="4"/>
  <c r="AB49" i="4"/>
  <c r="AY73" i="4"/>
  <c r="T61" i="4"/>
  <c r="F25" i="4"/>
  <c r="H49" i="4"/>
  <c r="AW73" i="4"/>
  <c r="M49" i="4"/>
  <c r="M73" i="4"/>
  <c r="B69" i="8"/>
  <c r="C69" i="8" s="1"/>
  <c r="AP73" i="4"/>
  <c r="AI49" i="4"/>
  <c r="Y49" i="4"/>
  <c r="AU73" i="4"/>
  <c r="AH49" i="4"/>
  <c r="W73" i="4"/>
  <c r="AS73" i="4"/>
  <c r="AV38" i="4"/>
  <c r="M50" i="4"/>
  <c r="AJ74" i="4"/>
  <c r="AC26" i="4"/>
  <c r="AK26" i="4"/>
  <c r="U38" i="4"/>
  <c r="AB38" i="4"/>
  <c r="N38" i="4"/>
  <c r="D38" i="4"/>
  <c r="S74" i="4"/>
  <c r="AU74" i="4"/>
  <c r="AN74" i="4"/>
  <c r="F26" i="4"/>
  <c r="AC62" i="4"/>
  <c r="X38" i="4"/>
  <c r="C38" i="4"/>
  <c r="D31" i="34" s="1"/>
  <c r="AI26" i="4"/>
  <c r="D26" i="4"/>
  <c r="AJ26" i="4"/>
  <c r="AG74" i="4"/>
  <c r="W50" i="4"/>
  <c r="B88" i="5"/>
  <c r="W74" i="4"/>
  <c r="AL38" i="4"/>
  <c r="X74" i="4"/>
  <c r="P26" i="4"/>
  <c r="AH38" i="4"/>
  <c r="G38" i="4"/>
  <c r="AX74" i="4"/>
  <c r="AC74" i="4"/>
  <c r="E74" i="4"/>
  <c r="J26" i="4"/>
  <c r="J50" i="4"/>
  <c r="AW74" i="4"/>
  <c r="AP26" i="4"/>
  <c r="K74" i="4"/>
  <c r="AR74" i="4"/>
  <c r="AX86" i="4"/>
  <c r="AT50" i="4"/>
  <c r="W38" i="4"/>
  <c r="AH50" i="4"/>
  <c r="K89" i="5"/>
  <c r="G26" i="4"/>
  <c r="AO26" i="4"/>
  <c r="N74" i="4"/>
  <c r="AP74" i="4"/>
  <c r="J74" i="4"/>
  <c r="H26" i="4"/>
  <c r="AT74" i="4"/>
  <c r="X26" i="4"/>
  <c r="AS62" i="4"/>
  <c r="AD50" i="4"/>
  <c r="AG62" i="4"/>
  <c r="Z50" i="4"/>
  <c r="AS74" i="4"/>
  <c r="AK38" i="4"/>
  <c r="G74" i="4"/>
  <c r="C34" i="5"/>
  <c r="I34" i="5" s="1"/>
  <c r="T86" i="4"/>
  <c r="X62" i="4"/>
  <c r="AI74" i="4"/>
  <c r="AK50" i="4"/>
  <c r="I89" i="5"/>
  <c r="AV74" i="4"/>
  <c r="S38" i="4"/>
  <c r="AT62" i="4"/>
  <c r="AE74" i="4"/>
  <c r="T74" i="4"/>
  <c r="AI50" i="4"/>
  <c r="AO74" i="4"/>
  <c r="AV62" i="4"/>
  <c r="AW62" i="4"/>
  <c r="AU26" i="4"/>
  <c r="AK62" i="4"/>
  <c r="AW50" i="4"/>
  <c r="AM74" i="4"/>
  <c r="D74" i="4"/>
  <c r="AM38" i="4"/>
  <c r="X50" i="4"/>
  <c r="AV50" i="4"/>
  <c r="B22" i="8"/>
  <c r="C20" i="33" s="1"/>
  <c r="AQ74" i="4"/>
  <c r="AP62" i="4"/>
  <c r="C46" i="5"/>
  <c r="AH62" i="4"/>
  <c r="C58" i="5"/>
  <c r="AR58" i="5" s="1"/>
  <c r="I74" i="4"/>
  <c r="C22" i="5"/>
  <c r="J22" i="5" s="1"/>
  <c r="AY74" i="4"/>
  <c r="C70" i="5"/>
  <c r="AR70" i="5" s="1"/>
  <c r="AL62" i="4"/>
  <c r="AX62" i="4"/>
  <c r="AI38" i="4"/>
  <c r="P38" i="4"/>
  <c r="AB74" i="4"/>
  <c r="B46" i="8"/>
  <c r="S62" i="4"/>
  <c r="AQ86" i="4"/>
  <c r="G86" i="4"/>
  <c r="AT38" i="4"/>
  <c r="R38" i="4"/>
  <c r="AF74" i="4"/>
  <c r="AN62" i="4"/>
  <c r="AA62" i="4"/>
  <c r="AD62" i="4"/>
  <c r="V62" i="4"/>
  <c r="H62" i="4"/>
  <c r="AY62" i="4"/>
  <c r="Y50" i="4"/>
  <c r="M74" i="4"/>
  <c r="F38" i="4"/>
  <c r="G62" i="4"/>
  <c r="I26" i="4"/>
  <c r="AO62" i="4"/>
  <c r="AS86" i="4"/>
  <c r="AK74" i="4"/>
  <c r="E26" i="4"/>
  <c r="P74" i="4"/>
  <c r="R50" i="4"/>
  <c r="H101" i="5"/>
  <c r="C74" i="4"/>
  <c r="Z62" i="4"/>
  <c r="B34" i="8"/>
  <c r="V34" i="8" s="1"/>
  <c r="T62" i="4"/>
  <c r="R62" i="4"/>
  <c r="Q62" i="4"/>
  <c r="D62" i="4"/>
  <c r="V26" i="4"/>
  <c r="AL50" i="4"/>
  <c r="AQ50" i="4"/>
  <c r="H74" i="4"/>
  <c r="K62" i="4"/>
  <c r="F55" i="34" s="1"/>
  <c r="H55" i="34" s="1"/>
  <c r="AF26" i="4"/>
  <c r="AF62" i="4"/>
  <c r="V86" i="4"/>
  <c r="N86" i="4"/>
  <c r="AI62" i="4"/>
  <c r="AA74" i="4"/>
  <c r="AE62" i="4"/>
  <c r="E62" i="4"/>
  <c r="W62" i="4"/>
  <c r="R74" i="4"/>
  <c r="AO50" i="4"/>
  <c r="I62" i="4"/>
  <c r="AJ38" i="4"/>
  <c r="AM62" i="4"/>
  <c r="AA26" i="4"/>
  <c r="P62" i="4"/>
  <c r="AB26" i="4"/>
  <c r="F50" i="4"/>
  <c r="S50" i="4"/>
  <c r="Q74" i="4"/>
  <c r="N62" i="4"/>
  <c r="V38" i="4"/>
  <c r="V50" i="4"/>
  <c r="Q86" i="4"/>
  <c r="B58" i="8"/>
  <c r="AD26" i="4"/>
  <c r="AP50" i="4"/>
  <c r="AG50" i="4"/>
  <c r="B70" i="8"/>
  <c r="BN74" i="4"/>
  <c r="J62" i="4"/>
  <c r="E38" i="4"/>
  <c r="AC50" i="4"/>
  <c r="C26" i="4"/>
  <c r="D19" i="34" s="1"/>
  <c r="AB50" i="4"/>
  <c r="AU50" i="4"/>
  <c r="F62" i="4"/>
  <c r="AM26" i="4"/>
  <c r="C62" i="4"/>
  <c r="D55" i="34" s="1"/>
  <c r="J38" i="4"/>
  <c r="AJ50" i="4"/>
  <c r="AE38" i="4"/>
  <c r="AC38" i="4"/>
  <c r="AD74" i="4"/>
  <c r="AV26" i="4"/>
  <c r="AB62" i="4"/>
  <c r="AN38" i="4"/>
  <c r="I50" i="4"/>
  <c r="AL86" i="4"/>
  <c r="N26" i="4"/>
  <c r="U74" i="4"/>
  <c r="AU62" i="4"/>
  <c r="BM74" i="4"/>
  <c r="T26" i="4"/>
  <c r="H50" i="4"/>
  <c r="K26" i="4"/>
  <c r="F19" i="34" s="1"/>
  <c r="U50" i="4"/>
  <c r="AH26" i="4"/>
  <c r="G50" i="4"/>
  <c r="Y38" i="4"/>
  <c r="N50" i="4"/>
  <c r="AT26" i="4"/>
  <c r="AY50" i="4"/>
  <c r="P50" i="4"/>
  <c r="AO38" i="4"/>
  <c r="M38" i="4"/>
  <c r="T38" i="4"/>
  <c r="U62" i="4"/>
  <c r="AE26" i="4"/>
  <c r="AX50" i="4"/>
  <c r="S26" i="4"/>
  <c r="D50" i="4"/>
  <c r="E86" i="4"/>
  <c r="K50" i="4"/>
  <c r="F43" i="34" s="1"/>
  <c r="Y74" i="4"/>
  <c r="H38" i="4"/>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P34" i="42"/>
  <c r="AM43" i="4"/>
  <c r="J120" i="5"/>
  <c r="Z34" i="42"/>
  <c r="L84" i="5"/>
  <c r="V89" i="5"/>
  <c r="E89" i="5"/>
  <c r="G89" i="5"/>
  <c r="M89" i="5"/>
  <c r="N89" i="5"/>
  <c r="I113" i="5"/>
  <c r="F112" i="5"/>
  <c r="G88" i="5"/>
  <c r="Q100" i="5"/>
  <c r="I88" i="5"/>
  <c r="O88" i="5"/>
  <c r="T88" i="5"/>
  <c r="W23" i="42"/>
  <c r="AH59" i="42"/>
  <c r="Z59" i="42"/>
  <c r="J59" i="42"/>
  <c r="AV43" i="4"/>
  <c r="H23" i="42"/>
  <c r="AL59" i="42"/>
  <c r="C59" i="42"/>
  <c r="E59" i="42"/>
  <c r="R47" i="42"/>
  <c r="AS43" i="4"/>
  <c r="AK23" i="42"/>
  <c r="AM23" i="42"/>
  <c r="AJ59" i="42"/>
  <c r="Y59" i="42"/>
  <c r="S47" i="42"/>
  <c r="AC23" i="42"/>
  <c r="O23" i="42"/>
  <c r="T59" i="42"/>
  <c r="AC59" i="42"/>
  <c r="X47" i="42"/>
  <c r="I23" i="42"/>
  <c r="AB59" i="42"/>
  <c r="AF59" i="42"/>
  <c r="AI47" i="42"/>
  <c r="AK59" i="42"/>
  <c r="AR59" i="42"/>
  <c r="R19" i="4"/>
  <c r="AF47" i="42"/>
  <c r="N71" i="42"/>
  <c r="V59" i="42"/>
  <c r="X59" i="42"/>
  <c r="AB35" i="42"/>
  <c r="G67" i="4"/>
  <c r="AK47" i="42"/>
  <c r="AE59" i="42"/>
  <c r="H35" i="42"/>
  <c r="W31" i="4"/>
  <c r="H67" i="4"/>
  <c r="N47" i="42"/>
  <c r="O59" i="42"/>
  <c r="G31" i="4"/>
  <c r="I67" i="4"/>
  <c r="X23" i="42"/>
  <c r="N59" i="42"/>
  <c r="I59" i="42"/>
  <c r="AP59" i="42"/>
  <c r="AM59" i="42"/>
  <c r="F67" i="4"/>
  <c r="S59" i="42"/>
  <c r="AD59" i="42"/>
  <c r="W59" i="42"/>
  <c r="D59" i="42"/>
  <c r="AD23" i="42"/>
  <c r="B68" i="8"/>
  <c r="AE72" i="4"/>
  <c r="AW72" i="4"/>
  <c r="AS48" i="4"/>
  <c r="AC72" i="4"/>
  <c r="V48" i="4"/>
  <c r="K60" i="4"/>
  <c r="F53" i="34" s="1"/>
  <c r="AJ60" i="4"/>
  <c r="AK84" i="4"/>
  <c r="T60" i="4"/>
  <c r="AG48" i="4"/>
  <c r="AO72" i="4"/>
  <c r="AV72" i="4"/>
  <c r="AK72" i="4"/>
  <c r="J48" i="4"/>
  <c r="W48" i="4"/>
  <c r="U48" i="4"/>
  <c r="N48" i="4"/>
  <c r="Y60" i="4"/>
  <c r="AD60" i="4"/>
  <c r="H72" i="4"/>
  <c r="I60" i="4"/>
  <c r="AS60" i="4"/>
  <c r="V60" i="4"/>
  <c r="AQ72" i="4"/>
  <c r="G72" i="4"/>
  <c r="AM48" i="4"/>
  <c r="P48" i="4"/>
  <c r="AL48" i="4"/>
  <c r="H48"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C44" i="8" s="1"/>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P89" i="5"/>
  <c r="H89" i="5"/>
  <c r="V101" i="5"/>
  <c r="M88" i="5"/>
  <c r="N112" i="5"/>
  <c r="O89" i="5"/>
  <c r="L89" i="5"/>
  <c r="F101" i="5"/>
  <c r="H88" i="5"/>
  <c r="J69" i="4"/>
  <c r="J89" i="5"/>
  <c r="T89" i="5"/>
  <c r="N88" i="5"/>
  <c r="B65" i="8"/>
  <c r="Q99" i="5"/>
  <c r="J88" i="5"/>
  <c r="AF51" i="42"/>
  <c r="Q89" i="5"/>
  <c r="U89" i="5"/>
  <c r="S113" i="5"/>
  <c r="V88" i="5"/>
  <c r="P88" i="5"/>
  <c r="AG33" i="4"/>
  <c r="S81" i="4"/>
  <c r="F89" i="5"/>
  <c r="G99" i="5"/>
  <c r="N113" i="5"/>
  <c r="E88" i="5"/>
  <c r="R88" i="5"/>
  <c r="AA45" i="4"/>
  <c r="G33" i="4"/>
  <c r="Q88" i="5"/>
  <c r="H100" i="5"/>
  <c r="R89" i="5"/>
  <c r="T113" i="5"/>
  <c r="K88" i="5"/>
  <c r="B87" i="5"/>
  <c r="AC81" i="4"/>
  <c r="AN69" i="4"/>
  <c r="F88"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E102" i="5"/>
  <c r="N102" i="5"/>
  <c r="S114" i="5"/>
  <c r="S102" i="5"/>
  <c r="P114" i="5"/>
  <c r="N90" i="5"/>
  <c r="P102" i="5"/>
  <c r="BC62" i="4"/>
  <c r="V90" i="5"/>
  <c r="K90" i="5"/>
  <c r="Q114" i="5"/>
  <c r="M90" i="5"/>
  <c r="BA62" i="4"/>
  <c r="B113" i="5"/>
  <c r="T90" i="5"/>
  <c r="E114" i="5"/>
  <c r="L102" i="5"/>
  <c r="H114" i="5"/>
  <c r="T114" i="5"/>
  <c r="P90" i="5"/>
  <c r="J114" i="5"/>
  <c r="BH74" i="4"/>
  <c r="BF84" i="4"/>
  <c r="AL58" i="42"/>
  <c r="E84" i="5"/>
  <c r="S84" i="5"/>
  <c r="AM46" i="42"/>
  <c r="M120" i="5"/>
  <c r="Q120" i="5"/>
  <c r="H120" i="5"/>
  <c r="AD77" i="4"/>
  <c r="AG20" i="24"/>
  <c r="W82" i="42"/>
  <c r="G84" i="5"/>
  <c r="K84" i="5"/>
  <c r="AF4" i="11"/>
  <c r="O120" i="5"/>
  <c r="G96" i="5"/>
  <c r="E58" i="42"/>
  <c r="N84" i="5"/>
  <c r="AR46" i="42"/>
  <c r="G120" i="5"/>
  <c r="N120" i="5"/>
  <c r="T84" i="5"/>
  <c r="L2" i="30"/>
  <c r="L6" i="30" s="1"/>
  <c r="Q6" i="33" s="1"/>
  <c r="L6" i="34" s="1"/>
  <c r="I6" i="35" s="1"/>
  <c r="B10" i="35" s="1"/>
  <c r="BB62" i="4"/>
  <c r="AF32" i="24"/>
  <c r="AK82" i="42"/>
  <c r="H84" i="5"/>
  <c r="R120" i="5"/>
  <c r="AH77" i="4"/>
  <c r="K32" i="24"/>
  <c r="K20" i="24"/>
  <c r="AG32" i="24"/>
  <c r="P84" i="5"/>
  <c r="T108" i="5"/>
  <c r="T77" i="4"/>
  <c r="W77" i="4"/>
  <c r="BG74" i="4"/>
  <c r="BN62" i="4"/>
  <c r="BN50" i="4"/>
  <c r="L32" i="24"/>
  <c r="L20" i="24"/>
  <c r="F84" i="5"/>
  <c r="I84" i="5"/>
  <c r="BK77" i="4"/>
  <c r="BF74" i="4"/>
  <c r="BM62" i="4"/>
  <c r="BM50" i="4"/>
  <c r="Z82" i="42"/>
  <c r="B83" i="5"/>
  <c r="I96" i="5"/>
  <c r="AC77" i="4"/>
  <c r="BE74" i="4"/>
  <c r="BK62" i="4"/>
  <c r="BK50" i="4"/>
  <c r="G32" i="24"/>
  <c r="G20" i="24"/>
  <c r="AR70" i="42"/>
  <c r="O84" i="5"/>
  <c r="P120" i="5"/>
  <c r="K96" i="5"/>
  <c r="P96" i="5"/>
  <c r="BG77" i="4"/>
  <c r="BD74" i="4"/>
  <c r="BJ62" i="4"/>
  <c r="BB50" i="4"/>
  <c r="H32" i="24"/>
  <c r="H20" i="24"/>
  <c r="AJ20" i="24"/>
  <c r="D70" i="42"/>
  <c r="Q84" i="5"/>
  <c r="S120" i="5"/>
  <c r="E96" i="5"/>
  <c r="Q96" i="5"/>
  <c r="C58" i="42"/>
  <c r="BC74" i="4"/>
  <c r="BH62" i="4"/>
  <c r="R84" i="5"/>
  <c r="C16" i="17"/>
  <c r="J2" i="20" s="1"/>
  <c r="L120" i="5"/>
  <c r="B119" i="5"/>
  <c r="L17" i="24"/>
  <c r="AJ29" i="24"/>
  <c r="G17" i="24"/>
  <c r="K29" i="24"/>
  <c r="H17" i="24"/>
  <c r="AF29" i="24"/>
  <c r="AJ17" i="24"/>
  <c r="AF17" i="24"/>
  <c r="AA82" i="42"/>
  <c r="G29" i="24"/>
  <c r="AG17" i="24"/>
  <c r="BD84" i="4"/>
  <c r="H29" i="24"/>
  <c r="N96" i="5"/>
  <c r="O58" i="42"/>
  <c r="L115" i="5"/>
  <c r="AC22" i="4"/>
  <c r="W22" i="4"/>
  <c r="U104" i="5"/>
  <c r="N56" i="4"/>
  <c r="I58" i="4"/>
  <c r="E82" i="4"/>
  <c r="K32" i="4"/>
  <c r="F25" i="34" s="1"/>
  <c r="AH22" i="4"/>
  <c r="I56" i="4"/>
  <c r="AG34" i="4"/>
  <c r="F58" i="4"/>
  <c r="AQ82" i="4"/>
  <c r="AD32" i="42"/>
  <c r="AM34" i="4"/>
  <c r="AA68" i="42"/>
  <c r="AE58" i="4"/>
  <c r="P82" i="4"/>
  <c r="AP56" i="4"/>
  <c r="F22" i="4"/>
  <c r="E17" i="6" s="1"/>
  <c r="E15" i="35" s="1"/>
  <c r="AU22" i="4"/>
  <c r="G58" i="4"/>
  <c r="AF82" i="4"/>
  <c r="E34" i="4"/>
  <c r="AS58" i="4"/>
  <c r="W82" i="4"/>
  <c r="AT58" i="4"/>
  <c r="AX82" i="4"/>
  <c r="AR58" i="4"/>
  <c r="AP70" i="4"/>
  <c r="D22" i="4"/>
  <c r="AA70" i="4"/>
  <c r="AB22" i="4"/>
  <c r="AK58" i="4"/>
  <c r="AR70" i="4"/>
  <c r="AG82" i="4"/>
  <c r="P22" i="4"/>
  <c r="AI22" i="4"/>
  <c r="V34" i="4"/>
  <c r="X44" i="4"/>
  <c r="AU58" i="4"/>
  <c r="AJ82" i="4"/>
  <c r="AU56" i="4"/>
  <c r="AP22" i="4"/>
  <c r="AJ22" i="4"/>
  <c r="C58" i="4"/>
  <c r="D51" i="34" s="1"/>
  <c r="AY82" i="4"/>
  <c r="R105" i="5"/>
  <c r="B92" i="5"/>
  <c r="U93" i="5"/>
  <c r="U117" i="5"/>
  <c r="G107" i="5"/>
  <c r="AM81" i="42"/>
  <c r="AB21" i="42"/>
  <c r="T57" i="42"/>
  <c r="CS18" i="4"/>
  <c r="BR18" i="4"/>
  <c r="X18" i="4"/>
  <c r="J18" i="4"/>
  <c r="CO18" i="4"/>
  <c r="CL18" i="4"/>
  <c r="U18" i="4"/>
  <c r="AN18" i="4"/>
  <c r="BT18" i="4"/>
  <c r="AT18" i="4"/>
  <c r="AH18" i="4"/>
  <c r="CF18" i="4"/>
  <c r="CC18" i="4"/>
  <c r="J56" i="42"/>
  <c r="AM18" i="4"/>
  <c r="H18" i="4"/>
  <c r="AU18" i="4"/>
  <c r="Z18" i="4"/>
  <c r="V18" i="4"/>
  <c r="D80" i="42"/>
  <c r="CU18" i="4"/>
  <c r="BW18" i="4"/>
  <c r="F18" i="4"/>
  <c r="CT18" i="4"/>
  <c r="Y18" i="4"/>
  <c r="S18" i="4"/>
  <c r="CN18" i="4"/>
  <c r="BQ18" i="4"/>
  <c r="AD18" i="4"/>
  <c r="AE18" i="4"/>
  <c r="CE18" i="4"/>
  <c r="C14" i="5"/>
  <c r="N14" i="5" s="1"/>
  <c r="AJ18" i="4"/>
  <c r="K18" i="4"/>
  <c r="T18" i="4"/>
  <c r="AF32" i="42"/>
  <c r="B14" i="8"/>
  <c r="M14" i="8" s="1"/>
  <c r="CK18" i="4"/>
  <c r="CJ18" i="4"/>
  <c r="AC18" i="4"/>
  <c r="AI18" i="4"/>
  <c r="M18" i="4"/>
  <c r="AA80" i="42"/>
  <c r="H68" i="42"/>
  <c r="BS18" i="4"/>
  <c r="C18" i="4"/>
  <c r="AG18" i="4"/>
  <c r="CA18" i="4"/>
  <c r="AV18" i="4"/>
  <c r="CM18" i="4"/>
  <c r="BV18" i="4"/>
  <c r="BZ18" i="4"/>
  <c r="AF18" i="4"/>
  <c r="AB18" i="4"/>
  <c r="AK18" i="4"/>
  <c r="AF44" i="42"/>
  <c r="AP56" i="42"/>
  <c r="BO18" i="4"/>
  <c r="CD18" i="4"/>
  <c r="BP18" i="4"/>
  <c r="BM18" i="4"/>
  <c r="AA18" i="4"/>
  <c r="G18" i="4"/>
  <c r="W18" i="4"/>
  <c r="AP18" i="4"/>
  <c r="O32" i="42"/>
  <c r="AE32" i="42"/>
  <c r="BU18" i="4"/>
  <c r="BX18" i="4"/>
  <c r="R18" i="4"/>
  <c r="E18" i="4"/>
  <c r="AO18" i="4"/>
  <c r="N23" i="42"/>
  <c r="AL47" i="42"/>
  <c r="AA47" i="42"/>
  <c r="V47" i="42"/>
  <c r="AQ47" i="42"/>
  <c r="E47" i="42"/>
  <c r="AE47" i="42"/>
  <c r="AB47" i="42"/>
  <c r="AR47" i="42"/>
  <c r="Y47" i="42"/>
  <c r="R59" i="42"/>
  <c r="I35" i="42"/>
  <c r="D47" i="42"/>
  <c r="O47" i="42"/>
  <c r="M47" i="42"/>
  <c r="W47" i="42"/>
  <c r="AP35" i="42"/>
  <c r="AE23" i="42"/>
  <c r="I47" i="42"/>
  <c r="AD47" i="42"/>
  <c r="AM47" i="42"/>
  <c r="Z47" i="42"/>
  <c r="C23" i="42"/>
  <c r="AE71" i="42"/>
  <c r="AP47" i="42"/>
  <c r="H47" i="42"/>
  <c r="D23" i="42"/>
  <c r="C47" i="42"/>
  <c r="AC47" i="42"/>
  <c r="Y23" i="42"/>
  <c r="M59" i="42"/>
  <c r="J47" i="42"/>
  <c r="AI83" i="42"/>
  <c r="T47" i="42"/>
  <c r="AC80" i="42"/>
  <c r="AE44" i="42"/>
  <c r="AK68" i="42"/>
  <c r="Z44" i="42"/>
  <c r="AJ56" i="42"/>
  <c r="Z56" i="42"/>
  <c r="AI68" i="42"/>
  <c r="Y80" i="42"/>
  <c r="AH80" i="42"/>
  <c r="H118" i="5"/>
  <c r="E56" i="42"/>
  <c r="E32" i="42"/>
  <c r="E68" i="42"/>
  <c r="D56" i="42"/>
  <c r="T56" i="42"/>
  <c r="AR80" i="42"/>
  <c r="AA44" i="42"/>
  <c r="N56" i="42"/>
  <c r="AL56" i="42"/>
  <c r="AK80" i="42"/>
  <c r="X56" i="42"/>
  <c r="Y68" i="42"/>
  <c r="AF68" i="42"/>
  <c r="I118" i="5"/>
  <c r="H80" i="42"/>
  <c r="P106" i="5"/>
  <c r="D32" i="42"/>
  <c r="W80" i="42"/>
  <c r="O80" i="42"/>
  <c r="AC44" i="42"/>
  <c r="AC68" i="42"/>
  <c r="H44" i="42"/>
  <c r="AQ68" i="42"/>
  <c r="Z80" i="42"/>
  <c r="AF59" i="4"/>
  <c r="J80" i="42"/>
  <c r="AM80" i="42"/>
  <c r="O56" i="42"/>
  <c r="AI56" i="42"/>
  <c r="N80" i="42"/>
  <c r="AF80" i="42"/>
  <c r="E44" i="42"/>
  <c r="T68" i="42"/>
  <c r="AJ80" i="42"/>
  <c r="AQ80" i="42"/>
  <c r="BK84" i="4"/>
  <c r="V80" i="42"/>
  <c r="T80" i="42"/>
  <c r="BJ84" i="4"/>
  <c r="AK32" i="42"/>
  <c r="I56" i="42"/>
  <c r="AL44" i="42"/>
  <c r="AB56" i="42"/>
  <c r="AK44" i="42"/>
  <c r="W68" i="42"/>
  <c r="Z32" i="42"/>
  <c r="AP44" i="42"/>
  <c r="AF56" i="42"/>
  <c r="AL32" i="42"/>
  <c r="AP68" i="42"/>
  <c r="Y44" i="42"/>
  <c r="M44" i="42"/>
  <c r="AM44" i="42"/>
  <c r="AD80" i="42"/>
  <c r="D68" i="42"/>
  <c r="S106" i="5"/>
  <c r="R80" i="42"/>
  <c r="S68" i="42"/>
  <c r="BG84" i="4"/>
  <c r="BJ60" i="4"/>
  <c r="AA56" i="42"/>
  <c r="AB44" i="42"/>
  <c r="E80" i="42"/>
  <c r="R68" i="42"/>
  <c r="M56" i="42"/>
  <c r="AD56" i="42"/>
  <c r="O68" i="42"/>
  <c r="AD68" i="42"/>
  <c r="AC32" i="42"/>
  <c r="AL80" i="42"/>
  <c r="X44" i="42"/>
  <c r="AI80" i="42"/>
  <c r="V68" i="42"/>
  <c r="AP80" i="42"/>
  <c r="I68" i="42"/>
  <c r="S44" i="42"/>
  <c r="N68" i="42"/>
  <c r="N32" i="42"/>
  <c r="AB80" i="42"/>
  <c r="AI44" i="42"/>
  <c r="N44" i="42"/>
  <c r="AE56" i="42"/>
  <c r="AM56" i="42"/>
  <c r="X32" i="42"/>
  <c r="V94" i="5"/>
  <c r="C44" i="42"/>
  <c r="C68" i="42"/>
  <c r="S80" i="42"/>
  <c r="AJ44" i="42"/>
  <c r="AP32" i="42"/>
  <c r="AK56" i="42"/>
  <c r="Y56" i="42"/>
  <c r="O44" i="42"/>
  <c r="AJ68" i="42"/>
  <c r="AE68" i="42"/>
  <c r="C80" i="42"/>
  <c r="G94" i="5"/>
  <c r="BC84" i="4"/>
  <c r="BJ72" i="4"/>
  <c r="AB68" i="42"/>
  <c r="AH68" i="42"/>
  <c r="M80" i="42"/>
  <c r="AI32" i="42"/>
  <c r="M68" i="42"/>
  <c r="AD44" i="42"/>
  <c r="M32" i="42"/>
  <c r="I32" i="42"/>
  <c r="H56" i="42"/>
  <c r="AJ32" i="42"/>
  <c r="D44" i="42"/>
  <c r="BN81" i="4"/>
  <c r="W32" i="42"/>
  <c r="AM68" i="42"/>
  <c r="AM32" i="42"/>
  <c r="Z68" i="42"/>
  <c r="AH56" i="42"/>
  <c r="W44" i="42"/>
  <c r="X68" i="42"/>
  <c r="AC56" i="42"/>
  <c r="H32" i="42"/>
  <c r="J68" i="42"/>
  <c r="I80" i="42"/>
  <c r="I92" i="5"/>
  <c r="AD69" i="4"/>
  <c r="B41" i="8"/>
  <c r="S45" i="4"/>
  <c r="X21" i="4"/>
  <c r="AN45" i="4"/>
  <c r="P81" i="4"/>
  <c r="AF33" i="4"/>
  <c r="AQ69" i="4"/>
  <c r="H69" i="4"/>
  <c r="AK45" i="4"/>
  <c r="F21" i="4"/>
  <c r="F45" i="4"/>
  <c r="AI81" i="4"/>
  <c r="AV21" i="4"/>
  <c r="Y69" i="4"/>
  <c r="AA81" i="4"/>
  <c r="I81" i="4"/>
  <c r="F33" i="4"/>
  <c r="AB21" i="4"/>
  <c r="D69" i="4"/>
  <c r="P104" i="5"/>
  <c r="AO69" i="4"/>
  <c r="AP21" i="4"/>
  <c r="K45" i="4"/>
  <c r="F38" i="34" s="1"/>
  <c r="AF81" i="4"/>
  <c r="M81" i="4"/>
  <c r="AB33" i="4"/>
  <c r="P69" i="4"/>
  <c r="I57" i="4"/>
  <c r="R69" i="4"/>
  <c r="AF45" i="4"/>
  <c r="AL33" i="4"/>
  <c r="AJ33" i="4"/>
  <c r="AS69" i="4"/>
  <c r="AN21" i="4"/>
  <c r="G45" i="4"/>
  <c r="M45" i="4"/>
  <c r="E45" i="4"/>
  <c r="T45" i="4"/>
  <c r="V116" i="5"/>
  <c r="AB45" i="4"/>
  <c r="AR81" i="4"/>
  <c r="N33" i="4"/>
  <c r="Z81" i="4"/>
  <c r="F69" i="4"/>
  <c r="G21" i="4"/>
  <c r="W69" i="4"/>
  <c r="AC21" i="4"/>
  <c r="AV45" i="4"/>
  <c r="AE81" i="4"/>
  <c r="AV33" i="4"/>
  <c r="AU81" i="4"/>
  <c r="Y21" i="4"/>
  <c r="AX69" i="4"/>
  <c r="AE45" i="4"/>
  <c r="R45" i="4"/>
  <c r="U69" i="4"/>
  <c r="M33" i="4"/>
  <c r="C21" i="4"/>
  <c r="BG81" i="4"/>
  <c r="G92" i="5"/>
  <c r="AQ45" i="4"/>
  <c r="AO81" i="4"/>
  <c r="I33" i="4"/>
  <c r="X81" i="4"/>
  <c r="AI33" i="4"/>
  <c r="AJ69" i="4"/>
  <c r="P45" i="4"/>
  <c r="K21" i="4"/>
  <c r="AM45" i="4"/>
  <c r="AB81" i="4"/>
  <c r="AE33" i="4"/>
  <c r="AT81" i="4"/>
  <c r="E21" i="4"/>
  <c r="AP69" i="4"/>
  <c r="T21" i="4"/>
  <c r="I45" i="4"/>
  <c r="AP45"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I104" i="5"/>
  <c r="AC33" i="4"/>
  <c r="Y81" i="4"/>
  <c r="AH21" i="4"/>
  <c r="Q69" i="4"/>
  <c r="X69"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U81" i="4"/>
  <c r="BB69" i="4"/>
  <c r="P92" i="5"/>
  <c r="D81" i="4"/>
  <c r="AU21" i="4"/>
  <c r="AK69" i="4"/>
  <c r="Z69" i="4"/>
  <c r="B17" i="8"/>
  <c r="V17" i="8" s="1"/>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B69" i="4"/>
  <c r="AG81" i="4"/>
  <c r="AM33" i="4"/>
  <c r="C77" i="5"/>
  <c r="AR77" i="5" s="1"/>
  <c r="AH33" i="4"/>
  <c r="V69" i="4"/>
  <c r="R33" i="4"/>
  <c r="D45" i="4"/>
  <c r="AW45" i="4"/>
  <c r="T81" i="4"/>
  <c r="AK33" i="4"/>
  <c r="K81" i="4"/>
  <c r="D33" i="4"/>
  <c r="AU69" i="4"/>
  <c r="AS45" i="4"/>
  <c r="N45" i="4"/>
  <c r="AY81" i="4"/>
  <c r="AO33" i="4"/>
  <c r="AH69" i="4"/>
  <c r="C65" i="5"/>
  <c r="AR65" i="5" s="1"/>
  <c r="C17" i="5"/>
  <c r="K17" i="5" s="1"/>
  <c r="AD81" i="4"/>
  <c r="R81" i="4"/>
  <c r="Q45" i="4"/>
  <c r="I46" i="29"/>
  <c r="U103" i="5"/>
  <c r="E103" i="5"/>
  <c r="R103" i="5"/>
  <c r="I115" i="5"/>
  <c r="E115" i="5"/>
  <c r="O115" i="5"/>
  <c r="R115" i="5"/>
  <c r="U115" i="5"/>
  <c r="N115" i="5"/>
  <c r="B114" i="5"/>
  <c r="T115" i="5"/>
  <c r="H115" i="5"/>
  <c r="K115" i="5"/>
  <c r="S115" i="5"/>
  <c r="G115" i="5"/>
  <c r="V115" i="5"/>
  <c r="F115" i="5"/>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M115" i="5"/>
  <c r="Q103" i="5"/>
  <c r="X64" i="42"/>
  <c r="AJ41" i="42"/>
  <c r="Q115" i="5"/>
  <c r="BM59" i="4"/>
  <c r="X22" i="4"/>
  <c r="AE34" i="4"/>
  <c r="AX58" i="4"/>
  <c r="AY58" i="4"/>
  <c r="AD58" i="4"/>
  <c r="P58" i="4"/>
  <c r="J82" i="4"/>
  <c r="H82" i="4"/>
  <c r="AW82" i="4"/>
  <c r="AL82" i="4"/>
  <c r="S47" i="4"/>
  <c r="C54" i="5"/>
  <c r="E54" i="5" s="1"/>
  <c r="AA82" i="4"/>
  <c r="BN58" i="4"/>
  <c r="Z22" i="4"/>
  <c r="I34" i="4"/>
  <c r="AO34" i="4"/>
  <c r="K58" i="4"/>
  <c r="F51" i="34" s="1"/>
  <c r="AV58" i="4"/>
  <c r="AC58" i="4"/>
  <c r="AI58" i="4"/>
  <c r="N82" i="4"/>
  <c r="K82" i="4"/>
  <c r="C82" i="4"/>
  <c r="AO82" i="4"/>
  <c r="AI47" i="4"/>
  <c r="BN82" i="4"/>
  <c r="BM58" i="4"/>
  <c r="C30" i="5"/>
  <c r="U30" i="5" s="1"/>
  <c r="AG58" i="4"/>
  <c r="T58" i="4"/>
  <c r="V58" i="4"/>
  <c r="W58" i="4"/>
  <c r="Q82" i="4"/>
  <c r="S82" i="4"/>
  <c r="F82" i="4"/>
  <c r="AR82" i="4"/>
  <c r="AC47" i="4"/>
  <c r="V23" i="4"/>
  <c r="S58" i="4"/>
  <c r="AT34" i="4"/>
  <c r="BG82" i="4"/>
  <c r="BF58" i="4"/>
  <c r="AA22" i="4"/>
  <c r="AP34" i="4"/>
  <c r="X58" i="4"/>
  <c r="Y58" i="4"/>
  <c r="Z58" i="4"/>
  <c r="AL58" i="4"/>
  <c r="U82" i="4"/>
  <c r="V82" i="4"/>
  <c r="I82" i="4"/>
  <c r="C78" i="5"/>
  <c r="AR78" i="5" s="1"/>
  <c r="AW47" i="4"/>
  <c r="X82" i="4"/>
  <c r="AD82" i="4"/>
  <c r="BB82" i="4"/>
  <c r="BA58" i="4"/>
  <c r="I22" i="4"/>
  <c r="AA58" i="4"/>
  <c r="D58" i="4"/>
  <c r="AP58" i="4"/>
  <c r="R58" i="4"/>
  <c r="R82" i="4"/>
  <c r="Y82" i="4"/>
  <c r="M82" i="4"/>
  <c r="AU82" i="4"/>
  <c r="AR59" i="4"/>
  <c r="AU23" i="4"/>
  <c r="BA82" i="4"/>
  <c r="D59" i="4"/>
  <c r="AV34" i="4"/>
  <c r="W34" i="4"/>
  <c r="AW58" i="4"/>
  <c r="AH58" i="4"/>
  <c r="AJ58" i="4"/>
  <c r="W70" i="4"/>
  <c r="AM82" i="4"/>
  <c r="AE82" i="4"/>
  <c r="T82" i="4"/>
  <c r="D82" i="4"/>
  <c r="N58" i="4"/>
  <c r="AO22" i="4"/>
  <c r="P34" i="4"/>
  <c r="AN58" i="4"/>
  <c r="AO58" i="4"/>
  <c r="AQ58" i="4"/>
  <c r="P70" i="4"/>
  <c r="AP82" i="4"/>
  <c r="AH82" i="4"/>
  <c r="AI82" i="4"/>
  <c r="G82" i="4"/>
  <c r="G71" i="4"/>
  <c r="D34" i="4"/>
  <c r="AC34" i="4"/>
  <c r="H34" i="4"/>
  <c r="AM58" i="4"/>
  <c r="Q58" i="4"/>
  <c r="E58" i="4"/>
  <c r="AN70" i="4"/>
  <c r="AS82" i="4"/>
  <c r="AK82" i="4"/>
  <c r="Z82" i="4"/>
  <c r="R47" i="4"/>
  <c r="AN23" i="4"/>
  <c r="H58"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H66"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C55" i="8" s="1"/>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C43" i="8" s="1"/>
  <c r="Z47" i="4"/>
  <c r="T23" i="4"/>
  <c r="AT59" i="4"/>
  <c r="U59" i="4"/>
  <c r="Z59" i="4"/>
  <c r="S59" i="4"/>
  <c r="BH83" i="4"/>
  <c r="BE59" i="4"/>
  <c r="BM47" i="4"/>
  <c r="J83" i="4"/>
  <c r="AJ71" i="4"/>
  <c r="W23" i="4"/>
  <c r="AP35" i="4"/>
  <c r="R59" i="4"/>
  <c r="M47" i="4"/>
  <c r="F71" i="4"/>
  <c r="AP59" i="4"/>
  <c r="P83" i="4"/>
  <c r="AK23" i="4"/>
  <c r="AA35" i="4"/>
  <c r="I23" i="4"/>
  <c r="M23" i="4"/>
  <c r="I59" i="4"/>
  <c r="I47" i="4"/>
  <c r="V47"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K55" i="5" s="1"/>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R68" i="42"/>
  <c r="BG72" i="4"/>
  <c r="BC72" i="4"/>
  <c r="BH63" i="4"/>
  <c r="BF39" i="4"/>
  <c r="V98" i="5"/>
  <c r="Y33" i="42"/>
  <c r="J81" i="42"/>
  <c r="AF57" i="42"/>
  <c r="AC20" i="4"/>
  <c r="K44" i="4"/>
  <c r="F37" i="34" s="1"/>
  <c r="AF44" i="4"/>
  <c r="AG44" i="4"/>
  <c r="AH44" i="4"/>
  <c r="D56" i="4"/>
  <c r="P56" i="4"/>
  <c r="AF56" i="4"/>
  <c r="AA57" i="42"/>
  <c r="M21" i="42"/>
  <c r="AK21" i="42"/>
  <c r="Z81" i="42"/>
  <c r="X81" i="42"/>
  <c r="O33" i="42"/>
  <c r="O81" i="42"/>
  <c r="E21" i="42"/>
  <c r="R81" i="42"/>
  <c r="J57" i="42"/>
  <c r="V57" i="42"/>
  <c r="AS44" i="4"/>
  <c r="AQ44" i="4"/>
  <c r="Z44" i="4"/>
  <c r="AL56" i="4"/>
  <c r="H121" i="5"/>
  <c r="R98" i="5"/>
  <c r="H86" i="5"/>
  <c r="AM21" i="42"/>
  <c r="N57" i="42"/>
  <c r="I81" i="42"/>
  <c r="E57" i="42"/>
  <c r="T20" i="4"/>
  <c r="S44" i="4"/>
  <c r="V44" i="4"/>
  <c r="AB44" i="4"/>
  <c r="P44" i="4"/>
  <c r="U56" i="4"/>
  <c r="AV56" i="4"/>
  <c r="AK56" i="4"/>
  <c r="AI81" i="42"/>
  <c r="AB81" i="42"/>
  <c r="AO56" i="4"/>
  <c r="Q56" i="4"/>
  <c r="W68" i="4"/>
  <c r="BA75" i="4"/>
  <c r="BG63" i="4"/>
  <c r="BE39" i="4"/>
  <c r="I98" i="5"/>
  <c r="AB57" i="42"/>
  <c r="AP21" i="42"/>
  <c r="O57" i="42"/>
  <c r="AL81" i="42"/>
  <c r="AH57" i="42"/>
  <c r="CK20" i="4"/>
  <c r="AO44" i="4"/>
  <c r="W44" i="4"/>
  <c r="AM44" i="4"/>
  <c r="M56" i="4"/>
  <c r="AD56" i="4"/>
  <c r="AQ56" i="4"/>
  <c r="F56" i="4"/>
  <c r="AH81" i="42"/>
  <c r="C81" i="42"/>
  <c r="W57" i="42"/>
  <c r="BN75" i="4"/>
  <c r="BF63" i="4"/>
  <c r="BE56" i="4"/>
  <c r="BD39" i="4"/>
  <c r="G86" i="5"/>
  <c r="N98" i="5"/>
  <c r="O21" i="42"/>
  <c r="AK57" i="42"/>
  <c r="E81" i="42"/>
  <c r="I57" i="42"/>
  <c r="H44" i="4"/>
  <c r="AE44" i="4"/>
  <c r="AV44" i="4"/>
  <c r="J56" i="4"/>
  <c r="T56" i="4"/>
  <c r="X56" i="4"/>
  <c r="Z56" i="4"/>
  <c r="AD57" i="42"/>
  <c r="Y81" i="42"/>
  <c r="AD81" i="42"/>
  <c r="V81" i="42"/>
  <c r="S81" i="42"/>
  <c r="AQ81" i="42"/>
  <c r="AJ57" i="42"/>
  <c r="R44" i="4"/>
  <c r="AA20" i="4"/>
  <c r="C40" i="5"/>
  <c r="AR40" i="5" s="1"/>
  <c r="H57" i="42"/>
  <c r="J21" i="42"/>
  <c r="F98" i="5"/>
  <c r="O98" i="5"/>
  <c r="AT44" i="4"/>
  <c r="BM75" i="4"/>
  <c r="BE63" i="4"/>
  <c r="BC39" i="4"/>
  <c r="U98" i="5"/>
  <c r="K98" i="5"/>
  <c r="P98" i="5"/>
  <c r="E98" i="5"/>
  <c r="AM57" i="42"/>
  <c r="W21" i="42"/>
  <c r="AB45" i="42"/>
  <c r="M57" i="42"/>
  <c r="H81" i="42"/>
  <c r="AL57" i="42"/>
  <c r="X32" i="4"/>
  <c r="AP44" i="4"/>
  <c r="AJ44" i="4"/>
  <c r="AN44" i="4"/>
  <c r="S56" i="4"/>
  <c r="R56" i="4"/>
  <c r="AE56" i="4"/>
  <c r="AT56" i="4"/>
  <c r="X57" i="42"/>
  <c r="D57" i="42"/>
  <c r="C57" i="42"/>
  <c r="BS20" i="4"/>
  <c r="N121" i="5"/>
  <c r="S98" i="5"/>
  <c r="G98" i="5"/>
  <c r="AC57" i="42"/>
  <c r="M81" i="42"/>
  <c r="AI57" i="42"/>
  <c r="U20" i="4"/>
  <c r="AD44" i="4"/>
  <c r="AR44" i="4"/>
  <c r="I44" i="4"/>
  <c r="AB56" i="4"/>
  <c r="H56" i="4"/>
  <c r="K56" i="4"/>
  <c r="F49" i="34" s="1"/>
  <c r="AW56" i="4"/>
  <c r="AC69" i="42"/>
  <c r="BJ75" i="4"/>
  <c r="BC63" i="4"/>
  <c r="T121" i="5"/>
  <c r="K86" i="5"/>
  <c r="AP57" i="42"/>
  <c r="AB33" i="42"/>
  <c r="P20" i="4"/>
  <c r="AP32" i="4"/>
  <c r="AI44" i="4"/>
  <c r="AL44" i="4"/>
  <c r="J44" i="4"/>
  <c r="AX56" i="4"/>
  <c r="V56" i="4"/>
  <c r="E56" i="4"/>
  <c r="G56" i="4"/>
  <c r="Y57" i="42"/>
  <c r="E33" i="42"/>
  <c r="AR57" i="42"/>
  <c r="AR81" i="42"/>
  <c r="K48" i="15"/>
  <c r="K41" i="29"/>
  <c r="BH75" i="4"/>
  <c r="BB63" i="4"/>
  <c r="BD27" i="4"/>
  <c r="J98" i="5"/>
  <c r="Q98" i="5"/>
  <c r="J86" i="5"/>
  <c r="Z57" i="42"/>
  <c r="W33" i="42"/>
  <c r="W81" i="42"/>
  <c r="CA20" i="4"/>
  <c r="AF32" i="4"/>
  <c r="F44" i="4"/>
  <c r="AU44" i="4"/>
  <c r="Q44" i="4"/>
  <c r="AA56" i="4"/>
  <c r="AR56" i="4"/>
  <c r="AC56" i="4"/>
  <c r="B52" i="8"/>
  <c r="N21" i="42"/>
  <c r="AJ21" i="42"/>
  <c r="T81" i="42"/>
  <c r="AC44" i="4"/>
  <c r="BG75" i="4"/>
  <c r="BA63" i="4"/>
  <c r="BM39" i="4"/>
  <c r="L98" i="5"/>
  <c r="S121" i="5"/>
  <c r="B97" i="5"/>
  <c r="N81" i="42"/>
  <c r="X33" i="42"/>
  <c r="M20" i="4"/>
  <c r="D44" i="4"/>
  <c r="AY44" i="4"/>
  <c r="C44" i="4"/>
  <c r="D37" i="34" s="1"/>
  <c r="AG56" i="4"/>
  <c r="AH56" i="4"/>
  <c r="AS56" i="4"/>
  <c r="V68" i="4"/>
  <c r="AC81" i="42"/>
  <c r="Y69" i="42"/>
  <c r="C52" i="5"/>
  <c r="AR52" i="5" s="1"/>
  <c r="AL21" i="42"/>
  <c r="S57" i="42"/>
  <c r="BF75" i="4"/>
  <c r="BN63" i="4"/>
  <c r="BK39" i="4"/>
  <c r="T98" i="5"/>
  <c r="H98" i="5"/>
  <c r="AM45" i="42"/>
  <c r="AA81" i="42"/>
  <c r="D33" i="42"/>
  <c r="AJ81" i="42"/>
  <c r="CU20" i="4"/>
  <c r="C32" i="4"/>
  <c r="D25" i="34" s="1"/>
  <c r="E44" i="4"/>
  <c r="G44" i="4"/>
  <c r="B40" i="8"/>
  <c r="AN56" i="4"/>
  <c r="AI56" i="4"/>
  <c r="Y56" i="4"/>
  <c r="X68" i="4"/>
  <c r="AC21" i="42"/>
  <c r="AE81" i="42"/>
  <c r="AQ57" i="42"/>
  <c r="BE75" i="4"/>
  <c r="BM63" i="4"/>
  <c r="BJ39" i="4"/>
  <c r="K110" i="5"/>
  <c r="AK81" i="42"/>
  <c r="AC33" i="42"/>
  <c r="AP81" i="42"/>
  <c r="X20" i="4"/>
  <c r="M44" i="4"/>
  <c r="N44" i="4"/>
  <c r="Y44" i="4"/>
  <c r="AY56" i="4"/>
  <c r="AM56" i="4"/>
  <c r="M68" i="4"/>
  <c r="Z21" i="42"/>
  <c r="R57" i="42"/>
  <c r="T44" i="4"/>
  <c r="AW44" i="4"/>
  <c r="BJ22" i="4"/>
  <c r="BH34" i="4"/>
  <c r="BF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E66" i="4"/>
  <c r="CS66" i="4"/>
  <c r="BZ66" i="4"/>
  <c r="BY66" i="4"/>
  <c r="CJ66" i="4"/>
  <c r="CN54" i="4"/>
  <c r="BU54" i="4"/>
  <c r="CF54" i="4"/>
  <c r="BX54" i="4"/>
  <c r="CA54" i="4"/>
  <c r="BW42" i="4"/>
  <c r="BP42" i="4"/>
  <c r="CF42" i="4"/>
  <c r="CV42" i="4"/>
  <c r="BX42" i="4"/>
  <c r="CC77" i="4"/>
  <c r="BX77" i="4"/>
  <c r="CX77" i="4"/>
  <c r="BT77" i="4"/>
  <c r="CT77" i="4"/>
  <c r="CD65" i="4"/>
  <c r="CF53" i="4"/>
  <c r="BZ76" i="4"/>
  <c r="CN76" i="4"/>
  <c r="CE64" i="4"/>
  <c r="BS64" i="4"/>
  <c r="CW52" i="4"/>
  <c r="CK52" i="4"/>
  <c r="BT28" i="4"/>
  <c r="CJ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L38" i="4"/>
  <c r="BW38" i="4"/>
  <c r="CB38" i="4"/>
  <c r="BP38" i="4"/>
  <c r="CT38" i="4"/>
  <c r="CA38" i="4"/>
  <c r="CS38" i="4"/>
  <c r="BZ38" i="4"/>
  <c r="BX38" i="4"/>
  <c r="BV38" i="4"/>
  <c r="CO38" i="4"/>
  <c r="BU38" i="4"/>
  <c r="CM38" i="4"/>
  <c r="BT38" i="4"/>
  <c r="CJ38" i="4"/>
  <c r="BR38" i="4"/>
  <c r="CE38" i="4"/>
  <c r="BO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K37" i="4"/>
  <c r="BV37" i="4"/>
  <c r="CB37" i="4"/>
  <c r="BX37" i="4"/>
  <c r="BW37" i="4"/>
  <c r="CJ37" i="4"/>
  <c r="BS37" i="4"/>
  <c r="BQ37" i="4"/>
  <c r="BU25" i="4"/>
  <c r="BT25" i="4"/>
  <c r="CD25" i="4"/>
  <c r="CO25" i="4"/>
  <c r="CM25" i="4"/>
  <c r="CC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V36" i="4"/>
  <c r="CD36" i="4"/>
  <c r="BO36" i="4"/>
  <c r="CA36" i="4"/>
  <c r="BY36" i="4"/>
  <c r="CO36" i="4"/>
  <c r="BU36" i="4"/>
  <c r="CJ36" i="4"/>
  <c r="BS36" i="4"/>
  <c r="CN36" i="4"/>
  <c r="CF36" i="4"/>
  <c r="CE36" i="4"/>
  <c r="CF24" i="4"/>
  <c r="BT24" i="4"/>
  <c r="CT24" i="4"/>
  <c r="CD24" i="4"/>
  <c r="BQ24" i="4"/>
  <c r="CC24" i="4"/>
  <c r="BO24" i="4"/>
  <c r="CA24" i="4"/>
  <c r="CN24" i="4"/>
  <c r="CM24" i="4"/>
  <c r="CK24" i="4"/>
  <c r="CO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J35" i="4"/>
  <c r="BR35" i="4"/>
  <c r="CF35" i="4"/>
  <c r="BQ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CB34" i="4"/>
  <c r="CO34" i="4"/>
  <c r="BX34" i="4"/>
  <c r="CM34" i="4"/>
  <c r="BU34" i="4"/>
  <c r="CK34" i="4"/>
  <c r="CF34" i="4"/>
  <c r="CU34" i="4"/>
  <c r="CD34" i="4"/>
  <c r="CA34" i="4"/>
  <c r="CT34" i="4"/>
  <c r="CE34" i="4"/>
  <c r="BY34" i="4"/>
  <c r="BZ22" i="4"/>
  <c r="CN22" i="4"/>
  <c r="BX22" i="4"/>
  <c r="CL22" i="4"/>
  <c r="CJ22" i="4"/>
  <c r="BU22" i="4"/>
  <c r="CE22" i="4"/>
  <c r="BS22" i="4"/>
  <c r="CD22" i="4"/>
  <c r="CB22" i="4"/>
  <c r="CA22" i="4"/>
  <c r="CU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E33" i="4"/>
  <c r="BQ33" i="4"/>
  <c r="CJ33" i="4"/>
  <c r="CD33" i="4"/>
  <c r="CC33" i="4"/>
  <c r="BU33" i="4"/>
  <c r="BR33" i="4"/>
  <c r="BP33" i="4"/>
  <c r="BO33" i="4"/>
  <c r="CL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25" i="4"/>
  <c r="BI72" i="4"/>
  <c r="BI60" i="4"/>
  <c r="BI48" i="4"/>
  <c r="BI24" i="4"/>
  <c r="BI47" i="4"/>
  <c r="BI35" i="4"/>
  <c r="BI23" i="4"/>
  <c r="BI57" i="4"/>
  <c r="BI45" i="4"/>
  <c r="BI33" i="4"/>
  <c r="BI21" i="4"/>
  <c r="BN85" i="4"/>
  <c r="BM73" i="4"/>
  <c r="BH49"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C85" i="4"/>
  <c r="BB73" i="4"/>
  <c r="V96" i="5"/>
  <c r="AL67" i="42"/>
  <c r="BB85" i="4"/>
  <c r="BA73" i="4"/>
  <c r="BF37" i="4"/>
  <c r="E120" i="5"/>
  <c r="H96" i="5"/>
  <c r="BA85" i="4"/>
  <c r="BN73" i="4"/>
  <c r="BN49"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B35" i="4"/>
  <c r="BB33" i="4"/>
  <c r="BB32" i="4"/>
  <c r="J31" i="4"/>
  <c r="BM26" i="4"/>
  <c r="BF24" i="4"/>
  <c r="BF23"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E79" i="42"/>
  <c r="AR79" i="42"/>
  <c r="X79" i="42"/>
  <c r="AE79" i="42"/>
  <c r="Y79" i="42"/>
  <c r="AJ79" i="42"/>
  <c r="AC79" i="42"/>
  <c r="C79" i="42"/>
  <c r="AB79" i="42"/>
  <c r="AQ79" i="42"/>
  <c r="I79" i="42"/>
  <c r="AF79" i="42"/>
  <c r="O79" i="42"/>
  <c r="J79" i="42"/>
  <c r="AI79" i="42"/>
  <c r="R79" i="42"/>
  <c r="H79" i="42"/>
  <c r="W79" i="42"/>
  <c r="D79" i="42"/>
  <c r="S79" i="42"/>
  <c r="AK79" i="42"/>
  <c r="T79" i="42"/>
  <c r="AD79" i="42"/>
  <c r="AP79" i="42"/>
  <c r="AM79" i="42"/>
  <c r="AA79" i="42"/>
  <c r="AH79" i="42"/>
  <c r="Z79" i="42"/>
  <c r="N79" i="42"/>
  <c r="H67" i="42"/>
  <c r="AQ67" i="42"/>
  <c r="D67" i="42"/>
  <c r="I67" i="42"/>
  <c r="AD67" i="42"/>
  <c r="AB67" i="42"/>
  <c r="AK67" i="42"/>
  <c r="M67" i="42"/>
  <c r="N67" i="42"/>
  <c r="AR67" i="42"/>
  <c r="Y67" i="42"/>
  <c r="X67" i="42"/>
  <c r="AA67" i="42"/>
  <c r="R67" i="42"/>
  <c r="AP67" i="42"/>
  <c r="V67" i="42"/>
  <c r="W67" i="42"/>
  <c r="C67" i="42"/>
  <c r="E67" i="42"/>
  <c r="AH67" i="42"/>
  <c r="J67" i="42"/>
  <c r="Z67" i="42"/>
  <c r="S67" i="42"/>
  <c r="AI67" i="42"/>
  <c r="AJ67" i="42"/>
  <c r="T67" i="42"/>
  <c r="AE67" i="42"/>
  <c r="AL79" i="42"/>
  <c r="U85" i="5"/>
  <c r="M79" i="42"/>
  <c r="AM67" i="42"/>
  <c r="AM43" i="42"/>
  <c r="I43" i="42"/>
  <c r="N43" i="42"/>
  <c r="E43" i="42"/>
  <c r="AR43" i="42"/>
  <c r="V43" i="42"/>
  <c r="D43" i="42"/>
  <c r="AK43" i="42"/>
  <c r="S43" i="42"/>
  <c r="AH43" i="42"/>
  <c r="J43" i="42"/>
  <c r="W43" i="42"/>
  <c r="AD43" i="42"/>
  <c r="X43" i="42"/>
  <c r="AC43" i="42"/>
  <c r="M43" i="42"/>
  <c r="AF43" i="42"/>
  <c r="AB43" i="42"/>
  <c r="AE43" i="42"/>
  <c r="R43" i="42"/>
  <c r="Z43" i="42"/>
  <c r="AA43" i="42"/>
  <c r="O43" i="42"/>
  <c r="Y43" i="42"/>
  <c r="C43" i="42"/>
  <c r="H43" i="42"/>
  <c r="AJ43" i="42"/>
  <c r="AI43" i="42"/>
  <c r="AP43" i="42"/>
  <c r="T43" i="42"/>
  <c r="AL43" i="42"/>
  <c r="AA55" i="42"/>
  <c r="AC67" i="42"/>
  <c r="V79" i="42"/>
  <c r="AD55" i="42"/>
  <c r="Z55" i="42"/>
  <c r="AP55" i="42"/>
  <c r="AJ55" i="42"/>
  <c r="R55" i="42"/>
  <c r="I55" i="42"/>
  <c r="AH55" i="42"/>
  <c r="AM55" i="42"/>
  <c r="AQ55" i="42"/>
  <c r="T55" i="42"/>
  <c r="E55" i="42"/>
  <c r="Y55" i="42"/>
  <c r="C55" i="42"/>
  <c r="AL55" i="42"/>
  <c r="O55" i="42"/>
  <c r="AE55" i="42"/>
  <c r="AI55" i="42"/>
  <c r="J55" i="42"/>
  <c r="D55" i="42"/>
  <c r="N55" i="42"/>
  <c r="X55" i="42"/>
  <c r="AR55" i="42"/>
  <c r="AC55" i="42"/>
  <c r="AF55" i="42"/>
  <c r="AB55" i="42"/>
  <c r="V55" i="42"/>
  <c r="W55" i="42"/>
  <c r="O67" i="42"/>
  <c r="AF67" i="42"/>
  <c r="M55" i="42"/>
  <c r="H55" i="42"/>
  <c r="S55" i="42"/>
  <c r="H19" i="4"/>
  <c r="C31" i="4"/>
  <c r="D24" i="34" s="1"/>
  <c r="X31" i="4"/>
  <c r="K31" i="4"/>
  <c r="F24" i="34" s="1"/>
  <c r="M31" i="4"/>
  <c r="AU43" i="4"/>
  <c r="AR43" i="4"/>
  <c r="AP43" i="4"/>
  <c r="I55" i="4"/>
  <c r="AS55" i="4"/>
  <c r="AG55" i="4"/>
  <c r="AB55" i="4"/>
  <c r="U67" i="4"/>
  <c r="AB67" i="4"/>
  <c r="N67" i="4"/>
  <c r="AW67" i="4"/>
  <c r="C27" i="5"/>
  <c r="BB67" i="4"/>
  <c r="BB43"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AQ43" i="4"/>
  <c r="M55" i="4"/>
  <c r="AP55" i="4"/>
  <c r="B51" i="8"/>
  <c r="AE67" i="4"/>
  <c r="AK67" i="4"/>
  <c r="M67" i="4"/>
  <c r="B63" i="8"/>
  <c r="C63" i="8" s="1"/>
  <c r="BQ19" i="4"/>
  <c r="C63" i="5"/>
  <c r="BB55" i="4"/>
  <c r="BC43" i="4"/>
  <c r="J41" i="42"/>
  <c r="Y65" i="42"/>
  <c r="R107" i="5"/>
  <c r="U107" i="5"/>
  <c r="BF49" i="4"/>
  <c r="BF45" i="4"/>
  <c r="BF44" i="4"/>
  <c r="BE25" i="4"/>
  <c r="C17" i="42"/>
  <c r="L107" i="5"/>
  <c r="T65" i="42"/>
  <c r="I107" i="5"/>
  <c r="S107" i="5"/>
  <c r="C41" i="42"/>
  <c r="O65" i="42"/>
  <c r="BF66" i="4"/>
  <c r="BB49" i="4"/>
  <c r="BB45" i="4"/>
  <c r="BB44" i="4"/>
  <c r="BD37" i="4"/>
  <c r="BF33" i="4"/>
  <c r="AK41" i="42"/>
  <c r="V107" i="5"/>
  <c r="I17" i="42"/>
  <c r="BA49" i="4"/>
  <c r="BA45" i="4"/>
  <c r="BA44" i="4"/>
  <c r="BB37" i="4"/>
  <c r="BE33" i="4"/>
  <c r="O29" i="42"/>
  <c r="H107" i="5"/>
  <c r="B106" i="5"/>
  <c r="P107" i="5"/>
  <c r="J107" i="5"/>
  <c r="J53" i="42"/>
  <c r="AL17" i="42"/>
  <c r="M65" i="42"/>
  <c r="K107" i="5"/>
  <c r="E107" i="5"/>
  <c r="O107" i="5"/>
  <c r="T107" i="5"/>
  <c r="AJ66" i="4"/>
  <c r="BM49" i="4"/>
  <c r="BM45" i="4"/>
  <c r="BM44" i="4"/>
  <c r="AF41" i="42"/>
  <c r="N107" i="5"/>
  <c r="O17" i="42"/>
  <c r="BK49" i="4"/>
  <c r="BK45" i="4"/>
  <c r="BK44" i="4"/>
  <c r="AJ65" i="42"/>
  <c r="F107" i="5"/>
  <c r="Q107" i="5"/>
  <c r="AD29" i="42"/>
  <c r="AM41" i="42"/>
  <c r="AI17" i="42"/>
  <c r="K49" i="15"/>
  <c r="K42" i="29" s="1"/>
  <c r="J32" i="42"/>
  <c r="R56" i="42"/>
  <c r="V44" i="42"/>
  <c r="T44" i="42"/>
  <c r="AR44" i="42"/>
  <c r="AQ44" i="42"/>
  <c r="C32" i="42"/>
  <c r="V56" i="42"/>
  <c r="AQ56" i="42"/>
  <c r="C56" i="42"/>
  <c r="B89" i="5"/>
  <c r="R44" i="42"/>
  <c r="J44" i="42"/>
  <c r="I44" i="42"/>
  <c r="S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C50" i="8" s="1"/>
  <c r="AV54" i="4"/>
  <c r="AE66" i="4"/>
  <c r="AF42" i="4"/>
  <c r="AW54" i="4"/>
  <c r="AU66" i="4"/>
  <c r="T54" i="4"/>
  <c r="AK42" i="4"/>
  <c r="Y66" i="4"/>
  <c r="K97" i="5"/>
  <c r="BB66" i="4"/>
  <c r="BD54" i="4"/>
  <c r="BD21" i="4"/>
  <c r="L86" i="4"/>
  <c r="O86" i="4"/>
  <c r="BL86" i="4"/>
  <c r="L74" i="4"/>
  <c r="O74" i="4"/>
  <c r="BL74" i="4"/>
  <c r="L62" i="4"/>
  <c r="O62" i="4"/>
  <c r="BL62" i="4"/>
  <c r="L50" i="4"/>
  <c r="O50" i="4"/>
  <c r="BL50" i="4"/>
  <c r="L38" i="4"/>
  <c r="L26" i="4"/>
  <c r="BP19" i="4"/>
  <c r="AL19" i="4"/>
  <c r="S19" i="4"/>
  <c r="CM19" i="4"/>
  <c r="K119" i="5"/>
  <c r="P108" i="5"/>
  <c r="G97" i="5"/>
  <c r="K108" i="5"/>
  <c r="CO19" i="4"/>
  <c r="Y19" i="4"/>
  <c r="AY54" i="4"/>
  <c r="AC54" i="4"/>
  <c r="AA42" i="4"/>
  <c r="AU54" i="4"/>
  <c r="AN66" i="4"/>
  <c r="X42" i="4"/>
  <c r="AJ54" i="4"/>
  <c r="AI66" i="4"/>
  <c r="AW66" i="4"/>
  <c r="AE42" i="4"/>
  <c r="B62" i="8"/>
  <c r="C62" i="8" s="1"/>
  <c r="AS42" i="4"/>
  <c r="AP54" i="4"/>
  <c r="BA66" i="4"/>
  <c r="BC54" i="4"/>
  <c r="L85" i="4"/>
  <c r="O85" i="4"/>
  <c r="BL85" i="4"/>
  <c r="L73" i="4"/>
  <c r="O73" i="4"/>
  <c r="BL73" i="4"/>
  <c r="L61" i="4"/>
  <c r="O61" i="4"/>
  <c r="BL61" i="4"/>
  <c r="L49" i="4"/>
  <c r="O49" i="4"/>
  <c r="BL49"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Y19" i="4"/>
  <c r="BV19" i="4"/>
  <c r="AE19" i="4"/>
  <c r="CD19" i="4"/>
  <c r="AR78" i="4"/>
  <c r="V108" i="5"/>
  <c r="S108" i="5"/>
  <c r="L97" i="5"/>
  <c r="CF19" i="4"/>
  <c r="F19" i="4"/>
  <c r="F66" i="4"/>
  <c r="C42" i="4"/>
  <c r="D35" i="34" s="1"/>
  <c r="D35" i="35" s="1"/>
  <c r="AU42" i="4"/>
  <c r="AB42" i="4"/>
  <c r="B38" i="8"/>
  <c r="C38" i="8" s="1"/>
  <c r="P54" i="4"/>
  <c r="AA66" i="4"/>
  <c r="AJ42" i="4"/>
  <c r="AI42" i="4"/>
  <c r="K54" i="4"/>
  <c r="F47" i="34" s="1"/>
  <c r="U66" i="4"/>
  <c r="Q42" i="4"/>
  <c r="BM66" i="4"/>
  <c r="BA54" i="4"/>
  <c r="BL83" i="4"/>
  <c r="L83" i="4"/>
  <c r="O83" i="4"/>
  <c r="BL71" i="4"/>
  <c r="L71" i="4"/>
  <c r="O71" i="4"/>
  <c r="BL59" i="4"/>
  <c r="L59" i="4"/>
  <c r="O59" i="4"/>
  <c r="BL47" i="4"/>
  <c r="L47" i="4"/>
  <c r="O47" i="4"/>
  <c r="BE35" i="4"/>
  <c r="L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L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AI57" i="4"/>
  <c r="K46" i="4"/>
  <c r="F39" i="34" s="1"/>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AC36" i="4"/>
  <c r="AQ78" i="4"/>
  <c r="AG46" i="4"/>
  <c r="O91" i="5"/>
  <c r="AV24" i="4"/>
  <c r="F24" i="4"/>
  <c r="BF78" i="4"/>
  <c r="BG68" i="4"/>
  <c r="BH57" i="4"/>
  <c r="BB46" i="4"/>
  <c r="AW78" i="4"/>
  <c r="AU78" i="4"/>
  <c r="AJ78" i="4"/>
  <c r="Y78" i="4"/>
  <c r="AN68" i="4"/>
  <c r="G68" i="4"/>
  <c r="AQ68" i="4"/>
  <c r="D46" i="4"/>
  <c r="E46" i="4"/>
  <c r="AQ46" i="4"/>
  <c r="M78" i="4"/>
  <c r="X57" i="4"/>
  <c r="C64" i="5"/>
  <c r="AR64" i="5" s="1"/>
  <c r="Q57" i="4"/>
  <c r="N57" i="4"/>
  <c r="AU68" i="4"/>
  <c r="AV36" i="4"/>
  <c r="AG24" i="4"/>
  <c r="E36" i="4"/>
  <c r="E91" i="5"/>
  <c r="AB36" i="4"/>
  <c r="AN36" i="4"/>
  <c r="C20" i="5"/>
  <c r="K20" i="5" s="1"/>
  <c r="BE78" i="4"/>
  <c r="BF68" i="4"/>
  <c r="BG57" i="4"/>
  <c r="BA46" i="4"/>
  <c r="C78" i="4"/>
  <c r="AX78" i="4"/>
  <c r="AM78" i="4"/>
  <c r="AB78" i="4"/>
  <c r="P100" i="5"/>
  <c r="J68" i="4"/>
  <c r="K68" i="4"/>
  <c r="U68" i="4"/>
  <c r="I46" i="4"/>
  <c r="AC46" i="4"/>
  <c r="AF46" i="4"/>
  <c r="M57" i="4"/>
  <c r="AF57" i="4"/>
  <c r="G57" i="4"/>
  <c r="AB24" i="4"/>
  <c r="AB57" i="4"/>
  <c r="AM24" i="4"/>
  <c r="AJ57" i="4"/>
  <c r="X36" i="4"/>
  <c r="I110" i="5"/>
  <c r="I91" i="5"/>
  <c r="AE24" i="4"/>
  <c r="BD78" i="4"/>
  <c r="BE68" i="4"/>
  <c r="BF57" i="4"/>
  <c r="BN46" i="4"/>
  <c r="BB36" i="4"/>
  <c r="R78" i="4"/>
  <c r="D78" i="4"/>
  <c r="AP78" i="4"/>
  <c r="H78" i="4"/>
  <c r="Q91" i="5"/>
  <c r="V91" i="5"/>
  <c r="U100" i="5"/>
  <c r="AD68" i="4"/>
  <c r="S68" i="4"/>
  <c r="H68" i="4"/>
  <c r="P46" i="4"/>
  <c r="AJ46" i="4"/>
  <c r="AK46" i="4"/>
  <c r="J57" i="4"/>
  <c r="B53" i="8"/>
  <c r="E57" i="4"/>
  <c r="C57" i="4"/>
  <c r="D50" i="34" s="1"/>
  <c r="V24" i="4"/>
  <c r="J36" i="4"/>
  <c r="AD24" i="4"/>
  <c r="AT46" i="4"/>
  <c r="AG36" i="4"/>
  <c r="BC78" i="4"/>
  <c r="BD68" i="4"/>
  <c r="BE57" i="4"/>
  <c r="BM46" i="4"/>
  <c r="BJ24" i="4"/>
  <c r="AT78" i="4"/>
  <c r="I78" i="4"/>
  <c r="U78" i="4"/>
  <c r="AE78" i="4"/>
  <c r="P91" i="5"/>
  <c r="K100" i="5"/>
  <c r="AK68" i="4"/>
  <c r="R68" i="4"/>
  <c r="N68" i="4"/>
  <c r="Q46" i="4"/>
  <c r="S46" i="4"/>
  <c r="H46" i="4"/>
  <c r="S57" i="4"/>
  <c r="AS57" i="4"/>
  <c r="AO57" i="4"/>
  <c r="D57" i="4"/>
  <c r="X24" i="4"/>
  <c r="AL46" i="4"/>
  <c r="L91" i="5"/>
  <c r="AL57" i="4"/>
  <c r="R91" i="5"/>
  <c r="F100" i="5"/>
  <c r="BB78" i="4"/>
  <c r="BC68" i="4"/>
  <c r="BD57" i="4"/>
  <c r="BK46" i="4"/>
  <c r="Z78" i="4"/>
  <c r="N78" i="4"/>
  <c r="AY78" i="4"/>
  <c r="AN78" i="4"/>
  <c r="I68" i="4"/>
  <c r="AC68" i="4"/>
  <c r="Y68" i="4"/>
  <c r="P68" i="4"/>
  <c r="F46" i="4"/>
  <c r="AI46" i="4"/>
  <c r="J46" i="4"/>
  <c r="X46" i="4"/>
  <c r="AV57" i="4"/>
  <c r="AU57" i="4"/>
  <c r="AF68" i="4"/>
  <c r="W57" i="4"/>
  <c r="AM68" i="4"/>
  <c r="P24" i="4"/>
  <c r="G36" i="4"/>
  <c r="AC24" i="4"/>
  <c r="AH68" i="4"/>
  <c r="AP24" i="4"/>
  <c r="AF24" i="4"/>
  <c r="Y46" i="4"/>
  <c r="BN78" i="4"/>
  <c r="BA68" i="4"/>
  <c r="BB57" i="4"/>
  <c r="BH46" i="4"/>
  <c r="BA42" i="4"/>
  <c r="BM36" i="4"/>
  <c r="BE24" i="4"/>
  <c r="BF21" i="4"/>
  <c r="AC78" i="4"/>
  <c r="Q78" i="4"/>
  <c r="E78" i="4"/>
  <c r="F91" i="5"/>
  <c r="AY68" i="4"/>
  <c r="AP68" i="4"/>
  <c r="AG68" i="4"/>
  <c r="Z68" i="4"/>
  <c r="B99" i="5"/>
  <c r="G46" i="4"/>
  <c r="AD46" i="4"/>
  <c r="AS46" i="4"/>
  <c r="AV46" i="4"/>
  <c r="AG57" i="4"/>
  <c r="T57" i="4"/>
  <c r="AT57" i="4"/>
  <c r="P57" i="4"/>
  <c r="K57" i="4"/>
  <c r="F50" i="34" s="1"/>
  <c r="AL36" i="4"/>
  <c r="BM78" i="4"/>
  <c r="BN68" i="4"/>
  <c r="BA57" i="4"/>
  <c r="BG46" i="4"/>
  <c r="BK36" i="4"/>
  <c r="BB24" i="4"/>
  <c r="V110" i="5"/>
  <c r="G78" i="4"/>
  <c r="S78" i="4"/>
  <c r="V78" i="4"/>
  <c r="AR68" i="4"/>
  <c r="AX68" i="4"/>
  <c r="AE68" i="4"/>
  <c r="AA68" i="4"/>
  <c r="E100" i="5"/>
  <c r="AO46" i="4"/>
  <c r="AU46" i="4"/>
  <c r="C46" i="4"/>
  <c r="D39" i="34" s="1"/>
  <c r="AR57" i="4"/>
  <c r="R57" i="4"/>
  <c r="AQ57" i="4"/>
  <c r="AT68" i="4"/>
  <c r="C36" i="4"/>
  <c r="D29" i="34" s="1"/>
  <c r="S91" i="5"/>
  <c r="W36" i="4"/>
  <c r="C32" i="5"/>
  <c r="B31" i="5" s="1"/>
  <c r="BK78" i="4"/>
  <c r="BM68" i="4"/>
  <c r="BN57" i="4"/>
  <c r="BF46" i="4"/>
  <c r="BJ36" i="4"/>
  <c r="M100" i="5"/>
  <c r="U91" i="5"/>
  <c r="H91" i="5"/>
  <c r="AL68" i="4"/>
  <c r="AO68" i="4"/>
  <c r="B64" i="8"/>
  <c r="C64" i="8" s="1"/>
  <c r="T68" i="4"/>
  <c r="G100" i="5"/>
  <c r="W46" i="4"/>
  <c r="AX46" i="4"/>
  <c r="AY46" i="4"/>
  <c r="V46" i="4"/>
  <c r="AP57" i="4"/>
  <c r="AK57" i="4"/>
  <c r="AY57" i="4"/>
  <c r="C53" i="5"/>
  <c r="AN24" i="4"/>
  <c r="AX57" i="4"/>
  <c r="G24" i="4"/>
  <c r="P78" i="4"/>
  <c r="M91" i="5"/>
  <c r="R36" i="4"/>
  <c r="V36" i="4"/>
  <c r="AO36" i="4"/>
  <c r="BJ78" i="4"/>
  <c r="BK68" i="4"/>
  <c r="BM57" i="4"/>
  <c r="BE46" i="4"/>
  <c r="BH36" i="4"/>
  <c r="O100" i="5"/>
  <c r="N100" i="5"/>
  <c r="R100" i="5"/>
  <c r="N91" i="5"/>
  <c r="K91" i="5"/>
  <c r="AB68" i="4"/>
  <c r="AV68" i="4"/>
  <c r="AH46" i="4"/>
  <c r="AP46" i="4"/>
  <c r="AE46" i="4"/>
  <c r="AR46" i="4"/>
  <c r="F57" i="4"/>
  <c r="Z57" i="4"/>
  <c r="H57" i="4"/>
  <c r="Q68" i="4"/>
  <c r="AM57" i="4"/>
  <c r="AI24" i="4"/>
  <c r="C24" i="4"/>
  <c r="D17" i="34" s="1"/>
  <c r="B90" i="5"/>
  <c r="J91" i="5"/>
  <c r="B32" i="8"/>
  <c r="BH78" i="4"/>
  <c r="BK57"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C66" i="8" s="1"/>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47" i="8" s="1"/>
  <c r="C51" i="4"/>
  <c r="D44" i="34" s="1"/>
  <c r="X51" i="4"/>
  <c r="AY51" i="4"/>
  <c r="T119" i="5"/>
  <c r="S20" i="4"/>
  <c r="N20" i="4"/>
  <c r="AD20" i="4"/>
  <c r="CE20" i="4"/>
  <c r="T32" i="4"/>
  <c r="AL32" i="4"/>
  <c r="W32" i="4"/>
  <c r="AB70" i="4"/>
  <c r="AW70" i="4"/>
  <c r="AE70" i="4"/>
  <c r="AJ70" i="4"/>
  <c r="T101" i="5"/>
  <c r="AV32" i="4"/>
  <c r="BU20"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U28" i="5" s="1"/>
  <c r="AD70" i="4"/>
  <c r="U61" i="4"/>
  <c r="BF70" i="4"/>
  <c r="BF61" i="4"/>
  <c r="BF51" i="4"/>
  <c r="BF50" i="4"/>
  <c r="BJ32" i="4"/>
  <c r="BD31" i="4"/>
  <c r="BD20" i="4"/>
  <c r="BA19" i="4"/>
  <c r="L19" i="4"/>
  <c r="BM33" i="4"/>
  <c r="BA24" i="4"/>
  <c r="BA23" i="4"/>
  <c r="BE18" i="4"/>
  <c r="BJ40" i="4"/>
  <c r="BK35" i="4"/>
  <c r="BM31" i="4"/>
  <c r="BD18" i="4"/>
  <c r="AQ43" i="42"/>
  <c r="BG41" i="4"/>
  <c r="BH40" i="4"/>
  <c r="BJ35" i="4"/>
  <c r="BJ34" i="4"/>
  <c r="BK33" i="4"/>
  <c r="BM25" i="4"/>
  <c r="BM23" i="4"/>
  <c r="BC18" i="4"/>
  <c r="BB18" i="4"/>
  <c r="BG35" i="4"/>
  <c r="BG34" i="4"/>
  <c r="BH33" i="4"/>
  <c r="BH31" i="4"/>
  <c r="BK24" i="4"/>
  <c r="BK23" i="4"/>
  <c r="BA18" i="4"/>
  <c r="BC35" i="4"/>
  <c r="BD33" i="4"/>
  <c r="BE31" i="4"/>
  <c r="BG24" i="4"/>
  <c r="BG23" i="4"/>
  <c r="BK18" i="4"/>
  <c r="BH19" i="4"/>
  <c r="BA33" i="4"/>
  <c r="BB31" i="4"/>
  <c r="BD25" i="4"/>
  <c r="BC23" i="4"/>
  <c r="BC19" i="4"/>
  <c r="Q113" i="5"/>
  <c r="O113" i="5"/>
  <c r="R113" i="5"/>
  <c r="F113" i="5"/>
  <c r="J113" i="5"/>
  <c r="E113" i="5"/>
  <c r="G113" i="5"/>
  <c r="P113" i="5"/>
  <c r="U86" i="5"/>
  <c r="B112" i="5"/>
  <c r="K113" i="5"/>
  <c r="H113" i="5"/>
  <c r="BN39" i="4"/>
  <c r="BA39" i="4"/>
  <c r="BG33" i="4"/>
  <c r="BJ31"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O51" i="5"/>
  <c r="AU51" i="5"/>
  <c r="AU69" i="5"/>
  <c r="T35" i="5"/>
  <c r="AU35" i="5"/>
  <c r="AU64" i="5"/>
  <c r="AU40" i="5"/>
  <c r="AU81" i="5"/>
  <c r="AU78" i="5"/>
  <c r="P17" i="5"/>
  <c r="S80" i="5"/>
  <c r="AU80" i="5"/>
  <c r="AU71" i="5"/>
  <c r="AU77" i="5"/>
  <c r="R41" i="5"/>
  <c r="AU41" i="5"/>
  <c r="L57" i="5"/>
  <c r="AU57" i="5"/>
  <c r="S35" i="5"/>
  <c r="K35" i="5"/>
  <c r="P35" i="5"/>
  <c r="U35" i="5"/>
  <c r="I70" i="8"/>
  <c r="AC70" i="8"/>
  <c r="L70" i="8"/>
  <c r="T70" i="8"/>
  <c r="T81" i="5"/>
  <c r="J35" i="5"/>
  <c r="M35" i="5"/>
  <c r="G35" i="5"/>
  <c r="N35" i="5"/>
  <c r="F35" i="5"/>
  <c r="R35" i="5"/>
  <c r="E35" i="5"/>
  <c r="H35" i="5"/>
  <c r="L35" i="5"/>
  <c r="O35" i="5"/>
  <c r="V35" i="5"/>
  <c r="B34" i="5"/>
  <c r="G22" i="8"/>
  <c r="F22" i="8"/>
  <c r="M45" i="5"/>
  <c r="W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R70" i="8"/>
  <c r="AB70" i="8"/>
  <c r="P70" i="8"/>
  <c r="H70" i="8"/>
  <c r="F70" i="8"/>
  <c r="Q70" i="8"/>
  <c r="S70" i="8"/>
  <c r="E70" i="8"/>
  <c r="O70" i="8"/>
  <c r="M70" i="8"/>
  <c r="K70" i="8"/>
  <c r="W70" i="8"/>
  <c r="V70" i="8"/>
  <c r="AA70" i="8"/>
  <c r="J70" i="8"/>
  <c r="U70" i="8"/>
  <c r="Z70" i="8"/>
  <c r="Y70" i="8"/>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M56" i="8"/>
  <c r="J44" i="5"/>
  <c r="T69" i="8"/>
  <c r="Z69" i="8"/>
  <c r="O56" i="8"/>
  <c r="K69" i="8"/>
  <c r="J56" i="8"/>
  <c r="F69" i="8"/>
  <c r="AA54" i="8"/>
  <c r="T54" i="8"/>
  <c r="Z54" i="8"/>
  <c r="V35" i="8"/>
  <c r="G80" i="5"/>
  <c r="O35" i="8"/>
  <c r="E34" i="5"/>
  <c r="K34" i="5"/>
  <c r="N34" i="5"/>
  <c r="P34" i="5"/>
  <c r="F46" i="8"/>
  <c r="D46" i="8"/>
  <c r="B50" i="5"/>
  <c r="S51" i="5"/>
  <c r="K51" i="5"/>
  <c r="M51" i="5"/>
  <c r="H51" i="5"/>
  <c r="N51" i="5"/>
  <c r="R51" i="5"/>
  <c r="G51" i="5"/>
  <c r="J51" i="5"/>
  <c r="U51" i="5"/>
  <c r="F51" i="5"/>
  <c r="E51" i="5"/>
  <c r="I51" i="5"/>
  <c r="Q35"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U83" i="5"/>
  <c r="Y65" i="8"/>
  <c r="J54" i="8"/>
  <c r="Q54" i="8"/>
  <c r="I54" i="8"/>
  <c r="P54" i="8"/>
  <c r="S54" i="8"/>
  <c r="E54" i="8"/>
  <c r="Y54" i="8"/>
  <c r="F70" i="5"/>
  <c r="M83" i="5"/>
  <c r="G54" i="8"/>
  <c r="O54" i="8"/>
  <c r="M54" i="8"/>
  <c r="I45" i="5"/>
  <c r="U54" i="8"/>
  <c r="W54" i="8"/>
  <c r="Q70" i="5"/>
  <c r="P83" i="5"/>
  <c r="U65" i="8"/>
  <c r="X54" i="8"/>
  <c r="K54" i="8"/>
  <c r="V83" i="5"/>
  <c r="V65" i="8"/>
  <c r="L54" i="8"/>
  <c r="AC54" i="8"/>
  <c r="F65" i="8"/>
  <c r="D54" i="8"/>
  <c r="F54" i="8"/>
  <c r="P45" i="8"/>
  <c r="T68" i="8"/>
  <c r="T35" i="8"/>
  <c r="I35" i="8"/>
  <c r="K35" i="8"/>
  <c r="AB35" i="8"/>
  <c r="H35" i="8"/>
  <c r="D35" i="8"/>
  <c r="F35" i="8"/>
  <c r="W35" i="8"/>
  <c r="P35" i="8"/>
  <c r="R35" i="8"/>
  <c r="Q35" i="8"/>
  <c r="M35" i="8"/>
  <c r="F46" i="5"/>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F41" i="8"/>
  <c r="U41" i="8"/>
  <c r="T41" i="8"/>
  <c r="Y41" i="8"/>
  <c r="N41" i="8"/>
  <c r="U69" i="5"/>
  <c r="Q45" i="8"/>
  <c r="U45" i="8"/>
  <c r="AB45" i="8"/>
  <c r="V45" i="8"/>
  <c r="Z68" i="8"/>
  <c r="R80" i="5"/>
  <c r="H80" i="5"/>
  <c r="L17" i="5"/>
  <c r="S17" i="5"/>
  <c r="B16" i="5"/>
  <c r="U17" i="5"/>
  <c r="R17" i="5"/>
  <c r="L34" i="8"/>
  <c r="M69" i="5"/>
  <c r="F69" i="5"/>
  <c r="K69" i="5"/>
  <c r="R69" i="5"/>
  <c r="V69" i="5"/>
  <c r="L69" i="5"/>
  <c r="E69" i="5"/>
  <c r="H69" i="5"/>
  <c r="Q69" i="5"/>
  <c r="G69" i="5"/>
  <c r="I69" i="5"/>
  <c r="N69" i="5"/>
  <c r="S69" i="5"/>
  <c r="P69" i="5"/>
  <c r="O69" i="5"/>
  <c r="B68" i="5"/>
  <c r="G44" i="8"/>
  <c r="I40" i="5"/>
  <c r="K34" i="8"/>
  <c r="AD34" i="8"/>
  <c r="P68" i="8"/>
  <c r="L68" i="8"/>
  <c r="N34" i="8"/>
  <c r="I68" i="8"/>
  <c r="H34" i="8"/>
  <c r="I34" i="8"/>
  <c r="V68" i="8"/>
  <c r="S34" i="8"/>
  <c r="H68" i="8"/>
  <c r="Y68" i="8"/>
  <c r="E34" i="8"/>
  <c r="J69" i="8"/>
  <c r="F34" i="8"/>
  <c r="G34" i="8"/>
  <c r="AC68" i="8"/>
  <c r="X68" i="8"/>
  <c r="AB34" i="8"/>
  <c r="K68" i="8"/>
  <c r="AD68" i="8"/>
  <c r="O68" i="8"/>
  <c r="Z34" i="8"/>
  <c r="U68" i="8"/>
  <c r="J68" i="8"/>
  <c r="D68" i="8"/>
  <c r="H56" i="8"/>
  <c r="AA68" i="8"/>
  <c r="S68" i="8"/>
  <c r="AB68" i="8"/>
  <c r="P40" i="8"/>
  <c r="E68" i="8"/>
  <c r="W68" i="8"/>
  <c r="R68" i="8"/>
  <c r="J40" i="5"/>
  <c r="R40" i="5"/>
  <c r="N17" i="5"/>
  <c r="G56" i="5"/>
  <c r="R56" i="5"/>
  <c r="Q40" i="5"/>
  <c r="O56" i="5"/>
  <c r="F56" i="5"/>
  <c r="L56" i="5"/>
  <c r="N52" i="5"/>
  <c r="V52" i="5"/>
  <c r="U52" i="5"/>
  <c r="M52" i="5"/>
  <c r="Z39" i="8"/>
  <c r="S52" i="5"/>
  <c r="K52" i="5"/>
  <c r="B51" i="5"/>
  <c r="Q52" i="5"/>
  <c r="H52" i="5"/>
  <c r="G52" i="5"/>
  <c r="R52" i="5"/>
  <c r="P52" i="5"/>
  <c r="F52" i="5"/>
  <c r="V45" i="5"/>
  <c r="K45" i="5"/>
  <c r="T45" i="5"/>
  <c r="J22" i="8"/>
  <c r="F45" i="5"/>
  <c r="Q45" i="5"/>
  <c r="G45" i="5"/>
  <c r="E45" i="5"/>
  <c r="B44" i="5"/>
  <c r="O45" i="5"/>
  <c r="J45" i="5"/>
  <c r="N45" i="5"/>
  <c r="S45" i="5"/>
  <c r="L45" i="5"/>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D52" i="8"/>
  <c r="Y52" i="8"/>
  <c r="S52" i="8"/>
  <c r="W52" i="8"/>
  <c r="U52" i="8"/>
  <c r="T68" i="5"/>
  <c r="B67" i="5"/>
  <c r="K68" i="5"/>
  <c r="E68" i="5"/>
  <c r="U68" i="5"/>
  <c r="N68" i="5"/>
  <c r="V68" i="5"/>
  <c r="M68" i="5"/>
  <c r="N58" i="8"/>
  <c r="S68" i="5"/>
  <c r="G68" i="5"/>
  <c r="I68" i="5"/>
  <c r="Q68" i="5"/>
  <c r="J68" i="5"/>
  <c r="M58" i="5"/>
  <c r="J69" i="5"/>
  <c r="T69" i="5"/>
  <c r="O74" i="5"/>
  <c r="H45" i="8"/>
  <c r="AD45" i="8"/>
  <c r="R45" i="5"/>
  <c r="H45" i="5"/>
  <c r="U45" i="5"/>
  <c r="AD70" i="8"/>
  <c r="X70" i="8"/>
  <c r="N70" i="8"/>
  <c r="AD40" i="8"/>
  <c r="Q40" i="8"/>
  <c r="I40"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R29" i="5"/>
  <c r="J29" i="5"/>
  <c r="F29" i="5"/>
  <c r="B28" i="5"/>
  <c r="L29" i="5"/>
  <c r="I29" i="5"/>
  <c r="O29" i="5"/>
  <c r="S29" i="5"/>
  <c r="N29" i="5"/>
  <c r="G29" i="5"/>
  <c r="M29" i="5"/>
  <c r="K52" i="8"/>
  <c r="O52" i="8"/>
  <c r="G52" i="8"/>
  <c r="AA52" i="8"/>
  <c r="T52" i="8"/>
  <c r="F52" i="8"/>
  <c r="Q52" i="8"/>
  <c r="M52" i="8"/>
  <c r="H52" i="8"/>
  <c r="J52" i="8"/>
  <c r="N52" i="8"/>
  <c r="Z52" i="8"/>
  <c r="AC52" i="8"/>
  <c r="V52" i="8"/>
  <c r="L52" i="8"/>
  <c r="AD52" i="8"/>
  <c r="I52" i="8"/>
  <c r="K74" i="5"/>
  <c r="F74" i="5"/>
  <c r="R74" i="5"/>
  <c r="Q74" i="5"/>
  <c r="S74" i="5"/>
  <c r="T74" i="5"/>
  <c r="Z40" i="8"/>
  <c r="X40" i="8"/>
  <c r="H40" i="8"/>
  <c r="F40" i="8"/>
  <c r="J40" i="8"/>
  <c r="O40" i="8"/>
  <c r="AB40" i="8"/>
  <c r="AC40" i="8"/>
  <c r="R40" i="8"/>
  <c r="T40" i="8"/>
  <c r="E40" i="8"/>
  <c r="N40" i="8"/>
  <c r="S40" i="8"/>
  <c r="V40" i="8"/>
  <c r="G40" i="8"/>
  <c r="D40" i="8"/>
  <c r="U40" i="8"/>
  <c r="L40" i="8"/>
  <c r="W40" i="8"/>
  <c r="S14" i="5"/>
  <c r="G14" i="5"/>
  <c r="AC14" i="5"/>
  <c r="AD14" i="5"/>
  <c r="X14" i="5"/>
  <c r="S77" i="5"/>
  <c r="M77" i="5"/>
  <c r="H77" i="5"/>
  <c r="P77" i="5"/>
  <c r="O77" i="5"/>
  <c r="E77" i="5"/>
  <c r="J77" i="5"/>
  <c r="G77" i="5"/>
  <c r="T77" i="5"/>
  <c r="Q77" i="5"/>
  <c r="V77" i="5"/>
  <c r="N77" i="5"/>
  <c r="B76" i="5"/>
  <c r="L77" i="5"/>
  <c r="I77" i="5"/>
  <c r="K77" i="5"/>
  <c r="F77" i="5"/>
  <c r="R77" i="5"/>
  <c r="U77" i="5"/>
  <c r="I17" i="5"/>
  <c r="F65" i="5"/>
  <c r="U29" i="5"/>
  <c r="K29" i="5"/>
  <c r="E29" i="5"/>
  <c r="C15" i="33"/>
  <c r="F17" i="8"/>
  <c r="AA17" i="8"/>
  <c r="J17" i="8"/>
  <c r="R17" i="8"/>
  <c r="W17" i="8"/>
  <c r="I17" i="8"/>
  <c r="E17" i="8"/>
  <c r="U17" i="8"/>
  <c r="AC17" i="8"/>
  <c r="O17" i="8"/>
  <c r="Y17" i="8"/>
  <c r="G17" i="8"/>
  <c r="T17" i="8"/>
  <c r="Z41" i="8"/>
  <c r="R41" i="8"/>
  <c r="J41" i="8"/>
  <c r="G41" i="8"/>
  <c r="I41" i="5"/>
  <c r="N41" i="5"/>
  <c r="U41" i="5"/>
  <c r="J41" i="5"/>
  <c r="H41" i="5"/>
  <c r="P41" i="5"/>
  <c r="G41" i="5"/>
  <c r="V41" i="5"/>
  <c r="F78" i="5"/>
  <c r="T78" i="5"/>
  <c r="O78" i="5"/>
  <c r="I78" i="5"/>
  <c r="L78" i="5"/>
  <c r="G78" i="5"/>
  <c r="M78" i="5"/>
  <c r="B77" i="5"/>
  <c r="K78" i="5"/>
  <c r="R78" i="5"/>
  <c r="U78" i="5"/>
  <c r="S78" i="5"/>
  <c r="P78" i="5"/>
  <c r="V78" i="5"/>
  <c r="E78" i="5"/>
  <c r="Q78" i="5"/>
  <c r="N78" i="5"/>
  <c r="J78" i="5"/>
  <c r="H78" i="5"/>
  <c r="E74" i="5"/>
  <c r="B73" i="5"/>
  <c r="G74" i="5"/>
  <c r="U74" i="5"/>
  <c r="N74" i="5"/>
  <c r="M31" i="5"/>
  <c r="B30" i="5"/>
  <c r="P31" i="5"/>
  <c r="S31" i="5"/>
  <c r="K31" i="5"/>
  <c r="J31" i="5"/>
  <c r="L31" i="5"/>
  <c r="E31" i="5"/>
  <c r="G31" i="5"/>
  <c r="F31" i="5"/>
  <c r="O31" i="5"/>
  <c r="U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AD63" i="8"/>
  <c r="Z63" i="8"/>
  <c r="I63" i="8"/>
  <c r="Q63"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M62" i="8"/>
  <c r="S62" i="8"/>
  <c r="T62" i="8"/>
  <c r="T38" i="5"/>
  <c r="U38" i="5"/>
  <c r="D38" i="8"/>
  <c r="R38" i="8"/>
  <c r="AA38" i="8"/>
  <c r="S38" i="8"/>
  <c r="J38" i="8"/>
  <c r="V38" i="8"/>
  <c r="Z38" i="8"/>
  <c r="AC38" i="8"/>
  <c r="N38" i="8"/>
  <c r="Y38" i="8"/>
  <c r="I38" i="8"/>
  <c r="F38" i="8"/>
  <c r="H38" i="8"/>
  <c r="X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S32" i="5"/>
  <c r="E32" i="5"/>
  <c r="P32" i="8"/>
  <c r="K32" i="8"/>
  <c r="M53" i="5"/>
  <c r="R64" i="8"/>
  <c r="L64" i="8"/>
  <c r="T64" i="8"/>
  <c r="J64" i="8"/>
  <c r="N64" i="8"/>
  <c r="H64" i="8"/>
  <c r="P64" i="8"/>
  <c r="S64" i="8"/>
  <c r="D64" i="8"/>
  <c r="U64" i="8"/>
  <c r="AB64" i="8"/>
  <c r="F64" i="8"/>
  <c r="W64" i="8"/>
  <c r="AC64" i="8"/>
  <c r="G64" i="8"/>
  <c r="E64" i="8"/>
  <c r="Z64" i="8"/>
  <c r="Q64" i="8"/>
  <c r="AD64" i="8"/>
  <c r="O64" i="8"/>
  <c r="Y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S66" i="8"/>
  <c r="I47" i="5"/>
  <c r="E47" i="5"/>
  <c r="S47" i="5"/>
  <c r="G47" i="5"/>
  <c r="J47" i="5"/>
  <c r="U47" i="5"/>
  <c r="N47" i="5"/>
  <c r="O47" i="5"/>
  <c r="Q47" i="5"/>
  <c r="B46" i="5"/>
  <c r="K47" i="5"/>
  <c r="V47" i="5"/>
  <c r="L47" i="5"/>
  <c r="R47" i="5"/>
  <c r="T47" i="5"/>
  <c r="F47" i="5"/>
  <c r="M47" i="5"/>
  <c r="P47" i="5"/>
  <c r="H47" i="5"/>
  <c r="AA28" i="8"/>
  <c r="S28" i="8"/>
  <c r="R28" i="8"/>
  <c r="U28" i="8"/>
  <c r="O28" i="8"/>
  <c r="Q28" i="8"/>
  <c r="F28" i="8"/>
  <c r="H28" i="8"/>
  <c r="S66" i="5"/>
  <c r="T66" i="5"/>
  <c r="L66" i="5"/>
  <c r="E66" i="5"/>
  <c r="P66" i="5"/>
  <c r="C13" i="34"/>
  <c r="E13" i="34" s="1"/>
  <c r="L28" i="5"/>
  <c r="V47" i="8"/>
  <c r="Z47" i="8"/>
  <c r="Q47" i="8"/>
  <c r="K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R32" i="42" l="1"/>
  <c r="AH32" i="42"/>
  <c r="T32" i="42"/>
  <c r="O38" i="4"/>
  <c r="Q38" i="4" s="1"/>
  <c r="AQ38" i="4"/>
  <c r="AW38" i="4" s="1"/>
  <c r="W32" i="8"/>
  <c r="G32" i="8"/>
  <c r="Q32" i="8"/>
  <c r="E32" i="8"/>
  <c r="AB32" i="8"/>
  <c r="S32" i="8"/>
  <c r="L32" i="8"/>
  <c r="AC32" i="8"/>
  <c r="R32" i="8"/>
  <c r="H32" i="8"/>
  <c r="M32" i="8"/>
  <c r="F32" i="8"/>
  <c r="V32" i="8"/>
  <c r="Z32" i="8"/>
  <c r="O32" i="8"/>
  <c r="N32" i="8"/>
  <c r="Y32" i="8"/>
  <c r="AD32" i="8"/>
  <c r="U32" i="8"/>
  <c r="T32" i="8"/>
  <c r="J32" i="8"/>
  <c r="I32" i="8"/>
  <c r="AA32" i="8"/>
  <c r="BL38" i="4"/>
  <c r="BN38" i="4" s="1"/>
  <c r="AR38" i="4"/>
  <c r="AX38" i="4" s="1"/>
  <c r="AS38" i="4"/>
  <c r="AY38" i="4" s="1"/>
  <c r="X32" i="8"/>
  <c r="U32" i="5"/>
  <c r="S34" i="5"/>
  <c r="AB22" i="8"/>
  <c r="H22" i="8"/>
  <c r="CN25" i="4"/>
  <c r="CM37" i="4"/>
  <c r="AB25" i="4"/>
  <c r="AC25" i="4"/>
  <c r="K25" i="4"/>
  <c r="F18" i="34" s="1"/>
  <c r="M32" i="5"/>
  <c r="P17" i="8"/>
  <c r="AB17" i="8"/>
  <c r="M34" i="8"/>
  <c r="E17" i="5"/>
  <c r="P34" i="8"/>
  <c r="G17" i="5"/>
  <c r="U22" i="8"/>
  <c r="O22" i="8"/>
  <c r="BC25" i="4"/>
  <c r="BK25" i="4"/>
  <c r="BA25" i="4"/>
  <c r="K24" i="4"/>
  <c r="F17" i="34" s="1"/>
  <c r="H24" i="4"/>
  <c r="N24" i="4"/>
  <c r="BH24" i="4"/>
  <c r="AD36" i="4"/>
  <c r="AJ36" i="4"/>
  <c r="J24" i="4"/>
  <c r="AM36" i="4"/>
  <c r="Y36" i="4"/>
  <c r="BA34" i="4"/>
  <c r="L25" i="4"/>
  <c r="BF22" i="4"/>
  <c r="BK22" i="4"/>
  <c r="BJ37" i="4"/>
  <c r="BQ22" i="4"/>
  <c r="CM22" i="4"/>
  <c r="CS34" i="4"/>
  <c r="BV34" i="4"/>
  <c r="BX24" i="4"/>
  <c r="BP24" i="4"/>
  <c r="CU24" i="4"/>
  <c r="CM36" i="4"/>
  <c r="CK36" i="4"/>
  <c r="BQ25" i="4"/>
  <c r="CU25" i="4"/>
  <c r="CC37" i="4"/>
  <c r="CA37" i="4"/>
  <c r="AK22" i="4"/>
  <c r="K22" i="4"/>
  <c r="AF34" i="4"/>
  <c r="S22" i="4"/>
  <c r="U34" i="4"/>
  <c r="T22" i="4"/>
  <c r="M22" i="4"/>
  <c r="AF22" i="4"/>
  <c r="AV22" i="4"/>
  <c r="AU34" i="4"/>
  <c r="P25" i="4"/>
  <c r="V25" i="4"/>
  <c r="U22" i="4"/>
  <c r="BH37" i="4"/>
  <c r="BF25" i="4"/>
  <c r="BI37" i="4"/>
  <c r="CF25" i="4"/>
  <c r="BZ37" i="4"/>
  <c r="P32" i="5"/>
  <c r="L17" i="8"/>
  <c r="Z17" i="8"/>
  <c r="Q34" i="8"/>
  <c r="S22" i="8"/>
  <c r="O17" i="5"/>
  <c r="L34" i="5"/>
  <c r="V22" i="8"/>
  <c r="AC22" i="8"/>
  <c r="S36" i="4"/>
  <c r="S24" i="4"/>
  <c r="AU36" i="4"/>
  <c r="BG22" i="4"/>
  <c r="AT24" i="4"/>
  <c r="M24" i="4"/>
  <c r="R24" i="4"/>
  <c r="T24" i="4"/>
  <c r="M36" i="4"/>
  <c r="L37" i="4"/>
  <c r="BD22" i="4"/>
  <c r="BI22" i="4"/>
  <c r="CC22" i="4"/>
  <c r="BY22" i="4"/>
  <c r="BO34" i="4"/>
  <c r="CN34" i="4"/>
  <c r="BZ24" i="4"/>
  <c r="CB24" i="4"/>
  <c r="BW36" i="4"/>
  <c r="BX36" i="4"/>
  <c r="BQ36" i="4"/>
  <c r="BZ25" i="4"/>
  <c r="BR25" i="4"/>
  <c r="CD37" i="4"/>
  <c r="CS37" i="4"/>
  <c r="BZ28" i="4"/>
  <c r="BC34" i="4"/>
  <c r="J33" i="42"/>
  <c r="D21" i="42"/>
  <c r="G22" i="4"/>
  <c r="AK34" i="4"/>
  <c r="T34" i="4"/>
  <c r="N22" i="4"/>
  <c r="Z34" i="4"/>
  <c r="AD22" i="4"/>
  <c r="Y22" i="4"/>
  <c r="B30" i="8"/>
  <c r="V22" i="4"/>
  <c r="K36" i="4"/>
  <c r="F29" i="34" s="1"/>
  <c r="J25" i="4"/>
  <c r="AV25" i="4"/>
  <c r="AM25" i="4"/>
  <c r="C25" i="4"/>
  <c r="D18" i="34" s="1"/>
  <c r="O32" i="5"/>
  <c r="L32" i="5"/>
  <c r="T33" i="42"/>
  <c r="AF25" i="4"/>
  <c r="B21" i="8"/>
  <c r="J37" i="4"/>
  <c r="T25" i="4"/>
  <c r="Y25" i="4"/>
  <c r="AO37" i="4"/>
  <c r="N32" i="5"/>
  <c r="F32" i="5"/>
  <c r="M17" i="8"/>
  <c r="H17" i="8"/>
  <c r="AD17" i="8"/>
  <c r="AA22" i="8"/>
  <c r="R34" i="8"/>
  <c r="M17" i="5"/>
  <c r="M22" i="8"/>
  <c r="BG25" i="4"/>
  <c r="I24" i="4"/>
  <c r="AH36" i="4"/>
  <c r="D36" i="4"/>
  <c r="AA36" i="4"/>
  <c r="D24" i="4"/>
  <c r="B20" i="8"/>
  <c r="P20" i="8" s="1"/>
  <c r="N36" i="4"/>
  <c r="AL24" i="4"/>
  <c r="AU24" i="4"/>
  <c r="AE36" i="4"/>
  <c r="BH25" i="4"/>
  <c r="BJ25" i="4"/>
  <c r="BO22" i="4"/>
  <c r="CT22" i="4"/>
  <c r="CO22" i="4"/>
  <c r="BR34" i="4"/>
  <c r="BP34" i="4"/>
  <c r="CJ24" i="4"/>
  <c r="BR24" i="4"/>
  <c r="CL36" i="4"/>
  <c r="BZ36" i="4"/>
  <c r="CB25" i="4"/>
  <c r="BV25" i="4"/>
  <c r="CE37" i="4"/>
  <c r="BY37" i="4"/>
  <c r="BB22" i="4"/>
  <c r="M33" i="42"/>
  <c r="AM33" i="42"/>
  <c r="AK33" i="42"/>
  <c r="BE22" i="4"/>
  <c r="B18" i="8"/>
  <c r="U18" i="8" s="1"/>
  <c r="AN22" i="4"/>
  <c r="F16" i="6"/>
  <c r="E16" i="6"/>
  <c r="E14" i="35" s="1"/>
  <c r="C22" i="4"/>
  <c r="F17" i="6" s="1"/>
  <c r="D17" i="6" s="1"/>
  <c r="E25" i="4"/>
  <c r="W25" i="4"/>
  <c r="R25" i="4"/>
  <c r="G25" i="4"/>
  <c r="AN34" i="4"/>
  <c r="BB34" i="4"/>
  <c r="R32" i="5"/>
  <c r="N22" i="8"/>
  <c r="CJ25" i="4"/>
  <c r="BP25" i="4"/>
  <c r="BP37" i="4"/>
  <c r="CT37" i="4"/>
  <c r="Z22" i="8"/>
  <c r="M25" i="4"/>
  <c r="AB37" i="4"/>
  <c r="I25" i="4"/>
  <c r="AA25" i="4"/>
  <c r="AI25" i="4"/>
  <c r="AG25" i="4"/>
  <c r="I32" i="5"/>
  <c r="S17" i="8"/>
  <c r="K17" i="8"/>
  <c r="B29" i="5"/>
  <c r="Q22" i="8"/>
  <c r="W34" i="8"/>
  <c r="J17" i="5"/>
  <c r="U34" i="5"/>
  <c r="O34" i="5"/>
  <c r="E22" i="8"/>
  <c r="BK34" i="4"/>
  <c r="BG36" i="4"/>
  <c r="AK24" i="4"/>
  <c r="AJ24" i="4"/>
  <c r="AS24" i="4" s="1"/>
  <c r="AY24" i="4" s="1"/>
  <c r="W24" i="4"/>
  <c r="BA36" i="4"/>
  <c r="AI36" i="4"/>
  <c r="BA22" i="4"/>
  <c r="T36" i="4"/>
  <c r="AO24" i="4"/>
  <c r="BI36" i="4"/>
  <c r="BP22" i="4"/>
  <c r="BV22" i="4"/>
  <c r="BZ34" i="4"/>
  <c r="BS34" i="4"/>
  <c r="BW34" i="4"/>
  <c r="BW24" i="4"/>
  <c r="CS24" i="4"/>
  <c r="BP36" i="4"/>
  <c r="CS36" i="4"/>
  <c r="BX25" i="4"/>
  <c r="BS25" i="4"/>
  <c r="BW25" i="4"/>
  <c r="CL37" i="4"/>
  <c r="BT37" i="4"/>
  <c r="BM34" i="4"/>
  <c r="I21" i="42"/>
  <c r="AF21" i="42"/>
  <c r="AL33" i="42"/>
  <c r="AD33" i="42"/>
  <c r="X21" i="42"/>
  <c r="G34" i="4"/>
  <c r="AJ34" i="4"/>
  <c r="Y34" i="4"/>
  <c r="AG22" i="4"/>
  <c r="M34" i="4"/>
  <c r="S34" i="4"/>
  <c r="AT25" i="4"/>
  <c r="N25" i="4"/>
  <c r="K37" i="4"/>
  <c r="F30" i="34" s="1"/>
  <c r="AL37" i="4"/>
  <c r="AH34" i="4"/>
  <c r="C34" i="42"/>
  <c r="F34" i="42"/>
  <c r="K34" i="42"/>
  <c r="P34" i="42"/>
  <c r="BA37" i="4"/>
  <c r="BO25" i="4"/>
  <c r="CS25" i="4"/>
  <c r="CK25" i="4"/>
  <c r="BR37" i="4"/>
  <c r="CN37" i="4"/>
  <c r="G32" i="5"/>
  <c r="Q17" i="8"/>
  <c r="N17" i="8"/>
  <c r="P30" i="5"/>
  <c r="AC34" i="8"/>
  <c r="T34" i="8"/>
  <c r="AA34" i="8"/>
  <c r="F34" i="5"/>
  <c r="B33" i="5"/>
  <c r="BD34" i="4"/>
  <c r="H36" i="4"/>
  <c r="E24" i="4"/>
  <c r="BE36" i="4"/>
  <c r="AF36" i="4"/>
  <c r="L24" i="4"/>
  <c r="BB25" i="4"/>
  <c r="BR22" i="4"/>
  <c r="CK22" i="4"/>
  <c r="CC34" i="4"/>
  <c r="CJ34" i="4"/>
  <c r="CL34" i="4"/>
  <c r="CL24" i="4"/>
  <c r="BS24" i="4"/>
  <c r="BR36" i="4"/>
  <c r="CB36" i="4"/>
  <c r="BY25" i="4"/>
  <c r="CE25" i="4"/>
  <c r="CL25" i="4"/>
  <c r="BU37" i="4"/>
  <c r="CF37" i="4"/>
  <c r="BE34" i="4"/>
  <c r="AE21" i="42"/>
  <c r="H21" i="42"/>
  <c r="AP33" i="42"/>
  <c r="AE33" i="42"/>
  <c r="Z33" i="42"/>
  <c r="J34" i="4"/>
  <c r="AB34" i="4"/>
  <c r="AL22" i="4"/>
  <c r="R34" i="4"/>
  <c r="C18" i="5"/>
  <c r="L18" i="5" s="1"/>
  <c r="AA34" i="4"/>
  <c r="AT22" i="4"/>
  <c r="AP25" i="4"/>
  <c r="AU25" i="4"/>
  <c r="AE25" i="4"/>
  <c r="C21" i="5"/>
  <c r="AH37" i="4"/>
  <c r="R22" i="4"/>
  <c r="K32" i="5"/>
  <c r="AD22" i="8"/>
  <c r="BC37" i="4"/>
  <c r="J32" i="5"/>
  <c r="R34" i="5"/>
  <c r="G34" i="5"/>
  <c r="T22" i="8"/>
  <c r="X17" i="8"/>
  <c r="U34" i="8"/>
  <c r="O34" i="8"/>
  <c r="J34" i="5"/>
  <c r="X22" i="8"/>
  <c r="B21" i="5"/>
  <c r="BC24" i="4"/>
  <c r="BL24" i="4" s="1"/>
  <c r="BM24" i="4"/>
  <c r="Z36" i="4"/>
  <c r="P36" i="4"/>
  <c r="BC36" i="4"/>
  <c r="AT36" i="4"/>
  <c r="AK36" i="4"/>
  <c r="I36" i="4"/>
  <c r="BD24" i="4"/>
  <c r="BE37" i="4"/>
  <c r="BG37" i="4"/>
  <c r="BT22" i="4"/>
  <c r="BW22" i="4"/>
  <c r="BQ34" i="4"/>
  <c r="BT34" i="4"/>
  <c r="BI34" i="4"/>
  <c r="BY24" i="4"/>
  <c r="CE24" i="4"/>
  <c r="BT36" i="4"/>
  <c r="CU36" i="4"/>
  <c r="CA25" i="4"/>
  <c r="CT25" i="4"/>
  <c r="BO37" i="4"/>
  <c r="CO37" i="4"/>
  <c r="CU37" i="4"/>
  <c r="AJ33" i="42"/>
  <c r="H33" i="42"/>
  <c r="N34" i="4"/>
  <c r="J22" i="4"/>
  <c r="AL34" i="4"/>
  <c r="AE22" i="4"/>
  <c r="C34" i="4"/>
  <c r="D27" i="34" s="1"/>
  <c r="AM22" i="4"/>
  <c r="X25" i="4"/>
  <c r="AO25" i="4"/>
  <c r="AH25" i="4"/>
  <c r="U25" i="4"/>
  <c r="Z25" i="4"/>
  <c r="AL25" i="4"/>
  <c r="AI34" i="4"/>
  <c r="AA33" i="42"/>
  <c r="AF33" i="42"/>
  <c r="P33" i="42"/>
  <c r="K33" i="42"/>
  <c r="L33" i="42" s="1"/>
  <c r="F33" i="42"/>
  <c r="G33" i="42" s="1"/>
  <c r="S32" i="42"/>
  <c r="P14" i="42"/>
  <c r="F14" i="42"/>
  <c r="K14" i="42"/>
  <c r="AG26" i="42"/>
  <c r="P26" i="42"/>
  <c r="F26" i="42"/>
  <c r="K26" i="42"/>
  <c r="O15" i="42"/>
  <c r="P15" i="42"/>
  <c r="F15" i="42"/>
  <c r="K15" i="42"/>
  <c r="AE27" i="42"/>
  <c r="P27" i="42"/>
  <c r="F27" i="42"/>
  <c r="K27" i="42"/>
  <c r="K25" i="42"/>
  <c r="P25" i="42"/>
  <c r="F25" i="42"/>
  <c r="J16" i="42"/>
  <c r="K16" i="42"/>
  <c r="F16" i="42"/>
  <c r="P16" i="42"/>
  <c r="W28" i="42"/>
  <c r="K28" i="42"/>
  <c r="F28" i="42"/>
  <c r="P28" i="42"/>
  <c r="AB17" i="42"/>
  <c r="F17" i="42"/>
  <c r="K17" i="42"/>
  <c r="P17" i="42"/>
  <c r="AG29" i="42"/>
  <c r="F29" i="42"/>
  <c r="K29" i="42"/>
  <c r="P29" i="42"/>
  <c r="F18" i="42"/>
  <c r="P18" i="42"/>
  <c r="K18" i="42"/>
  <c r="AK30" i="42"/>
  <c r="F30" i="42"/>
  <c r="K30" i="42"/>
  <c r="P30" i="42"/>
  <c r="F19" i="42"/>
  <c r="K19" i="42"/>
  <c r="P19" i="42"/>
  <c r="K31" i="42"/>
  <c r="P31" i="42"/>
  <c r="F31" i="42"/>
  <c r="F20" i="42"/>
  <c r="K20" i="42"/>
  <c r="P20" i="42"/>
  <c r="Y32" i="42"/>
  <c r="AA32" i="42" s="1"/>
  <c r="F32" i="42"/>
  <c r="G32" i="42" s="1"/>
  <c r="K32" i="42"/>
  <c r="L32" i="42" s="1"/>
  <c r="P32" i="42"/>
  <c r="Q32" i="42" s="1"/>
  <c r="F21" i="42"/>
  <c r="K21" i="42"/>
  <c r="P21" i="42"/>
  <c r="Q21" i="42" s="1"/>
  <c r="F22" i="42"/>
  <c r="K22" i="42"/>
  <c r="P22" i="42"/>
  <c r="F23" i="42"/>
  <c r="K23" i="42"/>
  <c r="P23" i="42"/>
  <c r="Q23" i="42" s="1"/>
  <c r="K24" i="42"/>
  <c r="P24" i="42"/>
  <c r="F24" i="42"/>
  <c r="AJ13" i="42"/>
  <c r="F13" i="42"/>
  <c r="K13" i="42"/>
  <c r="P13" i="42"/>
  <c r="H77" i="42"/>
  <c r="E65" i="42"/>
  <c r="N41" i="42"/>
  <c r="AA65" i="42"/>
  <c r="AP17" i="42"/>
  <c r="M41" i="42"/>
  <c r="Y77" i="42"/>
  <c r="M17" i="42"/>
  <c r="N77" i="42"/>
  <c r="AM17" i="42"/>
  <c r="AQ77" i="42"/>
  <c r="AD17" i="42"/>
  <c r="AM65" i="42"/>
  <c r="AC77" i="42"/>
  <c r="W65" i="42"/>
  <c r="AE29" i="42"/>
  <c r="AD65" i="42"/>
  <c r="AF77" i="42"/>
  <c r="N29" i="42"/>
  <c r="AC17" i="42"/>
  <c r="AI41" i="42"/>
  <c r="AC30" i="42"/>
  <c r="R77" i="42"/>
  <c r="S77" i="42"/>
  <c r="AF29" i="42"/>
  <c r="Z17" i="42"/>
  <c r="J29" i="42"/>
  <c r="Y17" i="42"/>
  <c r="H65" i="42"/>
  <c r="AP29" i="42"/>
  <c r="T77" i="42"/>
  <c r="AP65" i="42"/>
  <c r="AK29" i="42"/>
  <c r="X41" i="42"/>
  <c r="O77" i="42"/>
  <c r="AF30" i="42"/>
  <c r="E77" i="42"/>
  <c r="I77" i="42"/>
  <c r="AI65" i="42"/>
  <c r="D29" i="42"/>
  <c r="AL65" i="42"/>
  <c r="AJ29" i="42"/>
  <c r="V65" i="42"/>
  <c r="AE17" i="42"/>
  <c r="V77" i="42"/>
  <c r="AA41" i="42"/>
  <c r="X17" i="42"/>
  <c r="AC65" i="42"/>
  <c r="AP41" i="42"/>
  <c r="AD41" i="42"/>
  <c r="W30" i="42"/>
  <c r="AL77" i="42"/>
  <c r="AE41" i="42"/>
  <c r="N17" i="42"/>
  <c r="X77" i="42"/>
  <c r="W17" i="42"/>
  <c r="AA77" i="42"/>
  <c r="M53" i="42"/>
  <c r="Z77" i="42"/>
  <c r="R65" i="42"/>
  <c r="AF65" i="42"/>
  <c r="E41" i="42"/>
  <c r="M77" i="42"/>
  <c r="W77" i="42"/>
  <c r="AC41" i="42"/>
  <c r="AK77" i="42"/>
  <c r="AK17" i="42"/>
  <c r="AH77" i="42"/>
  <c r="AB29" i="42"/>
  <c r="AJ77" i="42"/>
  <c r="J65" i="42"/>
  <c r="AP53" i="42"/>
  <c r="S41" i="42"/>
  <c r="C77" i="42"/>
  <c r="H17" i="42"/>
  <c r="R17" i="42" s="1"/>
  <c r="Z29" i="42"/>
  <c r="Y29" i="42"/>
  <c r="AD77" i="42"/>
  <c r="AL41" i="42"/>
  <c r="Z65" i="42"/>
  <c r="D77" i="42"/>
  <c r="T41" i="42"/>
  <c r="AJ17" i="42"/>
  <c r="AF17" i="42"/>
  <c r="Z41" i="42"/>
  <c r="AR41" i="42"/>
  <c r="AB65" i="42"/>
  <c r="AE65" i="42"/>
  <c r="AM77" i="42"/>
  <c r="O53" i="42"/>
  <c r="W41" i="42"/>
  <c r="AB77" i="42"/>
  <c r="C29" i="42"/>
  <c r="O41" i="42"/>
  <c r="H41" i="42"/>
  <c r="AP77" i="42"/>
  <c r="AM29" i="42"/>
  <c r="AH65" i="42"/>
  <c r="I41" i="42"/>
  <c r="AQ65" i="42"/>
  <c r="E17" i="42"/>
  <c r="N65" i="42"/>
  <c r="AK65" i="42"/>
  <c r="AI77" i="42"/>
  <c r="D17" i="42"/>
  <c r="Y41" i="42"/>
  <c r="AQ41" i="42"/>
  <c r="AR77" i="42"/>
  <c r="AR65" i="42"/>
  <c r="I65" i="42"/>
  <c r="E29" i="42"/>
  <c r="T29" i="42" s="1"/>
  <c r="S65" i="42"/>
  <c r="C65" i="42"/>
  <c r="J17" i="42"/>
  <c r="D65" i="42"/>
  <c r="AH41" i="42"/>
  <c r="R41" i="42"/>
  <c r="J77" i="42"/>
  <c r="X65" i="42"/>
  <c r="AE77" i="42"/>
  <c r="W29" i="42"/>
  <c r="V51" i="42"/>
  <c r="Z15" i="42"/>
  <c r="I51" i="42"/>
  <c r="AJ51" i="42"/>
  <c r="O51" i="42"/>
  <c r="W39" i="42"/>
  <c r="AE51" i="42"/>
  <c r="N51" i="42"/>
  <c r="U62" i="8"/>
  <c r="AB62" i="8"/>
  <c r="O55" i="5"/>
  <c r="L70" i="5"/>
  <c r="L44" i="5"/>
  <c r="AA62" i="8"/>
  <c r="O62" i="8"/>
  <c r="P63" i="8"/>
  <c r="W63" i="8"/>
  <c r="O70" i="5"/>
  <c r="P70" i="5"/>
  <c r="T70" i="5"/>
  <c r="E44" i="5"/>
  <c r="U44" i="5"/>
  <c r="U70" i="5"/>
  <c r="V70" i="5"/>
  <c r="G70" i="5"/>
  <c r="N44" i="5"/>
  <c r="B43" i="5"/>
  <c r="H62" i="8"/>
  <c r="R62" i="8"/>
  <c r="K63" i="8"/>
  <c r="M63" i="8"/>
  <c r="H70" i="5"/>
  <c r="B69" i="5"/>
  <c r="K70" i="5"/>
  <c r="P44" i="5"/>
  <c r="I44" i="5"/>
  <c r="Q44" i="5"/>
  <c r="J62" i="8"/>
  <c r="Q62" i="8"/>
  <c r="S63" i="8"/>
  <c r="U63" i="8"/>
  <c r="L63" i="8"/>
  <c r="J70" i="5"/>
  <c r="F44" i="5"/>
  <c r="M44" i="5"/>
  <c r="T44" i="5"/>
  <c r="I62" i="8"/>
  <c r="Z62" i="8"/>
  <c r="Y63" i="8"/>
  <c r="O63" i="8"/>
  <c r="V63" i="8"/>
  <c r="G44" i="5"/>
  <c r="O44" i="5"/>
  <c r="V44" i="5"/>
  <c r="AU70" i="5"/>
  <c r="F62" i="8"/>
  <c r="T63" i="8"/>
  <c r="L62" i="8"/>
  <c r="AC62" i="8"/>
  <c r="E63" i="8"/>
  <c r="N63" i="8"/>
  <c r="F63" i="8"/>
  <c r="I70" i="5"/>
  <c r="S44" i="5"/>
  <c r="N70" i="5"/>
  <c r="AU44" i="5"/>
  <c r="Y62" i="8"/>
  <c r="R63" i="8"/>
  <c r="X62" i="8"/>
  <c r="AD62" i="8"/>
  <c r="AA63" i="8"/>
  <c r="D63" i="8"/>
  <c r="M70" i="5"/>
  <c r="H44" i="5"/>
  <c r="AU52" i="5"/>
  <c r="V62" i="8"/>
  <c r="W62" i="8"/>
  <c r="E62" i="8"/>
  <c r="H63" i="8"/>
  <c r="G63" i="8"/>
  <c r="R70" i="5"/>
  <c r="R44" i="5"/>
  <c r="T52" i="5"/>
  <c r="Z62" i="42"/>
  <c r="G62" i="8"/>
  <c r="D62" i="8"/>
  <c r="N62" i="8"/>
  <c r="AB63" i="8"/>
  <c r="AC63" i="8"/>
  <c r="E70" i="5"/>
  <c r="S70" i="5"/>
  <c r="K44" i="5"/>
  <c r="CR54" i="4"/>
  <c r="P62" i="8"/>
  <c r="K62" i="8"/>
  <c r="X63" i="8"/>
  <c r="J63" i="8"/>
  <c r="AA40" i="42"/>
  <c r="Y64" i="42"/>
  <c r="AK52" i="42"/>
  <c r="M76" i="42"/>
  <c r="AI76" i="42"/>
  <c r="D40" i="42"/>
  <c r="AB40" i="42"/>
  <c r="AL76" i="42"/>
  <c r="J76" i="42"/>
  <c r="AB52" i="42"/>
  <c r="I76" i="42"/>
  <c r="N76" i="42"/>
  <c r="AE40" i="42"/>
  <c r="AL40" i="42"/>
  <c r="AD76" i="42"/>
  <c r="T52" i="42"/>
  <c r="AJ64" i="42"/>
  <c r="AI52" i="42"/>
  <c r="S76" i="42"/>
  <c r="Z40" i="42"/>
  <c r="AC76" i="42"/>
  <c r="AQ40" i="42"/>
  <c r="I64" i="42"/>
  <c r="Y76" i="42"/>
  <c r="T76" i="42"/>
  <c r="N40" i="42"/>
  <c r="W40" i="42"/>
  <c r="AH64" i="42"/>
  <c r="X40" i="42"/>
  <c r="AF76" i="42"/>
  <c r="AA76" i="42"/>
  <c r="AJ40" i="42"/>
  <c r="T40" i="42"/>
  <c r="C76" i="42"/>
  <c r="R76" i="42"/>
  <c r="E40" i="42"/>
  <c r="W76" i="42"/>
  <c r="AE76" i="42"/>
  <c r="AC40" i="42"/>
  <c r="V40" i="42"/>
  <c r="S40" i="42"/>
  <c r="O76" i="42"/>
  <c r="AR76" i="42"/>
  <c r="E76" i="42"/>
  <c r="J40" i="42"/>
  <c r="C40" i="42"/>
  <c r="H40" i="42"/>
  <c r="N28" i="42"/>
  <c r="Z76" i="42"/>
  <c r="AD40" i="42"/>
  <c r="AB76" i="42"/>
  <c r="AH76" i="42"/>
  <c r="AQ76" i="42"/>
  <c r="AK40" i="42"/>
  <c r="AR40" i="42"/>
  <c r="AI40" i="42"/>
  <c r="O28" i="42"/>
  <c r="AL28" i="42"/>
  <c r="Z28" i="42"/>
  <c r="X76" i="42"/>
  <c r="AK76" i="42"/>
  <c r="AH40" i="42"/>
  <c r="Y40" i="42"/>
  <c r="M40" i="42"/>
  <c r="AP40" i="42"/>
  <c r="AE28" i="42"/>
  <c r="AJ76" i="42"/>
  <c r="C52" i="42"/>
  <c r="AM76" i="42"/>
  <c r="I40" i="42"/>
  <c r="AF40" i="42"/>
  <c r="O16" i="42"/>
  <c r="V76" i="42"/>
  <c r="AP76" i="42"/>
  <c r="O40" i="42"/>
  <c r="AA78" i="4"/>
  <c r="AF38" i="42"/>
  <c r="N26" i="42"/>
  <c r="C62" i="42"/>
  <c r="AB38" i="42"/>
  <c r="AI26" i="42"/>
  <c r="Y74" i="42"/>
  <c r="AA62" i="42"/>
  <c r="AD62" i="42"/>
  <c r="Y62" i="42"/>
  <c r="AC62" i="42"/>
  <c r="I38" i="42"/>
  <c r="AL62" i="42"/>
  <c r="AI74" i="42"/>
  <c r="AA74" i="42"/>
  <c r="T74" i="42"/>
  <c r="D62" i="42"/>
  <c r="X74" i="42"/>
  <c r="N62" i="42"/>
  <c r="CP78" i="4"/>
  <c r="AP38" i="42"/>
  <c r="CQ78" i="4"/>
  <c r="H74" i="42"/>
  <c r="M74" i="42"/>
  <c r="CR78" i="4"/>
  <c r="AL78" i="4"/>
  <c r="H26" i="42"/>
  <c r="S62" i="42"/>
  <c r="V38" i="42"/>
  <c r="S30" i="5"/>
  <c r="BO42" i="4"/>
  <c r="BQ42" i="4"/>
  <c r="CB42" i="4"/>
  <c r="CC54" i="4"/>
  <c r="CU54" i="4"/>
  <c r="BU66" i="4"/>
  <c r="CN66" i="4"/>
  <c r="BS66" i="4"/>
  <c r="X15" i="42"/>
  <c r="D51" i="42"/>
  <c r="F44" i="8"/>
  <c r="W51" i="42"/>
  <c r="C51" i="42"/>
  <c r="AL51" i="42"/>
  <c r="AA51" i="42"/>
  <c r="AB51" i="42"/>
  <c r="AF77" i="4"/>
  <c r="W54" i="4"/>
  <c r="D66" i="4"/>
  <c r="CP66" i="4"/>
  <c r="K30" i="5"/>
  <c r="N22" i="5"/>
  <c r="BZ42" i="4"/>
  <c r="BR42" i="4"/>
  <c r="CL42" i="4"/>
  <c r="CE54" i="4"/>
  <c r="CJ54" i="4"/>
  <c r="CV66" i="4"/>
  <c r="CO66" i="4"/>
  <c r="CT66" i="4"/>
  <c r="AD51" i="42"/>
  <c r="S51" i="42"/>
  <c r="AM51" i="42"/>
  <c r="CQ66" i="4"/>
  <c r="S22" i="5"/>
  <c r="AB28" i="8"/>
  <c r="M28" i="8"/>
  <c r="N30" i="5"/>
  <c r="G22" i="5"/>
  <c r="L22" i="5"/>
  <c r="CE42" i="4"/>
  <c r="CJ42" i="4"/>
  <c r="CX42" i="4"/>
  <c r="CM54" i="4"/>
  <c r="CV54" i="4"/>
  <c r="BV66" i="4"/>
  <c r="BO66" i="4"/>
  <c r="BT66" i="4"/>
  <c r="G42" i="4"/>
  <c r="AV66" i="4"/>
  <c r="D15" i="42"/>
  <c r="AI51" i="42"/>
  <c r="AP51" i="42"/>
  <c r="CR66" i="4"/>
  <c r="K28" i="8"/>
  <c r="W28" i="8"/>
  <c r="AD28" i="8"/>
  <c r="Z28" i="8"/>
  <c r="P27" i="8"/>
  <c r="F30" i="5"/>
  <c r="I22" i="5"/>
  <c r="CS42" i="4"/>
  <c r="BS42" i="4"/>
  <c r="BY42" i="4"/>
  <c r="CO54" i="4"/>
  <c r="BV54" i="4"/>
  <c r="CK66" i="4"/>
  <c r="CA66" i="4"/>
  <c r="CF66" i="4"/>
  <c r="F42" i="4"/>
  <c r="C66" i="4"/>
  <c r="AC75" i="42"/>
  <c r="R51" i="42"/>
  <c r="Z51" i="42"/>
  <c r="M51" i="42"/>
  <c r="AK66" i="4"/>
  <c r="Y28" i="8"/>
  <c r="E28" i="8"/>
  <c r="K27" i="8"/>
  <c r="O30" i="5"/>
  <c r="R30" i="5"/>
  <c r="U22" i="5"/>
  <c r="CW42" i="4"/>
  <c r="CK42" i="4"/>
  <c r="CN42" i="4"/>
  <c r="BP54" i="4"/>
  <c r="CK54" i="4"/>
  <c r="CW66" i="4"/>
  <c r="BP66" i="4"/>
  <c r="CU66" i="4"/>
  <c r="AH42" i="4"/>
  <c r="CP42" i="4"/>
  <c r="CA42" i="4"/>
  <c r="BT42" i="4"/>
  <c r="BO54" i="4"/>
  <c r="CB54" i="4"/>
  <c r="CW54" i="4"/>
  <c r="BW66" i="4"/>
  <c r="CB66" i="4"/>
  <c r="AH51" i="42"/>
  <c r="AR51" i="42"/>
  <c r="CQ42" i="4"/>
  <c r="T28" i="8"/>
  <c r="AC28" i="8"/>
  <c r="J28" i="8"/>
  <c r="L30" i="5"/>
  <c r="G30" i="5"/>
  <c r="R22" i="5"/>
  <c r="CT42" i="4"/>
  <c r="CM42" i="4"/>
  <c r="CT54" i="4"/>
  <c r="BR54" i="4"/>
  <c r="BW54" i="4"/>
  <c r="CL66" i="4"/>
  <c r="BQ66" i="4"/>
  <c r="AX42" i="4"/>
  <c r="AK51" i="42"/>
  <c r="CR42" i="4"/>
  <c r="I28" i="8"/>
  <c r="X28" i="8"/>
  <c r="I30" i="5"/>
  <c r="P22" i="5"/>
  <c r="K22" i="5"/>
  <c r="F22" i="5"/>
  <c r="CC42" i="4"/>
  <c r="BU42" i="4"/>
  <c r="BQ54" i="4"/>
  <c r="CD54" i="4"/>
  <c r="CL54" i="4"/>
  <c r="CX66" i="4"/>
  <c r="CC66" i="4"/>
  <c r="AQ51" i="42"/>
  <c r="J51" i="42"/>
  <c r="BN42" i="4"/>
  <c r="P28" i="8"/>
  <c r="J30" i="5"/>
  <c r="V28" i="8"/>
  <c r="N28" i="8"/>
  <c r="M22" i="5"/>
  <c r="E22" i="5"/>
  <c r="O22" i="5"/>
  <c r="CU42" i="4"/>
  <c r="CO42" i="4"/>
  <c r="BS54" i="4"/>
  <c r="CS54" i="4"/>
  <c r="CX54" i="4"/>
  <c r="BX66" i="4"/>
  <c r="BR66" i="4"/>
  <c r="V39" i="42"/>
  <c r="Y51" i="42"/>
  <c r="X51" i="42"/>
  <c r="CP54" i="4"/>
  <c r="L28" i="8"/>
  <c r="G28" i="8"/>
  <c r="CD42" i="4"/>
  <c r="BV42" i="4"/>
  <c r="BZ54" i="4"/>
  <c r="BT54" i="4"/>
  <c r="BY54" i="4"/>
  <c r="CM66" i="4"/>
  <c r="CD66" i="4"/>
  <c r="T51" i="42"/>
  <c r="AC51" i="42"/>
  <c r="H51" i="42"/>
  <c r="CQ54" i="4"/>
  <c r="AA27" i="8"/>
  <c r="O27" i="8"/>
  <c r="J27" i="8"/>
  <c r="X46" i="8"/>
  <c r="C46" i="8"/>
  <c r="N27" i="8"/>
  <c r="Y27" i="8"/>
  <c r="C30" i="33"/>
  <c r="G70" i="8"/>
  <c r="C70" i="8"/>
  <c r="AC35" i="8"/>
  <c r="C35" i="8"/>
  <c r="M51" i="8"/>
  <c r="C51" i="8"/>
  <c r="AD41" i="8"/>
  <c r="C41" i="8"/>
  <c r="K57" i="8"/>
  <c r="C57" i="8"/>
  <c r="L45" i="8"/>
  <c r="C45" i="8"/>
  <c r="L71" i="8"/>
  <c r="C71" i="8"/>
  <c r="K53" i="8"/>
  <c r="C53" i="8"/>
  <c r="AB56" i="8"/>
  <c r="C56" i="8"/>
  <c r="V54" i="8"/>
  <c r="C54" i="8"/>
  <c r="AC65" i="8"/>
  <c r="C65" i="8"/>
  <c r="G68" i="8"/>
  <c r="C68" i="8"/>
  <c r="M58" i="8"/>
  <c r="C58" i="8"/>
  <c r="I39" i="8"/>
  <c r="C39" i="8"/>
  <c r="Y34" i="8"/>
  <c r="Y40" i="8"/>
  <c r="C40" i="8"/>
  <c r="E52" i="8"/>
  <c r="C52" i="8"/>
  <c r="H31" i="5"/>
  <c r="Q31" i="5"/>
  <c r="BL35" i="4"/>
  <c r="BN35" i="4" s="1"/>
  <c r="AD27" i="42"/>
  <c r="AG27" i="42"/>
  <c r="M28" i="42"/>
  <c r="AG28" i="42"/>
  <c r="O33" i="4"/>
  <c r="Q33" i="4" s="1"/>
  <c r="I30" i="23"/>
  <c r="H29" i="5"/>
  <c r="AT29" i="5" s="1"/>
  <c r="Q29" i="5"/>
  <c r="AR33" i="4"/>
  <c r="AX33" i="4" s="1"/>
  <c r="AQ33" i="4"/>
  <c r="AW33" i="4" s="1"/>
  <c r="AS33" i="4"/>
  <c r="AY33" i="4" s="1"/>
  <c r="BL33" i="4"/>
  <c r="BN33" i="4" s="1"/>
  <c r="Z16" i="8"/>
  <c r="B28" i="6"/>
  <c r="E27" i="6" s="1"/>
  <c r="B29" i="8"/>
  <c r="AC29" i="8" s="1"/>
  <c r="C19" i="8"/>
  <c r="D17" i="33" s="1"/>
  <c r="F17" i="33" s="1"/>
  <c r="AS32" i="4"/>
  <c r="AY32" i="4" s="1"/>
  <c r="AR32" i="4"/>
  <c r="AX32" i="4" s="1"/>
  <c r="AQ32" i="4"/>
  <c r="AW32" i="4" s="1"/>
  <c r="O32" i="4"/>
  <c r="Q32" i="4" s="1"/>
  <c r="BL32" i="4"/>
  <c r="BN32" i="4" s="1"/>
  <c r="CC30" i="4"/>
  <c r="BY30" i="4"/>
  <c r="AD27" i="8"/>
  <c r="Q27" i="8"/>
  <c r="I27" i="8"/>
  <c r="R27" i="8"/>
  <c r="L22" i="8"/>
  <c r="H27" i="8"/>
  <c r="F27" i="8"/>
  <c r="G27" i="8"/>
  <c r="V27" i="8"/>
  <c r="AJ30" i="4"/>
  <c r="AB27" i="8"/>
  <c r="U27" i="8"/>
  <c r="L27" i="8"/>
  <c r="AC27" i="8"/>
  <c r="S27" i="8"/>
  <c r="Z27" i="8"/>
  <c r="S19" i="5"/>
  <c r="K22" i="8"/>
  <c r="Y22" i="8"/>
  <c r="V15" i="8"/>
  <c r="T27" i="8"/>
  <c r="P15" i="8"/>
  <c r="H15" i="8"/>
  <c r="Z20" i="8"/>
  <c r="M27" i="8"/>
  <c r="W27" i="8"/>
  <c r="P22" i="8"/>
  <c r="R22" i="8"/>
  <c r="F30" i="4"/>
  <c r="E25" i="6" s="1"/>
  <c r="I28" i="42"/>
  <c r="C16" i="42"/>
  <c r="AK28" i="42"/>
  <c r="AM28" i="42"/>
  <c r="AL27" i="42"/>
  <c r="I16" i="42"/>
  <c r="N16" i="42"/>
  <c r="AJ16" i="42"/>
  <c r="AC28" i="42"/>
  <c r="M15" i="42"/>
  <c r="AP15" i="42"/>
  <c r="N15" i="42"/>
  <c r="AI27" i="42"/>
  <c r="W15" i="42"/>
  <c r="AB28" i="42"/>
  <c r="J28" i="42"/>
  <c r="AB15" i="42"/>
  <c r="D28" i="42"/>
  <c r="AJ28" i="42"/>
  <c r="AJ15" i="42"/>
  <c r="D27" i="42"/>
  <c r="AP28" i="42"/>
  <c r="AF28" i="42"/>
  <c r="I15" i="42"/>
  <c r="C15" i="42"/>
  <c r="Y28" i="42"/>
  <c r="AI28" i="42"/>
  <c r="AD15" i="42"/>
  <c r="X28" i="42"/>
  <c r="H28" i="42"/>
  <c r="AM15" i="42"/>
  <c r="E15" i="42"/>
  <c r="AC27" i="42"/>
  <c r="AD28" i="42"/>
  <c r="AF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K26" i="5" s="1"/>
  <c r="X30" i="4"/>
  <c r="AK30" i="4"/>
  <c r="AT30" i="4"/>
  <c r="AM30" i="4"/>
  <c r="BR30" i="4"/>
  <c r="BX30" i="4"/>
  <c r="BA30" i="4"/>
  <c r="BD30" i="4"/>
  <c r="AB30" i="4"/>
  <c r="G30" i="4"/>
  <c r="I30" i="4"/>
  <c r="B26" i="8"/>
  <c r="BQ30" i="4"/>
  <c r="CM30" i="4"/>
  <c r="M4" i="60"/>
  <c r="X4" i="60"/>
  <c r="L4" i="60"/>
  <c r="BL18" i="4"/>
  <c r="E21" i="30"/>
  <c r="E10" i="63" s="1"/>
  <c r="J23" i="27"/>
  <c r="AJ3" i="42"/>
  <c r="AC4" i="12"/>
  <c r="K4" i="67"/>
  <c r="AC5" i="12"/>
  <c r="AC6" i="12"/>
  <c r="Y17" i="12"/>
  <c r="AG24" i="42"/>
  <c r="N25" i="42"/>
  <c r="AG25" i="42"/>
  <c r="AG14" i="42"/>
  <c r="AG15" i="42"/>
  <c r="AG16" i="42"/>
  <c r="AG17" i="42"/>
  <c r="C18" i="42"/>
  <c r="AG18" i="42"/>
  <c r="AG19" i="42"/>
  <c r="AG20" i="42"/>
  <c r="C21" i="42"/>
  <c r="AG21" i="42"/>
  <c r="E22" i="42"/>
  <c r="AG22" i="42"/>
  <c r="AJ23" i="42"/>
  <c r="AG23" i="42"/>
  <c r="AH23" i="42" s="1"/>
  <c r="J40" i="29"/>
  <c r="L48" i="15"/>
  <c r="K51" i="15"/>
  <c r="K44" i="29" s="1"/>
  <c r="K73" i="54"/>
  <c r="O73" i="54"/>
  <c r="L73" i="54"/>
  <c r="I73" i="54"/>
  <c r="M73" i="54"/>
  <c r="Q73" i="54"/>
  <c r="J73" i="54"/>
  <c r="N73" i="54"/>
  <c r="K48" i="53"/>
  <c r="I48" i="53"/>
  <c r="M15" i="11"/>
  <c r="BF3" i="50"/>
  <c r="AC3" i="64"/>
  <c r="I72" i="53"/>
  <c r="AG13" i="42"/>
  <c r="C30" i="42"/>
  <c r="AD21" i="42"/>
  <c r="Y30" i="8"/>
  <c r="C28" i="33"/>
  <c r="R58" i="42"/>
  <c r="I46" i="42"/>
  <c r="AF22" i="42"/>
  <c r="AD70" i="42"/>
  <c r="AM70" i="42"/>
  <c r="AP22" i="42"/>
  <c r="AH70" i="42"/>
  <c r="M70" i="42"/>
  <c r="I82" i="42"/>
  <c r="M34" i="42"/>
  <c r="R34" i="42" s="1"/>
  <c r="AJ82" i="42"/>
  <c r="AD34" i="42"/>
  <c r="AC70" i="42"/>
  <c r="T58" i="42"/>
  <c r="S82" i="42"/>
  <c r="AC22" i="42"/>
  <c r="Z70" i="42"/>
  <c r="AI70" i="42"/>
  <c r="O70" i="42"/>
  <c r="I22" i="42"/>
  <c r="J46" i="42"/>
  <c r="N58" i="42"/>
  <c r="AP70" i="42"/>
  <c r="H58" i="42"/>
  <c r="AH46" i="42"/>
  <c r="AL22" i="42"/>
  <c r="E82" i="42"/>
  <c r="AJ22" i="42"/>
  <c r="S46" i="42"/>
  <c r="R54" i="42"/>
  <c r="T82" i="42"/>
  <c r="AF58" i="42"/>
  <c r="AK70" i="42"/>
  <c r="J34" i="42"/>
  <c r="X22" i="42"/>
  <c r="X70" i="42"/>
  <c r="AD22" i="42"/>
  <c r="AA46" i="42"/>
  <c r="E46" i="42"/>
  <c r="W34" i="42"/>
  <c r="Y46" i="42"/>
  <c r="O22" i="42"/>
  <c r="AB18" i="42"/>
  <c r="AM54" i="42"/>
  <c r="N34" i="42"/>
  <c r="W70" i="42"/>
  <c r="N33" i="42"/>
  <c r="S33" i="42" s="1"/>
  <c r="N82" i="42"/>
  <c r="AQ58" i="42"/>
  <c r="Z22" i="42"/>
  <c r="AI22" i="42"/>
  <c r="AK22" i="42"/>
  <c r="O34" i="42"/>
  <c r="M46" i="42"/>
  <c r="AE70" i="42"/>
  <c r="W58" i="42"/>
  <c r="AE46" i="42"/>
  <c r="M82" i="42"/>
  <c r="Z18" i="42"/>
  <c r="AI33" i="42"/>
  <c r="Z58" i="42"/>
  <c r="D82" i="42"/>
  <c r="AE22" i="42"/>
  <c r="AP58" i="42"/>
  <c r="AC82" i="42"/>
  <c r="I58" i="42"/>
  <c r="N22" i="42"/>
  <c r="H34" i="42"/>
  <c r="D58" i="42"/>
  <c r="AI82" i="42"/>
  <c r="AF46" i="42"/>
  <c r="AB70" i="42"/>
  <c r="R70" i="42"/>
  <c r="H70" i="42"/>
  <c r="D34" i="42"/>
  <c r="AD18" i="42"/>
  <c r="AQ82" i="42"/>
  <c r="J82" i="42"/>
  <c r="AB46" i="42"/>
  <c r="X34" i="42"/>
  <c r="AA58" i="42"/>
  <c r="AE82" i="42"/>
  <c r="AB22" i="42"/>
  <c r="AH58" i="42"/>
  <c r="J58" i="42"/>
  <c r="C70" i="42"/>
  <c r="C22" i="42"/>
  <c r="R46" i="42"/>
  <c r="N70" i="42"/>
  <c r="AC58" i="42"/>
  <c r="W22" i="42"/>
  <c r="AP30" i="42"/>
  <c r="AR82" i="42"/>
  <c r="AJ34" i="42"/>
  <c r="AI46" i="42"/>
  <c r="AE34" i="42"/>
  <c r="AF82" i="42"/>
  <c r="H82" i="42"/>
  <c r="AH82" i="42"/>
  <c r="E34" i="42"/>
  <c r="J22" i="42"/>
  <c r="X58" i="42"/>
  <c r="AL70" i="42"/>
  <c r="D22" i="42"/>
  <c r="S58" i="42"/>
  <c r="AB58" i="42"/>
  <c r="AK46" i="42"/>
  <c r="AP46" i="42"/>
  <c r="AJ70" i="42"/>
  <c r="N46" i="42"/>
  <c r="AC34" i="42"/>
  <c r="AL82" i="42"/>
  <c r="I34" i="42"/>
  <c r="M22" i="42"/>
  <c r="V70" i="42"/>
  <c r="AL34" i="42"/>
  <c r="O30" i="42"/>
  <c r="AR58" i="42"/>
  <c r="V58" i="42"/>
  <c r="W46" i="42"/>
  <c r="AB82" i="42"/>
  <c r="AD46" i="42"/>
  <c r="O46" i="42"/>
  <c r="AJ58" i="42"/>
  <c r="H46" i="42"/>
  <c r="Y22" i="42"/>
  <c r="Y82" i="42"/>
  <c r="Y70" i="42"/>
  <c r="AD82" i="42"/>
  <c r="AF34" i="42"/>
  <c r="D46" i="42"/>
  <c r="X30" i="42"/>
  <c r="Y58" i="42"/>
  <c r="C82" i="42"/>
  <c r="T70" i="42"/>
  <c r="Z46" i="42"/>
  <c r="X82" i="42"/>
  <c r="AI58" i="42"/>
  <c r="V46" i="42"/>
  <c r="AI34" i="42"/>
  <c r="T46" i="42"/>
  <c r="H22" i="42"/>
  <c r="AJ46" i="42"/>
  <c r="AK34" i="42"/>
  <c r="S70" i="42"/>
  <c r="AE58" i="42"/>
  <c r="J70" i="42"/>
  <c r="AB34" i="42"/>
  <c r="R82" i="42"/>
  <c r="V82" i="42"/>
  <c r="AF70" i="42"/>
  <c r="C46" i="42"/>
  <c r="AD58" i="42"/>
  <c r="AC46" i="42"/>
  <c r="AQ46" i="42"/>
  <c r="O82" i="42"/>
  <c r="AA70" i="42"/>
  <c r="Y34" i="42"/>
  <c r="AQ70" i="42"/>
  <c r="X27" i="8"/>
  <c r="C25" i="33"/>
  <c r="N5" i="8"/>
  <c r="K5" i="67"/>
  <c r="O18" i="42"/>
  <c r="N18" i="42"/>
  <c r="AL30" i="42"/>
  <c r="AC66" i="42"/>
  <c r="AH35" i="42"/>
  <c r="AO35" i="42"/>
  <c r="AN35" i="42"/>
  <c r="AJ47" i="42"/>
  <c r="AO47" i="42"/>
  <c r="AN47" i="42"/>
  <c r="H59" i="42"/>
  <c r="AO59" i="42"/>
  <c r="AN59" i="42"/>
  <c r="AI71" i="42"/>
  <c r="AO71" i="42"/>
  <c r="AN71" i="42"/>
  <c r="AJ83" i="42"/>
  <c r="AO83" i="42"/>
  <c r="AN83" i="42"/>
  <c r="AN30" i="42"/>
  <c r="X54" i="42"/>
  <c r="AO54" i="42"/>
  <c r="AN54" i="42"/>
  <c r="E18" i="42"/>
  <c r="I18" i="42"/>
  <c r="AJ66" i="42"/>
  <c r="AM30" i="42"/>
  <c r="AF66" i="42"/>
  <c r="N54" i="42"/>
  <c r="AO36" i="42"/>
  <c r="AN36" i="42"/>
  <c r="AO48" i="42"/>
  <c r="AN48" i="42"/>
  <c r="I60" i="42"/>
  <c r="AO60" i="42"/>
  <c r="AN60" i="42"/>
  <c r="AO72" i="42"/>
  <c r="AN72" i="42"/>
  <c r="AI18" i="42"/>
  <c r="AK18" i="42"/>
  <c r="I30" i="42"/>
  <c r="AD66" i="42"/>
  <c r="AE26" i="42"/>
  <c r="AN26" i="42"/>
  <c r="AR38" i="42"/>
  <c r="AO38" i="42"/>
  <c r="AN38" i="42"/>
  <c r="J50" i="42"/>
  <c r="AO50" i="42"/>
  <c r="AN50" i="42"/>
  <c r="I62" i="42"/>
  <c r="AO62" i="42"/>
  <c r="AN62" i="42"/>
  <c r="AL74" i="42"/>
  <c r="AO74" i="42"/>
  <c r="AN74" i="42"/>
  <c r="H18" i="42"/>
  <c r="Y18" i="42"/>
  <c r="E30" i="42"/>
  <c r="M30" i="42"/>
  <c r="AP27" i="42"/>
  <c r="AN27" i="42"/>
  <c r="AR39" i="42"/>
  <c r="AO39" i="42"/>
  <c r="AN39" i="42"/>
  <c r="E51" i="42"/>
  <c r="AO51" i="42"/>
  <c r="AN51" i="42"/>
  <c r="AO63" i="42"/>
  <c r="AN63" i="42"/>
  <c r="W75" i="42"/>
  <c r="AO75" i="42"/>
  <c r="AN75" i="42"/>
  <c r="D18" i="42"/>
  <c r="AC18" i="42"/>
  <c r="AI30" i="42"/>
  <c r="AB30" i="42"/>
  <c r="AJ30" i="42"/>
  <c r="I66" i="42"/>
  <c r="AN28" i="42"/>
  <c r="R40" i="42"/>
  <c r="AO40" i="42"/>
  <c r="AN40" i="42"/>
  <c r="AO52" i="42"/>
  <c r="AN52" i="42"/>
  <c r="AL64" i="42"/>
  <c r="AO64" i="42"/>
  <c r="AN64" i="42"/>
  <c r="D76" i="42"/>
  <c r="AO76" i="42"/>
  <c r="AN76" i="42"/>
  <c r="AO37" i="42"/>
  <c r="AN37" i="42"/>
  <c r="AK49" i="42"/>
  <c r="AO49" i="42"/>
  <c r="AN49" i="42"/>
  <c r="AO61" i="42"/>
  <c r="AN61" i="42"/>
  <c r="AO73" i="42"/>
  <c r="AN73" i="42"/>
  <c r="AP18" i="42"/>
  <c r="AE18" i="42"/>
  <c r="Y30" i="42"/>
  <c r="AD30" i="42"/>
  <c r="N30" i="42"/>
  <c r="M29" i="42"/>
  <c r="AN29" i="42"/>
  <c r="AO41" i="42"/>
  <c r="AN41" i="42"/>
  <c r="AK53" i="42"/>
  <c r="AO53" i="42"/>
  <c r="AN53" i="42"/>
  <c r="AO65" i="42"/>
  <c r="AN65" i="42"/>
  <c r="AO77" i="42"/>
  <c r="AN77" i="42"/>
  <c r="M18" i="42"/>
  <c r="Z30" i="42"/>
  <c r="J30" i="42"/>
  <c r="AE30" i="42"/>
  <c r="AL18" i="42"/>
  <c r="AK31" i="42"/>
  <c r="AN31" i="42"/>
  <c r="AO43" i="42"/>
  <c r="AN43" i="42"/>
  <c r="AK55" i="42"/>
  <c r="AO55" i="42"/>
  <c r="AN55" i="42"/>
  <c r="AO67" i="42"/>
  <c r="AN67" i="42"/>
  <c r="AO79" i="42"/>
  <c r="AN79" i="42"/>
  <c r="X18" i="42"/>
  <c r="D30" i="42"/>
  <c r="T54" i="42"/>
  <c r="AB32" i="42"/>
  <c r="AR32" i="42" s="1"/>
  <c r="AN32" i="42"/>
  <c r="AO32" i="42" s="1"/>
  <c r="AH44" i="42"/>
  <c r="AO44" i="42"/>
  <c r="AN44" i="42"/>
  <c r="AR56" i="42"/>
  <c r="AO56" i="42"/>
  <c r="AN56" i="42"/>
  <c r="AL68" i="42"/>
  <c r="AO68" i="42"/>
  <c r="AN68" i="42"/>
  <c r="AE80" i="42"/>
  <c r="AO80" i="42"/>
  <c r="AN80" i="42"/>
  <c r="H78" i="42"/>
  <c r="AO78" i="42"/>
  <c r="AN78" i="42"/>
  <c r="AM18" i="42"/>
  <c r="AF18" i="42"/>
  <c r="AJ18" i="42"/>
  <c r="W54" i="42"/>
  <c r="C33" i="42"/>
  <c r="R33" i="42" s="1"/>
  <c r="AN33" i="42"/>
  <c r="AF45" i="42"/>
  <c r="AO45" i="42"/>
  <c r="AN45" i="42"/>
  <c r="AE57" i="42"/>
  <c r="AO57" i="42"/>
  <c r="AN57" i="42"/>
  <c r="N69" i="42"/>
  <c r="AO69" i="42"/>
  <c r="AN69" i="42"/>
  <c r="D81" i="42"/>
  <c r="AO81" i="42"/>
  <c r="AN81" i="42"/>
  <c r="O42" i="42"/>
  <c r="AO42" i="42"/>
  <c r="AN42" i="42"/>
  <c r="Y66" i="42"/>
  <c r="AO66" i="42"/>
  <c r="AN66" i="42"/>
  <c r="W18" i="42"/>
  <c r="J18" i="42"/>
  <c r="H30" i="42"/>
  <c r="AI54" i="42"/>
  <c r="AM34" i="42"/>
  <c r="AN34" i="42"/>
  <c r="AL46" i="42"/>
  <c r="AO46" i="42"/>
  <c r="AN46" i="42"/>
  <c r="AK58" i="42"/>
  <c r="AO58" i="42"/>
  <c r="AN58" i="42"/>
  <c r="I70" i="42"/>
  <c r="AO70" i="42"/>
  <c r="AN70" i="42"/>
  <c r="AP82" i="42"/>
  <c r="AO82" i="42"/>
  <c r="AN82" i="42"/>
  <c r="AN25" i="42"/>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N19" i="5"/>
  <c r="B64" i="5"/>
  <c r="I58" i="5"/>
  <c r="R58" i="5"/>
  <c r="G66" i="5"/>
  <c r="AR66" i="5"/>
  <c r="G50" i="5"/>
  <c r="AR50" i="5"/>
  <c r="M105" i="5"/>
  <c r="P105" i="5"/>
  <c r="F93" i="5"/>
  <c r="B104" i="5"/>
  <c r="E111" i="5"/>
  <c r="L111" i="5"/>
  <c r="K93" i="5"/>
  <c r="F15" i="5"/>
  <c r="N16" i="5"/>
  <c r="U15" i="5"/>
  <c r="R15"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F19" i="5"/>
  <c r="K65" i="5"/>
  <c r="R65" i="5"/>
  <c r="U58" i="5"/>
  <c r="AU58" i="5"/>
  <c r="I87" i="5"/>
  <c r="AU63" i="5"/>
  <c r="AR63" i="5"/>
  <c r="L93" i="5"/>
  <c r="P93" i="5"/>
  <c r="O93" i="5"/>
  <c r="T105" i="5"/>
  <c r="H93" i="5"/>
  <c r="J111" i="5"/>
  <c r="R99" i="5"/>
  <c r="M99" i="5"/>
  <c r="R93" i="5"/>
  <c r="N20" i="5"/>
  <c r="I15"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G65" i="5"/>
  <c r="V65" i="5"/>
  <c r="O58" i="5"/>
  <c r="AU54" i="5"/>
  <c r="J87" i="5"/>
  <c r="M87" i="5"/>
  <c r="F111" i="5"/>
  <c r="U87" i="5"/>
  <c r="B116" i="5"/>
  <c r="V117" i="5"/>
  <c r="H117" i="5"/>
  <c r="T117" i="5"/>
  <c r="L87" i="5"/>
  <c r="V111" i="5"/>
  <c r="L105" i="5"/>
  <c r="U99" i="5"/>
  <c r="N99" i="5"/>
  <c r="AU87" i="5"/>
  <c r="AU93" i="5"/>
  <c r="AU99" i="5"/>
  <c r="AU105" i="5"/>
  <c r="AU111" i="5"/>
  <c r="AU117" i="5"/>
  <c r="M23" i="42"/>
  <c r="R23" i="42" s="1"/>
  <c r="AP23" i="42"/>
  <c r="AN24" i="42"/>
  <c r="AI23" i="42"/>
  <c r="AL23" i="42"/>
  <c r="J23" i="42"/>
  <c r="AF23" i="42"/>
  <c r="E23" i="42"/>
  <c r="AB23" i="42"/>
  <c r="S23" i="42"/>
  <c r="X20" i="8"/>
  <c r="M20" i="8"/>
  <c r="E20" i="8"/>
  <c r="I22" i="8"/>
  <c r="H20" i="8"/>
  <c r="Q20" i="8"/>
  <c r="W20" i="8"/>
  <c r="J20" i="8"/>
  <c r="Z23" i="42"/>
  <c r="AA23" i="42" s="1"/>
  <c r="AN23" i="42"/>
  <c r="AN14" i="42"/>
  <c r="AN17" i="42"/>
  <c r="AN18" i="42"/>
  <c r="AN20" i="42"/>
  <c r="AD13" i="42"/>
  <c r="F12" i="34"/>
  <c r="AR26" i="4"/>
  <c r="AX26" i="4" s="1"/>
  <c r="AQ26" i="4"/>
  <c r="AW26" i="4" s="1"/>
  <c r="AS26" i="4"/>
  <c r="AY26" i="4" s="1"/>
  <c r="BL26" i="4"/>
  <c r="BN26" i="4" s="1"/>
  <c r="O26" i="4"/>
  <c r="Q26" i="4" s="1"/>
  <c r="U18" i="5"/>
  <c r="G18" i="5"/>
  <c r="AK15" i="42"/>
  <c r="AN15" i="42"/>
  <c r="AC16" i="42"/>
  <c r="AN16" i="42"/>
  <c r="F18" i="8"/>
  <c r="J18" i="5"/>
  <c r="E18" i="5"/>
  <c r="T14" i="8"/>
  <c r="Z19" i="42"/>
  <c r="AN19" i="42"/>
  <c r="AD14" i="8"/>
  <c r="Y21" i="42"/>
  <c r="AN21" i="42"/>
  <c r="AO21" i="42" s="1"/>
  <c r="Q14" i="8"/>
  <c r="AM22" i="42"/>
  <c r="AN22" i="42"/>
  <c r="Y13" i="42"/>
  <c r="AN13" i="42"/>
  <c r="F13" i="34"/>
  <c r="E15" i="19"/>
  <c r="F14" i="34"/>
  <c r="D14" i="34"/>
  <c r="D14" i="35" s="1"/>
  <c r="Q3" i="50"/>
  <c r="BK79" i="4"/>
  <c r="X79" i="4"/>
  <c r="BY52" i="4"/>
  <c r="U52" i="4"/>
  <c r="W24" i="42"/>
  <c r="AJ24" i="42"/>
  <c r="AB24" i="42"/>
  <c r="Y24" i="42"/>
  <c r="J24" i="42"/>
  <c r="AM24" i="42"/>
  <c r="O24" i="42"/>
  <c r="E24" i="42"/>
  <c r="H24" i="42"/>
  <c r="I24" i="42"/>
  <c r="AP24" i="42"/>
  <c r="C24" i="42"/>
  <c r="Z24" i="42"/>
  <c r="AI24" i="42"/>
  <c r="AF24" i="42"/>
  <c r="AD24" i="42"/>
  <c r="M24" i="42"/>
  <c r="AC36" i="42"/>
  <c r="Y36"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37" i="8" s="1"/>
  <c r="CC41" i="4"/>
  <c r="BM41" i="4"/>
  <c r="AE29" i="4"/>
  <c r="P29" i="4"/>
  <c r="CK29" i="4"/>
  <c r="BU29" i="4"/>
  <c r="B25" i="8"/>
  <c r="C23" i="33" s="1"/>
  <c r="CF29" i="4"/>
  <c r="S29" i="4"/>
  <c r="CD29" i="4"/>
  <c r="BA29" i="4"/>
  <c r="AU29" i="4"/>
  <c r="CO29" i="4"/>
  <c r="BO29" i="4"/>
  <c r="N29" i="4"/>
  <c r="BY29" i="4"/>
  <c r="AP29" i="4"/>
  <c r="V29" i="4"/>
  <c r="Y29" i="4"/>
  <c r="D25" i="42"/>
  <c r="AC25" i="42"/>
  <c r="Y25" i="42"/>
  <c r="AK25" i="42"/>
  <c r="X25" i="42"/>
  <c r="Z25" i="42"/>
  <c r="AJ25" i="42"/>
  <c r="E25" i="42"/>
  <c r="AL25" i="42"/>
  <c r="M25" i="42"/>
  <c r="AI25" i="42"/>
  <c r="AE25" i="42"/>
  <c r="AP25" i="42"/>
  <c r="O25" i="42"/>
  <c r="AB25" i="42"/>
  <c r="H25" i="42"/>
  <c r="J25" i="42"/>
  <c r="AD25" i="42"/>
  <c r="AM25" i="42"/>
  <c r="E37" i="42"/>
  <c r="AP37" i="42"/>
  <c r="S37" i="42"/>
  <c r="I37" i="42"/>
  <c r="AM37" i="42"/>
  <c r="AD37" i="42"/>
  <c r="H37" i="42"/>
  <c r="AF37" i="42"/>
  <c r="M37" i="42"/>
  <c r="AR37" i="42"/>
  <c r="AJ37" i="42"/>
  <c r="AB37" i="42"/>
  <c r="V37" i="42"/>
  <c r="W37" i="42"/>
  <c r="AI37" i="42"/>
  <c r="C37" i="42"/>
  <c r="Z37" i="42"/>
  <c r="AA37" i="42"/>
  <c r="D37" i="42"/>
  <c r="N37" i="42"/>
  <c r="T37" i="42"/>
  <c r="S49" i="42"/>
  <c r="AH49" i="42"/>
  <c r="AA49" i="42"/>
  <c r="T49" i="42"/>
  <c r="AP49" i="42"/>
  <c r="O49" i="42"/>
  <c r="AD49" i="42"/>
  <c r="V49" i="42"/>
  <c r="AL49" i="42"/>
  <c r="J49" i="42"/>
  <c r="I49" i="42"/>
  <c r="AJ49" i="42"/>
  <c r="AB49" i="42"/>
  <c r="AR49" i="42"/>
  <c r="M49" i="42"/>
  <c r="H49" i="42"/>
  <c r="AQ49" i="42"/>
  <c r="Z49" i="42"/>
  <c r="AF49" i="42"/>
  <c r="N49" i="42"/>
  <c r="W49" i="42"/>
  <c r="AC49" i="42"/>
  <c r="Y49" i="42"/>
  <c r="E49" i="42"/>
  <c r="X49" i="42"/>
  <c r="H61" i="42"/>
  <c r="C61" i="42"/>
  <c r="J73" i="42"/>
  <c r="AE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C72" i="8" s="1"/>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C48" i="8" s="1"/>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C36" i="8" s="1"/>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T72" i="42"/>
  <c r="B24" i="8"/>
  <c r="C22" i="33" s="1"/>
  <c r="S40" i="4"/>
  <c r="CP79" i="4"/>
  <c r="BG28" i="4"/>
  <c r="CV40" i="4"/>
  <c r="BW64" i="4"/>
  <c r="CN79" i="4"/>
  <c r="C28" i="4"/>
  <c r="D21" i="34" s="1"/>
  <c r="CQ79" i="4"/>
  <c r="BA52" i="4"/>
  <c r="BE79" i="4"/>
  <c r="BO40" i="4"/>
  <c r="CL64" i="4"/>
  <c r="BZ79" i="4"/>
  <c r="Y76" i="4"/>
  <c r="U29" i="4"/>
  <c r="AE37" i="42"/>
  <c r="J37" i="42"/>
  <c r="AQ37" i="42"/>
  <c r="AY40" i="4"/>
  <c r="AI28" i="4"/>
  <c r="BF41" i="4"/>
  <c r="BY40" i="4"/>
  <c r="CB76" i="4"/>
  <c r="BS79" i="4"/>
  <c r="S76" i="4"/>
  <c r="AC37" i="42"/>
  <c r="W25" i="42"/>
  <c r="AE40" i="4"/>
  <c r="AG40" i="4"/>
  <c r="AN28" i="4"/>
  <c r="BM76" i="4"/>
  <c r="L40" i="4"/>
  <c r="BV40" i="4"/>
  <c r="BQ76" i="4"/>
  <c r="CE79" i="4"/>
  <c r="C72" i="5"/>
  <c r="AR72" i="5" s="1"/>
  <c r="AM76" i="4"/>
  <c r="AF25" i="42"/>
  <c r="AG28" i="4"/>
  <c r="BK76" i="4"/>
  <c r="BL40" i="4"/>
  <c r="BW52" i="4"/>
  <c r="BU76" i="4"/>
  <c r="BW79" i="4"/>
  <c r="BB40" i="4"/>
  <c r="AT65" i="4"/>
  <c r="I25" i="42"/>
  <c r="AL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E24" i="42"/>
  <c r="X24" i="42"/>
  <c r="O39" i="8"/>
  <c r="D39" i="8"/>
  <c r="AC24" i="42"/>
  <c r="D24" i="42"/>
  <c r="G376" i="32"/>
  <c r="E28" i="5"/>
  <c r="G28" i="5"/>
  <c r="Q50" i="5"/>
  <c r="R50" i="5"/>
  <c r="O38" i="5"/>
  <c r="K2" i="29"/>
  <c r="Y26" i="42"/>
  <c r="AP36" i="42"/>
  <c r="M36" i="42"/>
  <c r="J36" i="42"/>
  <c r="AK36" i="42"/>
  <c r="AH36" i="42"/>
  <c r="E36" i="42"/>
  <c r="V36" i="42"/>
  <c r="AE36" i="42"/>
  <c r="R36" i="42"/>
  <c r="W36" i="42"/>
  <c r="D36" i="42"/>
  <c r="AM36" i="42"/>
  <c r="O36" i="42"/>
  <c r="I36" i="42"/>
  <c r="X36" i="42"/>
  <c r="AR36" i="42"/>
  <c r="S36" i="42"/>
  <c r="Z36" i="42"/>
  <c r="AB36" i="42"/>
  <c r="T36" i="42"/>
  <c r="AF36" i="42"/>
  <c r="AA36" i="42"/>
  <c r="N48" i="42"/>
  <c r="AC48" i="42"/>
  <c r="R48" i="42"/>
  <c r="O48" i="42"/>
  <c r="D48" i="42"/>
  <c r="S48" i="42"/>
  <c r="J48" i="42"/>
  <c r="AM48" i="42"/>
  <c r="AJ48" i="42"/>
  <c r="C48" i="42"/>
  <c r="Z48" i="42"/>
  <c r="H48" i="42"/>
  <c r="AE48" i="42"/>
  <c r="AL48" i="42"/>
  <c r="AH48" i="42"/>
  <c r="AD48" i="42"/>
  <c r="AQ48" i="42"/>
  <c r="AR48" i="42"/>
  <c r="AA48" i="42"/>
  <c r="M48" i="42"/>
  <c r="AB48" i="42"/>
  <c r="AK48" i="42"/>
  <c r="T48" i="42"/>
  <c r="AH72" i="42"/>
  <c r="AP72" i="42"/>
  <c r="J72" i="42"/>
  <c r="AD72" i="42"/>
  <c r="C72" i="42"/>
  <c r="M72" i="42"/>
  <c r="R72" i="42"/>
  <c r="AE72" i="42"/>
  <c r="O72" i="42"/>
  <c r="AC72" i="42"/>
  <c r="AI72" i="42"/>
  <c r="AJ72" i="42"/>
  <c r="AR72" i="42"/>
  <c r="AL72" i="42"/>
  <c r="H72" i="42"/>
  <c r="AK72" i="42"/>
  <c r="D72" i="42"/>
  <c r="AF72" i="42"/>
  <c r="X72" i="42"/>
  <c r="W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61" i="8" s="1"/>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49" i="8" s="1"/>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I25" i="5" s="1"/>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K25" i="8"/>
  <c r="BG80" i="4"/>
  <c r="AH80" i="4"/>
  <c r="BN80" i="4"/>
  <c r="BQ80" i="4"/>
  <c r="X48" i="42"/>
  <c r="I72" i="42"/>
  <c r="AF48" i="42"/>
  <c r="Y14" i="42"/>
  <c r="O14" i="42"/>
  <c r="D14" i="42"/>
  <c r="M28" i="5"/>
  <c r="T50" i="5"/>
  <c r="E38" i="5"/>
  <c r="J38" i="5"/>
  <c r="BT80" i="4"/>
  <c r="V50" i="5"/>
  <c r="I38" i="5"/>
  <c r="V38" i="5"/>
  <c r="CJ80" i="4"/>
  <c r="F80" i="4"/>
  <c r="AQ72" i="42"/>
  <c r="C36" i="42"/>
  <c r="E50" i="5"/>
  <c r="L38" i="5"/>
  <c r="B37" i="5"/>
  <c r="AK80" i="4"/>
  <c r="CL80" i="4"/>
  <c r="I48" i="42"/>
  <c r="N36" i="42"/>
  <c r="O28" i="5"/>
  <c r="R28" i="5"/>
  <c r="U50" i="5"/>
  <c r="K38" i="5"/>
  <c r="S38" i="5"/>
  <c r="AU38" i="5"/>
  <c r="AF80" i="4"/>
  <c r="BC80" i="4"/>
  <c r="BX80" i="4"/>
  <c r="AI36" i="42"/>
  <c r="X26" i="42"/>
  <c r="K50" i="5"/>
  <c r="R38" i="5"/>
  <c r="Q38" i="5"/>
  <c r="AU50" i="5"/>
  <c r="Q80" i="4"/>
  <c r="BZ80" i="4"/>
  <c r="Z72" i="42"/>
  <c r="I28" i="5"/>
  <c r="N28" i="5"/>
  <c r="K28" i="5"/>
  <c r="J28" i="5"/>
  <c r="H50" i="5"/>
  <c r="L50" i="5"/>
  <c r="P38" i="5"/>
  <c r="AI48" i="42"/>
  <c r="H36" i="42"/>
  <c r="I26" i="42"/>
  <c r="D26" i="42"/>
  <c r="E26" i="42"/>
  <c r="Z26" i="42"/>
  <c r="J26" i="42"/>
  <c r="AK26" i="42"/>
  <c r="AD26" i="42"/>
  <c r="AF26" i="42"/>
  <c r="W26" i="42"/>
  <c r="M26" i="42"/>
  <c r="AL26" i="42"/>
  <c r="C26" i="42"/>
  <c r="AP26" i="42"/>
  <c r="AM26" i="42"/>
  <c r="AC26" i="42"/>
  <c r="O26" i="42"/>
  <c r="S28" i="5"/>
  <c r="P28" i="5"/>
  <c r="B49" i="5"/>
  <c r="N50" i="5"/>
  <c r="H38" i="5"/>
  <c r="N38" i="5"/>
  <c r="AQ36" i="42"/>
  <c r="V72" i="42"/>
  <c r="AA72" i="42"/>
  <c r="AB26" i="42"/>
  <c r="B27" i="5"/>
  <c r="F28" i="5"/>
  <c r="J50" i="5"/>
  <c r="M38" i="5"/>
  <c r="AM80" i="4"/>
  <c r="BB80" i="4"/>
  <c r="K80" i="4"/>
  <c r="Y72" i="42"/>
  <c r="E48" i="42"/>
  <c r="V48" i="42"/>
  <c r="AJ26" i="42"/>
  <c r="S66" i="42"/>
  <c r="AB31" i="42"/>
  <c r="CX86" i="4"/>
  <c r="CC86" i="4"/>
  <c r="M42" i="42"/>
  <c r="V66" i="42"/>
  <c r="D66" i="42"/>
  <c r="Z66" i="42"/>
  <c r="AA54" i="42"/>
  <c r="V54" i="42"/>
  <c r="AQ54" i="42"/>
  <c r="H16" i="42"/>
  <c r="AE16" i="42"/>
  <c r="BM86" i="4"/>
  <c r="M38" i="42"/>
  <c r="AQ38" i="42"/>
  <c r="AH38" i="42"/>
  <c r="E74" i="42"/>
  <c r="O38" i="42"/>
  <c r="O74" i="42"/>
  <c r="AP62" i="42"/>
  <c r="Y38" i="42"/>
  <c r="AD50" i="42"/>
  <c r="AK38" i="42"/>
  <c r="AB27" i="42"/>
  <c r="U86" i="4"/>
  <c r="AV86" i="4"/>
  <c r="AP86" i="4"/>
  <c r="O37" i="42"/>
  <c r="E60" i="6"/>
  <c r="F60" i="6"/>
  <c r="E48" i="6"/>
  <c r="F48" i="6"/>
  <c r="C35" i="35"/>
  <c r="E36" i="6"/>
  <c r="F36" i="6"/>
  <c r="C23" i="35"/>
  <c r="AM31" i="42"/>
  <c r="CM86" i="4"/>
  <c r="CD86" i="4"/>
  <c r="W42" i="42"/>
  <c r="AP66" i="42"/>
  <c r="J66" i="42"/>
  <c r="AD54" i="42"/>
  <c r="H54" i="42"/>
  <c r="E16" i="42"/>
  <c r="BN86" i="4"/>
  <c r="C74" i="42"/>
  <c r="AQ62" i="42"/>
  <c r="AC38" i="42"/>
  <c r="R62" i="42"/>
  <c r="Z38" i="42"/>
  <c r="H62" i="42"/>
  <c r="AJ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BU86" i="4"/>
  <c r="CN86" i="4"/>
  <c r="BS86" i="4"/>
  <c r="H66" i="42"/>
  <c r="O66" i="42"/>
  <c r="I54" i="42"/>
  <c r="Y54" i="42"/>
  <c r="W16" i="42"/>
  <c r="M16" i="42"/>
  <c r="BD86" i="4"/>
  <c r="AE38" i="42"/>
  <c r="AB74" i="42"/>
  <c r="V74" i="42"/>
  <c r="Z50" i="42"/>
  <c r="R74" i="42"/>
  <c r="AM62" i="42"/>
  <c r="AK74" i="42"/>
  <c r="O62" i="42"/>
  <c r="AJ74" i="42"/>
  <c r="AJ62" i="42"/>
  <c r="C27" i="42"/>
  <c r="H86" i="4"/>
  <c r="J86" i="4"/>
  <c r="AM86" i="4"/>
  <c r="AA86" i="4"/>
  <c r="D49" i="42"/>
  <c r="CQ77" i="4"/>
  <c r="B72" i="6"/>
  <c r="E68" i="6"/>
  <c r="F68" i="6"/>
  <c r="C68" i="6" s="1"/>
  <c r="E56" i="6"/>
  <c r="F56" i="6"/>
  <c r="C56" i="6" s="1"/>
  <c r="E44" i="6"/>
  <c r="F44" i="6"/>
  <c r="C44" i="6" s="1"/>
  <c r="C31" i="35"/>
  <c r="C19" i="35"/>
  <c r="E20" i="6"/>
  <c r="D31" i="42"/>
  <c r="CJ86" i="4"/>
  <c r="BZ86" i="4"/>
  <c r="CE86" i="4"/>
  <c r="AM66" i="42"/>
  <c r="W66" i="42"/>
  <c r="D54" i="42"/>
  <c r="Z54" i="42"/>
  <c r="AB54" i="42"/>
  <c r="AD16" i="42"/>
  <c r="BB86" i="4"/>
  <c r="AB62" i="42"/>
  <c r="AJ38" i="42"/>
  <c r="AE74" i="42"/>
  <c r="S74" i="42"/>
  <c r="J27" i="42"/>
  <c r="AM38" i="42"/>
  <c r="AD74" i="42"/>
  <c r="D74" i="42"/>
  <c r="AC74" i="42"/>
  <c r="AT86" i="4"/>
  <c r="AC86" i="4"/>
  <c r="D86" i="4"/>
  <c r="AJ86" i="4"/>
  <c r="AH86" i="4"/>
  <c r="AE86" i="4"/>
  <c r="C49" i="42"/>
  <c r="E67" i="6"/>
  <c r="F67" i="6"/>
  <c r="C67" i="6" s="1"/>
  <c r="E55" i="6"/>
  <c r="F55" i="6"/>
  <c r="C55" i="6" s="1"/>
  <c r="E43" i="6"/>
  <c r="F43" i="6"/>
  <c r="C43" i="6" s="1"/>
  <c r="E31" i="6"/>
  <c r="C30" i="35"/>
  <c r="F31" i="6"/>
  <c r="CV86" i="4"/>
  <c r="CO86" i="4"/>
  <c r="CT86" i="4"/>
  <c r="AK66" i="42"/>
  <c r="E54" i="42"/>
  <c r="M66" i="42"/>
  <c r="T66" i="42"/>
  <c r="AP54" i="42"/>
  <c r="AC54" i="42"/>
  <c r="X16" i="42"/>
  <c r="AI16" i="42"/>
  <c r="BF86" i="4"/>
  <c r="BG86" i="4"/>
  <c r="I27" i="42"/>
  <c r="X62" i="42"/>
  <c r="AH62" i="42"/>
  <c r="W38" i="42"/>
  <c r="T62" i="42"/>
  <c r="J74" i="42"/>
  <c r="H27" i="42"/>
  <c r="AM27" i="42"/>
  <c r="AI38" i="42"/>
  <c r="AH74" i="42"/>
  <c r="AA38" i="42"/>
  <c r="AO86" i="4"/>
  <c r="AN86" i="4"/>
  <c r="S86" i="4"/>
  <c r="W86" i="4"/>
  <c r="C82" i="5"/>
  <c r="AE82" i="5" s="1"/>
  <c r="AG86" i="4"/>
  <c r="AR86" i="4"/>
  <c r="E66" i="6"/>
  <c r="F66" i="6"/>
  <c r="D66" i="6" s="1"/>
  <c r="E54" i="6"/>
  <c r="F54" i="6"/>
  <c r="C54" i="6" s="1"/>
  <c r="E42" i="6"/>
  <c r="F42" i="6"/>
  <c r="C42" i="6" s="1"/>
  <c r="C29" i="35"/>
  <c r="F30" i="6"/>
  <c r="E65" i="6"/>
  <c r="F65" i="6"/>
  <c r="C65" i="6" s="1"/>
  <c r="E53" i="6"/>
  <c r="F53" i="6"/>
  <c r="C53" i="6" s="1"/>
  <c r="E41" i="6"/>
  <c r="F41" i="6"/>
  <c r="C41" i="6" s="1"/>
  <c r="E29" i="6"/>
  <c r="C28" i="35"/>
  <c r="CK86" i="4"/>
  <c r="CA86" i="4"/>
  <c r="CF86" i="4"/>
  <c r="AR78" i="42"/>
  <c r="C66" i="42"/>
  <c r="AE66" i="42"/>
  <c r="O54" i="42"/>
  <c r="AE54" i="42"/>
  <c r="AH54" i="42"/>
  <c r="AP16" i="42"/>
  <c r="AK16" i="42"/>
  <c r="BH86" i="4"/>
  <c r="M27" i="42"/>
  <c r="N38" i="42"/>
  <c r="O27" i="42"/>
  <c r="M62" i="42"/>
  <c r="S38" i="42"/>
  <c r="W27" i="42"/>
  <c r="X38" i="42"/>
  <c r="T38" i="42"/>
  <c r="AR62" i="42"/>
  <c r="AP74" i="42"/>
  <c r="AF74" i="42"/>
  <c r="R38" i="42"/>
  <c r="X86" i="4"/>
  <c r="AI86" i="4"/>
  <c r="P86" i="4"/>
  <c r="X27" i="42"/>
  <c r="Y27" i="42"/>
  <c r="CQ86" i="4"/>
  <c r="E64" i="6"/>
  <c r="F64" i="6"/>
  <c r="C64" i="6" s="1"/>
  <c r="E52" i="6"/>
  <c r="F52" i="6"/>
  <c r="C52" i="6" s="1"/>
  <c r="E40" i="6"/>
  <c r="F40" i="6"/>
  <c r="C40" i="6" s="1"/>
  <c r="E28" i="6"/>
  <c r="C27" i="35"/>
  <c r="F28" i="6"/>
  <c r="CW86" i="4"/>
  <c r="BP86" i="4"/>
  <c r="CU86" i="4"/>
  <c r="AC78" i="42"/>
  <c r="N66" i="42"/>
  <c r="AA66" i="42"/>
  <c r="AB66" i="42"/>
  <c r="M54" i="42"/>
  <c r="AR54" i="42"/>
  <c r="AL54" i="42"/>
  <c r="AM16" i="42"/>
  <c r="D16" i="42"/>
  <c r="Z16" i="42"/>
  <c r="BE86" i="4"/>
  <c r="AJ27" i="42"/>
  <c r="W74" i="42"/>
  <c r="Z74" i="42"/>
  <c r="J62" i="42"/>
  <c r="E27" i="42"/>
  <c r="V62" i="42"/>
  <c r="E62" i="42"/>
  <c r="AW86" i="4"/>
  <c r="Y86" i="4"/>
  <c r="AD86" i="4"/>
  <c r="I86" i="4"/>
  <c r="R49" i="42"/>
  <c r="CR86" i="4"/>
  <c r="E63" i="6"/>
  <c r="F63" i="6"/>
  <c r="C63" i="6" s="1"/>
  <c r="E51" i="6"/>
  <c r="F51" i="6"/>
  <c r="C51" i="6" s="1"/>
  <c r="E39" i="6"/>
  <c r="F39" i="6"/>
  <c r="C39" i="6" s="1"/>
  <c r="BW86" i="4"/>
  <c r="CB86" i="4"/>
  <c r="BI86" i="4"/>
  <c r="M78" i="42"/>
  <c r="AI66" i="42"/>
  <c r="X66" i="42"/>
  <c r="E66" i="42"/>
  <c r="C54" i="42"/>
  <c r="AF16" i="42"/>
  <c r="AL16" i="42"/>
  <c r="Y16" i="42"/>
  <c r="BK86" i="4"/>
  <c r="N74" i="42"/>
  <c r="AK27" i="42"/>
  <c r="N27" i="42"/>
  <c r="H38" i="42"/>
  <c r="W62" i="42"/>
  <c r="AI62" i="42"/>
  <c r="AM74" i="42"/>
  <c r="C86" i="4"/>
  <c r="Z27" i="42"/>
  <c r="AU86" i="4"/>
  <c r="K86" i="4"/>
  <c r="BA86" i="4"/>
  <c r="E332" i="32"/>
  <c r="F331" i="32" s="1"/>
  <c r="E62" i="6"/>
  <c r="F62" i="6"/>
  <c r="D62" i="6" s="1"/>
  <c r="E50" i="6"/>
  <c r="F50" i="6"/>
  <c r="C50" i="6" s="1"/>
  <c r="E38" i="6"/>
  <c r="F38" i="6"/>
  <c r="C38" i="6" s="1"/>
  <c r="C25" i="35"/>
  <c r="E26" i="6"/>
  <c r="F26" i="6"/>
  <c r="AQ66" i="42"/>
  <c r="CL86" i="4"/>
  <c r="BQ86" i="4"/>
  <c r="AR66" i="42"/>
  <c r="AL66" i="42"/>
  <c r="S54" i="42"/>
  <c r="AK54" i="42"/>
  <c r="J54" i="42"/>
  <c r="AJ54" i="42"/>
  <c r="AB16" i="42"/>
  <c r="AL38" i="42"/>
  <c r="E38" i="42"/>
  <c r="I74" i="42"/>
  <c r="AR74" i="42"/>
  <c r="J38" i="42"/>
  <c r="D38" i="42"/>
  <c r="AD38" i="42"/>
  <c r="AY86" i="4"/>
  <c r="AB86" i="4"/>
  <c r="AK62" i="42"/>
  <c r="Y37" i="42"/>
  <c r="E61" i="6"/>
  <c r="F61" i="6"/>
  <c r="C61" i="6" s="1"/>
  <c r="E49" i="6"/>
  <c r="F49" i="6"/>
  <c r="C49" i="6" s="1"/>
  <c r="E37" i="6"/>
  <c r="F37" i="6"/>
  <c r="C37" i="6" s="1"/>
  <c r="C24" i="35"/>
  <c r="AR21" i="42"/>
  <c r="T21" i="42"/>
  <c r="I16" i="5"/>
  <c r="E20" i="5"/>
  <c r="I14" i="5"/>
  <c r="AK14" i="5"/>
  <c r="J16" i="5"/>
  <c r="P20" i="5"/>
  <c r="AK14" i="42"/>
  <c r="AJ14" i="42"/>
  <c r="J14" i="5"/>
  <c r="AF14" i="5"/>
  <c r="R16" i="5"/>
  <c r="F16" i="8"/>
  <c r="O20" i="5"/>
  <c r="K14" i="5"/>
  <c r="AG14" i="5"/>
  <c r="C14" i="42"/>
  <c r="D18" i="4"/>
  <c r="O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B13" i="5"/>
  <c r="F21" i="2"/>
  <c r="Q3" i="5"/>
  <c r="C13" i="5" s="1"/>
  <c r="Z13" i="5" s="1"/>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C12" i="33"/>
  <c r="G14" i="8"/>
  <c r="AB57" i="8"/>
  <c r="U57" i="8"/>
  <c r="S61" i="5"/>
  <c r="S56" i="8"/>
  <c r="J46" i="5"/>
  <c r="M46" i="5"/>
  <c r="S46" i="5"/>
  <c r="AN2" i="24"/>
  <c r="H46" i="8"/>
  <c r="U56" i="8"/>
  <c r="Y56" i="8"/>
  <c r="X56" i="8"/>
  <c r="H57" i="8"/>
  <c r="O77" i="4"/>
  <c r="AH53" i="42"/>
  <c r="S53" i="42"/>
  <c r="X31" i="42"/>
  <c r="AP31" i="42"/>
  <c r="W31" i="42"/>
  <c r="CF77" i="4"/>
  <c r="CM77" i="4"/>
  <c r="T42" i="42"/>
  <c r="C42" i="42"/>
  <c r="R42" i="42"/>
  <c r="AM64" i="42"/>
  <c r="D64" i="42"/>
  <c r="BF77" i="4"/>
  <c r="AN77" i="4"/>
  <c r="N77" i="4"/>
  <c r="AB77" i="4"/>
  <c r="Z75" i="42"/>
  <c r="R75" i="42"/>
  <c r="C75" i="42"/>
  <c r="N72" i="42"/>
  <c r="R37" i="42"/>
  <c r="CP77" i="4"/>
  <c r="S43" i="5"/>
  <c r="N55" i="5"/>
  <c r="Q53" i="8"/>
  <c r="AD53" i="8"/>
  <c r="AB53" i="8"/>
  <c r="F50" i="8"/>
  <c r="D50" i="8"/>
  <c r="E51" i="8"/>
  <c r="J51" i="8"/>
  <c r="S27" i="5"/>
  <c r="F43" i="5"/>
  <c r="L43" i="5"/>
  <c r="G18" i="8"/>
  <c r="F55" i="5"/>
  <c r="G55" i="5"/>
  <c r="H46" i="5"/>
  <c r="O14" i="8"/>
  <c r="J14" i="8"/>
  <c r="T57" i="8"/>
  <c r="Z57" i="8"/>
  <c r="P61" i="5"/>
  <c r="L55" i="5"/>
  <c r="O46" i="5"/>
  <c r="Q46" i="5"/>
  <c r="L46" i="5"/>
  <c r="N46" i="8"/>
  <c r="L56" i="8"/>
  <c r="Z56" i="8"/>
  <c r="E57" i="8"/>
  <c r="I57" i="8"/>
  <c r="AU55" i="5"/>
  <c r="BL77" i="4"/>
  <c r="BC77" i="4"/>
  <c r="W53" i="42"/>
  <c r="I53" i="42"/>
  <c r="AE53" i="42"/>
  <c r="AD31" i="42"/>
  <c r="Z31" i="42"/>
  <c r="CU77" i="4"/>
  <c r="BY77" i="4"/>
  <c r="Y42" i="42"/>
  <c r="D53" i="42"/>
  <c r="J64" i="42"/>
  <c r="C64" i="42"/>
  <c r="G77" i="4"/>
  <c r="X77" i="4"/>
  <c r="J77" i="4"/>
  <c r="Z64" i="42"/>
  <c r="AK75" i="42"/>
  <c r="BE77" i="4"/>
  <c r="F27" i="5"/>
  <c r="P54" i="5"/>
  <c r="V53" i="8"/>
  <c r="AA53" i="8"/>
  <c r="I53" i="8"/>
  <c r="O50" i="8"/>
  <c r="AD50" i="8"/>
  <c r="D51" i="8"/>
  <c r="V51" i="8"/>
  <c r="G27" i="5"/>
  <c r="O43" i="5"/>
  <c r="U43" i="5"/>
  <c r="AC18" i="8"/>
  <c r="Q18" i="8"/>
  <c r="L54" i="5"/>
  <c r="V55" i="5"/>
  <c r="E55" i="5"/>
  <c r="G46" i="5"/>
  <c r="R14" i="8"/>
  <c r="F61" i="5"/>
  <c r="J46" i="8"/>
  <c r="G46" i="8"/>
  <c r="AC56" i="8"/>
  <c r="G56" i="8"/>
  <c r="P56" i="8"/>
  <c r="AC57" i="8"/>
  <c r="M55" i="5"/>
  <c r="AU46" i="5"/>
  <c r="R53" i="42"/>
  <c r="X53" i="42"/>
  <c r="M31" i="42"/>
  <c r="C31" i="42"/>
  <c r="BU77" i="4"/>
  <c r="CN77" i="4"/>
  <c r="AM42" i="42"/>
  <c r="I42" i="42"/>
  <c r="AP42" i="42"/>
  <c r="R64" i="42"/>
  <c r="AD53" i="42"/>
  <c r="H64" i="42"/>
  <c r="AK64" i="42"/>
  <c r="AG77" i="4"/>
  <c r="AR77" i="4"/>
  <c r="P77" i="4"/>
  <c r="BA77" i="4"/>
  <c r="M75" i="42"/>
  <c r="E75" i="42"/>
  <c r="Y60" i="42"/>
  <c r="AP48" i="42"/>
  <c r="X37" i="42"/>
  <c r="AK37" i="42"/>
  <c r="K77" i="4"/>
  <c r="E77" i="4"/>
  <c r="AA51" i="8"/>
  <c r="W53" i="8"/>
  <c r="Y53" i="8"/>
  <c r="J50" i="8"/>
  <c r="P50" i="8"/>
  <c r="AD51" i="8"/>
  <c r="Z51" i="8"/>
  <c r="P27" i="5"/>
  <c r="N27" i="5"/>
  <c r="V43" i="5"/>
  <c r="Z18" i="8"/>
  <c r="I18" i="8"/>
  <c r="V54" i="5"/>
  <c r="U55" i="5"/>
  <c r="P46" i="5"/>
  <c r="M37" i="5"/>
  <c r="W57" i="8"/>
  <c r="H14" i="8"/>
  <c r="AD56" i="8"/>
  <c r="W46" i="8"/>
  <c r="AB46" i="8"/>
  <c r="I46" i="5"/>
  <c r="I2" i="26"/>
  <c r="I2" i="23"/>
  <c r="Z46" i="8"/>
  <c r="F56" i="8"/>
  <c r="E56" i="8"/>
  <c r="J57" i="8"/>
  <c r="D57" i="8"/>
  <c r="R46" i="5"/>
  <c r="C53" i="42"/>
  <c r="AJ31" i="42"/>
  <c r="CJ77" i="4"/>
  <c r="BZ77" i="4"/>
  <c r="AK42" i="42"/>
  <c r="N42" i="42"/>
  <c r="AI42" i="42"/>
  <c r="T53" i="42"/>
  <c r="AA64" i="42"/>
  <c r="AP64" i="42"/>
  <c r="AI77" i="4"/>
  <c r="AA77" i="4"/>
  <c r="Z77" i="4"/>
  <c r="Y77" i="4"/>
  <c r="J75" i="42"/>
  <c r="N75" i="42"/>
  <c r="AQ75" i="42"/>
  <c r="AA75" i="42"/>
  <c r="AH37" i="42"/>
  <c r="U51" i="8"/>
  <c r="M53" i="8"/>
  <c r="X53" i="8"/>
  <c r="G50" i="8"/>
  <c r="W50" i="8"/>
  <c r="L51" i="8"/>
  <c r="Q51" i="8"/>
  <c r="E27" i="5"/>
  <c r="J27" i="5"/>
  <c r="E43" i="5"/>
  <c r="J43" i="5"/>
  <c r="N18" i="8"/>
  <c r="T54" i="5"/>
  <c r="N14" i="8"/>
  <c r="S55" i="5"/>
  <c r="P55" i="5"/>
  <c r="X14" i="8"/>
  <c r="F57" i="8"/>
  <c r="L61" i="5"/>
  <c r="I46" i="8"/>
  <c r="V46" i="5"/>
  <c r="B45" i="5"/>
  <c r="T46" i="8"/>
  <c r="Y46" i="8"/>
  <c r="V56" i="8"/>
  <c r="G57" i="8"/>
  <c r="V57" i="8"/>
  <c r="AU61" i="5"/>
  <c r="AU37" i="5"/>
  <c r="BB77" i="4"/>
  <c r="H53" i="42"/>
  <c r="AA53" i="42"/>
  <c r="AC31" i="42"/>
  <c r="AF31" i="42"/>
  <c r="CV77" i="4"/>
  <c r="CO77" i="4"/>
  <c r="H42" i="42"/>
  <c r="AL42" i="42"/>
  <c r="J42" i="42"/>
  <c r="AQ42" i="42"/>
  <c r="E53" i="42"/>
  <c r="AD64" i="42"/>
  <c r="AF64" i="42"/>
  <c r="AT77" i="4"/>
  <c r="AJ77" i="4"/>
  <c r="AK77" i="4"/>
  <c r="H77" i="4"/>
  <c r="AE75" i="42"/>
  <c r="AL75" i="42"/>
  <c r="R46" i="8"/>
  <c r="F53" i="8"/>
  <c r="T53" i="8"/>
  <c r="Z50" i="8"/>
  <c r="U50" i="8"/>
  <c r="F51" i="8"/>
  <c r="H51" i="8"/>
  <c r="O27" i="5"/>
  <c r="I27" i="5"/>
  <c r="I43" i="5"/>
  <c r="T43" i="5"/>
  <c r="K18" i="8"/>
  <c r="L18" i="8"/>
  <c r="B53" i="5"/>
  <c r="G54" i="5"/>
  <c r="K14" i="8"/>
  <c r="V14" i="8"/>
  <c r="S14" i="8"/>
  <c r="T37" i="5"/>
  <c r="Y57" i="8"/>
  <c r="W14" i="8"/>
  <c r="M61" i="5"/>
  <c r="K46" i="5"/>
  <c r="AA46" i="8"/>
  <c r="K46" i="8"/>
  <c r="AA57" i="8"/>
  <c r="S57" i="8"/>
  <c r="S37" i="5"/>
  <c r="BD77" i="4"/>
  <c r="AB53" i="42"/>
  <c r="AM53" i="42"/>
  <c r="AI53" i="42"/>
  <c r="AF53" i="42"/>
  <c r="AL31" i="42"/>
  <c r="H31" i="42"/>
  <c r="BR77" i="4"/>
  <c r="BV77" i="4"/>
  <c r="BO77" i="4"/>
  <c r="AD42" i="42"/>
  <c r="S42" i="42"/>
  <c r="V42" i="42"/>
  <c r="Z42" i="42"/>
  <c r="AC42" i="42"/>
  <c r="M64" i="42"/>
  <c r="N64" i="42"/>
  <c r="AL77" i="4"/>
  <c r="R77" i="4"/>
  <c r="AQ77" i="4"/>
  <c r="C73" i="5"/>
  <c r="M77" i="4"/>
  <c r="X75" i="42"/>
  <c r="Y75" i="42"/>
  <c r="O75" i="42"/>
  <c r="I75" i="42"/>
  <c r="I77" i="4"/>
  <c r="V77" i="4"/>
  <c r="W48" i="42"/>
  <c r="N43" i="5"/>
  <c r="V46" i="8"/>
  <c r="P53" i="8"/>
  <c r="J53" i="8"/>
  <c r="X50" i="8"/>
  <c r="AC50" i="8"/>
  <c r="E50" i="8"/>
  <c r="G51" i="8"/>
  <c r="AB51" i="8"/>
  <c r="U27" i="5"/>
  <c r="M43" i="5"/>
  <c r="S18" i="8"/>
  <c r="F54" i="5"/>
  <c r="S54" i="5"/>
  <c r="E14" i="8"/>
  <c r="R55" i="5"/>
  <c r="J37" i="5"/>
  <c r="I2" i="28"/>
  <c r="F14" i="8"/>
  <c r="I14" i="8"/>
  <c r="AD57" i="8"/>
  <c r="L46" i="8"/>
  <c r="O46" i="8"/>
  <c r="I56" i="8"/>
  <c r="T56" i="8"/>
  <c r="Q57" i="8"/>
  <c r="Z53" i="42"/>
  <c r="AC53" i="42"/>
  <c r="Y53" i="42"/>
  <c r="AI31" i="42"/>
  <c r="E31" i="42"/>
  <c r="CD77" i="4"/>
  <c r="CK77" i="4"/>
  <c r="CA77" i="4"/>
  <c r="AJ42" i="42"/>
  <c r="S64" i="42"/>
  <c r="W64" i="42"/>
  <c r="AB64" i="42"/>
  <c r="AW77" i="4"/>
  <c r="AV77" i="4"/>
  <c r="AU77" i="4"/>
  <c r="AS77" i="4"/>
  <c r="AO77" i="4"/>
  <c r="E64" i="42"/>
  <c r="AB75" i="42"/>
  <c r="U54" i="5"/>
  <c r="Q46" i="8"/>
  <c r="U53" i="8"/>
  <c r="G53" i="8"/>
  <c r="Y50" i="8"/>
  <c r="S50" i="8"/>
  <c r="AB50" i="8"/>
  <c r="S51" i="8"/>
  <c r="R27" i="5"/>
  <c r="K27" i="5"/>
  <c r="B42" i="5"/>
  <c r="C16" i="33"/>
  <c r="O54" i="5"/>
  <c r="N54" i="5"/>
  <c r="L14" i="8"/>
  <c r="Q55" i="5"/>
  <c r="T55" i="5"/>
  <c r="U14" i="8"/>
  <c r="E61" i="5"/>
  <c r="N56" i="8"/>
  <c r="N46" i="5"/>
  <c r="M46" i="8"/>
  <c r="K2" i="27"/>
  <c r="W56" i="8"/>
  <c r="AA56" i="8"/>
  <c r="P57" i="8"/>
  <c r="AU43" i="5"/>
  <c r="V53" i="42"/>
  <c r="AJ53" i="42"/>
  <c r="AL53" i="42"/>
  <c r="J31" i="42"/>
  <c r="N31" i="42"/>
  <c r="CS77" i="4"/>
  <c r="CW77" i="4"/>
  <c r="BP77" i="4"/>
  <c r="AF42" i="42"/>
  <c r="AA42" i="42"/>
  <c r="X42" i="42"/>
  <c r="AC64" i="42"/>
  <c r="AE64" i="42"/>
  <c r="D77" i="4"/>
  <c r="BH77" i="4"/>
  <c r="AY77" i="4"/>
  <c r="C77" i="4"/>
  <c r="S75" i="42"/>
  <c r="AJ75" i="42"/>
  <c r="Y48" i="42"/>
  <c r="Z53" i="8"/>
  <c r="O53" i="8"/>
  <c r="M50" i="8"/>
  <c r="N50" i="8"/>
  <c r="L50" i="8"/>
  <c r="P51" i="8"/>
  <c r="N51" i="8"/>
  <c r="K51" i="8"/>
  <c r="B26" i="5"/>
  <c r="K43" i="5"/>
  <c r="W18" i="8"/>
  <c r="M54" i="5"/>
  <c r="I54" i="5"/>
  <c r="AA14" i="8"/>
  <c r="B54" i="5"/>
  <c r="Y14" i="8"/>
  <c r="D56" i="8"/>
  <c r="T46" i="5"/>
  <c r="E46" i="8"/>
  <c r="U46" i="8"/>
  <c r="AD46" i="8"/>
  <c r="K56" i="8"/>
  <c r="O57" i="8"/>
  <c r="M57" i="8"/>
  <c r="X57" i="8"/>
  <c r="S46" i="8"/>
  <c r="Y31" i="42"/>
  <c r="I31" i="42"/>
  <c r="BI77" i="4"/>
  <c r="BS77" i="4"/>
  <c r="BW77" i="4"/>
  <c r="CB77" i="4"/>
  <c r="D42" i="42"/>
  <c r="E42" i="42"/>
  <c r="AR42" i="42"/>
  <c r="T64" i="42"/>
  <c r="V64" i="42"/>
  <c r="AX77" i="4"/>
  <c r="BM77" i="4"/>
  <c r="BN77" i="4"/>
  <c r="Q77" i="4"/>
  <c r="S77" i="4"/>
  <c r="AI75" i="42"/>
  <c r="AM75" i="42"/>
  <c r="AP75" i="42"/>
  <c r="D75" i="42"/>
  <c r="AF75" i="42"/>
  <c r="AH75" i="42"/>
  <c r="AM77" i="4"/>
  <c r="H53" i="8"/>
  <c r="V50" i="8"/>
  <c r="Q50" i="8"/>
  <c r="AC51" i="8"/>
  <c r="R51" i="8"/>
  <c r="Y18" i="8"/>
  <c r="H54" i="5"/>
  <c r="P14" i="8"/>
  <c r="J55" i="5"/>
  <c r="G61" i="5"/>
  <c r="AB14" i="8"/>
  <c r="AC14" i="8"/>
  <c r="Z14" i="8"/>
  <c r="Q56" i="8"/>
  <c r="P46" i="8"/>
  <c r="R56" i="8"/>
  <c r="AC46" i="8"/>
  <c r="N53" i="42"/>
  <c r="AR53" i="42"/>
  <c r="AE31" i="42"/>
  <c r="CE77" i="4"/>
  <c r="CL77" i="4"/>
  <c r="BQ77" i="4"/>
  <c r="AE42" i="42"/>
  <c r="AH42" i="42"/>
  <c r="O64" i="42"/>
  <c r="AR64" i="42"/>
  <c r="AI64" i="42"/>
  <c r="AE77" i="4"/>
  <c r="U77" i="4"/>
  <c r="AR75" i="42"/>
  <c r="V75" i="42"/>
  <c r="AD75" i="42"/>
  <c r="T75" i="42"/>
  <c r="F77" i="4"/>
  <c r="G332" i="32"/>
  <c r="H330" i="32" s="1"/>
  <c r="AM72" i="42"/>
  <c r="G324" i="32"/>
  <c r="H321" i="32" s="1"/>
  <c r="X15" i="8"/>
  <c r="AC15" i="8"/>
  <c r="AE15" i="42"/>
  <c r="R15" i="8"/>
  <c r="G15" i="8"/>
  <c r="H15" i="42"/>
  <c r="Y15" i="8"/>
  <c r="N15" i="8"/>
  <c r="L15" i="8"/>
  <c r="AF15" i="42"/>
  <c r="AI15" i="42"/>
  <c r="S15" i="8"/>
  <c r="M15" i="8"/>
  <c r="AB15" i="8"/>
  <c r="W15" i="8"/>
  <c r="E15" i="8"/>
  <c r="C13" i="33"/>
  <c r="T15" i="8"/>
  <c r="J15" i="42"/>
  <c r="AL15" i="42"/>
  <c r="Z15" i="8"/>
  <c r="I15" i="8"/>
  <c r="K15" i="8"/>
  <c r="AC15" i="42"/>
  <c r="O15" i="8"/>
  <c r="U15" i="8"/>
  <c r="J15" i="8"/>
  <c r="F15" i="8"/>
  <c r="AA15" i="8"/>
  <c r="AD15" i="8"/>
  <c r="Y15" i="42"/>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J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J5" i="42"/>
  <c r="C13" i="42"/>
  <c r="AP13" i="42"/>
  <c r="AK13" i="42"/>
  <c r="M13" i="42"/>
  <c r="AE13" i="42"/>
  <c r="N13" i="42"/>
  <c r="AI13" i="42"/>
  <c r="H13" i="42"/>
  <c r="I13" i="42"/>
  <c r="E13" i="42"/>
  <c r="O13" i="42"/>
  <c r="Z13" i="42"/>
  <c r="X13" i="42"/>
  <c r="AL13" i="42"/>
  <c r="AB13" i="42"/>
  <c r="AM13" i="42"/>
  <c r="AC13" i="42"/>
  <c r="W13" i="42"/>
  <c r="J13" i="42"/>
  <c r="J13" i="34"/>
  <c r="O66" i="5"/>
  <c r="V66" i="5"/>
  <c r="B52" i="5"/>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67" i="8" s="1"/>
  <c r="CR71" i="4"/>
  <c r="X71" i="4"/>
  <c r="BH71" i="4"/>
  <c r="C71" i="4"/>
  <c r="CP71" i="4"/>
  <c r="I71" i="4"/>
  <c r="S71" i="4"/>
  <c r="AD71" i="4"/>
  <c r="N66" i="5"/>
  <c r="Q66" i="5"/>
  <c r="F53" i="5"/>
  <c r="AU66" i="5"/>
  <c r="CT27" i="4"/>
  <c r="C63" i="42"/>
  <c r="O71" i="42"/>
  <c r="T37" i="4"/>
  <c r="U37" i="4"/>
  <c r="AU37" i="4"/>
  <c r="W37" i="4"/>
  <c r="D37" i="4"/>
  <c r="X37" i="4"/>
  <c r="Z37" i="4"/>
  <c r="AM37" i="4"/>
  <c r="AG37" i="4"/>
  <c r="AP37" i="4"/>
  <c r="G37" i="4"/>
  <c r="I37" i="4"/>
  <c r="V37" i="4"/>
  <c r="B33" i="8"/>
  <c r="AJ37" i="4"/>
  <c r="S37" i="4"/>
  <c r="AD37" i="4"/>
  <c r="AF37" i="4"/>
  <c r="Y37" i="4"/>
  <c r="C37" i="4"/>
  <c r="F32" i="6" s="1"/>
  <c r="AC37" i="4"/>
  <c r="N37" i="4"/>
  <c r="AT37" i="4"/>
  <c r="BK37" i="4"/>
  <c r="AA37" i="4"/>
  <c r="AE37" i="4"/>
  <c r="C33" i="5"/>
  <c r="E37" i="4"/>
  <c r="F37" i="4"/>
  <c r="E32" i="6" s="1"/>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I29" i="42"/>
  <c r="CO27" i="4"/>
  <c r="BH27" i="4"/>
  <c r="C71" i="42"/>
  <c r="D63" i="42"/>
  <c r="E63" i="42"/>
  <c r="M66" i="5"/>
  <c r="J66" i="5"/>
  <c r="L53" i="5"/>
  <c r="Q53" i="5"/>
  <c r="BS27" i="4"/>
  <c r="BT27" i="4"/>
  <c r="BO27" i="4"/>
  <c r="X73" i="42"/>
  <c r="H73" i="42"/>
  <c r="AA46" i="4"/>
  <c r="BJ46" i="4"/>
  <c r="Z46" i="4"/>
  <c r="CR46" i="4"/>
  <c r="CQ46" i="4"/>
  <c r="CP46" i="4"/>
  <c r="R46" i="4"/>
  <c r="AM46" i="4"/>
  <c r="C42" i="5"/>
  <c r="AM42" i="5" s="1"/>
  <c r="B42" i="8"/>
  <c r="B31" i="8"/>
  <c r="AK35" i="4"/>
  <c r="AO35" i="4"/>
  <c r="M35" i="4"/>
  <c r="AG35" i="4"/>
  <c r="T35" i="4"/>
  <c r="AD35" i="4"/>
  <c r="G35" i="4"/>
  <c r="N35" i="4"/>
  <c r="K35" i="4"/>
  <c r="F28" i="34" s="1"/>
  <c r="F35" i="4"/>
  <c r="E30" i="6" s="1"/>
  <c r="AB35" i="4"/>
  <c r="AT35" i="4"/>
  <c r="R35" i="4"/>
  <c r="AH35" i="4"/>
  <c r="V35" i="4"/>
  <c r="D35" i="4"/>
  <c r="Y35" i="4"/>
  <c r="AV35" i="4"/>
  <c r="AI35" i="4"/>
  <c r="O53" i="5"/>
  <c r="BR27" i="4"/>
  <c r="CF27" i="4"/>
  <c r="CA27" i="4"/>
  <c r="AH61" i="42"/>
  <c r="AB61" i="42"/>
  <c r="Y61" i="42"/>
  <c r="V61" i="42"/>
  <c r="AR61" i="42"/>
  <c r="AI61" i="42"/>
  <c r="AF61" i="42"/>
  <c r="AC61" i="42"/>
  <c r="R61" i="42"/>
  <c r="S61" i="42"/>
  <c r="AK61" i="42"/>
  <c r="D61" i="42"/>
  <c r="Z61" i="42"/>
  <c r="T61" i="42"/>
  <c r="AQ61" i="42"/>
  <c r="J61" i="42"/>
  <c r="I61" i="42"/>
  <c r="AJ61" i="42"/>
  <c r="AP61" i="42"/>
  <c r="M61" i="42"/>
  <c r="AL61" i="42"/>
  <c r="N61" i="42"/>
  <c r="O61" i="42"/>
  <c r="W61" i="42"/>
  <c r="W71" i="42"/>
  <c r="AP71" i="42"/>
  <c r="X71" i="42"/>
  <c r="Y71" i="42"/>
  <c r="R71" i="42"/>
  <c r="V71" i="42"/>
  <c r="AM71" i="42"/>
  <c r="AC71" i="42"/>
  <c r="AH71" i="42"/>
  <c r="T71" i="42"/>
  <c r="AF71" i="42"/>
  <c r="D71" i="42"/>
  <c r="M71" i="42"/>
  <c r="H71" i="42"/>
  <c r="AA71" i="42"/>
  <c r="AJ71" i="42"/>
  <c r="AR71" i="42"/>
  <c r="AL71" i="42"/>
  <c r="E71" i="42"/>
  <c r="AD71" i="42"/>
  <c r="I71" i="42"/>
  <c r="S71" i="42"/>
  <c r="J71" i="42"/>
  <c r="AQ71" i="42"/>
  <c r="M83" i="42"/>
  <c r="AL83" i="42"/>
  <c r="AA83" i="42"/>
  <c r="V83" i="42"/>
  <c r="S83" i="42"/>
  <c r="AH83" i="42"/>
  <c r="T83" i="42"/>
  <c r="AR83" i="42"/>
  <c r="R83" i="42"/>
  <c r="Y83" i="42"/>
  <c r="J83" i="42"/>
  <c r="H83" i="42"/>
  <c r="AK83" i="42"/>
  <c r="W83" i="42"/>
  <c r="AP83" i="42"/>
  <c r="C83" i="42"/>
  <c r="AD83" i="42"/>
  <c r="AF83" i="42"/>
  <c r="AB83" i="42"/>
  <c r="E83" i="42"/>
  <c r="O83" i="42"/>
  <c r="X83" i="42"/>
  <c r="AC83" i="42"/>
  <c r="AE83" i="42"/>
  <c r="Z83" i="42"/>
  <c r="D83" i="42"/>
  <c r="I83" i="42"/>
  <c r="AQ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AU53" i="5"/>
  <c r="H53" i="5"/>
  <c r="N53" i="5"/>
  <c r="BB27" i="4"/>
  <c r="BU27" i="4"/>
  <c r="CU27" i="4"/>
  <c r="BP27" i="4"/>
  <c r="AL73" i="42"/>
  <c r="AP39" i="42"/>
  <c r="AJ39" i="42"/>
  <c r="Z39" i="42"/>
  <c r="AH39" i="42"/>
  <c r="C39" i="42"/>
  <c r="T39" i="42"/>
  <c r="J39" i="42"/>
  <c r="O39" i="42"/>
  <c r="D39" i="42"/>
  <c r="AC39" i="42"/>
  <c r="AL39" i="42"/>
  <c r="I39" i="42"/>
  <c r="H39" i="42"/>
  <c r="E39" i="42"/>
  <c r="M39" i="42"/>
  <c r="AD39" i="42"/>
  <c r="AF39" i="42"/>
  <c r="S39" i="42"/>
  <c r="AI39" i="42"/>
  <c r="AB39" i="42"/>
  <c r="X39" i="42"/>
  <c r="AK39" i="42"/>
  <c r="R39" i="42"/>
  <c r="AM39" i="42"/>
  <c r="AA39" i="42"/>
  <c r="Y39" i="42"/>
  <c r="AE39" i="42"/>
  <c r="X50" i="42"/>
  <c r="V50" i="42"/>
  <c r="T50" i="42"/>
  <c r="AI50" i="42"/>
  <c r="AA50" i="42"/>
  <c r="Y50" i="42"/>
  <c r="M50" i="42"/>
  <c r="AB50" i="42"/>
  <c r="AE50" i="42"/>
  <c r="I50" i="42"/>
  <c r="AC50" i="42"/>
  <c r="N50" i="42"/>
  <c r="D50" i="42"/>
  <c r="H50" i="42"/>
  <c r="S50" i="42"/>
  <c r="AL50" i="42"/>
  <c r="AF50" i="42"/>
  <c r="W50" i="42"/>
  <c r="AQ50" i="42"/>
  <c r="AK50" i="42"/>
  <c r="AR50" i="42"/>
  <c r="AM50" i="42"/>
  <c r="AH50" i="42"/>
  <c r="O50" i="42"/>
  <c r="AP50" i="42"/>
  <c r="G55" i="4"/>
  <c r="Y55" i="4"/>
  <c r="CR55" i="4"/>
  <c r="J55" i="4"/>
  <c r="CP55" i="4"/>
  <c r="CQ44" i="4"/>
  <c r="AA44" i="4"/>
  <c r="CR44" i="4"/>
  <c r="CP44" i="4"/>
  <c r="U44" i="4"/>
  <c r="AK44" i="4"/>
  <c r="AX44" i="4"/>
  <c r="BA27" i="4"/>
  <c r="BW27" i="4"/>
  <c r="BV27" i="4"/>
  <c r="CB27" i="4"/>
  <c r="AD61" i="42"/>
  <c r="AI29" i="42"/>
  <c r="AC29" i="42"/>
  <c r="X29" i="42"/>
  <c r="AK63" i="42"/>
  <c r="Z63" i="42"/>
  <c r="X63" i="42"/>
  <c r="AQ63" i="42"/>
  <c r="AD63" i="42"/>
  <c r="Y63" i="42"/>
  <c r="H63" i="42"/>
  <c r="AB63" i="42"/>
  <c r="AI63" i="42"/>
  <c r="AA63" i="42"/>
  <c r="AH63" i="42"/>
  <c r="J63" i="42"/>
  <c r="T63" i="42"/>
  <c r="AF63" i="42"/>
  <c r="AJ63" i="42"/>
  <c r="AR63" i="42"/>
  <c r="V63" i="42"/>
  <c r="M63" i="42"/>
  <c r="I63" i="42"/>
  <c r="AL63" i="42"/>
  <c r="AC63" i="42"/>
  <c r="O63" i="42"/>
  <c r="W63" i="42"/>
  <c r="AP63" i="42"/>
  <c r="N63" i="42"/>
  <c r="R63" i="42"/>
  <c r="AE63" i="42"/>
  <c r="S63" i="42"/>
  <c r="AR73" i="42"/>
  <c r="I73" i="42"/>
  <c r="Y73" i="42"/>
  <c r="AA73" i="42"/>
  <c r="M73" i="42"/>
  <c r="AB73" i="42"/>
  <c r="AP73" i="42"/>
  <c r="D73" i="42"/>
  <c r="AJ73" i="42"/>
  <c r="W73" i="42"/>
  <c r="R73" i="42"/>
  <c r="AH73" i="42"/>
  <c r="T73" i="42"/>
  <c r="AD73" i="42"/>
  <c r="S73" i="42"/>
  <c r="AM73" i="42"/>
  <c r="AF73" i="42"/>
  <c r="E73" i="42"/>
  <c r="N73" i="42"/>
  <c r="C73" i="42"/>
  <c r="Z73" i="42"/>
  <c r="AC73" i="42"/>
  <c r="AK73" i="42"/>
  <c r="AQ73" i="42"/>
  <c r="V73" i="42"/>
  <c r="O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F66" i="5"/>
  <c r="S53" i="5"/>
  <c r="AU74" i="5"/>
  <c r="BC27" i="4"/>
  <c r="BE27" i="4"/>
  <c r="CK27" i="4"/>
  <c r="BQ27" i="4"/>
  <c r="AK71" i="42"/>
  <c r="AI73" i="42"/>
  <c r="AB71" i="42"/>
  <c r="R50" i="42"/>
  <c r="D41" i="42"/>
  <c r="AB41" i="42"/>
  <c r="V41" i="42"/>
  <c r="AD52" i="42"/>
  <c r="V52" i="42"/>
  <c r="AF52" i="42"/>
  <c r="I52" i="42"/>
  <c r="X52" i="42"/>
  <c r="M52" i="42"/>
  <c r="N52" i="42"/>
  <c r="H52" i="42"/>
  <c r="D52" i="42"/>
  <c r="AL52" i="42"/>
  <c r="J52" i="42"/>
  <c r="AP52" i="42"/>
  <c r="W52" i="42"/>
  <c r="AE52" i="42"/>
  <c r="AQ52" i="42"/>
  <c r="E52" i="42"/>
  <c r="R52" i="42"/>
  <c r="Y52" i="42"/>
  <c r="Z52" i="42"/>
  <c r="AC52" i="42"/>
  <c r="AR52" i="42"/>
  <c r="O52" i="42"/>
  <c r="AM52" i="42"/>
  <c r="AH52" i="42"/>
  <c r="S52" i="42"/>
  <c r="AJ52" i="42"/>
  <c r="AW64" i="4"/>
  <c r="AL64" i="4"/>
  <c r="AT64" i="4"/>
  <c r="X64" i="4"/>
  <c r="AN64" i="4"/>
  <c r="H64" i="4"/>
  <c r="AC64" i="4"/>
  <c r="AH64" i="4"/>
  <c r="AS64" i="4"/>
  <c r="AP64" i="4"/>
  <c r="Y64" i="4"/>
  <c r="AR64" i="4"/>
  <c r="G64" i="4"/>
  <c r="K64" i="4"/>
  <c r="R64" i="4"/>
  <c r="V64" i="4"/>
  <c r="AE64" i="4"/>
  <c r="D64" i="4"/>
  <c r="AV64" i="4"/>
  <c r="J64" i="4"/>
  <c r="U64" i="4"/>
  <c r="I64" i="4"/>
  <c r="B60" i="8"/>
  <c r="C60" i="8" s="1"/>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BF27" i="4"/>
  <c r="BJ27" i="4"/>
  <c r="H29" i="42"/>
  <c r="CE27" i="4"/>
  <c r="CC27" i="4"/>
  <c r="BK27" i="4"/>
  <c r="AQ39" i="42"/>
  <c r="AM83" i="42"/>
  <c r="AK20" i="42"/>
  <c r="W20" i="42"/>
  <c r="Z20" i="42"/>
  <c r="AJ20" i="42"/>
  <c r="X20" i="42"/>
  <c r="J20" i="42"/>
  <c r="AC20" i="42"/>
  <c r="E20" i="42"/>
  <c r="AI20" i="42"/>
  <c r="AE20" i="42"/>
  <c r="AD20" i="42"/>
  <c r="AF20" i="42"/>
  <c r="C20" i="42"/>
  <c r="AM20" i="42"/>
  <c r="I20" i="42"/>
  <c r="AL20" i="42"/>
  <c r="D20" i="42"/>
  <c r="O20" i="42"/>
  <c r="M20" i="42"/>
  <c r="AB20" i="42"/>
  <c r="AP20" i="42"/>
  <c r="N20" i="42"/>
  <c r="Y20" i="42"/>
  <c r="H20" i="42"/>
  <c r="X63" i="4"/>
  <c r="AX63" i="4"/>
  <c r="AJ63" i="4"/>
  <c r="J63" i="4"/>
  <c r="AB63" i="4"/>
  <c r="C63" i="4"/>
  <c r="AE63" i="4"/>
  <c r="AG63" i="4"/>
  <c r="AD63" i="4"/>
  <c r="AR63" i="4"/>
  <c r="P63" i="4"/>
  <c r="AU63" i="4"/>
  <c r="AK63" i="4"/>
  <c r="AC63" i="4"/>
  <c r="AY63" i="4"/>
  <c r="AO63" i="4"/>
  <c r="BK63" i="4"/>
  <c r="K63" i="4"/>
  <c r="CR63" i="4"/>
  <c r="AI63" i="4"/>
  <c r="AA63" i="4"/>
  <c r="H63" i="4"/>
  <c r="CQ63" i="4"/>
  <c r="AH63" i="4"/>
  <c r="B59" i="8"/>
  <c r="C59" i="8" s="1"/>
  <c r="AT63" i="4"/>
  <c r="CP63" i="4"/>
  <c r="Q63" i="4"/>
  <c r="AQ63" i="4"/>
  <c r="Y63" i="4"/>
  <c r="AP63" i="4"/>
  <c r="AV63" i="4"/>
  <c r="N63" i="4"/>
  <c r="D63" i="4"/>
  <c r="AL63" i="4"/>
  <c r="I63" i="4"/>
  <c r="U63" i="4"/>
  <c r="AN63" i="4"/>
  <c r="M63" i="4"/>
  <c r="G63" i="4"/>
  <c r="C59" i="5"/>
  <c r="AS63" i="4"/>
  <c r="E63" i="4"/>
  <c r="AW63" i="4"/>
  <c r="U53" i="5"/>
  <c r="H66" i="5"/>
  <c r="K66" i="5"/>
  <c r="R53" i="5"/>
  <c r="V53" i="5"/>
  <c r="BM27" i="4"/>
  <c r="CJ27" i="4"/>
  <c r="BX27" i="4"/>
  <c r="N83" i="42"/>
  <c r="X61" i="42"/>
  <c r="C27" i="4"/>
  <c r="D20" i="34" s="1"/>
  <c r="I27" i="4"/>
  <c r="Z27" i="4"/>
  <c r="I66" i="5"/>
  <c r="E53" i="5"/>
  <c r="L27" i="4"/>
  <c r="CD27" i="4"/>
  <c r="CM27" i="4"/>
  <c r="AL29" i="42"/>
  <c r="AA61" i="42"/>
  <c r="C50" i="42"/>
  <c r="AV27" i="4"/>
  <c r="AU27" i="4"/>
  <c r="AS23" i="4"/>
  <c r="AY23" i="4" s="1"/>
  <c r="AQ23" i="4"/>
  <c r="AW23" i="4" s="1"/>
  <c r="AR23" i="4"/>
  <c r="AX23" i="4" s="1"/>
  <c r="O23" i="4"/>
  <c r="Q23" i="4" s="1"/>
  <c r="BL23" i="4"/>
  <c r="BN23" i="4" s="1"/>
  <c r="D19" i="8"/>
  <c r="AP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0" i="5"/>
  <c r="Y70" i="5"/>
  <c r="AK70" i="5"/>
  <c r="Z70" i="5"/>
  <c r="AL70" i="5"/>
  <c r="AA70" i="5"/>
  <c r="AM70" i="5"/>
  <c r="AB70" i="5"/>
  <c r="AN70" i="5"/>
  <c r="AC70" i="5"/>
  <c r="AO70" i="5"/>
  <c r="AD70" i="5"/>
  <c r="AE70" i="5"/>
  <c r="AF70" i="5"/>
  <c r="AG70" i="5"/>
  <c r="AH70" i="5"/>
  <c r="AI70" i="5"/>
  <c r="X70" i="5"/>
  <c r="AJ70" i="5"/>
  <c r="AL24" i="42"/>
  <c r="AT81" i="5"/>
  <c r="AE81" i="5"/>
  <c r="AF81" i="5"/>
  <c r="AG81" i="5"/>
  <c r="AH81" i="5"/>
  <c r="AI81" i="5"/>
  <c r="X81" i="5"/>
  <c r="AJ81" i="5"/>
  <c r="Y81" i="5"/>
  <c r="AK81" i="5"/>
  <c r="Z81" i="5"/>
  <c r="AL81" i="5"/>
  <c r="AA81" i="5"/>
  <c r="AM81" i="5"/>
  <c r="AB81" i="5"/>
  <c r="AN81" i="5"/>
  <c r="AD81" i="5"/>
  <c r="AO81" i="5"/>
  <c r="AC81" i="5"/>
  <c r="AK24" i="42"/>
  <c r="AL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R33" i="4" s="1"/>
  <c r="CX33" i="4" s="1"/>
  <c r="CH33" i="4"/>
  <c r="CQ33" i="4" s="1"/>
  <c r="CW33" i="4" s="1"/>
  <c r="CG33" i="4"/>
  <c r="CP33" i="4" s="1"/>
  <c r="CV33" i="4" s="1"/>
  <c r="AF43" i="5"/>
  <c r="AG43" i="5"/>
  <c r="AT43" i="5"/>
  <c r="AH43" i="5"/>
  <c r="AI43" i="5"/>
  <c r="X43" i="5"/>
  <c r="AJ43" i="5"/>
  <c r="Y43" i="5"/>
  <c r="AK43" i="5"/>
  <c r="Z43" i="5"/>
  <c r="AL43" i="5"/>
  <c r="AA43" i="5"/>
  <c r="AM43" i="5"/>
  <c r="AB43" i="5"/>
  <c r="AN43" i="5"/>
  <c r="AC43" i="5"/>
  <c r="AO43" i="5"/>
  <c r="AE43" i="5"/>
  <c r="AD43" i="5"/>
  <c r="M30" i="5"/>
  <c r="Z30" i="5"/>
  <c r="AL30" i="5"/>
  <c r="AB30" i="5"/>
  <c r="AN30" i="5"/>
  <c r="AC30" i="5"/>
  <c r="AD30" i="5"/>
  <c r="AE30" i="5"/>
  <c r="AF30" i="5"/>
  <c r="AG30" i="5"/>
  <c r="AH30" i="5"/>
  <c r="AI30" i="5"/>
  <c r="Y30" i="5"/>
  <c r="AK30" i="5"/>
  <c r="X30" i="5"/>
  <c r="AF29" i="5"/>
  <c r="AG29" i="5"/>
  <c r="AH29" i="5"/>
  <c r="AI29" i="5"/>
  <c r="X29" i="5"/>
  <c r="Y29" i="5"/>
  <c r="AK29" i="5"/>
  <c r="Z29" i="5"/>
  <c r="AL29" i="5"/>
  <c r="AB29" i="5"/>
  <c r="AN29" i="5"/>
  <c r="AC29" i="5"/>
  <c r="AE29" i="5"/>
  <c r="AD29" i="5"/>
  <c r="AT41" i="5"/>
  <c r="AF41" i="5"/>
  <c r="AG41" i="5"/>
  <c r="AH41" i="5"/>
  <c r="AI41" i="5"/>
  <c r="X41" i="5"/>
  <c r="AJ41" i="5"/>
  <c r="Y41" i="5"/>
  <c r="AK41" i="5"/>
  <c r="Z41" i="5"/>
  <c r="AL41" i="5"/>
  <c r="AA41" i="5"/>
  <c r="AM41" i="5"/>
  <c r="AB41" i="5"/>
  <c r="AN41" i="5"/>
  <c r="AC41" i="5"/>
  <c r="AO41" i="5"/>
  <c r="AE41" i="5"/>
  <c r="AD41" i="5"/>
  <c r="AF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M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H25" i="4"/>
  <c r="CG25" i="4"/>
  <c r="AE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R38" i="4" s="1"/>
  <c r="CX38" i="4" s="1"/>
  <c r="CH38" i="4"/>
  <c r="CQ38" i="4" s="1"/>
  <c r="CW38" i="4" s="1"/>
  <c r="CG38" i="4"/>
  <c r="CP38" i="4" s="1"/>
  <c r="CV38" i="4" s="1"/>
  <c r="CI24" i="4"/>
  <c r="CH24" i="4"/>
  <c r="CG24" i="4"/>
  <c r="Z54" i="5"/>
  <c r="AL54" i="5"/>
  <c r="AT54" i="5"/>
  <c r="AA54" i="5"/>
  <c r="AM54" i="5"/>
  <c r="AC54" i="5"/>
  <c r="AO54" i="5"/>
  <c r="AD54" i="5"/>
  <c r="AE54" i="5"/>
  <c r="AG54" i="5"/>
  <c r="AH54" i="5"/>
  <c r="AI54" i="5"/>
  <c r="Y54" i="5"/>
  <c r="AK54" i="5"/>
  <c r="X54" i="5"/>
  <c r="AB54" i="5"/>
  <c r="AF54" i="5"/>
  <c r="AJ54" i="5"/>
  <c r="AN54"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S72" i="42"/>
  <c r="N24" i="42"/>
  <c r="AM49" i="42"/>
  <c r="AM61" i="42"/>
  <c r="AE61" i="42"/>
  <c r="Z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B32" i="5"/>
  <c r="AN32" i="5"/>
  <c r="AC32" i="5"/>
  <c r="AD32" i="5"/>
  <c r="AE32" i="5"/>
  <c r="AF32" i="5"/>
  <c r="AG32" i="5"/>
  <c r="AH32" i="5"/>
  <c r="AI32" i="5"/>
  <c r="Y32" i="5"/>
  <c r="AK32" i="5"/>
  <c r="X32" i="5"/>
  <c r="AE63" i="5"/>
  <c r="AF63" i="5"/>
  <c r="AG63" i="5"/>
  <c r="AT63" i="5"/>
  <c r="AH63" i="5"/>
  <c r="AI63" i="5"/>
  <c r="X63" i="5"/>
  <c r="AJ63" i="5"/>
  <c r="Y63" i="5"/>
  <c r="AK63" i="5"/>
  <c r="Z63" i="5"/>
  <c r="AL63" i="5"/>
  <c r="AA63" i="5"/>
  <c r="AM63" i="5"/>
  <c r="AB63" i="5"/>
  <c r="AN63" i="5"/>
  <c r="AC63" i="5"/>
  <c r="AO63" i="5"/>
  <c r="AD63" i="5"/>
  <c r="AF31" i="5"/>
  <c r="AG31" i="5"/>
  <c r="AH31" i="5"/>
  <c r="AI31" i="5"/>
  <c r="X31" i="5"/>
  <c r="Y31" i="5"/>
  <c r="AK31" i="5"/>
  <c r="Z31" i="5"/>
  <c r="AL31" i="5"/>
  <c r="AB31" i="5"/>
  <c r="AN31" i="5"/>
  <c r="AC31" i="5"/>
  <c r="AE31" i="5"/>
  <c r="AD31" i="5"/>
  <c r="AT77" i="5"/>
  <c r="AE77" i="5"/>
  <c r="AF77" i="5"/>
  <c r="AG77" i="5"/>
  <c r="AH77" i="5"/>
  <c r="AI77" i="5"/>
  <c r="X77" i="5"/>
  <c r="AJ77" i="5"/>
  <c r="Y77" i="5"/>
  <c r="AK77" i="5"/>
  <c r="Z77" i="5"/>
  <c r="AL77" i="5"/>
  <c r="AA77" i="5"/>
  <c r="AM77" i="5"/>
  <c r="AB77" i="5"/>
  <c r="AN77" i="5"/>
  <c r="AD77" i="5"/>
  <c r="AC77" i="5"/>
  <c r="AO77" i="5"/>
  <c r="AG37" i="5"/>
  <c r="X37" i="5"/>
  <c r="AJ37" i="5"/>
  <c r="Y37" i="5"/>
  <c r="AB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H22" i="4"/>
  <c r="CG22" i="4"/>
  <c r="AB76" i="5"/>
  <c r="AI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B34" i="5"/>
  <c r="AN34" i="5"/>
  <c r="AC34" i="5"/>
  <c r="AD34" i="5"/>
  <c r="AE34" i="5"/>
  <c r="AF34" i="5"/>
  <c r="AG34" i="5"/>
  <c r="AH34" i="5"/>
  <c r="AI34" i="5"/>
  <c r="Y34" i="5"/>
  <c r="AK34" i="5"/>
  <c r="X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Z18" i="5"/>
  <c r="AB18" i="5"/>
  <c r="AC18" i="5"/>
  <c r="AD18" i="5"/>
  <c r="AE18" i="5"/>
  <c r="CI85" i="4"/>
  <c r="CH85" i="4"/>
  <c r="CG85" i="4"/>
  <c r="CI57" i="4"/>
  <c r="CH57" i="4"/>
  <c r="CG57" i="4"/>
  <c r="CI43" i="4"/>
  <c r="CG43" i="4"/>
  <c r="CH43" i="4"/>
  <c r="CI35" i="4"/>
  <c r="CR35" i="4" s="1"/>
  <c r="CX35" i="4" s="1"/>
  <c r="CG35" i="4"/>
  <c r="CP35" i="4" s="1"/>
  <c r="CV35" i="4" s="1"/>
  <c r="CH35" i="4"/>
  <c r="CQ35" i="4" s="1"/>
  <c r="CW35" i="4" s="1"/>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X26" i="5"/>
  <c r="Z40" i="5"/>
  <c r="AL40" i="5"/>
  <c r="AA40" i="5"/>
  <c r="AM40" i="5"/>
  <c r="AB40" i="5"/>
  <c r="AN40" i="5"/>
  <c r="AC40" i="5"/>
  <c r="AO40" i="5"/>
  <c r="AD40" i="5"/>
  <c r="AE40" i="5"/>
  <c r="AF40" i="5"/>
  <c r="AG40" i="5"/>
  <c r="AH40" i="5"/>
  <c r="AI40" i="5"/>
  <c r="AT40" i="5"/>
  <c r="Y40" i="5"/>
  <c r="AK40" i="5"/>
  <c r="X40" i="5"/>
  <c r="AJ40" i="5"/>
  <c r="AT72" i="5"/>
  <c r="AE72" i="5"/>
  <c r="AB72" i="42"/>
  <c r="AE49" i="42"/>
  <c r="AI49" i="42"/>
  <c r="AJ36" i="42"/>
  <c r="AD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E388" i="32"/>
  <c r="F374" i="32" s="1"/>
  <c r="AD16" i="8"/>
  <c r="V16" i="8"/>
  <c r="C14" i="33"/>
  <c r="O16" i="8"/>
  <c r="X16" i="8"/>
  <c r="R16" i="8"/>
  <c r="AB16" i="8"/>
  <c r="J16" i="8"/>
  <c r="Y16" i="8"/>
  <c r="H16" i="8"/>
  <c r="M16" i="8"/>
  <c r="C15" i="34"/>
  <c r="T16" i="8"/>
  <c r="N16" i="8"/>
  <c r="K16" i="8"/>
  <c r="E16" i="8"/>
  <c r="G16" i="8"/>
  <c r="I16" i="8"/>
  <c r="S16" i="8"/>
  <c r="P16" i="8"/>
  <c r="AC16" i="8"/>
  <c r="L16" i="8"/>
  <c r="W16" i="8"/>
  <c r="Q16" i="8"/>
  <c r="U16" i="8"/>
  <c r="Q2" i="33"/>
  <c r="L2" i="34" s="1"/>
  <c r="I2" i="35" s="1"/>
  <c r="E324" i="32"/>
  <c r="F323" i="32" s="1"/>
  <c r="G156" i="32"/>
  <c r="F11" i="34"/>
  <c r="AS21" i="4"/>
  <c r="AY21" i="4" s="1"/>
  <c r="AQ21" i="4"/>
  <c r="AW21" i="4" s="1"/>
  <c r="AR21" i="4"/>
  <c r="AX21" i="4" s="1"/>
  <c r="O21" i="4"/>
  <c r="BL21" i="4"/>
  <c r="BN21" i="4" s="1"/>
  <c r="AD14" i="42"/>
  <c r="I14" i="42"/>
  <c r="W14" i="42"/>
  <c r="J14" i="34"/>
  <c r="AI14" i="42"/>
  <c r="M14" i="42"/>
  <c r="AC14" i="42"/>
  <c r="Z14" i="42"/>
  <c r="X14" i="42"/>
  <c r="AL14" i="42"/>
  <c r="AM14" i="42"/>
  <c r="N14" i="42"/>
  <c r="AP14" i="42"/>
  <c r="J14" i="42"/>
  <c r="CI20" i="4"/>
  <c r="CR20" i="4" s="1"/>
  <c r="CX20" i="4" s="1"/>
  <c r="H14" i="42"/>
  <c r="AE14" i="42"/>
  <c r="AF14" i="42"/>
  <c r="CH20" i="4"/>
  <c r="CQ20" i="4" s="1"/>
  <c r="CW20" i="4" s="1"/>
  <c r="AB14" i="42"/>
  <c r="E14" i="42"/>
  <c r="CQ19" i="4"/>
  <c r="CW19" i="4" s="1"/>
  <c r="AQ19" i="4"/>
  <c r="AW19" i="4" s="1"/>
  <c r="H14" i="5"/>
  <c r="AT14" i="5" s="1"/>
  <c r="AQ20" i="4"/>
  <c r="AW20" i="4" s="1"/>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J19" i="42"/>
  <c r="X19" i="42"/>
  <c r="W69" i="42"/>
  <c r="R69" i="42"/>
  <c r="S45" i="42"/>
  <c r="AI78" i="42"/>
  <c r="V78" i="42"/>
  <c r="Z78" i="42"/>
  <c r="D35" i="42"/>
  <c r="T69" i="42"/>
  <c r="AB60" i="42"/>
  <c r="AM60" i="42"/>
  <c r="AR60" i="42"/>
  <c r="J19" i="42"/>
  <c r="AE35" i="42"/>
  <c r="R60" i="42"/>
  <c r="X69" i="42"/>
  <c r="AB78" i="42"/>
  <c r="Z69" i="42"/>
  <c r="AC45" i="42"/>
  <c r="V45" i="42"/>
  <c r="W78" i="42"/>
  <c r="R78" i="42"/>
  <c r="O45" i="42"/>
  <c r="M60" i="42"/>
  <c r="AI60" i="42"/>
  <c r="X60" i="42"/>
  <c r="C60" i="42"/>
  <c r="AK19" i="42"/>
  <c r="W19" i="42"/>
  <c r="M69" i="42"/>
  <c r="Y45" i="42"/>
  <c r="E45" i="42"/>
  <c r="AQ69" i="42"/>
  <c r="AK45" i="42"/>
  <c r="AR45" i="42"/>
  <c r="C45" i="42"/>
  <c r="M45" i="42"/>
  <c r="AF69" i="42"/>
  <c r="AF78" i="42"/>
  <c r="AJ78" i="42"/>
  <c r="AD78" i="42"/>
  <c r="J35" i="42"/>
  <c r="AR35" i="42"/>
  <c r="AE60" i="42"/>
  <c r="Z60" i="42"/>
  <c r="I19" i="42"/>
  <c r="AB19" i="42"/>
  <c r="AL19" i="42"/>
  <c r="AQ45" i="42"/>
  <c r="Z45" i="42"/>
  <c r="R45" i="42"/>
  <c r="AJ69" i="42"/>
  <c r="H69" i="42"/>
  <c r="I45" i="42"/>
  <c r="AH78" i="42"/>
  <c r="AL78" i="42"/>
  <c r="AC35" i="42"/>
  <c r="V35" i="42"/>
  <c r="E69" i="42"/>
  <c r="AK60" i="42"/>
  <c r="AE19" i="42"/>
  <c r="AF19" i="42"/>
  <c r="M19" i="42"/>
  <c r="AR69" i="42"/>
  <c r="J45" i="42"/>
  <c r="D69" i="42"/>
  <c r="AP69" i="42"/>
  <c r="AH69" i="42"/>
  <c r="I69" i="42"/>
  <c r="J69" i="42"/>
  <c r="H45" i="42"/>
  <c r="AM78" i="42"/>
  <c r="D78" i="42"/>
  <c r="N35" i="42"/>
  <c r="E60" i="42"/>
  <c r="V60" i="42"/>
  <c r="J60" i="42"/>
  <c r="AA60" i="42"/>
  <c r="AC19" i="42"/>
  <c r="AD19" i="42"/>
  <c r="N45" i="42"/>
  <c r="AB69" i="42"/>
  <c r="T78" i="42"/>
  <c r="N78" i="42"/>
  <c r="AI35" i="42"/>
  <c r="S35" i="42"/>
  <c r="T60" i="42"/>
  <c r="S60" i="42"/>
  <c r="H60" i="42"/>
  <c r="W60" i="42"/>
  <c r="AF35" i="42"/>
  <c r="D13" i="42"/>
  <c r="H19" i="42"/>
  <c r="AI19" i="42"/>
  <c r="AK78" i="42"/>
  <c r="AQ78" i="42"/>
  <c r="AP78" i="42"/>
  <c r="X35" i="42"/>
  <c r="AH60" i="42"/>
  <c r="AD60" i="42"/>
  <c r="D19" i="42"/>
  <c r="E19" i="42"/>
  <c r="D45" i="42"/>
  <c r="AJ45" i="42"/>
  <c r="AL69" i="42"/>
  <c r="AA78" i="42"/>
  <c r="Y78" i="42"/>
  <c r="S78" i="42"/>
  <c r="X78" i="42"/>
  <c r="R35" i="42"/>
  <c r="T35" i="42"/>
  <c r="O35" i="42"/>
  <c r="AA69" i="42"/>
  <c r="AJ60" i="42"/>
  <c r="AP60" i="42"/>
  <c r="C35" i="42"/>
  <c r="AQ60" i="42"/>
  <c r="D60" i="42"/>
  <c r="AM19" i="42"/>
  <c r="O19" i="42"/>
  <c r="Y19" i="42"/>
  <c r="S69" i="42"/>
  <c r="C69" i="42"/>
  <c r="AE69" i="42"/>
  <c r="AP45" i="42"/>
  <c r="AH45" i="42"/>
  <c r="AE78" i="42"/>
  <c r="O78" i="42"/>
  <c r="AJ35" i="42"/>
  <c r="AA35" i="42"/>
  <c r="AL45" i="42"/>
  <c r="AD69" i="42"/>
  <c r="AQ35" i="42"/>
  <c r="AM35" i="42"/>
  <c r="N19" i="42"/>
  <c r="C19" i="42"/>
  <c r="V69" i="42"/>
  <c r="X45" i="42"/>
  <c r="AK69" i="42"/>
  <c r="AD45" i="42"/>
  <c r="O69" i="42"/>
  <c r="C78" i="42"/>
  <c r="I78" i="42"/>
  <c r="J78" i="42"/>
  <c r="M35" i="42"/>
  <c r="Y35" i="42"/>
  <c r="AD35" i="42"/>
  <c r="Z35" i="42"/>
  <c r="T45" i="42"/>
  <c r="AF60" i="42"/>
  <c r="AL60" i="42"/>
  <c r="AL35" i="42"/>
  <c r="AI69" i="42"/>
  <c r="AA45" i="42"/>
  <c r="AM69" i="42"/>
  <c r="AI45" i="42"/>
  <c r="W45" i="42"/>
  <c r="E78" i="42"/>
  <c r="W35" i="42"/>
  <c r="AK35" i="42"/>
  <c r="AC60" i="42"/>
  <c r="O60" i="42"/>
  <c r="N60" i="42"/>
  <c r="AE45" i="42"/>
  <c r="J11" i="34"/>
  <c r="D11" i="34"/>
  <c r="D11" i="35" s="1"/>
  <c r="I36" i="13"/>
  <c r="J84" i="29" s="1"/>
  <c r="I14" i="13"/>
  <c r="J59" i="29" s="1"/>
  <c r="O20" i="4"/>
  <c r="Q20" i="4" s="1"/>
  <c r="BL20" i="4"/>
  <c r="BN20" i="4" s="1"/>
  <c r="I3" i="26"/>
  <c r="AN3" i="24"/>
  <c r="I3" i="23"/>
  <c r="I3" i="28"/>
  <c r="K3" i="27"/>
  <c r="G39" i="8"/>
  <c r="T39" i="8"/>
  <c r="AB39" i="8"/>
  <c r="E293" i="32"/>
  <c r="E376" i="32"/>
  <c r="R39" i="8"/>
  <c r="H39" i="8"/>
  <c r="N39" i="8"/>
  <c r="G293" i="32"/>
  <c r="H282" i="32" s="1"/>
  <c r="P21" i="4"/>
  <c r="Y39" i="8"/>
  <c r="X39" i="8"/>
  <c r="Q39" i="8"/>
  <c r="V39" i="8"/>
  <c r="J39" i="8"/>
  <c r="S25" i="5"/>
  <c r="P39" i="8"/>
  <c r="S39" i="8"/>
  <c r="E39" i="8"/>
  <c r="K39" i="8"/>
  <c r="U39" i="8"/>
  <c r="L39" i="8"/>
  <c r="W39" i="8"/>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Q17" i="42" l="1"/>
  <c r="U34" i="42"/>
  <c r="G23" i="42"/>
  <c r="H301" i="32"/>
  <c r="D34" i="8"/>
  <c r="H32" i="5"/>
  <c r="AQ24" i="4"/>
  <c r="AW24" i="4" s="1"/>
  <c r="AS25" i="4"/>
  <c r="AY25" i="4" s="1"/>
  <c r="AR25" i="4"/>
  <c r="AX25" i="4" s="1"/>
  <c r="H17" i="5"/>
  <c r="AT17" i="5" s="1"/>
  <c r="CQ36" i="4"/>
  <c r="CW36" i="4" s="1"/>
  <c r="AQ34" i="4"/>
  <c r="AW34" i="4" s="1"/>
  <c r="AQ25" i="4"/>
  <c r="AW25" i="4" s="1"/>
  <c r="AR36" i="4"/>
  <c r="AX36" i="4" s="1"/>
  <c r="D15" i="35"/>
  <c r="H15" i="35" s="1"/>
  <c r="H14" i="35"/>
  <c r="D16" i="6"/>
  <c r="C16" i="6" s="1"/>
  <c r="D32" i="8"/>
  <c r="C17" i="8"/>
  <c r="D15" i="33" s="1"/>
  <c r="L15" i="33" s="1"/>
  <c r="D17" i="8"/>
  <c r="C34" i="8"/>
  <c r="C32" i="8"/>
  <c r="D30" i="33" s="1"/>
  <c r="N30" i="33" s="1"/>
  <c r="T17" i="42"/>
  <c r="AR17" i="42"/>
  <c r="Q34" i="42"/>
  <c r="AA34" i="42"/>
  <c r="AA21" i="42"/>
  <c r="L16" i="42"/>
  <c r="S17" i="42"/>
  <c r="L25" i="42"/>
  <c r="L34" i="42"/>
  <c r="T34" i="42"/>
  <c r="G31" i="42"/>
  <c r="G34" i="42"/>
  <c r="L21" i="42"/>
  <c r="AH33" i="42"/>
  <c r="AQ33" i="42" s="1"/>
  <c r="Q27" i="42"/>
  <c r="AO34" i="42"/>
  <c r="AA17" i="42"/>
  <c r="Q31" i="42"/>
  <c r="Q24" i="42"/>
  <c r="AR33" i="42"/>
  <c r="AH34" i="42"/>
  <c r="S21" i="42"/>
  <c r="BN24" i="4"/>
  <c r="O24" i="4"/>
  <c r="Q24" i="4" s="1"/>
  <c r="O25" i="4"/>
  <c r="Q25" i="4" s="1"/>
  <c r="AS36" i="4"/>
  <c r="AY36" i="4" s="1"/>
  <c r="F20" i="6"/>
  <c r="D20" i="6" s="1"/>
  <c r="CQ37" i="4"/>
  <c r="CW37" i="4" s="1"/>
  <c r="CR37" i="4"/>
  <c r="CX37" i="4" s="1"/>
  <c r="F15" i="34"/>
  <c r="F29" i="6"/>
  <c r="D29" i="6" s="1"/>
  <c r="F27" i="35" s="1"/>
  <c r="G27" i="35" s="1"/>
  <c r="CP36" i="4"/>
  <c r="CV36" i="4" s="1"/>
  <c r="AR22" i="4"/>
  <c r="AX22" i="4" s="1"/>
  <c r="AQ36" i="4"/>
  <c r="AW36" i="4" s="1"/>
  <c r="O36" i="4"/>
  <c r="Q36" i="4" s="1"/>
  <c r="AS34" i="4"/>
  <c r="AY34" i="4" s="1"/>
  <c r="Q34" i="5"/>
  <c r="Q17" i="5"/>
  <c r="T17" i="5" s="1"/>
  <c r="AQ22" i="4"/>
  <c r="AW22" i="4" s="1"/>
  <c r="BL25" i="4"/>
  <c r="BN25" i="4" s="1"/>
  <c r="AS22" i="4"/>
  <c r="AY22" i="4" s="1"/>
  <c r="BL22" i="4"/>
  <c r="BN22" i="4" s="1"/>
  <c r="Q32" i="5"/>
  <c r="T32" i="5" s="1"/>
  <c r="V32" i="5" s="1"/>
  <c r="AJ34" i="5"/>
  <c r="CP22" i="4"/>
  <c r="CV22" i="4" s="1"/>
  <c r="CR25" i="4"/>
  <c r="CX25" i="4" s="1"/>
  <c r="H34" i="5"/>
  <c r="AT34" i="5" s="1"/>
  <c r="AR24" i="4"/>
  <c r="AX24" i="4" s="1"/>
  <c r="O22" i="4"/>
  <c r="Q22" i="4" s="1"/>
  <c r="BL36" i="4"/>
  <c r="BN36" i="4" s="1"/>
  <c r="BL34" i="4"/>
  <c r="BN34" i="4" s="1"/>
  <c r="AA34" i="5"/>
  <c r="AU34" i="5" s="1"/>
  <c r="AR34" i="4"/>
  <c r="AX34" i="4" s="1"/>
  <c r="O34" i="4"/>
  <c r="Q34" i="4" s="1"/>
  <c r="U20" i="8"/>
  <c r="F20" i="8"/>
  <c r="Y18" i="5"/>
  <c r="CR22" i="4"/>
  <c r="CX22" i="4" s="1"/>
  <c r="CQ34" i="4"/>
  <c r="CW34" i="4" s="1"/>
  <c r="BL37" i="4"/>
  <c r="BN37" i="4" s="1"/>
  <c r="AA15" i="42"/>
  <c r="R18" i="8"/>
  <c r="P18" i="8"/>
  <c r="AA18" i="8"/>
  <c r="R20" i="8"/>
  <c r="S20" i="8"/>
  <c r="Q29" i="42"/>
  <c r="AC26" i="5"/>
  <c r="AH29" i="42"/>
  <c r="AN18" i="5"/>
  <c r="CR36" i="4"/>
  <c r="CX36" i="4" s="1"/>
  <c r="CQ22" i="4"/>
  <c r="CW22" i="4" s="1"/>
  <c r="N18" i="5"/>
  <c r="T20" i="8"/>
  <c r="AL18" i="5"/>
  <c r="CR34" i="4"/>
  <c r="CX34" i="4" s="1"/>
  <c r="O20" i="8"/>
  <c r="AT32" i="5"/>
  <c r="X18" i="5"/>
  <c r="H18" i="8"/>
  <c r="T18" i="8"/>
  <c r="G24" i="42"/>
  <c r="K18" i="5"/>
  <c r="B17" i="5"/>
  <c r="V20" i="8"/>
  <c r="AD20" i="8"/>
  <c r="G22" i="42"/>
  <c r="S34" i="42"/>
  <c r="AA29" i="42"/>
  <c r="AR37" i="4"/>
  <c r="AX37" i="4" s="1"/>
  <c r="AA20" i="8"/>
  <c r="M18" i="5"/>
  <c r="L27" i="42"/>
  <c r="C18" i="33"/>
  <c r="L19" i="42"/>
  <c r="AG18" i="5"/>
  <c r="AK18" i="5"/>
  <c r="CP24" i="4"/>
  <c r="CV24" i="4" s="1"/>
  <c r="V18" i="8"/>
  <c r="AD18" i="8"/>
  <c r="F18" i="5"/>
  <c r="H18" i="5" s="1"/>
  <c r="AT18" i="5" s="1"/>
  <c r="I20" i="8"/>
  <c r="Q30" i="42"/>
  <c r="AR34" i="42"/>
  <c r="P21" i="5"/>
  <c r="I21" i="5"/>
  <c r="N21" i="5"/>
  <c r="O21" i="5"/>
  <c r="G21" i="5"/>
  <c r="S21" i="5"/>
  <c r="E21" i="5"/>
  <c r="F21" i="5"/>
  <c r="U21" i="5"/>
  <c r="B20" i="5"/>
  <c r="R21" i="5"/>
  <c r="J21" i="5"/>
  <c r="L21" i="5"/>
  <c r="M21" i="5"/>
  <c r="K21" i="5"/>
  <c r="AA21" i="8"/>
  <c r="O21" i="8"/>
  <c r="X21" i="8"/>
  <c r="I21" i="8"/>
  <c r="G21" i="8"/>
  <c r="T21" i="8"/>
  <c r="R21" i="8"/>
  <c r="Q21" i="8"/>
  <c r="M21" i="8"/>
  <c r="S21" i="8"/>
  <c r="J21" i="8"/>
  <c r="P21" i="8"/>
  <c r="W21" i="8"/>
  <c r="U21" i="8"/>
  <c r="C19" i="33"/>
  <c r="V21" i="8"/>
  <c r="AC21" i="8"/>
  <c r="N21" i="8"/>
  <c r="L21" i="8"/>
  <c r="E21" i="8"/>
  <c r="Z21" i="8"/>
  <c r="AB21" i="8"/>
  <c r="F21" i="8"/>
  <c r="AD21" i="8"/>
  <c r="K21" i="8"/>
  <c r="H21" i="8"/>
  <c r="Y21" i="8"/>
  <c r="AB26" i="5"/>
  <c r="CP25" i="4"/>
  <c r="CV25" i="4" s="1"/>
  <c r="K20" i="8"/>
  <c r="AC20" i="8"/>
  <c r="AL26" i="5"/>
  <c r="CQ25" i="4"/>
  <c r="CW25" i="4" s="1"/>
  <c r="AB20" i="8"/>
  <c r="AO33" i="42"/>
  <c r="CP34" i="4"/>
  <c r="CV34" i="4" s="1"/>
  <c r="Q14" i="42"/>
  <c r="AH18" i="5"/>
  <c r="AI18" i="5"/>
  <c r="CP37" i="4"/>
  <c r="CV37" i="4" s="1"/>
  <c r="CQ24" i="4"/>
  <c r="CW24" i="4" s="1"/>
  <c r="P18" i="5"/>
  <c r="R18" i="5"/>
  <c r="L20" i="8"/>
  <c r="G20" i="8"/>
  <c r="Q22" i="42"/>
  <c r="AF18" i="5"/>
  <c r="CR24" i="4"/>
  <c r="CX24" i="4" s="1"/>
  <c r="L29" i="42"/>
  <c r="X18" i="8"/>
  <c r="O18" i="8"/>
  <c r="E18" i="8"/>
  <c r="I18" i="5"/>
  <c r="Y20" i="8"/>
  <c r="N20" i="8"/>
  <c r="R21" i="42"/>
  <c r="W30" i="8"/>
  <c r="S30" i="8"/>
  <c r="U30" i="8"/>
  <c r="E30" i="8"/>
  <c r="Q30" i="8"/>
  <c r="AD30" i="8"/>
  <c r="AA30" i="8"/>
  <c r="AB30" i="8"/>
  <c r="H30" i="8"/>
  <c r="N30" i="8"/>
  <c r="G30" i="8"/>
  <c r="O30" i="8"/>
  <c r="L30" i="8"/>
  <c r="AC30" i="8"/>
  <c r="X30" i="8"/>
  <c r="V30" i="8"/>
  <c r="M30" i="8"/>
  <c r="F30" i="8"/>
  <c r="T30" i="8"/>
  <c r="J30" i="8"/>
  <c r="K30" i="8"/>
  <c r="R30" i="8"/>
  <c r="Z30" i="8"/>
  <c r="P30" i="8"/>
  <c r="I30" i="8"/>
  <c r="AQ37" i="4"/>
  <c r="AW37" i="4" s="1"/>
  <c r="AS37" i="4"/>
  <c r="AY37" i="4" s="1"/>
  <c r="Q18" i="42"/>
  <c r="U18" i="42"/>
  <c r="U28" i="42"/>
  <c r="U16" i="42"/>
  <c r="Q19" i="42"/>
  <c r="AE25" i="5"/>
  <c r="G20" i="42"/>
  <c r="L20" i="42"/>
  <c r="V29" i="8"/>
  <c r="Q33" i="42"/>
  <c r="V33" i="42" s="1"/>
  <c r="D30" i="34"/>
  <c r="O37" i="4"/>
  <c r="Q37" i="4" s="1"/>
  <c r="U33" i="42"/>
  <c r="H22" i="5"/>
  <c r="AT22" i="5" s="1"/>
  <c r="L17" i="42"/>
  <c r="L24" i="42"/>
  <c r="U13" i="42"/>
  <c r="U24" i="42"/>
  <c r="U17" i="42"/>
  <c r="AJ32" i="5"/>
  <c r="AA32" i="5"/>
  <c r="AU32" i="5" s="1"/>
  <c r="T31" i="5"/>
  <c r="V31" i="5" s="1"/>
  <c r="G28" i="42"/>
  <c r="U31" i="42"/>
  <c r="U15" i="42"/>
  <c r="U29" i="42"/>
  <c r="L13" i="42"/>
  <c r="Q25" i="42"/>
  <c r="G15" i="42"/>
  <c r="G30" i="42"/>
  <c r="Q28" i="42"/>
  <c r="L22" i="42"/>
  <c r="Q16" i="42"/>
  <c r="U23" i="42"/>
  <c r="V32" i="42"/>
  <c r="AQ32" i="42"/>
  <c r="U30" i="42"/>
  <c r="G19" i="42"/>
  <c r="AO17" i="42"/>
  <c r="L31" i="42"/>
  <c r="G26" i="42"/>
  <c r="G14" i="42"/>
  <c r="U22" i="42"/>
  <c r="U20" i="42"/>
  <c r="U26" i="42"/>
  <c r="L26" i="42"/>
  <c r="Q26" i="42"/>
  <c r="U25" i="42"/>
  <c r="Q20" i="42"/>
  <c r="L14" i="42"/>
  <c r="G16" i="42"/>
  <c r="L30" i="42"/>
  <c r="L28" i="42"/>
  <c r="L15" i="42"/>
  <c r="Q15" i="42"/>
  <c r="U21" i="42"/>
  <c r="U27" i="42"/>
  <c r="U14" i="42"/>
  <c r="G25" i="42"/>
  <c r="G18" i="42"/>
  <c r="G29" i="42"/>
  <c r="U32" i="42"/>
  <c r="U19" i="42"/>
  <c r="L23" i="42"/>
  <c r="V23" i="42" s="1"/>
  <c r="L18" i="42"/>
  <c r="G27" i="42"/>
  <c r="G17" i="42"/>
  <c r="G21" i="42"/>
  <c r="Q13" i="42"/>
  <c r="G13" i="42"/>
  <c r="Q18" i="4"/>
  <c r="Q22" i="5"/>
  <c r="AR29" i="42"/>
  <c r="AH17" i="42"/>
  <c r="S15" i="42"/>
  <c r="C28" i="8"/>
  <c r="D26" i="33" s="1"/>
  <c r="K26" i="33" s="1"/>
  <c r="AB61" i="8"/>
  <c r="V61" i="8"/>
  <c r="H30" i="5"/>
  <c r="AT30" i="5" s="1"/>
  <c r="I61" i="8"/>
  <c r="Q61" i="8"/>
  <c r="Q30" i="5"/>
  <c r="T16" i="42"/>
  <c r="Z61" i="8"/>
  <c r="B36" i="5"/>
  <c r="I13" i="5"/>
  <c r="AM37" i="5"/>
  <c r="Y13" i="5"/>
  <c r="D61" i="8"/>
  <c r="AE13" i="5"/>
  <c r="AA37" i="5"/>
  <c r="X61" i="8"/>
  <c r="O37" i="5"/>
  <c r="E37" i="5"/>
  <c r="V25" i="8"/>
  <c r="S61" i="8"/>
  <c r="G13" i="5"/>
  <c r="AL37" i="5"/>
  <c r="E61" i="8"/>
  <c r="O61" i="8"/>
  <c r="M61" i="8"/>
  <c r="P37" i="5"/>
  <c r="R37" i="5"/>
  <c r="H37" i="5"/>
  <c r="M13" i="5"/>
  <c r="AT37" i="5"/>
  <c r="AF37" i="5"/>
  <c r="Z37" i="5"/>
  <c r="T61" i="8"/>
  <c r="L37" i="5"/>
  <c r="AD29" i="8"/>
  <c r="N37" i="5"/>
  <c r="E13" i="5"/>
  <c r="K13" i="5"/>
  <c r="AK37" i="5"/>
  <c r="AC61" i="8"/>
  <c r="U37" i="5"/>
  <c r="M42" i="5"/>
  <c r="AI13" i="5"/>
  <c r="AC37" i="5"/>
  <c r="AI37" i="5"/>
  <c r="AD61" i="8"/>
  <c r="AA61" i="8"/>
  <c r="P61" i="8"/>
  <c r="F61" i="8"/>
  <c r="I37" i="5"/>
  <c r="F37" i="5"/>
  <c r="F26" i="5"/>
  <c r="K61" i="8"/>
  <c r="L61" i="8"/>
  <c r="U61" i="8"/>
  <c r="AL13" i="5"/>
  <c r="AN37" i="5"/>
  <c r="AH37" i="5"/>
  <c r="Y61" i="8"/>
  <c r="G61" i="8"/>
  <c r="N61" i="8"/>
  <c r="J61" i="8"/>
  <c r="M29" i="8"/>
  <c r="V37" i="5"/>
  <c r="N26" i="5"/>
  <c r="AL48" i="5"/>
  <c r="X29" i="8"/>
  <c r="O29" i="8"/>
  <c r="K29" i="8"/>
  <c r="F29" i="8"/>
  <c r="T29" i="8"/>
  <c r="I29" i="8"/>
  <c r="Y29" i="8"/>
  <c r="P29" i="8"/>
  <c r="R29" i="8"/>
  <c r="L29" i="8"/>
  <c r="C27" i="33"/>
  <c r="S29" i="8"/>
  <c r="U29" i="8"/>
  <c r="J29" i="8"/>
  <c r="W29" i="8"/>
  <c r="G29" i="8"/>
  <c r="D28" i="8"/>
  <c r="Z29" i="8"/>
  <c r="Q29" i="8"/>
  <c r="AH48" i="5"/>
  <c r="AB29" i="8"/>
  <c r="H29" i="8"/>
  <c r="AA48" i="5"/>
  <c r="N29" i="8"/>
  <c r="AJ76" i="5"/>
  <c r="M76" i="5"/>
  <c r="Z25" i="8"/>
  <c r="X76" i="5"/>
  <c r="E25" i="8"/>
  <c r="O76" i="5"/>
  <c r="P25" i="8"/>
  <c r="AA76" i="5"/>
  <c r="AG36" i="5"/>
  <c r="R25" i="8"/>
  <c r="P42" i="5"/>
  <c r="AL76" i="5"/>
  <c r="AT36" i="5"/>
  <c r="AF36" i="5"/>
  <c r="AE36" i="5"/>
  <c r="U25" i="8"/>
  <c r="N25" i="8"/>
  <c r="AM76" i="5"/>
  <c r="AD36" i="5"/>
  <c r="Z36" i="5"/>
  <c r="I25" i="8"/>
  <c r="O25" i="8"/>
  <c r="AH79" i="5"/>
  <c r="AA30" i="42"/>
  <c r="AO30" i="42"/>
  <c r="AD79" i="5"/>
  <c r="AB79" i="5"/>
  <c r="C31" i="33"/>
  <c r="Z79" i="5"/>
  <c r="J42" i="8"/>
  <c r="C42" i="8"/>
  <c r="S31" i="42"/>
  <c r="R31" i="42"/>
  <c r="AS35" i="4"/>
  <c r="AY35" i="4" s="1"/>
  <c r="AT31" i="5"/>
  <c r="AR35" i="4"/>
  <c r="AX35" i="4" s="1"/>
  <c r="AA31" i="5"/>
  <c r="AJ31" i="5"/>
  <c r="AR31" i="42"/>
  <c r="AR30" i="42"/>
  <c r="AO31" i="42"/>
  <c r="S27" i="42"/>
  <c r="AA31" i="42"/>
  <c r="AH31" i="42"/>
  <c r="R22" i="42"/>
  <c r="C29" i="33"/>
  <c r="O35" i="4"/>
  <c r="Q35" i="4" s="1"/>
  <c r="F27" i="6"/>
  <c r="D27" i="6" s="1"/>
  <c r="F25" i="35" s="1"/>
  <c r="C26" i="35"/>
  <c r="AQ35" i="4"/>
  <c r="AW35" i="4" s="1"/>
  <c r="T31" i="42"/>
  <c r="R29" i="42"/>
  <c r="T15" i="42"/>
  <c r="R30" i="42"/>
  <c r="AJ30" i="5"/>
  <c r="AA30" i="5"/>
  <c r="AU30" i="5" s="1"/>
  <c r="AK24" i="5"/>
  <c r="AE24" i="5"/>
  <c r="Z24" i="5"/>
  <c r="AH30" i="42"/>
  <c r="S30" i="42"/>
  <c r="T30" i="42"/>
  <c r="T29" i="5"/>
  <c r="V29" i="5" s="1"/>
  <c r="F25" i="6"/>
  <c r="D25" i="6" s="1"/>
  <c r="F23" i="35" s="1"/>
  <c r="G23" i="35" s="1"/>
  <c r="R15" i="42"/>
  <c r="AA29" i="5"/>
  <c r="AU29" i="5" s="1"/>
  <c r="AJ29" i="5"/>
  <c r="AH25" i="5"/>
  <c r="AN26" i="5"/>
  <c r="AD25" i="5"/>
  <c r="AG25" i="5"/>
  <c r="R26" i="5"/>
  <c r="AK26" i="5"/>
  <c r="Z26" i="5"/>
  <c r="AN25" i="5"/>
  <c r="AA29" i="8"/>
  <c r="E29" i="8"/>
  <c r="N25" i="5"/>
  <c r="Y26" i="5"/>
  <c r="AB25" i="5"/>
  <c r="E26" i="5"/>
  <c r="P26" i="5"/>
  <c r="AI26" i="5"/>
  <c r="AL25" i="5"/>
  <c r="L26" i="5"/>
  <c r="AC25" i="5"/>
  <c r="P25" i="5"/>
  <c r="AH26" i="5"/>
  <c r="Z25" i="5"/>
  <c r="C27" i="8"/>
  <c r="D25" i="33" s="1"/>
  <c r="M25" i="33" s="1"/>
  <c r="AG26" i="5"/>
  <c r="AK25" i="5"/>
  <c r="M26" i="5"/>
  <c r="G26" i="5"/>
  <c r="AF26" i="5"/>
  <c r="Y25" i="5"/>
  <c r="J26" i="5"/>
  <c r="I26" i="5"/>
  <c r="G25" i="5"/>
  <c r="E25" i="5"/>
  <c r="AE26" i="5"/>
  <c r="X25" i="5"/>
  <c r="B25" i="5"/>
  <c r="O26" i="5"/>
  <c r="AD26" i="5"/>
  <c r="AO29" i="42"/>
  <c r="S29" i="42"/>
  <c r="J13" i="5"/>
  <c r="I5" i="23"/>
  <c r="K5" i="29"/>
  <c r="H309" i="32"/>
  <c r="H307" i="32"/>
  <c r="H384" i="32"/>
  <c r="C22" i="8"/>
  <c r="D20" i="33" s="1"/>
  <c r="Q20" i="33" s="1"/>
  <c r="C14" i="8"/>
  <c r="D12" i="33" s="1"/>
  <c r="F12" i="33" s="1"/>
  <c r="C16" i="8"/>
  <c r="D14" i="33" s="1"/>
  <c r="O14" i="33" s="1"/>
  <c r="C15" i="8"/>
  <c r="D13" i="33" s="1"/>
  <c r="J13" i="33" s="1"/>
  <c r="G19" i="27"/>
  <c r="H28" i="5"/>
  <c r="AT28" i="5" s="1"/>
  <c r="Q28" i="5"/>
  <c r="AJ28" i="5"/>
  <c r="AA28" i="5"/>
  <c r="H305" i="32"/>
  <c r="H366" i="32"/>
  <c r="H367" i="32" s="1"/>
  <c r="H311" i="32"/>
  <c r="H387" i="32"/>
  <c r="H310" i="32"/>
  <c r="H306" i="32"/>
  <c r="H304" i="32"/>
  <c r="H385" i="32"/>
  <c r="H303" i="32"/>
  <c r="H386" i="32"/>
  <c r="H374" i="32"/>
  <c r="H308" i="32"/>
  <c r="H312" i="32"/>
  <c r="H375" i="32"/>
  <c r="H302" i="32"/>
  <c r="AO28" i="42"/>
  <c r="AR27" i="42"/>
  <c r="AH27" i="42"/>
  <c r="AA28" i="42"/>
  <c r="T18" i="42"/>
  <c r="S28" i="42"/>
  <c r="T22" i="42"/>
  <c r="D22" i="8"/>
  <c r="D27" i="8"/>
  <c r="AH28" i="42"/>
  <c r="AH26" i="42"/>
  <c r="AR28" i="42"/>
  <c r="R28" i="42"/>
  <c r="T28" i="42"/>
  <c r="AA22" i="42"/>
  <c r="AH15" i="42"/>
  <c r="AR15" i="42"/>
  <c r="S16" i="42"/>
  <c r="CP30" i="4"/>
  <c r="CV30" i="4" s="1"/>
  <c r="AR30" i="4"/>
  <c r="AX30" i="4" s="1"/>
  <c r="H27" i="5"/>
  <c r="AT27" i="5" s="1"/>
  <c r="K21" i="27"/>
  <c r="G21" i="27"/>
  <c r="K22" i="27"/>
  <c r="G22" i="27"/>
  <c r="T27" i="42"/>
  <c r="R27" i="42"/>
  <c r="AO27" i="42"/>
  <c r="AA27" i="42"/>
  <c r="S22" i="42"/>
  <c r="AA26" i="42"/>
  <c r="R18" i="42"/>
  <c r="AR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J7" i="63"/>
  <c r="A7" i="63" s="1"/>
  <c r="J16" i="63"/>
  <c r="A16" i="63" s="1"/>
  <c r="J17" i="63"/>
  <c r="A17" i="63" s="1"/>
  <c r="G23" i="27"/>
  <c r="K23" i="27"/>
  <c r="R26" i="42"/>
  <c r="AH21" i="42"/>
  <c r="AH14" i="42"/>
  <c r="S26" i="42"/>
  <c r="AO26" i="42"/>
  <c r="AH13" i="42"/>
  <c r="X17" i="12"/>
  <c r="Z17" i="12" s="1"/>
  <c r="O17" i="12"/>
  <c r="CG3" i="64" s="1"/>
  <c r="AB11" i="24"/>
  <c r="O11" i="24"/>
  <c r="CE17" i="4"/>
  <c r="I46" i="53"/>
  <c r="I47" i="53" s="1"/>
  <c r="F24" i="6"/>
  <c r="D24" i="6" s="1"/>
  <c r="F22" i="35" s="1"/>
  <c r="G22" i="35" s="1"/>
  <c r="AH20" i="42"/>
  <c r="AH24" i="42"/>
  <c r="AH25" i="42"/>
  <c r="T26" i="42"/>
  <c r="AR18" i="42"/>
  <c r="AR26" i="42"/>
  <c r="AH19" i="42"/>
  <c r="AH18" i="42"/>
  <c r="AH16" i="42"/>
  <c r="AH22" i="42"/>
  <c r="AA13" i="42"/>
  <c r="L43" i="53"/>
  <c r="L49" i="15"/>
  <c r="J41" i="29"/>
  <c r="J20" i="16"/>
  <c r="K18" i="31" s="1"/>
  <c r="F16" i="19"/>
  <c r="AF25" i="11"/>
  <c r="AB3" i="50" s="1"/>
  <c r="I6" i="60"/>
  <c r="E17" i="19"/>
  <c r="Q19" i="5"/>
  <c r="H20" i="5"/>
  <c r="AT20" i="5" s="1"/>
  <c r="H16" i="5"/>
  <c r="AT16" i="5" s="1"/>
  <c r="Q15" i="5"/>
  <c r="AO72" i="5"/>
  <c r="AH76" i="5"/>
  <c r="AF48" i="5"/>
  <c r="K76" i="5"/>
  <c r="AB72" i="5"/>
  <c r="AK76" i="5"/>
  <c r="AO36" i="5"/>
  <c r="AL33" i="5"/>
  <c r="AC82" i="5"/>
  <c r="F46" i="6"/>
  <c r="C46" i="6" s="1"/>
  <c r="AO48" i="5"/>
  <c r="G82" i="5"/>
  <c r="C60" i="6"/>
  <c r="AI72" i="5"/>
  <c r="AL72" i="5"/>
  <c r="AI42" i="5"/>
  <c r="AD76" i="5"/>
  <c r="AC61" i="5"/>
  <c r="AH61" i="5"/>
  <c r="AT82" i="5"/>
  <c r="AJ48" i="5"/>
  <c r="AC48" i="5"/>
  <c r="AK36" i="5"/>
  <c r="AB36" i="5"/>
  <c r="O61" i="5"/>
  <c r="L76" i="5"/>
  <c r="R61" i="5"/>
  <c r="F58" i="6"/>
  <c r="C58" i="6" s="1"/>
  <c r="AD72" i="5"/>
  <c r="AG48" i="5"/>
  <c r="AT48" i="5"/>
  <c r="Z76" i="5"/>
  <c r="X82" i="5"/>
  <c r="T76" i="5"/>
  <c r="AG76" i="5"/>
  <c r="AD48" i="5"/>
  <c r="AJ36" i="5"/>
  <c r="AC36" i="5"/>
  <c r="R82" i="5"/>
  <c r="U76" i="5"/>
  <c r="X72" i="5"/>
  <c r="AA72" i="5"/>
  <c r="AE76" i="5"/>
  <c r="AT76" i="5"/>
  <c r="AK33" i="5"/>
  <c r="AL82" i="5"/>
  <c r="X36" i="5"/>
  <c r="AN36" i="5"/>
  <c r="AH72" i="5"/>
  <c r="Z72" i="5"/>
  <c r="AO42" i="5"/>
  <c r="AO76" i="5"/>
  <c r="AN61" i="5"/>
  <c r="AG61" i="5"/>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E76" i="5"/>
  <c r="Q76" i="5"/>
  <c r="C36" i="6"/>
  <c r="H76" i="5"/>
  <c r="N76" i="5"/>
  <c r="AU76" i="5"/>
  <c r="V76" i="5"/>
  <c r="U61" i="5"/>
  <c r="B75" i="5"/>
  <c r="AO18" i="42"/>
  <c r="AO22" i="42"/>
  <c r="AA18" i="42"/>
  <c r="S18" i="42"/>
  <c r="AA25" i="42"/>
  <c r="H234" i="32"/>
  <c r="H248" i="32"/>
  <c r="F240" i="32"/>
  <c r="F248" i="32"/>
  <c r="R25" i="42"/>
  <c r="T25" i="42"/>
  <c r="D50" i="6"/>
  <c r="CQ29" i="4"/>
  <c r="CW29" i="4" s="1"/>
  <c r="AR29" i="4"/>
  <c r="AX29" i="4" s="1"/>
  <c r="AQ29" i="4"/>
  <c r="AW29" i="4" s="1"/>
  <c r="AS29" i="4"/>
  <c r="AY29" i="4" s="1"/>
  <c r="CR29" i="4"/>
  <c r="CX29" i="4" s="1"/>
  <c r="BL29" i="4"/>
  <c r="BN29" i="4" s="1"/>
  <c r="S25" i="42"/>
  <c r="AO25" i="42"/>
  <c r="AR25" i="42"/>
  <c r="CP29" i="4"/>
  <c r="CV29" i="4" s="1"/>
  <c r="G25" i="8"/>
  <c r="Y25" i="8"/>
  <c r="X25" i="8"/>
  <c r="W25" i="8"/>
  <c r="AA25" i="8"/>
  <c r="Q25" i="8"/>
  <c r="H25" i="8"/>
  <c r="AD25" i="8"/>
  <c r="J25" i="8"/>
  <c r="T25" i="8"/>
  <c r="O29" i="4"/>
  <c r="Q29" i="4" s="1"/>
  <c r="AF17" i="4"/>
  <c r="F17" i="4"/>
  <c r="E12" i="25" s="1"/>
  <c r="X17" i="4"/>
  <c r="AF13" i="5"/>
  <c r="AH13" i="5"/>
  <c r="CI17" i="4"/>
  <c r="B12" i="9"/>
  <c r="C10" i="34" s="1"/>
  <c r="E10" i="34" s="1"/>
  <c r="X13" i="5"/>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B37" i="66" s="1"/>
  <c r="B38" i="66" s="1"/>
  <c r="AG13" i="5"/>
  <c r="S13" i="5"/>
  <c r="J8" i="63"/>
  <c r="A8" i="63" s="1"/>
  <c r="N13" i="5"/>
  <c r="AB13" i="5"/>
  <c r="AC13" i="5"/>
  <c r="AK13" i="5"/>
  <c r="P13" i="5"/>
  <c r="AD17" i="4"/>
  <c r="F13" i="5"/>
  <c r="AN13" i="5"/>
  <c r="H11" i="26" s="1"/>
  <c r="BN18" i="4"/>
  <c r="H19" i="5"/>
  <c r="AT19" i="5" s="1"/>
  <c r="H15" i="5"/>
  <c r="AT15" i="5" s="1"/>
  <c r="R24" i="42"/>
  <c r="F330" i="32"/>
  <c r="F332" i="32" s="1"/>
  <c r="F321" i="32"/>
  <c r="AI67" i="5"/>
  <c r="AR67" i="5"/>
  <c r="AI79" i="5"/>
  <c r="AR79" i="5"/>
  <c r="AD42" i="5"/>
  <c r="AR42" i="5"/>
  <c r="V82" i="5"/>
  <c r="AR82" i="5"/>
  <c r="AN60" i="5"/>
  <c r="AR60" i="5"/>
  <c r="AJ49" i="5"/>
  <c r="AR49"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AA24" i="42"/>
  <c r="T24" i="42"/>
  <c r="E22" i="6"/>
  <c r="C21" i="35"/>
  <c r="D20" i="35" s="1"/>
  <c r="AR24" i="42"/>
  <c r="AR23" i="42"/>
  <c r="AO24" i="42"/>
  <c r="T23" i="42"/>
  <c r="S24" i="42"/>
  <c r="AO23" i="42"/>
  <c r="AQ23" i="42" s="1"/>
  <c r="CR27" i="4"/>
  <c r="CX27" i="4" s="1"/>
  <c r="CQ27" i="4"/>
  <c r="CW27" i="4" s="1"/>
  <c r="CP27" i="4"/>
  <c r="CV27" i="4" s="1"/>
  <c r="AR27" i="4"/>
  <c r="AX27" i="4" s="1"/>
  <c r="AS27" i="4"/>
  <c r="AY27" i="4" s="1"/>
  <c r="AQ27" i="4"/>
  <c r="AW27" i="4" s="1"/>
  <c r="BL27" i="4"/>
  <c r="BN27" i="4" s="1"/>
  <c r="O27" i="4"/>
  <c r="Q27" i="4" s="1"/>
  <c r="AC23" i="5"/>
  <c r="AO15" i="42"/>
  <c r="AO20" i="42"/>
  <c r="AO16" i="42"/>
  <c r="AO14" i="42"/>
  <c r="AO19" i="42"/>
  <c r="AO13" i="42"/>
  <c r="E17" i="4"/>
  <c r="BP17" i="4"/>
  <c r="J19" i="63"/>
  <c r="A19" i="63" s="1"/>
  <c r="CD17" i="4"/>
  <c r="J21" i="63"/>
  <c r="A21" i="63" s="1"/>
  <c r="CF17" i="4"/>
  <c r="J12" i="63"/>
  <c r="A12" i="63" s="1"/>
  <c r="C17" i="4"/>
  <c r="F12" i="6" s="1"/>
  <c r="H17" i="4"/>
  <c r="D43" i="6"/>
  <c r="AA22" i="5"/>
  <c r="AU22" i="5" s="1"/>
  <c r="D52" i="6"/>
  <c r="AJ22" i="5"/>
  <c r="D45" i="6"/>
  <c r="D68" i="6"/>
  <c r="R16" i="42"/>
  <c r="AA16" i="42"/>
  <c r="AR16" i="42"/>
  <c r="D42" i="6"/>
  <c r="O13" i="5"/>
  <c r="U13" i="5"/>
  <c r="AG17" i="4"/>
  <c r="R13" i="5"/>
  <c r="D55" i="6"/>
  <c r="CP3" i="64"/>
  <c r="D39" i="6"/>
  <c r="E17" i="35"/>
  <c r="D33" i="6"/>
  <c r="F31" i="35" s="1"/>
  <c r="D26" i="6"/>
  <c r="F24" i="35" s="1"/>
  <c r="G24" i="35" s="1"/>
  <c r="D64" i="6"/>
  <c r="D67" i="6"/>
  <c r="D44" i="6"/>
  <c r="D69" i="6"/>
  <c r="C62" i="6"/>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G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G29" i="35" s="1"/>
  <c r="D32" i="6"/>
  <c r="F30" i="35" s="1"/>
  <c r="G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O25" i="5"/>
  <c r="U25" i="5"/>
  <c r="M25" i="5"/>
  <c r="I25" i="5"/>
  <c r="K25" i="5"/>
  <c r="R25" i="5"/>
  <c r="G37" i="5"/>
  <c r="K37" i="5"/>
  <c r="Q37" i="5"/>
  <c r="AF67" i="5"/>
  <c r="H269" i="32"/>
  <c r="H287" i="32"/>
  <c r="R67" i="5"/>
  <c r="AL17" i="4"/>
  <c r="R17" i="4"/>
  <c r="CK17" i="4"/>
  <c r="BE17" i="4"/>
  <c r="L17" i="4"/>
  <c r="Y33" i="5"/>
  <c r="AM67" i="5"/>
  <c r="AE67" i="5"/>
  <c r="AM79" i="5"/>
  <c r="AE79" i="5"/>
  <c r="E23" i="6"/>
  <c r="C22" i="35"/>
  <c r="F23" i="6"/>
  <c r="E47" i="6"/>
  <c r="F47" i="6"/>
  <c r="D48" i="6"/>
  <c r="H271" i="32"/>
  <c r="Q67" i="5"/>
  <c r="Q42" i="8"/>
  <c r="N42" i="8"/>
  <c r="V17" i="4"/>
  <c r="Z17" i="4"/>
  <c r="CC17" i="4"/>
  <c r="D17" i="4"/>
  <c r="H24" i="13" s="1"/>
  <c r="BD17" i="4"/>
  <c r="AD33" i="5"/>
  <c r="AA67" i="5"/>
  <c r="AT67" i="5"/>
  <c r="AA79" i="5"/>
  <c r="AT79" i="5"/>
  <c r="E26"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D24" i="35"/>
  <c r="G76" i="5"/>
  <c r="R76" i="5"/>
  <c r="F76" i="5"/>
  <c r="I76" i="5"/>
  <c r="AI33" i="5"/>
  <c r="AK67" i="5"/>
  <c r="L67" i="5"/>
  <c r="S42" i="8"/>
  <c r="R42" i="8"/>
  <c r="S17" i="4"/>
  <c r="T17" i="4"/>
  <c r="J17" i="4"/>
  <c r="N17" i="4"/>
  <c r="K17" i="4"/>
  <c r="E12" i="9" s="1"/>
  <c r="AN33" i="5"/>
  <c r="AH33" i="5"/>
  <c r="Y67" i="5"/>
  <c r="Y79" i="5"/>
  <c r="E24" i="35"/>
  <c r="D23" i="35"/>
  <c r="E71" i="6"/>
  <c r="F71" i="6"/>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G28" i="35" s="1"/>
  <c r="D61" i="6"/>
  <c r="H61" i="8"/>
  <c r="R61" i="8"/>
  <c r="W61" i="8"/>
  <c r="X79" i="5"/>
  <c r="D30" i="35"/>
  <c r="E31" i="35"/>
  <c r="M67" i="5"/>
  <c r="H134" i="32"/>
  <c r="AF33" i="5"/>
  <c r="AD67" i="5"/>
  <c r="X67" i="5"/>
  <c r="AC79" i="5"/>
  <c r="H144" i="32"/>
  <c r="G17" i="4"/>
  <c r="P17" i="4"/>
  <c r="AA17" i="4"/>
  <c r="I17" i="4"/>
  <c r="BY17" i="4"/>
  <c r="AO67" i="5"/>
  <c r="AO79" i="5"/>
  <c r="E27" i="35"/>
  <c r="D26" i="35"/>
  <c r="D27" i="35"/>
  <c r="E28" i="35"/>
  <c r="G32" i="35"/>
  <c r="D32" i="35"/>
  <c r="H32" i="35"/>
  <c r="E33" i="35"/>
  <c r="V61" i="5"/>
  <c r="T61" i="5"/>
  <c r="Q61" i="5"/>
  <c r="J61" i="5"/>
  <c r="B60" i="5"/>
  <c r="D28" i="35"/>
  <c r="E29" i="35"/>
  <c r="D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AJ14" i="5"/>
  <c r="AM14" i="5" s="1"/>
  <c r="AO14" i="5" s="1"/>
  <c r="Q14" i="5"/>
  <c r="T14" i="5" s="1"/>
  <c r="AJ21" i="5"/>
  <c r="AA21" i="5"/>
  <c r="AU21" i="5" s="1"/>
  <c r="H284" i="32"/>
  <c r="H283" i="32"/>
  <c r="H285" i="32"/>
  <c r="H291" i="32"/>
  <c r="H288" i="32"/>
  <c r="H292" i="32"/>
  <c r="H146" i="32"/>
  <c r="H286" i="32"/>
  <c r="D14" i="8"/>
  <c r="E28" i="19" s="1"/>
  <c r="E14" i="6"/>
  <c r="E12" i="35" s="1"/>
  <c r="H12" i="35" s="1"/>
  <c r="D15" i="6"/>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AA20" i="5"/>
  <c r="AU20" i="5" s="1"/>
  <c r="AJ20" i="5"/>
  <c r="S20" i="42"/>
  <c r="S13" i="42"/>
  <c r="R13" i="42"/>
  <c r="AA20" i="42"/>
  <c r="T13" i="42"/>
  <c r="AR13" i="42"/>
  <c r="T20" i="42"/>
  <c r="R20" i="42"/>
  <c r="M17" i="33"/>
  <c r="AR20" i="42"/>
  <c r="BY3" i="64"/>
  <c r="E10" i="23"/>
  <c r="BZ3" i="64"/>
  <c r="AN4" i="24"/>
  <c r="K46" i="53"/>
  <c r="K47" i="53" s="1"/>
  <c r="L47" i="53" s="1"/>
  <c r="I4" i="28"/>
  <c r="K4" i="27"/>
  <c r="I4" i="26"/>
  <c r="I4" i="23"/>
  <c r="BI3" i="50"/>
  <c r="Q5" i="33"/>
  <c r="L5" i="34" s="1"/>
  <c r="I5" i="35" s="1"/>
  <c r="BH3" i="50"/>
  <c r="D10" i="23"/>
  <c r="A33" i="36"/>
  <c r="K4" i="29"/>
  <c r="H17" i="12"/>
  <c r="J17" i="12" s="1"/>
  <c r="AR19" i="42"/>
  <c r="R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AA19" i="42"/>
  <c r="AE49" i="5"/>
  <c r="AL59" i="5"/>
  <c r="H31" i="8"/>
  <c r="W31" i="8"/>
  <c r="S31" i="8"/>
  <c r="F31" i="8"/>
  <c r="E31" i="8"/>
  <c r="T31" i="8"/>
  <c r="G31" i="8"/>
  <c r="X31" i="8"/>
  <c r="Q31" i="8"/>
  <c r="V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P33" i="5"/>
  <c r="J33" i="5"/>
  <c r="O33" i="5"/>
  <c r="S33" i="5"/>
  <c r="R33" i="5"/>
  <c r="G33" i="5"/>
  <c r="I33" i="5"/>
  <c r="K33" i="5"/>
  <c r="B32" i="5"/>
  <c r="F33" i="5"/>
  <c r="N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S19" i="42"/>
  <c r="T19" i="42"/>
  <c r="AA15" i="5"/>
  <c r="AU15" i="5" s="1"/>
  <c r="CO17" i="4"/>
  <c r="BG17" i="4"/>
  <c r="B13" i="8"/>
  <c r="BS17" i="4"/>
  <c r="CN17" i="4"/>
  <c r="BU17" i="4"/>
  <c r="BZ17" i="4"/>
  <c r="W17" i="4"/>
  <c r="AA17" i="5"/>
  <c r="AU17" i="5" s="1"/>
  <c r="F201" i="32"/>
  <c r="F67" i="32"/>
  <c r="F60" i="32"/>
  <c r="AJ16" i="5"/>
  <c r="AA16" i="5"/>
  <c r="F243" i="32"/>
  <c r="F204" i="32"/>
  <c r="F236" i="32"/>
  <c r="F205" i="32"/>
  <c r="F237" i="32"/>
  <c r="F220" i="32"/>
  <c r="F56" i="32"/>
  <c r="F247" i="32"/>
  <c r="F225" i="32"/>
  <c r="AJ17" i="5"/>
  <c r="F244" i="32"/>
  <c r="F210" i="32"/>
  <c r="F241" i="32"/>
  <c r="F211" i="32"/>
  <c r="AJ15" i="5"/>
  <c r="F249" i="32"/>
  <c r="F48" i="32"/>
  <c r="F61" i="32"/>
  <c r="F57" i="32"/>
  <c r="F385" i="32"/>
  <c r="F50" i="32"/>
  <c r="F46" i="32"/>
  <c r="F375" i="32"/>
  <c r="F69" i="32"/>
  <c r="F386" i="32"/>
  <c r="F366" i="32"/>
  <c r="F367" i="32" s="1"/>
  <c r="F373" i="32"/>
  <c r="F300" i="32"/>
  <c r="H68" i="32"/>
  <c r="F169" i="32"/>
  <c r="F304" i="32"/>
  <c r="F310" i="32"/>
  <c r="F302" i="32"/>
  <c r="F305" i="32"/>
  <c r="F312" i="32"/>
  <c r="F308" i="32"/>
  <c r="D16" i="8"/>
  <c r="P15" i="33"/>
  <c r="F187" i="32"/>
  <c r="F170" i="32"/>
  <c r="F179" i="32"/>
  <c r="F190" i="32"/>
  <c r="F181" i="32"/>
  <c r="F168" i="32"/>
  <c r="F186" i="32"/>
  <c r="F176" i="32"/>
  <c r="F178" i="32"/>
  <c r="F171" i="32"/>
  <c r="F180" i="32"/>
  <c r="F191" i="32"/>
  <c r="I15" i="33"/>
  <c r="Q15" i="33"/>
  <c r="D15" i="34"/>
  <c r="M15" i="33"/>
  <c r="AA14" i="42"/>
  <c r="AR14" i="42"/>
  <c r="R14" i="42"/>
  <c r="S14" i="42"/>
  <c r="T14" i="42"/>
  <c r="Q21" i="4"/>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J30" i="33" l="1"/>
  <c r="M26" i="33"/>
  <c r="N26" i="33"/>
  <c r="F15" i="33"/>
  <c r="O15" i="33"/>
  <c r="H15" i="33"/>
  <c r="K15" i="33"/>
  <c r="G15" i="33"/>
  <c r="J15" i="33"/>
  <c r="L26" i="33"/>
  <c r="N15" i="33"/>
  <c r="E15" i="33"/>
  <c r="V34" i="42"/>
  <c r="V21" i="42"/>
  <c r="V15" i="42"/>
  <c r="K30" i="33"/>
  <c r="O30" i="33"/>
  <c r="P30" i="33"/>
  <c r="H28" i="35"/>
  <c r="F14" i="35"/>
  <c r="G14" i="35" s="1"/>
  <c r="AA18" i="5"/>
  <c r="AM34" i="5"/>
  <c r="AO34" i="5" s="1"/>
  <c r="T34" i="5"/>
  <c r="D21" i="8"/>
  <c r="C30" i="8"/>
  <c r="D28" i="33" s="1"/>
  <c r="M28" i="33" s="1"/>
  <c r="C20" i="8"/>
  <c r="D18" i="33" s="1"/>
  <c r="I18" i="33" s="1"/>
  <c r="I30" i="33"/>
  <c r="C18" i="8"/>
  <c r="D16" i="33" s="1"/>
  <c r="O16" i="33" s="1"/>
  <c r="G30" i="33"/>
  <c r="L30" i="33"/>
  <c r="E30" i="33"/>
  <c r="D18" i="8"/>
  <c r="H30" i="33"/>
  <c r="D20" i="8"/>
  <c r="C21" i="8"/>
  <c r="D19" i="33" s="1"/>
  <c r="G19" i="33" s="1"/>
  <c r="M30" i="33"/>
  <c r="F30" i="33"/>
  <c r="Q30" i="33"/>
  <c r="AQ34" i="42"/>
  <c r="V29" i="42"/>
  <c r="V17" i="42"/>
  <c r="AQ21" i="42"/>
  <c r="V31" i="42"/>
  <c r="V16" i="42"/>
  <c r="AQ17" i="42"/>
  <c r="H30" i="35"/>
  <c r="AJ18" i="5"/>
  <c r="Q18" i="5"/>
  <c r="H29" i="35"/>
  <c r="AR32" i="5"/>
  <c r="H21" i="5"/>
  <c r="AT21" i="5" s="1"/>
  <c r="E21" i="35"/>
  <c r="AR34" i="5"/>
  <c r="V34" i="5"/>
  <c r="D30" i="8"/>
  <c r="C32" i="6"/>
  <c r="AJ33" i="5"/>
  <c r="Q21" i="5"/>
  <c r="AQ29" i="42"/>
  <c r="T22" i="5"/>
  <c r="V22" i="5" s="1"/>
  <c r="Q33" i="5"/>
  <c r="H33" i="5"/>
  <c r="AT33" i="5" s="1"/>
  <c r="AA33" i="5"/>
  <c r="AU33" i="5" s="1"/>
  <c r="D33" i="8"/>
  <c r="C33" i="8"/>
  <c r="D31" i="33" s="1"/>
  <c r="G31" i="33" s="1"/>
  <c r="C31" i="6"/>
  <c r="J26" i="33"/>
  <c r="P26" i="33"/>
  <c r="I26" i="33"/>
  <c r="H26" i="33"/>
  <c r="E26" i="33"/>
  <c r="Q26" i="33"/>
  <c r="F26" i="33"/>
  <c r="G26" i="33"/>
  <c r="O26" i="33"/>
  <c r="AR31" i="5"/>
  <c r="T30" i="5"/>
  <c r="V30" i="5" s="1"/>
  <c r="AA13" i="5"/>
  <c r="I16" i="54" s="1"/>
  <c r="L3" i="55" s="1"/>
  <c r="AM32" i="5"/>
  <c r="AO32" i="5" s="1"/>
  <c r="G25" i="35"/>
  <c r="C30" i="6"/>
  <c r="AQ30" i="42"/>
  <c r="D29" i="8"/>
  <c r="H13" i="5"/>
  <c r="I20" i="54" s="1"/>
  <c r="P3" i="55" s="1"/>
  <c r="AQ31" i="42"/>
  <c r="AR29" i="5"/>
  <c r="C31" i="8"/>
  <c r="D29" i="33" s="1"/>
  <c r="P29" i="33" s="1"/>
  <c r="D31" i="8"/>
  <c r="AM31" i="5"/>
  <c r="AO31" i="5" s="1"/>
  <c r="AU31" i="5"/>
  <c r="H27" i="35"/>
  <c r="V22" i="42"/>
  <c r="AM30" i="5"/>
  <c r="AO30" i="5" s="1"/>
  <c r="C29" i="6"/>
  <c r="V30" i="42"/>
  <c r="H26" i="35"/>
  <c r="O28" i="33"/>
  <c r="AA26" i="5"/>
  <c r="AU26" i="5" s="1"/>
  <c r="AM29" i="5"/>
  <c r="AO29" i="5" s="1"/>
  <c r="C28" i="6"/>
  <c r="H23" i="35"/>
  <c r="H376" i="32"/>
  <c r="H25" i="35"/>
  <c r="AA25" i="5"/>
  <c r="AU25" i="5" s="1"/>
  <c r="H26" i="5"/>
  <c r="AT26" i="5" s="1"/>
  <c r="AJ25" i="5"/>
  <c r="Q26" i="5"/>
  <c r="AJ26" i="5"/>
  <c r="H24" i="35"/>
  <c r="C29" i="8"/>
  <c r="D27" i="33" s="1"/>
  <c r="C27" i="6"/>
  <c r="H25" i="5"/>
  <c r="AT25" i="5" s="1"/>
  <c r="V28" i="42"/>
  <c r="AM28" i="5"/>
  <c r="AO28" i="5" s="1"/>
  <c r="T28" i="5"/>
  <c r="V28" i="5" s="1"/>
  <c r="C25" i="8"/>
  <c r="D23" i="33" s="1"/>
  <c r="F23" i="33" s="1"/>
  <c r="C26" i="8"/>
  <c r="D24" i="33" s="1"/>
  <c r="C23" i="8"/>
  <c r="D21" i="33" s="1"/>
  <c r="O21" i="33" s="1"/>
  <c r="C24" i="8"/>
  <c r="D22" i="33" s="1"/>
  <c r="M22" i="33" s="1"/>
  <c r="AU28" i="5"/>
  <c r="D58" i="6"/>
  <c r="AN3" i="64"/>
  <c r="H388" i="32"/>
  <c r="K20" i="33"/>
  <c r="N20" i="33"/>
  <c r="J20" i="33"/>
  <c r="E20" i="33"/>
  <c r="H20" i="33"/>
  <c r="L20" i="33"/>
  <c r="O20" i="33"/>
  <c r="P20" i="33"/>
  <c r="I20" i="33"/>
  <c r="G20" i="33"/>
  <c r="M20" i="33"/>
  <c r="F20" i="33"/>
  <c r="AA24" i="5"/>
  <c r="AU24" i="5" s="1"/>
  <c r="H313" i="32"/>
  <c r="AQ27" i="42"/>
  <c r="AQ28" i="42"/>
  <c r="T27" i="5"/>
  <c r="AR27" i="5" s="1"/>
  <c r="C26" i="6"/>
  <c r="V27" i="42"/>
  <c r="V25" i="42"/>
  <c r="V18" i="42"/>
  <c r="AM27" i="5"/>
  <c r="AO27" i="5" s="1"/>
  <c r="AU27" i="5"/>
  <c r="AQ26" i="42"/>
  <c r="V24" i="42"/>
  <c r="AQ18" i="42"/>
  <c r="V26" i="42"/>
  <c r="AJ24" i="5"/>
  <c r="D26" i="8"/>
  <c r="J25" i="33"/>
  <c r="N25" i="33"/>
  <c r="F25" i="33"/>
  <c r="O25" i="33"/>
  <c r="K25" i="33"/>
  <c r="P25" i="33"/>
  <c r="E25" i="33"/>
  <c r="C25" i="6"/>
  <c r="H25" i="33"/>
  <c r="Q25" i="33"/>
  <c r="G25" i="33"/>
  <c r="I25" i="33"/>
  <c r="L25" i="33"/>
  <c r="J15" i="15"/>
  <c r="H21" i="26" s="1"/>
  <c r="E15" i="25"/>
  <c r="J16" i="15"/>
  <c r="H22" i="26" s="1"/>
  <c r="E17" i="45"/>
  <c r="H13" i="7"/>
  <c r="H324" i="32"/>
  <c r="AQ22" i="42"/>
  <c r="Q17" i="12"/>
  <c r="Q12" i="33"/>
  <c r="E12" i="33"/>
  <c r="G12" i="33"/>
  <c r="C24" i="6"/>
  <c r="AQ25" i="42"/>
  <c r="T16" i="5"/>
  <c r="V16" i="5" s="1"/>
  <c r="T20" i="5"/>
  <c r="V20" i="5" s="1"/>
  <c r="E16" i="25"/>
  <c r="I69" i="29"/>
  <c r="Q11" i="4"/>
  <c r="L50" i="15"/>
  <c r="J42" i="29"/>
  <c r="J10" i="4"/>
  <c r="T19" i="5"/>
  <c r="V19" i="5" s="1"/>
  <c r="T15" i="5"/>
  <c r="V15" i="5" s="1"/>
  <c r="E12" i="6"/>
  <c r="E10" i="35" s="1"/>
  <c r="D46" i="6"/>
  <c r="L46" i="53"/>
  <c r="AJ13" i="5"/>
  <c r="I18" i="54" s="1"/>
  <c r="N3" i="55" s="1"/>
  <c r="AQ13" i="42"/>
  <c r="AS13" i="42" s="1"/>
  <c r="E14" i="25"/>
  <c r="F324" i="32"/>
  <c r="Q13" i="5"/>
  <c r="E31" i="66" s="1"/>
  <c r="F32" i="66" s="1"/>
  <c r="I34" i="54"/>
  <c r="AD3" i="55" s="1"/>
  <c r="D25" i="8"/>
  <c r="Q25" i="5"/>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E33" i="14"/>
  <c r="E34" i="14" s="1"/>
  <c r="H23" i="5"/>
  <c r="AT23" i="5" s="1"/>
  <c r="H24" i="5"/>
  <c r="AT24" i="5" s="1"/>
  <c r="Q24" i="5"/>
  <c r="AQ15" i="42"/>
  <c r="AQ20" i="42"/>
  <c r="AQ24" i="42"/>
  <c r="N12" i="33"/>
  <c r="M12" i="33"/>
  <c r="P12" i="33"/>
  <c r="D24" i="8"/>
  <c r="J12" i="33"/>
  <c r="K12" i="33"/>
  <c r="O12" i="33"/>
  <c r="L12" i="33"/>
  <c r="F16" i="33"/>
  <c r="H12" i="33"/>
  <c r="I12" i="33"/>
  <c r="AA23" i="5"/>
  <c r="AQ16" i="42"/>
  <c r="AJ23" i="5"/>
  <c r="Q23" i="5"/>
  <c r="I38" i="54"/>
  <c r="AH3" i="55" s="1"/>
  <c r="E13" i="27"/>
  <c r="E53" i="14"/>
  <c r="G53" i="14" s="1"/>
  <c r="J53" i="14" s="1"/>
  <c r="E17" i="66" s="1"/>
  <c r="F18" i="66" s="1"/>
  <c r="E10" i="25"/>
  <c r="E21" i="19"/>
  <c r="E30" i="19" s="1"/>
  <c r="D23" i="8"/>
  <c r="AM22" i="5"/>
  <c r="AO22" i="5" s="1"/>
  <c r="AQ14" i="42"/>
  <c r="AQ19" i="42"/>
  <c r="V17" i="5"/>
  <c r="AR17" i="5"/>
  <c r="V14" i="5"/>
  <c r="AR14" i="5"/>
  <c r="E39" i="19" s="1"/>
  <c r="C12" i="9"/>
  <c r="H18" i="35"/>
  <c r="F13" i="33"/>
  <c r="F18" i="35"/>
  <c r="G18" i="35" s="1"/>
  <c r="C20" i="6"/>
  <c r="H17" i="35"/>
  <c r="AM21" i="5"/>
  <c r="AO21" i="5" s="1"/>
  <c r="D11" i="36"/>
  <c r="C19" i="6"/>
  <c r="O17" i="4"/>
  <c r="D13" i="6"/>
  <c r="C13" i="6" s="1"/>
  <c r="AS17" i="4"/>
  <c r="AY17" i="4" s="1"/>
  <c r="AQ17" i="4"/>
  <c r="E35" i="66" s="1"/>
  <c r="I39" i="54"/>
  <c r="AI3" i="55" s="1"/>
  <c r="E17" i="25"/>
  <c r="AR17" i="4"/>
  <c r="AX17" i="4" s="1"/>
  <c r="CP17" i="4"/>
  <c r="CV17" i="4" s="1"/>
  <c r="V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C35" i="6"/>
  <c r="D35" i="6"/>
  <c r="F33" i="35" s="1"/>
  <c r="D21" i="6"/>
  <c r="F19" i="35" s="1"/>
  <c r="G19" i="35" s="1"/>
  <c r="H276" i="32"/>
  <c r="H76" i="32"/>
  <c r="E45" i="19"/>
  <c r="BL17" i="4"/>
  <c r="F34" i="66" s="1"/>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V20" i="42"/>
  <c r="BP3" i="50"/>
  <c r="CO3" i="64"/>
  <c r="CQ3" i="64"/>
  <c r="F12" i="9"/>
  <c r="F36" i="19" s="1"/>
  <c r="F3" i="64"/>
  <c r="D8" i="23"/>
  <c r="D9" i="23"/>
  <c r="BJ3" i="50"/>
  <c r="D11" i="23"/>
  <c r="V19" i="42"/>
  <c r="F376" i="32"/>
  <c r="H137" i="32"/>
  <c r="CR17" i="4"/>
  <c r="CX17" i="4" s="1"/>
  <c r="AM19" i="5"/>
  <c r="AO19" i="5" s="1"/>
  <c r="AM15" i="5"/>
  <c r="AO15" i="5" s="1"/>
  <c r="CQ17" i="4"/>
  <c r="CW17" i="4" s="1"/>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V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44"/>
  <c r="E13" i="36"/>
  <c r="I28" i="33" l="1"/>
  <c r="E28" i="33"/>
  <c r="L18" i="33"/>
  <c r="P28" i="33"/>
  <c r="M18" i="33"/>
  <c r="N18" i="33"/>
  <c r="P18" i="33"/>
  <c r="Q18" i="33"/>
  <c r="K18" i="33"/>
  <c r="G18" i="33"/>
  <c r="H18" i="33"/>
  <c r="O18" i="33"/>
  <c r="F18" i="33"/>
  <c r="J28" i="33"/>
  <c r="K28" i="33"/>
  <c r="J16" i="33"/>
  <c r="Q28" i="33"/>
  <c r="Q16" i="33"/>
  <c r="P16" i="33"/>
  <c r="L16" i="33"/>
  <c r="K16" i="33"/>
  <c r="M16" i="33"/>
  <c r="N16" i="33"/>
  <c r="I16" i="33"/>
  <c r="L28" i="33"/>
  <c r="G16" i="33"/>
  <c r="H16" i="33"/>
  <c r="F28" i="33"/>
  <c r="E16" i="33"/>
  <c r="G28" i="33"/>
  <c r="AR22" i="5"/>
  <c r="K19" i="33"/>
  <c r="H19" i="33"/>
  <c r="E18" i="33"/>
  <c r="N28" i="33"/>
  <c r="H28" i="33"/>
  <c r="J18" i="33"/>
  <c r="F19" i="33"/>
  <c r="Q19" i="33"/>
  <c r="P19" i="33"/>
  <c r="I19" i="33"/>
  <c r="N19" i="33"/>
  <c r="O19" i="33"/>
  <c r="J19" i="33"/>
  <c r="L19" i="33"/>
  <c r="E19" i="33"/>
  <c r="M19" i="33"/>
  <c r="T21" i="5"/>
  <c r="AR21" i="5" s="1"/>
  <c r="H21" i="35"/>
  <c r="T33" i="5"/>
  <c r="AR33" i="5" s="1"/>
  <c r="AM33" i="5"/>
  <c r="AO33" i="5" s="1"/>
  <c r="M31" i="33"/>
  <c r="H31" i="33"/>
  <c r="Q31" i="33"/>
  <c r="N31" i="33"/>
  <c r="J31" i="33"/>
  <c r="E31" i="33"/>
  <c r="F31" i="33"/>
  <c r="L31" i="33"/>
  <c r="I31" i="33"/>
  <c r="K31" i="33"/>
  <c r="P31" i="33"/>
  <c r="O31" i="33"/>
  <c r="E37" i="66"/>
  <c r="F38" i="66" s="1"/>
  <c r="AU13" i="5"/>
  <c r="AR30" i="5"/>
  <c r="AT13" i="5"/>
  <c r="Q17" i="4"/>
  <c r="F36" i="66"/>
  <c r="E33" i="66" s="1"/>
  <c r="Q29" i="33"/>
  <c r="G29" i="33"/>
  <c r="E29" i="33"/>
  <c r="F29" i="33"/>
  <c r="J29" i="33"/>
  <c r="K29" i="33"/>
  <c r="N29" i="33"/>
  <c r="H29" i="33"/>
  <c r="L29" i="33"/>
  <c r="I29" i="33"/>
  <c r="O29" i="33"/>
  <c r="M29" i="33"/>
  <c r="AM25" i="5"/>
  <c r="AO25" i="5" s="1"/>
  <c r="AM26" i="5"/>
  <c r="AO26" i="5" s="1"/>
  <c r="T26" i="5"/>
  <c r="AR26" i="5" s="1"/>
  <c r="AR28" i="5"/>
  <c r="T25" i="5"/>
  <c r="V25" i="5" s="1"/>
  <c r="J27" i="33"/>
  <c r="H27" i="33"/>
  <c r="I27" i="33"/>
  <c r="N27" i="33"/>
  <c r="M27" i="33"/>
  <c r="Q27" i="33"/>
  <c r="L27" i="33"/>
  <c r="E27" i="33"/>
  <c r="F27" i="33"/>
  <c r="G27" i="33"/>
  <c r="O27" i="33"/>
  <c r="K27" i="33"/>
  <c r="P27" i="33"/>
  <c r="AM24" i="5"/>
  <c r="AO24" i="5" s="1"/>
  <c r="C13" i="8"/>
  <c r="I53" i="54" s="1"/>
  <c r="AW3" i="55" s="1"/>
  <c r="V27"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T13" i="42"/>
  <c r="R11" i="4"/>
  <c r="P11" i="4"/>
  <c r="G34" i="14"/>
  <c r="J34" i="14" s="1"/>
  <c r="J15" i="27" s="1"/>
  <c r="L51" i="15"/>
  <c r="J43" i="29"/>
  <c r="AP3" i="64"/>
  <c r="AR18" i="5"/>
  <c r="I22" i="54"/>
  <c r="R3" i="55" s="1"/>
  <c r="T13" i="5"/>
  <c r="H10" i="26" s="1"/>
  <c r="H12" i="26" s="1"/>
  <c r="G33" i="14"/>
  <c r="J33" i="14" s="1"/>
  <c r="C23" i="6"/>
  <c r="H23" i="33"/>
  <c r="G23" i="33"/>
  <c r="E23" i="33"/>
  <c r="M23" i="33"/>
  <c r="J23" i="33"/>
  <c r="O23" i="33"/>
  <c r="N23" i="33"/>
  <c r="P23" i="33"/>
  <c r="L23" i="33"/>
  <c r="C22" i="6"/>
  <c r="K23" i="33"/>
  <c r="Q23" i="33"/>
  <c r="I23" i="33"/>
  <c r="E16" i="16"/>
  <c r="E16" i="31" s="1"/>
  <c r="T23" i="5"/>
  <c r="AR23" i="5" s="1"/>
  <c r="AW17" i="4"/>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D13" i="8"/>
  <c r="F28" i="19" s="1"/>
  <c r="J15" i="34"/>
  <c r="K15" i="34" s="1"/>
  <c r="D13" i="36"/>
  <c r="F13" i="36"/>
  <c r="G13" i="36" s="1"/>
  <c r="J13" i="27"/>
  <c r="K13" i="27" s="1"/>
  <c r="E13" i="30"/>
  <c r="E2" i="63" s="1"/>
  <c r="F360" i="32"/>
  <c r="H360" i="32"/>
  <c r="M11" i="44"/>
  <c r="N11" i="44" s="1"/>
  <c r="E14" i="36"/>
  <c r="E14" i="44"/>
  <c r="V21" i="5" l="1"/>
  <c r="V33" i="5"/>
  <c r="AR25" i="5"/>
  <c r="V26" i="5"/>
  <c r="J61" i="14"/>
  <c r="I28" i="15" s="1"/>
  <c r="H17" i="29" s="1"/>
  <c r="G12" i="9"/>
  <c r="H3" i="64" s="1"/>
  <c r="AY3" i="64"/>
  <c r="F10" i="35"/>
  <c r="G10" i="35" s="1"/>
  <c r="F43" i="19" s="1"/>
  <c r="V13" i="5"/>
  <c r="E18" i="23"/>
  <c r="L52" i="15"/>
  <c r="J44" i="29"/>
  <c r="AQ3" i="64"/>
  <c r="S17" i="45"/>
  <c r="T17" i="45" s="1"/>
  <c r="AR13" i="5"/>
  <c r="J11" i="15" s="1"/>
  <c r="H15" i="13" s="1"/>
  <c r="V23" i="5"/>
  <c r="V24" i="5"/>
  <c r="CD3" i="64"/>
  <c r="E25" i="66"/>
  <c r="F26" i="66" s="1"/>
  <c r="E13" i="66"/>
  <c r="F14" i="66" s="1"/>
  <c r="AZ3" i="64"/>
  <c r="M11" i="36"/>
  <c r="N11" i="36" s="1"/>
  <c r="Q11" i="36" s="1"/>
  <c r="AL3" i="50"/>
  <c r="AU3" i="64"/>
  <c r="AX3" i="64"/>
  <c r="V17" i="45"/>
  <c r="BP3" i="64"/>
  <c r="C12" i="10"/>
  <c r="AE3" i="50"/>
  <c r="D14" i="44"/>
  <c r="F14" i="44"/>
  <c r="G14" i="44"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44"/>
  <c r="E15" i="36"/>
  <c r="J3" i="64" l="1"/>
  <c r="H12" i="9"/>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36"/>
  <c r="E16" i="44"/>
  <c r="L54" i="15" l="1"/>
  <c r="J46" i="29"/>
  <c r="F16" i="44"/>
  <c r="G16" i="44" s="1"/>
  <c r="D16" i="44"/>
  <c r="H48" i="34"/>
  <c r="I49" i="34"/>
  <c r="L49" i="34"/>
  <c r="K12" i="34"/>
  <c r="D16" i="36"/>
  <c r="F16" i="36"/>
  <c r="G16" i="36" s="1"/>
  <c r="AP3" i="50"/>
  <c r="Q12" i="36"/>
  <c r="J13" i="36"/>
  <c r="N12" i="44"/>
  <c r="E17" i="36"/>
  <c r="E17" i="44"/>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36"/>
  <c r="E19" i="44"/>
  <c r="F19" i="44" l="1"/>
  <c r="G19" i="44" s="1"/>
  <c r="D19" i="44"/>
  <c r="H45" i="34"/>
  <c r="I46" i="34"/>
  <c r="L46" i="34"/>
  <c r="F19" i="36"/>
  <c r="G19" i="36" s="1"/>
  <c r="D19" i="36"/>
  <c r="J14" i="36"/>
  <c r="K14" i="36" s="1"/>
  <c r="L14" i="36" s="1"/>
  <c r="M14" i="36" s="1"/>
  <c r="L13" i="44"/>
  <c r="M13" i="44" s="1"/>
  <c r="E20" i="36"/>
  <c r="E20" i="44"/>
  <c r="F20" i="44" l="1"/>
  <c r="G20" i="44" s="1"/>
  <c r="D20" i="44"/>
  <c r="H44" i="34"/>
  <c r="I45" i="34"/>
  <c r="L45" i="34"/>
  <c r="D20" i="36"/>
  <c r="F20" i="36"/>
  <c r="G20" i="36" s="1"/>
  <c r="N13" i="44"/>
  <c r="N14" i="36"/>
  <c r="E21" i="44"/>
  <c r="E21" i="36"/>
  <c r="D21" i="44" l="1"/>
  <c r="F21" i="44"/>
  <c r="G21" i="44" s="1"/>
  <c r="I44" i="34"/>
  <c r="H43" i="34"/>
  <c r="L44" i="34"/>
  <c r="D21" i="36"/>
  <c r="F21" i="36"/>
  <c r="G21" i="36" s="1"/>
  <c r="J14" i="44"/>
  <c r="K14" i="44" s="1"/>
  <c r="Q13" i="44"/>
  <c r="Q14" i="36"/>
  <c r="J15" i="36"/>
  <c r="E22" i="44"/>
  <c r="E22" i="36"/>
  <c r="D22" i="44" l="1"/>
  <c r="F22" i="44"/>
  <c r="G22" i="44" s="1"/>
  <c r="H42" i="34"/>
  <c r="I43" i="34"/>
  <c r="L43" i="34"/>
  <c r="F22" i="36"/>
  <c r="G22" i="36" s="1"/>
  <c r="D22" i="36"/>
  <c r="L14" i="44"/>
  <c r="M14" i="44" s="1"/>
  <c r="K15" i="36"/>
  <c r="L15" i="36" s="1"/>
  <c r="E23" i="44"/>
  <c r="E23" i="36"/>
  <c r="D23" i="44" l="1"/>
  <c r="F23" i="44"/>
  <c r="G23" i="44" s="1"/>
  <c r="H41" i="34"/>
  <c r="I42" i="34"/>
  <c r="L42" i="34"/>
  <c r="D23" i="36"/>
  <c r="F23" i="36"/>
  <c r="G23" i="36" s="1"/>
  <c r="N14" i="44"/>
  <c r="Q14" i="44" s="1"/>
  <c r="M15" i="36"/>
  <c r="N15" i="36" s="1"/>
  <c r="J16" i="36" s="1"/>
  <c r="E24" i="36"/>
  <c r="E24" i="44"/>
  <c r="F24" i="44" l="1"/>
  <c r="G24" i="44" s="1"/>
  <c r="D24" i="44"/>
  <c r="H40" i="34"/>
  <c r="I41" i="34"/>
  <c r="L41" i="34"/>
  <c r="D24" i="36"/>
  <c r="F24" i="36"/>
  <c r="G24" i="36" s="1"/>
  <c r="J15" i="44"/>
  <c r="K15" i="44" s="1"/>
  <c r="L15" i="44" s="1"/>
  <c r="M15" i="44" s="1"/>
  <c r="Q15" i="36"/>
  <c r="K16" i="36"/>
  <c r="L16" i="36" s="1"/>
  <c r="E25" i="44"/>
  <c r="E25" i="36"/>
  <c r="F25" i="44" l="1"/>
  <c r="G25" i="44" s="1"/>
  <c r="D25" i="44"/>
  <c r="H39" i="34"/>
  <c r="I40" i="34"/>
  <c r="L40" i="34"/>
  <c r="F25" i="36"/>
  <c r="G25" i="36" s="1"/>
  <c r="D25" i="36"/>
  <c r="M16" i="36"/>
  <c r="N16" i="36" s="1"/>
  <c r="Q16" i="36" s="1"/>
  <c r="N15" i="44"/>
  <c r="E26" i="44"/>
  <c r="E26" i="36"/>
  <c r="D26" i="44" l="1"/>
  <c r="F26" i="44"/>
  <c r="G26" i="44" s="1"/>
  <c r="H38" i="34"/>
  <c r="I39" i="34"/>
  <c r="L39" i="34"/>
  <c r="D26" i="36"/>
  <c r="F26" i="36"/>
  <c r="G26" i="36" s="1"/>
  <c r="J17" i="36"/>
  <c r="K17" i="36" s="1"/>
  <c r="Q15" i="44"/>
  <c r="J16" i="44"/>
  <c r="E27" i="36"/>
  <c r="E27" i="44"/>
  <c r="F27" i="44" l="1"/>
  <c r="G27" i="44" s="1"/>
  <c r="D27" i="44"/>
  <c r="H37" i="34"/>
  <c r="I38" i="34"/>
  <c r="L38" i="34"/>
  <c r="F27" i="36"/>
  <c r="G27" i="36" s="1"/>
  <c r="D27" i="36"/>
  <c r="L17" i="36"/>
  <c r="M17" i="36" s="1"/>
  <c r="K16" i="44"/>
  <c r="L16" i="44" s="1"/>
  <c r="E28" i="36"/>
  <c r="E28" i="44"/>
  <c r="F28" i="44" l="1"/>
  <c r="G28" i="44" s="1"/>
  <c r="D28" i="44"/>
  <c r="H36" i="34"/>
  <c r="I37" i="34"/>
  <c r="L37" i="34"/>
  <c r="D28" i="36"/>
  <c r="F28" i="36"/>
  <c r="G28" i="36" s="1"/>
  <c r="N17" i="36"/>
  <c r="Q17" i="36" s="1"/>
  <c r="M16" i="44"/>
  <c r="N16" i="44" s="1"/>
  <c r="E29" i="44"/>
  <c r="E29" i="36"/>
  <c r="F29" i="44" l="1"/>
  <c r="G29" i="44" s="1"/>
  <c r="D29" i="44"/>
  <c r="H35" i="34"/>
  <c r="I36" i="34"/>
  <c r="L36" i="34"/>
  <c r="F29" i="36"/>
  <c r="G29" i="36" s="1"/>
  <c r="D29" i="36"/>
  <c r="J18" i="36"/>
  <c r="K18" i="36" s="1"/>
  <c r="L18" i="36" s="1"/>
  <c r="M18" i="36" s="1"/>
  <c r="J17" i="44"/>
  <c r="K17" i="44" s="1"/>
  <c r="Q16" i="44"/>
  <c r="E30" i="36"/>
  <c r="E30" i="44"/>
  <c r="D30" i="44" l="1"/>
  <c r="F30" i="44"/>
  <c r="G30" i="44" s="1"/>
  <c r="H34" i="34"/>
  <c r="I35" i="34"/>
  <c r="L35" i="34"/>
  <c r="D30" i="36"/>
  <c r="F30" i="36"/>
  <c r="G30" i="36" s="1"/>
  <c r="L17" i="44"/>
  <c r="M17" i="44" s="1"/>
  <c r="N18" i="36"/>
  <c r="E31" i="44"/>
  <c r="E31" i="36"/>
  <c r="F31" i="44" l="1"/>
  <c r="G31" i="44" s="1"/>
  <c r="D31" i="44"/>
  <c r="H33" i="34"/>
  <c r="I34" i="34"/>
  <c r="L34" i="34"/>
  <c r="D31" i="36"/>
  <c r="F31" i="36"/>
  <c r="G31" i="36" s="1"/>
  <c r="N17" i="44"/>
  <c r="J18" i="44" s="1"/>
  <c r="Q18" i="36"/>
  <c r="J19" i="36"/>
  <c r="E32" i="44"/>
  <c r="E32" i="36"/>
  <c r="F32" i="44" l="1"/>
  <c r="G32" i="44" s="1"/>
  <c r="D32" i="44"/>
  <c r="H32" i="34"/>
  <c r="I33" i="34"/>
  <c r="L33" i="34"/>
  <c r="D32" i="36"/>
  <c r="F32" i="36"/>
  <c r="G32" i="36" s="1"/>
  <c r="Q17" i="44"/>
  <c r="K19" i="36"/>
  <c r="L19" i="36" s="1"/>
  <c r="K18" i="44"/>
  <c r="L18" i="44" s="1"/>
  <c r="E33" i="36"/>
  <c r="E33" i="44"/>
  <c r="F33" i="44" l="1"/>
  <c r="G33" i="44" s="1"/>
  <c r="D33" i="44"/>
  <c r="H31" i="34"/>
  <c r="I32" i="34"/>
  <c r="L32" i="34"/>
  <c r="D33" i="36"/>
  <c r="F33" i="36"/>
  <c r="G33" i="36" s="1"/>
  <c r="M18" i="44"/>
  <c r="N18" i="44" s="1"/>
  <c r="Q18" i="44" s="1"/>
  <c r="M19" i="36"/>
  <c r="N19" i="36" s="1"/>
  <c r="E34" i="36"/>
  <c r="E34" i="44"/>
  <c r="F34" i="44" l="1"/>
  <c r="G34" i="44" s="1"/>
  <c r="D34" i="44"/>
  <c r="H30" i="34"/>
  <c r="I31" i="34"/>
  <c r="L31" i="34"/>
  <c r="D34" i="36"/>
  <c r="F34" i="36"/>
  <c r="G34" i="36" s="1"/>
  <c r="J19" i="44"/>
  <c r="K19" i="44" s="1"/>
  <c r="J20" i="36"/>
  <c r="K20" i="36" s="1"/>
  <c r="Q19" i="36"/>
  <c r="E35" i="44"/>
  <c r="E35" i="36"/>
  <c r="D35" i="44" l="1"/>
  <c r="F35" i="44"/>
  <c r="G35" i="44" s="1"/>
  <c r="I30" i="34"/>
  <c r="H29" i="34"/>
  <c r="L30" i="34"/>
  <c r="F35" i="36"/>
  <c r="G35" i="36" s="1"/>
  <c r="D35" i="36"/>
  <c r="L20" i="36"/>
  <c r="M20" i="36" s="1"/>
  <c r="N20" i="36" s="1"/>
  <c r="L19" i="44"/>
  <c r="E36" i="44"/>
  <c r="E36" i="36"/>
  <c r="F36" i="44" l="1"/>
  <c r="G36" i="44" s="1"/>
  <c r="D36" i="44"/>
  <c r="H28" i="34"/>
  <c r="I29" i="34"/>
  <c r="L29" i="34"/>
  <c r="D36" i="36"/>
  <c r="F36" i="36"/>
  <c r="G36" i="36" s="1"/>
  <c r="J21" i="36"/>
  <c r="Q20" i="36"/>
  <c r="M19" i="44"/>
  <c r="N19" i="44" s="1"/>
  <c r="E37" i="36"/>
  <c r="E37" i="44"/>
  <c r="D37" i="44" l="1"/>
  <c r="F37" i="44"/>
  <c r="G37" i="44" s="1"/>
  <c r="I28" i="34"/>
  <c r="H27" i="34"/>
  <c r="L28" i="34"/>
  <c r="D37" i="36"/>
  <c r="F37" i="36"/>
  <c r="G37" i="36" s="1"/>
  <c r="Q19" i="44"/>
  <c r="J20" i="44"/>
  <c r="K20" i="44" s="1"/>
  <c r="K21" i="36"/>
  <c r="E38" i="44"/>
  <c r="E38" i="36"/>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44"/>
  <c r="E41" i="36"/>
  <c r="D41" i="44" l="1"/>
  <c r="F41" i="44"/>
  <c r="G41" i="44" s="1"/>
  <c r="H23" i="34"/>
  <c r="I24" i="34"/>
  <c r="L24" i="34"/>
  <c r="D41" i="36"/>
  <c r="F41" i="36"/>
  <c r="G41" i="36" s="1"/>
  <c r="K22" i="36"/>
  <c r="L22" i="36" s="1"/>
  <c r="M22" i="36" s="1"/>
  <c r="N22" i="36" s="1"/>
  <c r="Q21" i="44"/>
  <c r="J22" i="44"/>
  <c r="K22" i="44" s="1"/>
  <c r="L22" i="44" s="1"/>
  <c r="M22" i="44" s="1"/>
  <c r="N22" i="44" s="1"/>
  <c r="E42" i="36"/>
  <c r="E42" i="44"/>
  <c r="F42" i="44" l="1"/>
  <c r="G42" i="44" s="1"/>
  <c r="D42" i="44"/>
  <c r="H22" i="34"/>
  <c r="I23" i="34"/>
  <c r="L23" i="34"/>
  <c r="F42" i="36"/>
  <c r="G42" i="36" s="1"/>
  <c r="D42" i="36"/>
  <c r="Q22" i="36"/>
  <c r="J23" i="36"/>
  <c r="K23" i="36" s="1"/>
  <c r="Q22" i="44"/>
  <c r="J23" i="44"/>
  <c r="E43" i="36"/>
  <c r="E43" i="44"/>
  <c r="F43" i="44" l="1"/>
  <c r="G43" i="44" s="1"/>
  <c r="D43" i="44"/>
  <c r="H21" i="34"/>
  <c r="I22" i="34"/>
  <c r="L22" i="34"/>
  <c r="D43" i="36"/>
  <c r="F43" i="36"/>
  <c r="G43" i="36" s="1"/>
  <c r="L23" i="36"/>
  <c r="M23" i="36" s="1"/>
  <c r="K23" i="44"/>
  <c r="E44" i="44"/>
  <c r="E44" i="36"/>
  <c r="D44" i="44" l="1"/>
  <c r="F44" i="44"/>
  <c r="G44" i="44" s="1"/>
  <c r="H20" i="34"/>
  <c r="I21" i="34"/>
  <c r="L21" i="34"/>
  <c r="F44" i="36"/>
  <c r="G44" i="36" s="1"/>
  <c r="D44" i="36"/>
  <c r="N23" i="36"/>
  <c r="J24" i="36" s="1"/>
  <c r="L23" i="44"/>
  <c r="E45" i="44"/>
  <c r="E45" i="36"/>
  <c r="F45" i="44" l="1"/>
  <c r="G45" i="44" s="1"/>
  <c r="D45" i="44"/>
  <c r="H19" i="34"/>
  <c r="I20" i="34"/>
  <c r="L20" i="34"/>
  <c r="F45" i="36"/>
  <c r="G45" i="36" s="1"/>
  <c r="D45" i="36"/>
  <c r="Q23" i="36"/>
  <c r="M23" i="44"/>
  <c r="N23" i="44" s="1"/>
  <c r="K24" i="36"/>
  <c r="L24" i="36" s="1"/>
  <c r="E46" i="44"/>
  <c r="E46" i="36"/>
  <c r="F46" i="44" l="1"/>
  <c r="G46" i="44" s="1"/>
  <c r="D46" i="44"/>
  <c r="H18" i="34"/>
  <c r="I19" i="34"/>
  <c r="L19" i="34"/>
  <c r="D46" i="36"/>
  <c r="F46" i="36"/>
  <c r="G46" i="36" s="1"/>
  <c r="Q23" i="44"/>
  <c r="J24" i="44"/>
  <c r="M24" i="36"/>
  <c r="N24" i="36" s="1"/>
  <c r="E47" i="36"/>
  <c r="E47" i="44"/>
  <c r="D47" i="44" l="1"/>
  <c r="F47" i="44"/>
  <c r="G47" i="44" s="1"/>
  <c r="H17" i="34"/>
  <c r="I18" i="34"/>
  <c r="L18" i="34"/>
  <c r="F47" i="36"/>
  <c r="G47" i="36" s="1"/>
  <c r="D47" i="36"/>
  <c r="K24" i="44"/>
  <c r="L24" i="44" s="1"/>
  <c r="M24" i="44" s="1"/>
  <c r="Q24" i="36"/>
  <c r="J25" i="36"/>
  <c r="E48" i="44"/>
  <c r="E48" i="36"/>
  <c r="F48" i="44" l="1"/>
  <c r="G48" i="44" s="1"/>
  <c r="D48" i="44"/>
  <c r="H16" i="34"/>
  <c r="I17" i="34"/>
  <c r="L17" i="34"/>
  <c r="F48" i="36"/>
  <c r="G48" i="36" s="1"/>
  <c r="D48" i="36"/>
  <c r="N24" i="44"/>
  <c r="K25" i="36"/>
  <c r="E49" i="36"/>
  <c r="E49" i="44"/>
  <c r="D49" i="44" l="1"/>
  <c r="F49" i="44"/>
  <c r="G49" i="44" s="1"/>
  <c r="I16" i="34"/>
  <c r="H15" i="34"/>
  <c r="L16" i="34"/>
  <c r="D49" i="36"/>
  <c r="F49" i="36"/>
  <c r="G49" i="36" s="1"/>
  <c r="L25" i="36"/>
  <c r="M25" i="36" s="1"/>
  <c r="N25" i="36" s="1"/>
  <c r="Q24" i="44"/>
  <c r="J25" i="44"/>
  <c r="E50" i="44"/>
  <c r="E50" i="36"/>
  <c r="D50" i="44" l="1"/>
  <c r="F50" i="44"/>
  <c r="G50" i="44" s="1"/>
  <c r="H14" i="34"/>
  <c r="I15" i="34"/>
  <c r="L15" i="34"/>
  <c r="F50" i="36"/>
  <c r="G50" i="36" s="1"/>
  <c r="D50" i="36"/>
  <c r="Q25" i="36"/>
  <c r="J26" i="36"/>
  <c r="K25" i="44"/>
  <c r="L25" i="44" s="1"/>
  <c r="M25" i="44" s="1"/>
  <c r="E51" i="36"/>
  <c r="E51" i="44"/>
  <c r="D51" i="44" l="1"/>
  <c r="F51" i="44"/>
  <c r="G51" i="44" s="1"/>
  <c r="H13" i="34"/>
  <c r="I14" i="34"/>
  <c r="L14" i="34"/>
  <c r="D51" i="36"/>
  <c r="F51" i="36"/>
  <c r="G51" i="36" s="1"/>
  <c r="K26" i="36"/>
  <c r="L26" i="36" s="1"/>
  <c r="M26" i="36" s="1"/>
  <c r="N25" i="44"/>
  <c r="E52" i="36"/>
  <c r="E52" i="44"/>
  <c r="D52" i="44" l="1"/>
  <c r="F52" i="44"/>
  <c r="G52" i="44" s="1"/>
  <c r="H12" i="34"/>
  <c r="I13" i="34"/>
  <c r="L13" i="34"/>
  <c r="D52" i="36"/>
  <c r="F52" i="36"/>
  <c r="G52" i="36" s="1"/>
  <c r="N26" i="36"/>
  <c r="Q25" i="44"/>
  <c r="J26" i="44"/>
  <c r="E53" i="36"/>
  <c r="E53" i="44"/>
  <c r="F53" i="44" l="1"/>
  <c r="G53" i="44" s="1"/>
  <c r="D53" i="44"/>
  <c r="I12" i="34"/>
  <c r="H11" i="34"/>
  <c r="L12" i="34"/>
  <c r="D53" i="36"/>
  <c r="F53" i="36"/>
  <c r="G53" i="36" s="1"/>
  <c r="Q26" i="36"/>
  <c r="J27" i="36"/>
  <c r="K26" i="44"/>
  <c r="L26" i="44" s="1"/>
  <c r="E54" i="44"/>
  <c r="E54" i="36"/>
  <c r="D54" i="44" l="1"/>
  <c r="F54" i="44"/>
  <c r="G54" i="44" s="1"/>
  <c r="H10" i="34"/>
  <c r="I11" i="34"/>
  <c r="L11" i="34"/>
  <c r="D54" i="36"/>
  <c r="F54" i="36"/>
  <c r="G54" i="36" s="1"/>
  <c r="M26" i="44"/>
  <c r="N26" i="44" s="1"/>
  <c r="K27" i="36"/>
  <c r="L27" i="36" s="1"/>
  <c r="M27" i="36" s="1"/>
  <c r="E55" i="36"/>
  <c r="E55" i="44"/>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36"/>
  <c r="E58" i="44"/>
  <c r="F58" i="44" l="1"/>
  <c r="G58" i="44" s="1"/>
  <c r="D58" i="44"/>
  <c r="D58" i="36"/>
  <c r="F58" i="36"/>
  <c r="G58" i="36" s="1"/>
  <c r="N28" i="36"/>
  <c r="K28" i="44"/>
  <c r="L28" i="44" s="1"/>
  <c r="E59" i="44"/>
  <c r="E59" i="36"/>
  <c r="F59" i="44" l="1"/>
  <c r="G59" i="44" s="1"/>
  <c r="D59" i="44"/>
  <c r="D59" i="36"/>
  <c r="F59" i="36"/>
  <c r="G59" i="36" s="1"/>
  <c r="M28" i="44"/>
  <c r="N28" i="44" s="1"/>
  <c r="Q28" i="36"/>
  <c r="J29" i="36"/>
  <c r="E60" i="44"/>
  <c r="E60" i="36"/>
  <c r="D60" i="44" l="1"/>
  <c r="F60" i="44"/>
  <c r="G60" i="44" s="1"/>
  <c r="D60" i="36"/>
  <c r="F60" i="36"/>
  <c r="G60" i="36" s="1"/>
  <c r="Q28" i="44"/>
  <c r="J29" i="44"/>
  <c r="K29" i="36"/>
  <c r="L29" i="36" s="1"/>
  <c r="E61" i="44"/>
  <c r="E61" i="36"/>
  <c r="F61" i="44" l="1"/>
  <c r="G61" i="44" s="1"/>
  <c r="D61" i="44"/>
  <c r="D61" i="36"/>
  <c r="F61" i="36"/>
  <c r="G61" i="36" s="1"/>
  <c r="M29" i="36"/>
  <c r="N29" i="36" s="1"/>
  <c r="K29" i="44"/>
  <c r="E62" i="36"/>
  <c r="E62" i="44"/>
  <c r="F62" i="44" l="1"/>
  <c r="G62" i="44" s="1"/>
  <c r="D62" i="44"/>
  <c r="F62" i="36"/>
  <c r="G62" i="36" s="1"/>
  <c r="D62" i="36"/>
  <c r="L29" i="44"/>
  <c r="M29" i="44" s="1"/>
  <c r="Q29" i="36"/>
  <c r="J30" i="36"/>
  <c r="E63" i="44"/>
  <c r="E63" i="36"/>
  <c r="D63" i="44" l="1"/>
  <c r="F63" i="44"/>
  <c r="G63" i="44" s="1"/>
  <c r="F63" i="36"/>
  <c r="G63" i="36" s="1"/>
  <c r="D63" i="36"/>
  <c r="N29" i="44"/>
  <c r="J30" i="44" s="1"/>
  <c r="K30" i="44" s="1"/>
  <c r="K30" i="36"/>
  <c r="L30" i="36" s="1"/>
  <c r="M30" i="36" s="1"/>
  <c r="E64" i="36"/>
  <c r="E64" i="44"/>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36"/>
  <c r="E66" i="44"/>
  <c r="D66" i="44" l="1"/>
  <c r="F66" i="44"/>
  <c r="G66" i="44" s="1"/>
  <c r="D66" i="36"/>
  <c r="F66" i="36"/>
  <c r="G66" i="36" s="1"/>
  <c r="K31" i="36"/>
  <c r="L31" i="36" s="1"/>
  <c r="M31" i="36" s="1"/>
  <c r="N31" i="36" s="1"/>
  <c r="K31" i="44"/>
  <c r="L31" i="44" s="1"/>
  <c r="E67" i="44"/>
  <c r="E67" i="36"/>
  <c r="D67" i="44" l="1"/>
  <c r="F67" i="44"/>
  <c r="G67" i="44" s="1"/>
  <c r="F67" i="36"/>
  <c r="G67" i="36" s="1"/>
  <c r="D67" i="36"/>
  <c r="M31" i="44"/>
  <c r="N31" i="44" s="1"/>
  <c r="Q31" i="36"/>
  <c r="J32" i="36"/>
  <c r="E68" i="44"/>
  <c r="E68" i="36"/>
  <c r="F68" i="44" l="1"/>
  <c r="G68" i="44" s="1"/>
  <c r="D68" i="44"/>
  <c r="D68" i="36"/>
  <c r="F68" i="36"/>
  <c r="G68" i="36" s="1"/>
  <c r="J32" i="44"/>
  <c r="K32" i="44" s="1"/>
  <c r="Q31" i="44"/>
  <c r="K32" i="36"/>
  <c r="L32" i="36" s="1"/>
  <c r="M32" i="36" s="1"/>
  <c r="E69" i="44"/>
  <c r="E69" i="36"/>
  <c r="D69" i="44" l="1"/>
  <c r="F69" i="44"/>
  <c r="G69" i="44" s="1"/>
  <c r="D69" i="36"/>
  <c r="F69" i="36"/>
  <c r="G69" i="36" s="1"/>
  <c r="L32" i="44"/>
  <c r="M32" i="44" s="1"/>
  <c r="N32" i="44" s="1"/>
  <c r="N32" i="36"/>
  <c r="E70" i="44"/>
  <c r="E70" i="36"/>
  <c r="D70" i="44" l="1"/>
  <c r="F70" i="44"/>
  <c r="G70" i="44" s="1"/>
  <c r="F70" i="36"/>
  <c r="G70" i="36" s="1"/>
  <c r="D70" i="36"/>
  <c r="J33" i="44"/>
  <c r="K33" i="44" s="1"/>
  <c r="L33" i="44" s="1"/>
  <c r="M33" i="44" s="1"/>
  <c r="N33" i="44" s="1"/>
  <c r="Q32" i="44"/>
  <c r="Q32" i="36"/>
  <c r="J33" i="36"/>
  <c r="E71" i="44"/>
  <c r="E71" i="36"/>
  <c r="F71" i="44" l="1"/>
  <c r="G71" i="44" s="1"/>
  <c r="D71" i="44"/>
  <c r="D71" i="36"/>
  <c r="F71" i="36"/>
  <c r="G71" i="36" s="1"/>
  <c r="Q33" i="44"/>
  <c r="J34" i="44"/>
  <c r="K33" i="36"/>
  <c r="L33" i="36" s="1"/>
  <c r="E72" i="44"/>
  <c r="E72" i="36"/>
  <c r="D72" i="44" l="1"/>
  <c r="F72" i="44"/>
  <c r="G72" i="44" s="1"/>
  <c r="F72" i="36"/>
  <c r="G72" i="36" s="1"/>
  <c r="D72" i="36"/>
  <c r="M33" i="36"/>
  <c r="N33" i="36" s="1"/>
  <c r="K34" i="44"/>
  <c r="E73" i="36"/>
  <c r="E73" i="44"/>
  <c r="F73" i="44" l="1"/>
  <c r="G73" i="44" s="1"/>
  <c r="D73" i="44"/>
  <c r="F73" i="36"/>
  <c r="G73" i="36" s="1"/>
  <c r="D73" i="36"/>
  <c r="J34" i="36"/>
  <c r="K34" i="36" s="1"/>
  <c r="Q33" i="36"/>
  <c r="L34" i="44"/>
  <c r="M34" i="44" s="1"/>
  <c r="E74" i="44"/>
  <c r="E74" i="36"/>
  <c r="D74" i="44" l="1"/>
  <c r="F74" i="44"/>
  <c r="G74" i="44" s="1"/>
  <c r="D74" i="36"/>
  <c r="F74" i="36"/>
  <c r="G74" i="36" s="1"/>
  <c r="N34" i="44"/>
  <c r="Q34" i="44" s="1"/>
  <c r="L34" i="36"/>
  <c r="E75" i="44"/>
  <c r="E75" i="36"/>
  <c r="D75" i="44" l="1"/>
  <c r="F75" i="44"/>
  <c r="G75" i="44" s="1"/>
  <c r="F75" i="36"/>
  <c r="G75" i="36" s="1"/>
  <c r="D75" i="36"/>
  <c r="J35" i="44"/>
  <c r="K35" i="44" s="1"/>
  <c r="L35" i="44" s="1"/>
  <c r="M34" i="36"/>
  <c r="N34" i="36" s="1"/>
  <c r="E76" i="36"/>
  <c r="E76" i="44"/>
  <c r="D76" i="44" l="1"/>
  <c r="F76" i="44"/>
  <c r="G76" i="44" s="1"/>
  <c r="F76" i="36"/>
  <c r="G76" i="36" s="1"/>
  <c r="D76" i="36"/>
  <c r="Q34" i="36"/>
  <c r="J35" i="36"/>
  <c r="K35" i="36" s="1"/>
  <c r="L35" i="36" s="1"/>
  <c r="M35" i="36" s="1"/>
  <c r="M35" i="44"/>
  <c r="N35" i="44" s="1"/>
  <c r="E77" i="44"/>
  <c r="E77" i="36"/>
  <c r="F77" i="44" l="1"/>
  <c r="G77" i="44" s="1"/>
  <c r="D77" i="44"/>
  <c r="D77" i="36"/>
  <c r="F77" i="36"/>
  <c r="G77" i="36" s="1"/>
  <c r="J36" i="44"/>
  <c r="K36" i="44" s="1"/>
  <c r="L36" i="44" s="1"/>
  <c r="Q35" i="44"/>
  <c r="N35" i="36"/>
  <c r="E78" i="36"/>
  <c r="E78" i="44"/>
  <c r="D78" i="44" l="1"/>
  <c r="F78" i="44"/>
  <c r="G78" i="44" s="1"/>
  <c r="D78" i="36"/>
  <c r="F78" i="36"/>
  <c r="G78" i="36" s="1"/>
  <c r="M36" i="44"/>
  <c r="N36" i="44" s="1"/>
  <c r="J37" i="44" s="1"/>
  <c r="Q35" i="36"/>
  <c r="J36" i="36"/>
  <c r="E79" i="44"/>
  <c r="E79" i="36"/>
  <c r="D79" i="44" l="1"/>
  <c r="F79" i="44"/>
  <c r="G79" i="44" s="1"/>
  <c r="F79" i="36"/>
  <c r="G79" i="36" s="1"/>
  <c r="D79" i="36"/>
  <c r="Q36" i="44"/>
  <c r="K37" i="44"/>
  <c r="K36" i="36"/>
  <c r="L36" i="36" s="1"/>
  <c r="E80" i="36"/>
  <c r="E80" i="44"/>
  <c r="F80" i="44" l="1"/>
  <c r="G80" i="44" s="1"/>
  <c r="D80" i="44"/>
  <c r="D80" i="36"/>
  <c r="F80" i="36"/>
  <c r="G80" i="36" s="1"/>
  <c r="M36" i="36"/>
  <c r="N36" i="36" s="1"/>
  <c r="L37" i="44"/>
  <c r="M37" i="44" s="1"/>
  <c r="N37" i="44" s="1"/>
  <c r="E81" i="36"/>
  <c r="E81" i="44"/>
  <c r="D81" i="44" l="1"/>
  <c r="F81" i="44"/>
  <c r="G81" i="44" s="1"/>
  <c r="F81" i="36"/>
  <c r="G81" i="36" s="1"/>
  <c r="D81" i="36"/>
  <c r="Q37" i="44"/>
  <c r="J38" i="44"/>
  <c r="Q36" i="36"/>
  <c r="J37" i="36"/>
  <c r="E82" i="36"/>
  <c r="E82" i="44"/>
  <c r="D82" i="44" l="1"/>
  <c r="F82" i="44"/>
  <c r="G82" i="44" s="1"/>
  <c r="F82" i="36"/>
  <c r="G82" i="36" s="1"/>
  <c r="D82" i="36"/>
  <c r="K38" i="44"/>
  <c r="L38" i="44" s="1"/>
  <c r="K37" i="36"/>
  <c r="L37" i="36" s="1"/>
  <c r="E83" i="44"/>
  <c r="E83" i="36"/>
  <c r="F83" i="44" l="1"/>
  <c r="G83" i="44" s="1"/>
  <c r="D83" i="44"/>
  <c r="F83" i="36"/>
  <c r="G83" i="36" s="1"/>
  <c r="D83" i="36"/>
  <c r="M37" i="36"/>
  <c r="N37" i="36" s="1"/>
  <c r="M38" i="44"/>
  <c r="N38" i="44" s="1"/>
  <c r="E84" i="44"/>
  <c r="E84" i="36"/>
  <c r="D84" i="44" l="1"/>
  <c r="F84" i="44"/>
  <c r="G84" i="44" s="1"/>
  <c r="F84" i="36"/>
  <c r="G84" i="36" s="1"/>
  <c r="D84" i="36"/>
  <c r="Q37" i="36"/>
  <c r="J38" i="36"/>
  <c r="K38" i="36" s="1"/>
  <c r="Q38" i="44"/>
  <c r="J39" i="44"/>
  <c r="E85" i="36"/>
  <c r="E85" i="44"/>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36"/>
  <c r="E87" i="44"/>
  <c r="F87" i="44" l="1"/>
  <c r="G87" i="44" s="1"/>
  <c r="D87" i="44"/>
  <c r="F87" i="36"/>
  <c r="G87" i="36" s="1"/>
  <c r="D87" i="36"/>
  <c r="Q39" i="44"/>
  <c r="J40" i="44"/>
  <c r="K39" i="36"/>
  <c r="L39" i="36" s="1"/>
  <c r="E88" i="44"/>
  <c r="E88" i="36"/>
  <c r="D88" i="44" l="1"/>
  <c r="F88" i="44"/>
  <c r="G88" i="44" s="1"/>
  <c r="F88" i="36"/>
  <c r="G88" i="36" s="1"/>
  <c r="D88" i="36"/>
  <c r="M39" i="36"/>
  <c r="N39" i="36" s="1"/>
  <c r="K40" i="44"/>
  <c r="L40" i="44" s="1"/>
  <c r="M40" i="44" s="1"/>
  <c r="E89" i="44"/>
  <c r="E89" i="36"/>
  <c r="D89" i="44" l="1"/>
  <c r="F89" i="44"/>
  <c r="G89" i="44" s="1"/>
  <c r="D89" i="36"/>
  <c r="F89" i="36"/>
  <c r="G89" i="36" s="1"/>
  <c r="Q39" i="36"/>
  <c r="J40" i="36"/>
  <c r="K40" i="36" s="1"/>
  <c r="L40" i="36" s="1"/>
  <c r="N40" i="44"/>
  <c r="E90" i="44"/>
  <c r="E90" i="36"/>
  <c r="F90" i="44" l="1"/>
  <c r="G90" i="44" s="1"/>
  <c r="D90" i="44"/>
  <c r="D90" i="36"/>
  <c r="F90" i="36"/>
  <c r="G90" i="36" s="1"/>
  <c r="M40" i="36"/>
  <c r="N40" i="36" s="1"/>
  <c r="J41" i="36" s="1"/>
  <c r="Q40" i="44"/>
  <c r="J41" i="44"/>
  <c r="E91" i="44"/>
  <c r="E91" i="36"/>
  <c r="F91" i="44" l="1"/>
  <c r="G91" i="44" s="1"/>
  <c r="D91" i="44"/>
  <c r="F91" i="36"/>
  <c r="G91" i="36" s="1"/>
  <c r="D91" i="36"/>
  <c r="Q40" i="36"/>
  <c r="K41" i="44"/>
  <c r="K41" i="36"/>
  <c r="L41" i="36" s="1"/>
  <c r="M41" i="36" s="1"/>
  <c r="E92" i="44"/>
  <c r="E92" i="36"/>
  <c r="F92" i="44" l="1"/>
  <c r="G92" i="44" s="1"/>
  <c r="D92" i="44"/>
  <c r="F92" i="36"/>
  <c r="G92" i="36" s="1"/>
  <c r="D92" i="36"/>
  <c r="N41" i="36"/>
  <c r="L41" i="44"/>
  <c r="M41" i="44" s="1"/>
  <c r="E93" i="36"/>
  <c r="E93" i="44"/>
  <c r="F93" i="44" l="1"/>
  <c r="G93" i="44" s="1"/>
  <c r="D93" i="44"/>
  <c r="D93" i="36"/>
  <c r="F93" i="36"/>
  <c r="G93" i="36" s="1"/>
  <c r="N41" i="44"/>
  <c r="Q41" i="36"/>
  <c r="J42" i="36"/>
  <c r="E94" i="44"/>
  <c r="E94" i="36"/>
  <c r="F94" i="44" l="1"/>
  <c r="G94" i="44" s="1"/>
  <c r="D94" i="44"/>
  <c r="F94" i="36"/>
  <c r="G94" i="36" s="1"/>
  <c r="D94" i="36"/>
  <c r="Q41" i="44"/>
  <c r="J42" i="44"/>
  <c r="K42" i="36"/>
  <c r="L42" i="36" s="1"/>
  <c r="M42" i="36" s="1"/>
  <c r="N42" i="36" s="1"/>
  <c r="E95" i="36"/>
  <c r="E95" i="44"/>
  <c r="D95" i="44" l="1"/>
  <c r="F95" i="44"/>
  <c r="G95" i="44" s="1"/>
  <c r="F95" i="36"/>
  <c r="G95" i="36" s="1"/>
  <c r="D95" i="36"/>
  <c r="Q42" i="36"/>
  <c r="J43" i="36"/>
  <c r="K42" i="44"/>
  <c r="L42" i="44" s="1"/>
  <c r="M42" i="44" s="1"/>
  <c r="E96" i="36"/>
  <c r="E96" i="44"/>
  <c r="D96" i="44" l="1"/>
  <c r="F96" i="44"/>
  <c r="G96" i="44" s="1"/>
  <c r="F96" i="36"/>
  <c r="G96" i="36" s="1"/>
  <c r="D96" i="36"/>
  <c r="K43" i="36"/>
  <c r="L43" i="36" s="1"/>
  <c r="M43" i="36" s="1"/>
  <c r="N42" i="44"/>
  <c r="E97" i="36"/>
  <c r="E97" i="44"/>
  <c r="D97" i="44" l="1"/>
  <c r="F97" i="44"/>
  <c r="G97" i="44" s="1"/>
  <c r="D97" i="36"/>
  <c r="F97" i="36"/>
  <c r="G97" i="36" s="1"/>
  <c r="Q42" i="44"/>
  <c r="J43" i="44"/>
  <c r="N43" i="36"/>
  <c r="E98" i="36"/>
  <c r="E98" i="44"/>
  <c r="F98" i="44" l="1"/>
  <c r="G98" i="44" s="1"/>
  <c r="D98" i="44"/>
  <c r="F98" i="36"/>
  <c r="G98" i="36" s="1"/>
  <c r="D98" i="36"/>
  <c r="Q43" i="36"/>
  <c r="J44" i="36"/>
  <c r="K43" i="44"/>
  <c r="L43" i="44" s="1"/>
  <c r="M43" i="44" s="1"/>
  <c r="E99" i="36"/>
  <c r="E99" i="44"/>
  <c r="D99" i="44" l="1"/>
  <c r="F99" i="44"/>
  <c r="G99" i="44" s="1"/>
  <c r="D99" i="36"/>
  <c r="F99" i="36"/>
  <c r="G99" i="36" s="1"/>
  <c r="N43" i="44"/>
  <c r="K44" i="36"/>
  <c r="L44" i="36" s="1"/>
  <c r="E100" i="44"/>
  <c r="E100" i="36"/>
  <c r="D100" i="44" l="1"/>
  <c r="F100" i="44"/>
  <c r="G100" i="44" s="1"/>
  <c r="D100" i="36"/>
  <c r="F100" i="36"/>
  <c r="G100" i="36" s="1"/>
  <c r="M44" i="36"/>
  <c r="N44" i="36" s="1"/>
  <c r="J45" i="36" s="1"/>
  <c r="Q43" i="44"/>
  <c r="J44" i="44"/>
  <c r="E101" i="44"/>
  <c r="E101" i="36"/>
  <c r="F101" i="44" l="1"/>
  <c r="G101" i="44" s="1"/>
  <c r="D101" i="44"/>
  <c r="D101" i="36"/>
  <c r="F101" i="36"/>
  <c r="G101" i="36" s="1"/>
  <c r="Q44" i="36"/>
  <c r="K45" i="36"/>
  <c r="L45" i="36" s="1"/>
  <c r="K44" i="44"/>
  <c r="L44" i="44" s="1"/>
  <c r="M44" i="44" s="1"/>
  <c r="N44" i="44" s="1"/>
  <c r="E102" i="36"/>
  <c r="E102" i="44"/>
  <c r="D102" i="44" l="1"/>
  <c r="F102" i="44"/>
  <c r="G102" i="44" s="1"/>
  <c r="D102" i="36"/>
  <c r="F102" i="36"/>
  <c r="G102" i="36" s="1"/>
  <c r="M45" i="36"/>
  <c r="N45" i="36" s="1"/>
  <c r="Q44" i="44"/>
  <c r="J45" i="44"/>
  <c r="E103" i="44"/>
  <c r="E103" i="36"/>
  <c r="D103" i="44" l="1"/>
  <c r="F103" i="44"/>
  <c r="G103" i="44" s="1"/>
  <c r="D103" i="36"/>
  <c r="F103" i="36"/>
  <c r="G103" i="36" s="1"/>
  <c r="Q45" i="36"/>
  <c r="J46" i="36"/>
  <c r="K45" i="44"/>
  <c r="L45" i="44" s="1"/>
  <c r="M45" i="44" s="1"/>
  <c r="N45" i="44" s="1"/>
  <c r="E104" i="44"/>
  <c r="E104" i="36"/>
  <c r="F104" i="44" l="1"/>
  <c r="G104" i="44" s="1"/>
  <c r="D104" i="44"/>
  <c r="D104" i="36"/>
  <c r="F104" i="36"/>
  <c r="G104" i="36" s="1"/>
  <c r="Q45" i="44"/>
  <c r="J46" i="44"/>
  <c r="K46" i="36"/>
  <c r="L46" i="36" s="1"/>
  <c r="M46" i="36" s="1"/>
  <c r="E105" i="36"/>
  <c r="E105" i="44"/>
  <c r="D105" i="44" l="1"/>
  <c r="F105" i="44"/>
  <c r="G105" i="44" s="1"/>
  <c r="F105" i="36"/>
  <c r="G105" i="36" s="1"/>
  <c r="D105" i="36"/>
  <c r="N46" i="36"/>
  <c r="K46" i="44"/>
  <c r="L46" i="44" s="1"/>
  <c r="E106" i="44"/>
  <c r="E106" i="36"/>
  <c r="D106" i="44" l="1"/>
  <c r="F106" i="44"/>
  <c r="G106" i="44" s="1"/>
  <c r="D106" i="36"/>
  <c r="F106" i="36"/>
  <c r="G106" i="36" s="1"/>
  <c r="M46" i="44"/>
  <c r="N46" i="44" s="1"/>
  <c r="Q46" i="36"/>
  <c r="J47" i="36"/>
  <c r="E107" i="36"/>
  <c r="E107" i="44"/>
  <c r="D107" i="44" l="1"/>
  <c r="F107" i="44"/>
  <c r="G107" i="44" s="1"/>
  <c r="F107" i="36"/>
  <c r="G107" i="36" s="1"/>
  <c r="D107" i="36"/>
  <c r="J47" i="44"/>
  <c r="K47" i="44" s="1"/>
  <c r="L47" i="44" s="1"/>
  <c r="M47" i="44" s="1"/>
  <c r="Q46" i="44"/>
  <c r="K47" i="36"/>
  <c r="L47" i="36" s="1"/>
  <c r="M47" i="36" s="1"/>
  <c r="E108" i="36"/>
  <c r="E108" i="44"/>
  <c r="D108" i="44" l="1"/>
  <c r="F108" i="44"/>
  <c r="G108" i="44" s="1"/>
  <c r="D108" i="36"/>
  <c r="F108" i="36"/>
  <c r="G108" i="36" s="1"/>
  <c r="N47" i="36"/>
  <c r="N47" i="44"/>
  <c r="E109" i="44"/>
  <c r="E109" i="36"/>
  <c r="D109" i="44" l="1"/>
  <c r="F109" i="44"/>
  <c r="G109" i="44" s="1"/>
  <c r="D109" i="36"/>
  <c r="F109" i="36"/>
  <c r="G109" i="36" s="1"/>
  <c r="Q47" i="44"/>
  <c r="J48" i="44"/>
  <c r="Q47" i="36"/>
  <c r="J48" i="36"/>
  <c r="E110" i="36"/>
  <c r="E110" i="44"/>
  <c r="D110" i="44" l="1"/>
  <c r="F110" i="44"/>
  <c r="G110" i="44" s="1"/>
  <c r="D110" i="36"/>
  <c r="F110" i="36"/>
  <c r="G110" i="36" s="1"/>
  <c r="K48" i="36"/>
  <c r="L48" i="36" s="1"/>
  <c r="K48" i="44"/>
  <c r="L48" i="44" s="1"/>
  <c r="E111" i="36"/>
  <c r="E111" i="44"/>
  <c r="D111" i="44" l="1"/>
  <c r="F111" i="44"/>
  <c r="G111" i="44" s="1"/>
  <c r="D111" i="36"/>
  <c r="F111" i="36"/>
  <c r="G111" i="36" s="1"/>
  <c r="M48" i="36"/>
  <c r="N48" i="36" s="1"/>
  <c r="M48" i="44"/>
  <c r="N48" i="44" s="1"/>
  <c r="Q48" i="44" s="1"/>
  <c r="E112" i="44"/>
  <c r="E112" i="36"/>
  <c r="D112" i="44" l="1"/>
  <c r="F112" i="44"/>
  <c r="G112" i="44" s="1"/>
  <c r="D112" i="36"/>
  <c r="F112" i="36"/>
  <c r="G112" i="36" s="1"/>
  <c r="J49" i="44"/>
  <c r="K49" i="44" s="1"/>
  <c r="L49" i="44" s="1"/>
  <c r="Q48" i="36"/>
  <c r="J49" i="36"/>
  <c r="E113" i="44"/>
  <c r="E113" i="36"/>
  <c r="F113" i="44" l="1"/>
  <c r="G113" i="44" s="1"/>
  <c r="D113" i="44"/>
  <c r="D113" i="36"/>
  <c r="F113" i="36"/>
  <c r="G113" i="36" s="1"/>
  <c r="M49" i="44"/>
  <c r="N49" i="44" s="1"/>
  <c r="J50" i="44" s="1"/>
  <c r="K49" i="36"/>
  <c r="L49" i="36" s="1"/>
  <c r="M49" i="36" s="1"/>
  <c r="E114" i="44"/>
  <c r="E114" i="36"/>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44"/>
  <c r="E116" i="36"/>
  <c r="F116" i="44" l="1"/>
  <c r="G116" i="44" s="1"/>
  <c r="D116" i="44"/>
  <c r="F116" i="36"/>
  <c r="G116" i="36" s="1"/>
  <c r="D116" i="36"/>
  <c r="Q50" i="44"/>
  <c r="J51" i="44"/>
  <c r="K50" i="36"/>
  <c r="L50" i="36" s="1"/>
  <c r="E117" i="44"/>
  <c r="E117" i="36"/>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44"/>
  <c r="E119" i="36"/>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36"/>
  <c r="E122" i="44"/>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36"/>
  <c r="E124" i="44"/>
  <c r="D124" i="44" l="1"/>
  <c r="F124" i="44"/>
  <c r="G124" i="44" s="1"/>
  <c r="D124" i="36"/>
  <c r="F124" i="36"/>
  <c r="G124" i="36" s="1"/>
  <c r="Q52" i="36"/>
  <c r="J53" i="36"/>
  <c r="N53" i="44"/>
  <c r="E125" i="44"/>
  <c r="E125" i="36"/>
  <c r="D125" i="44" l="1"/>
  <c r="F125" i="44"/>
  <c r="G125" i="44" s="1"/>
  <c r="D125" i="36"/>
  <c r="F125" i="36"/>
  <c r="G125" i="36" s="1"/>
  <c r="Q53" i="44"/>
  <c r="J54" i="44"/>
  <c r="K53" i="36"/>
  <c r="L53" i="36" s="1"/>
  <c r="E126" i="44"/>
  <c r="E126" i="36"/>
  <c r="F126" i="44" l="1"/>
  <c r="G126" i="44" s="1"/>
  <c r="D126" i="44"/>
  <c r="D126" i="36"/>
  <c r="F126" i="36"/>
  <c r="G126" i="36" s="1"/>
  <c r="K54" i="44"/>
  <c r="L54" i="44" s="1"/>
  <c r="M53" i="36"/>
  <c r="N53" i="36" s="1"/>
  <c r="E127" i="36"/>
  <c r="E127" i="44"/>
  <c r="F127" i="44" l="1"/>
  <c r="G127" i="44" s="1"/>
  <c r="D127" i="44"/>
  <c r="D127" i="36"/>
  <c r="F127" i="36"/>
  <c r="G127" i="36" s="1"/>
  <c r="M54" i="44"/>
  <c r="N54" i="44" s="1"/>
  <c r="Q53" i="36"/>
  <c r="J54" i="36"/>
  <c r="E128" i="36"/>
  <c r="E128" i="44"/>
  <c r="F128" i="44" l="1"/>
  <c r="G128" i="44" s="1"/>
  <c r="D128" i="44"/>
  <c r="D128" i="36"/>
  <c r="F128" i="36"/>
  <c r="G128" i="36" s="1"/>
  <c r="Q54" i="44"/>
  <c r="J55" i="44"/>
  <c r="K54" i="36"/>
  <c r="L54" i="36" s="1"/>
  <c r="E129" i="36"/>
  <c r="E129" i="44"/>
  <c r="D129" i="44" l="1"/>
  <c r="F129" i="44"/>
  <c r="G129" i="44" s="1"/>
  <c r="D129" i="36"/>
  <c r="F129" i="36"/>
  <c r="G129" i="36" s="1"/>
  <c r="M54" i="36"/>
  <c r="N54" i="36" s="1"/>
  <c r="K55" i="44"/>
  <c r="L55" i="44" s="1"/>
  <c r="E130" i="36"/>
  <c r="E130" i="44"/>
  <c r="D130" i="44" l="1"/>
  <c r="F130" i="44"/>
  <c r="G130" i="44" s="1"/>
  <c r="F130" i="36"/>
  <c r="G130" i="36" s="1"/>
  <c r="D130" i="36"/>
  <c r="M55" i="44"/>
  <c r="N55" i="44" s="1"/>
  <c r="Q54" i="36"/>
  <c r="J55" i="36"/>
  <c r="E131" i="44"/>
  <c r="E131" i="36"/>
  <c r="D131" i="44" l="1"/>
  <c r="F131" i="44"/>
  <c r="G131" i="44" s="1"/>
  <c r="F131" i="36"/>
  <c r="G131" i="36" s="1"/>
  <c r="D131" i="36"/>
  <c r="Q55" i="44"/>
  <c r="J56" i="44"/>
  <c r="K56" i="44" s="1"/>
  <c r="L56" i="44" s="1"/>
  <c r="M56" i="44" s="1"/>
  <c r="K55" i="36"/>
  <c r="L55" i="36" s="1"/>
  <c r="M55" i="36" s="1"/>
  <c r="E132" i="36"/>
  <c r="E132" i="44"/>
  <c r="D132" i="44" l="1"/>
  <c r="F132" i="44"/>
  <c r="G132" i="44" s="1"/>
  <c r="D132" i="36"/>
  <c r="F132" i="36"/>
  <c r="G132" i="36" s="1"/>
  <c r="N55" i="36"/>
  <c r="N56" i="44"/>
  <c r="E133" i="44"/>
  <c r="E133" i="36"/>
  <c r="D133" i="44" l="1"/>
  <c r="F133" i="44"/>
  <c r="G133" i="44" s="1"/>
  <c r="D133" i="36"/>
  <c r="F133" i="36"/>
  <c r="G133" i="36" s="1"/>
  <c r="Q55" i="36"/>
  <c r="J56" i="36"/>
  <c r="Q56" i="44"/>
  <c r="J57" i="44"/>
  <c r="E134" i="44"/>
  <c r="E134" i="36"/>
  <c r="F134" i="44" l="1"/>
  <c r="G134" i="44" s="1"/>
  <c r="D134" i="44"/>
  <c r="F134" i="36"/>
  <c r="G134" i="36" s="1"/>
  <c r="D134" i="36"/>
  <c r="K56" i="36"/>
  <c r="L56" i="36" s="1"/>
  <c r="K57" i="44"/>
  <c r="L57" i="44" s="1"/>
  <c r="E135" i="44"/>
  <c r="E135" i="36"/>
  <c r="F135" i="44" l="1"/>
  <c r="G135" i="44" s="1"/>
  <c r="D135" i="44"/>
  <c r="F135" i="36"/>
  <c r="G135" i="36" s="1"/>
  <c r="D135" i="36"/>
  <c r="M57" i="44"/>
  <c r="N57" i="44" s="1"/>
  <c r="Q57" i="44" s="1"/>
  <c r="M56" i="36"/>
  <c r="N56" i="36" s="1"/>
  <c r="E136" i="36"/>
  <c r="E136" i="44"/>
  <c r="D136" i="44" l="1"/>
  <c r="F136" i="44"/>
  <c r="G136" i="44" s="1"/>
  <c r="F136" i="36"/>
  <c r="G136" i="36" s="1"/>
  <c r="D136" i="36"/>
  <c r="J58" i="44"/>
  <c r="K58" i="44" s="1"/>
  <c r="L58" i="44" s="1"/>
  <c r="Q56" i="36"/>
  <c r="J57" i="36"/>
  <c r="E137" i="36"/>
  <c r="E137" i="44"/>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36"/>
  <c r="E139" i="44"/>
  <c r="F139" i="44" l="1"/>
  <c r="G139" i="44" s="1"/>
  <c r="D139" i="44"/>
  <c r="F139" i="36"/>
  <c r="G139" i="36" s="1"/>
  <c r="D139" i="36"/>
  <c r="Q57" i="36"/>
  <c r="J58" i="36"/>
  <c r="K59" i="44"/>
  <c r="L59" i="44" s="1"/>
  <c r="E140" i="44"/>
  <c r="E140" i="36"/>
  <c r="F140" i="44" l="1"/>
  <c r="G140" i="44" s="1"/>
  <c r="D140" i="44"/>
  <c r="F140" i="36"/>
  <c r="G140" i="36" s="1"/>
  <c r="D140" i="36"/>
  <c r="K58" i="36"/>
  <c r="L58" i="36" s="1"/>
  <c r="M59" i="44"/>
  <c r="N59" i="44" s="1"/>
  <c r="E141" i="36"/>
  <c r="E141" i="44"/>
  <c r="F141" i="44" l="1"/>
  <c r="G141" i="44" s="1"/>
  <c r="D141" i="44"/>
  <c r="F141" i="36"/>
  <c r="G141" i="36" s="1"/>
  <c r="D141" i="36"/>
  <c r="Q59" i="44"/>
  <c r="J60" i="44"/>
  <c r="M58" i="36"/>
  <c r="N58" i="36" s="1"/>
  <c r="E142" i="36"/>
  <c r="E142" i="44"/>
  <c r="F142" i="44" l="1"/>
  <c r="G142" i="44" s="1"/>
  <c r="D142" i="44"/>
  <c r="D142" i="36"/>
  <c r="F142" i="36"/>
  <c r="G142" i="36" s="1"/>
  <c r="Q58" i="36"/>
  <c r="J59" i="36"/>
  <c r="K60" i="44"/>
  <c r="L60" i="44" s="1"/>
  <c r="M60" i="44" s="1"/>
  <c r="E143" i="36"/>
  <c r="E143" i="44"/>
  <c r="D143" i="44" l="1"/>
  <c r="F143" i="44"/>
  <c r="G143" i="44" s="1"/>
  <c r="D143" i="36"/>
  <c r="F143" i="36"/>
  <c r="G143" i="36" s="1"/>
  <c r="K59" i="36"/>
  <c r="L59" i="36" s="1"/>
  <c r="M59" i="36" s="1"/>
  <c r="N60" i="44"/>
  <c r="E144" i="44"/>
  <c r="E144" i="36"/>
  <c r="F144" i="44" l="1"/>
  <c r="G144" i="44" s="1"/>
  <c r="D144" i="44"/>
  <c r="D144" i="36"/>
  <c r="F144" i="36"/>
  <c r="G144" i="36" s="1"/>
  <c r="N59" i="36"/>
  <c r="Q60" i="44"/>
  <c r="J61" i="44"/>
  <c r="E145" i="44"/>
  <c r="E145" i="36"/>
  <c r="D145" i="44" l="1"/>
  <c r="F145" i="44"/>
  <c r="G145" i="44" s="1"/>
  <c r="J60" i="36"/>
  <c r="K60" i="36" s="1"/>
  <c r="L60" i="36" s="1"/>
  <c r="M60" i="36" s="1"/>
  <c r="Q59" i="36"/>
  <c r="F145" i="36"/>
  <c r="G145" i="36" s="1"/>
  <c r="D145" i="36"/>
  <c r="K61" i="44"/>
  <c r="E146" i="36"/>
  <c r="E146" i="44"/>
  <c r="D146" i="44" l="1"/>
  <c r="F146" i="44"/>
  <c r="G146" i="44" s="1"/>
  <c r="D146" i="36"/>
  <c r="F146" i="36"/>
  <c r="G146" i="36" s="1"/>
  <c r="L61" i="44"/>
  <c r="M61" i="44" s="1"/>
  <c r="N61" i="44" s="1"/>
  <c r="N60" i="36"/>
  <c r="E147" i="44"/>
  <c r="E147" i="36"/>
  <c r="D147" i="44" l="1"/>
  <c r="F147" i="44"/>
  <c r="G147" i="44" s="1"/>
  <c r="D147" i="36"/>
  <c r="F147" i="36"/>
  <c r="G147" i="36" s="1"/>
  <c r="Q60" i="36"/>
  <c r="J61" i="36"/>
  <c r="Q61" i="44"/>
  <c r="J62" i="44"/>
  <c r="E148" i="36"/>
  <c r="E148" i="44"/>
  <c r="D148" i="44" l="1"/>
  <c r="F148" i="44"/>
  <c r="G148" i="44" s="1"/>
  <c r="D148" i="36"/>
  <c r="F148" i="36"/>
  <c r="G148" i="36" s="1"/>
  <c r="K61" i="36"/>
  <c r="K62" i="44"/>
  <c r="L62" i="44" s="1"/>
  <c r="E149" i="44"/>
  <c r="E149" i="36"/>
  <c r="F149" i="44" l="1"/>
  <c r="G149" i="44" s="1"/>
  <c r="D149" i="44"/>
  <c r="D149" i="36"/>
  <c r="F149" i="36"/>
  <c r="G149" i="36" s="1"/>
  <c r="L61" i="36"/>
  <c r="M61" i="36" s="1"/>
  <c r="N61" i="36" s="1"/>
  <c r="M62" i="44"/>
  <c r="N62" i="44" s="1"/>
  <c r="E150" i="44"/>
  <c r="E150" i="36"/>
  <c r="D150" i="44" l="1"/>
  <c r="F150" i="44"/>
  <c r="G150" i="44" s="1"/>
  <c r="D150" i="36"/>
  <c r="F150" i="36"/>
  <c r="G150" i="36" s="1"/>
  <c r="J63" i="44"/>
  <c r="K63" i="44" s="1"/>
  <c r="L63" i="44" s="1"/>
  <c r="Q62" i="44"/>
  <c r="Q61" i="36"/>
  <c r="J62" i="36"/>
  <c r="E151" i="44"/>
  <c r="E151" i="36"/>
  <c r="F151" i="44" l="1"/>
  <c r="G151" i="44" s="1"/>
  <c r="D151" i="44"/>
  <c r="D151" i="36"/>
  <c r="F151" i="36"/>
  <c r="G151" i="36" s="1"/>
  <c r="M63" i="44"/>
  <c r="N63" i="44" s="1"/>
  <c r="K62" i="36"/>
  <c r="L62" i="36" s="1"/>
  <c r="E152" i="36"/>
  <c r="E152" i="44"/>
  <c r="F152" i="44" l="1"/>
  <c r="G152" i="44" s="1"/>
  <c r="D152" i="44"/>
  <c r="D152" i="36"/>
  <c r="F152" i="36"/>
  <c r="G152" i="36" s="1"/>
  <c r="Q63" i="44"/>
  <c r="J64" i="44"/>
  <c r="M62" i="36"/>
  <c r="N62" i="36" s="1"/>
  <c r="E153" i="36"/>
  <c r="E153" i="44"/>
  <c r="D153" i="44" l="1"/>
  <c r="F153" i="44"/>
  <c r="G153" i="44" s="1"/>
  <c r="F153" i="36"/>
  <c r="G153" i="36" s="1"/>
  <c r="D153" i="36"/>
  <c r="Q62" i="36"/>
  <c r="J63" i="36"/>
  <c r="K64" i="44"/>
  <c r="L64" i="44" s="1"/>
  <c r="E154" i="44"/>
  <c r="E154" i="36"/>
  <c r="F154" i="44" l="1"/>
  <c r="G154" i="44" s="1"/>
  <c r="D154" i="44"/>
  <c r="F154" i="36"/>
  <c r="G154" i="36" s="1"/>
  <c r="D154" i="36"/>
  <c r="M64" i="44"/>
  <c r="N64" i="44" s="1"/>
  <c r="K63" i="36"/>
  <c r="L63" i="36" s="1"/>
  <c r="E155" i="44"/>
  <c r="E155" i="36"/>
  <c r="D155" i="44" l="1"/>
  <c r="F155" i="44"/>
  <c r="G155" i="44" s="1"/>
  <c r="D155" i="36"/>
  <c r="F155" i="36"/>
  <c r="G155" i="36" s="1"/>
  <c r="Q64" i="44"/>
  <c r="J65" i="44"/>
  <c r="M63" i="36"/>
  <c r="N63" i="36" s="1"/>
  <c r="E156" i="36"/>
  <c r="E156" i="44"/>
  <c r="F156" i="44" l="1"/>
  <c r="G156" i="44" s="1"/>
  <c r="D156" i="44"/>
  <c r="F156" i="36"/>
  <c r="G156" i="36" s="1"/>
  <c r="D156" i="36"/>
  <c r="Q63" i="36"/>
  <c r="J64" i="36"/>
  <c r="K65" i="44"/>
  <c r="L65" i="44" s="1"/>
  <c r="E157" i="36"/>
  <c r="E157" i="44"/>
  <c r="D157" i="44" l="1"/>
  <c r="F157" i="44"/>
  <c r="G157" i="44" s="1"/>
  <c r="D157" i="36"/>
  <c r="F157" i="36"/>
  <c r="G157" i="36" s="1"/>
  <c r="M65" i="44"/>
  <c r="N65" i="44" s="1"/>
  <c r="K64" i="36"/>
  <c r="E158" i="36"/>
  <c r="E158" i="44"/>
  <c r="D158" i="44" l="1"/>
  <c r="F158" i="44"/>
  <c r="G158" i="44" s="1"/>
  <c r="F158" i="36"/>
  <c r="G158" i="36" s="1"/>
  <c r="D158" i="36"/>
  <c r="Q65" i="44"/>
  <c r="J66" i="44"/>
  <c r="L64" i="36"/>
  <c r="E159" i="44"/>
  <c r="E159" i="36"/>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44"/>
  <c r="E161" i="36"/>
  <c r="F161" i="44" l="1"/>
  <c r="G161" i="44" s="1"/>
  <c r="D161" i="44"/>
  <c r="D161" i="36"/>
  <c r="F161" i="36"/>
  <c r="G161" i="36" s="1"/>
  <c r="K65" i="36"/>
  <c r="L65" i="36" s="1"/>
  <c r="M65" i="36" s="1"/>
  <c r="N65" i="36" s="1"/>
  <c r="Q66" i="44"/>
  <c r="J67" i="44"/>
  <c r="E162" i="44"/>
  <c r="E162" i="36"/>
  <c r="F162" i="44" l="1"/>
  <c r="G162" i="44" s="1"/>
  <c r="D162" i="44"/>
  <c r="F162" i="36"/>
  <c r="G162" i="36" s="1"/>
  <c r="D162" i="36"/>
  <c r="Q65" i="36"/>
  <c r="J66" i="36"/>
  <c r="K67" i="44"/>
  <c r="L67" i="44" s="1"/>
  <c r="E163" i="44"/>
  <c r="E163" i="36"/>
  <c r="F163" i="44" l="1"/>
  <c r="G163" i="44" s="1"/>
  <c r="D163" i="44"/>
  <c r="D163" i="36"/>
  <c r="F163" i="36"/>
  <c r="G163" i="36" s="1"/>
  <c r="K66" i="36"/>
  <c r="L66" i="36" s="1"/>
  <c r="M67" i="44"/>
  <c r="N67" i="44" s="1"/>
  <c r="E164" i="36"/>
  <c r="E164" i="44"/>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36"/>
  <c r="E166" i="44"/>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36"/>
  <c r="E168" i="44"/>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44"/>
  <c r="E171" i="36"/>
  <c r="D171" i="44" l="1"/>
  <c r="F171" i="44"/>
  <c r="G171" i="44" s="1"/>
  <c r="D171" i="36"/>
  <c r="F171" i="36"/>
  <c r="G171" i="36" s="1"/>
  <c r="M70" i="44"/>
  <c r="N70" i="44" s="1"/>
  <c r="Q70" i="44" s="1"/>
  <c r="Q69" i="36"/>
  <c r="J70" i="36"/>
  <c r="E172" i="44"/>
  <c r="E172" i="36"/>
  <c r="D172" i="44" l="1"/>
  <c r="F172" i="44"/>
  <c r="G172" i="44" s="1"/>
  <c r="D172" i="36"/>
  <c r="F172" i="36"/>
  <c r="G172" i="36" s="1"/>
  <c r="J71" i="44"/>
  <c r="K71" i="44" s="1"/>
  <c r="L71" i="44" s="1"/>
  <c r="K70" i="36"/>
  <c r="E173" i="36"/>
  <c r="E173" i="44"/>
  <c r="F173" i="44" l="1"/>
  <c r="G173" i="44" s="1"/>
  <c r="D173" i="44"/>
  <c r="D173" i="36"/>
  <c r="F173" i="36"/>
  <c r="G173" i="36" s="1"/>
  <c r="M71" i="44"/>
  <c r="N71" i="44" s="1"/>
  <c r="L70" i="36"/>
  <c r="M70" i="36" s="1"/>
  <c r="E174" i="44"/>
  <c r="E174" i="36"/>
  <c r="D174" i="44" l="1"/>
  <c r="F174" i="44"/>
  <c r="G174" i="44" s="1"/>
  <c r="F174" i="36"/>
  <c r="G174" i="36" s="1"/>
  <c r="D174" i="36"/>
  <c r="Q71" i="44"/>
  <c r="J72" i="44"/>
  <c r="N70" i="36"/>
  <c r="E175" i="36"/>
  <c r="E175" i="44"/>
  <c r="F175" i="44" l="1"/>
  <c r="G175" i="44" s="1"/>
  <c r="D175" i="44"/>
  <c r="D175" i="36"/>
  <c r="F175" i="36"/>
  <c r="G175" i="36" s="1"/>
  <c r="K72" i="44"/>
  <c r="L72" i="44" s="1"/>
  <c r="M72" i="44" s="1"/>
  <c r="Q70" i="36"/>
  <c r="J71" i="36"/>
  <c r="E176" i="36"/>
  <c r="E176" i="44"/>
  <c r="D176" i="44" l="1"/>
  <c r="F176" i="44"/>
  <c r="G176" i="44" s="1"/>
  <c r="F176" i="36"/>
  <c r="G176" i="36" s="1"/>
  <c r="D176" i="36"/>
  <c r="N72" i="44"/>
  <c r="K71" i="36"/>
  <c r="L71" i="36" s="1"/>
  <c r="M71" i="36" s="1"/>
  <c r="E177" i="36"/>
  <c r="E177" i="44"/>
  <c r="F177" i="44" l="1"/>
  <c r="G177" i="44" s="1"/>
  <c r="D177" i="44"/>
  <c r="F177" i="36"/>
  <c r="G177" i="36" s="1"/>
  <c r="D177" i="36"/>
  <c r="Q72" i="44"/>
  <c r="J73" i="44"/>
  <c r="N71" i="36"/>
  <c r="E178" i="44"/>
  <c r="E178" i="36"/>
  <c r="D178" i="44" l="1"/>
  <c r="F178" i="44"/>
  <c r="G178" i="44" s="1"/>
  <c r="D178" i="36"/>
  <c r="F178" i="36"/>
  <c r="G178" i="36" s="1"/>
  <c r="K73" i="44"/>
  <c r="Q71" i="36"/>
  <c r="J72" i="36"/>
  <c r="E179" i="36"/>
  <c r="E179" i="44"/>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36"/>
  <c r="E181" i="44"/>
  <c r="D181" i="44" l="1"/>
  <c r="F181" i="44"/>
  <c r="G181" i="44" s="1"/>
  <c r="D181" i="36"/>
  <c r="F181" i="36"/>
  <c r="G181" i="36" s="1"/>
  <c r="Q73" i="44"/>
  <c r="J74" i="44"/>
  <c r="Q72" i="36"/>
  <c r="J73" i="36"/>
  <c r="E182" i="36"/>
  <c r="E182" i="44"/>
  <c r="F182" i="44" l="1"/>
  <c r="G182" i="44" s="1"/>
  <c r="D182" i="44"/>
  <c r="D182" i="36"/>
  <c r="F182" i="36"/>
  <c r="G182" i="36" s="1"/>
  <c r="K74" i="44"/>
  <c r="L74" i="44" s="1"/>
  <c r="K73" i="36"/>
  <c r="L73" i="36" s="1"/>
  <c r="M73" i="36" s="1"/>
  <c r="N73" i="36" s="1"/>
  <c r="E183" i="44"/>
  <c r="E183" i="36"/>
  <c r="F183" i="44" l="1"/>
  <c r="G183" i="44" s="1"/>
  <c r="D183" i="44"/>
  <c r="D183" i="36"/>
  <c r="F183" i="36"/>
  <c r="G183" i="36" s="1"/>
  <c r="Q73" i="36"/>
  <c r="J74" i="36"/>
  <c r="M74" i="44"/>
  <c r="N74" i="44" s="1"/>
  <c r="E184" i="44"/>
  <c r="E184" i="36"/>
  <c r="F184" i="44" l="1"/>
  <c r="G184" i="44" s="1"/>
  <c r="D184" i="44"/>
  <c r="F184" i="36"/>
  <c r="G184" i="36" s="1"/>
  <c r="D184" i="36"/>
  <c r="Q74" i="44"/>
  <c r="J75" i="44"/>
  <c r="K74" i="36"/>
  <c r="L74" i="36" s="1"/>
  <c r="M74" i="36" s="1"/>
  <c r="E185" i="36"/>
  <c r="E185" i="44"/>
  <c r="F185" i="44" l="1"/>
  <c r="G185" i="44" s="1"/>
  <c r="D185" i="44"/>
  <c r="D185" i="36"/>
  <c r="F185" i="36"/>
  <c r="G185" i="36" s="1"/>
  <c r="K75" i="44"/>
  <c r="L75" i="44" s="1"/>
  <c r="M75" i="44" s="1"/>
  <c r="N74" i="36"/>
  <c r="E186" i="44"/>
  <c r="E186" i="36"/>
  <c r="D186" i="44" l="1"/>
  <c r="F186" i="44"/>
  <c r="G186" i="44" s="1"/>
  <c r="D186" i="36"/>
  <c r="F186" i="36"/>
  <c r="G186" i="36" s="1"/>
  <c r="Q74" i="36"/>
  <c r="J75" i="36"/>
  <c r="N75" i="44"/>
  <c r="E187" i="44"/>
  <c r="E187" i="36"/>
  <c r="F187" i="44" l="1"/>
  <c r="G187" i="44" s="1"/>
  <c r="D187" i="44"/>
  <c r="D187" i="36"/>
  <c r="F187" i="36"/>
  <c r="G187" i="36" s="1"/>
  <c r="K75" i="36"/>
  <c r="L75" i="36" s="1"/>
  <c r="M75" i="36" s="1"/>
  <c r="N75" i="36" s="1"/>
  <c r="Q75" i="44"/>
  <c r="J76" i="44"/>
  <c r="E188" i="44"/>
  <c r="E188" i="36"/>
  <c r="D188" i="44" l="1"/>
  <c r="F188" i="44"/>
  <c r="G188" i="44" s="1"/>
  <c r="F188" i="36"/>
  <c r="G188" i="36" s="1"/>
  <c r="D188" i="36"/>
  <c r="Q75" i="36"/>
  <c r="J76" i="36"/>
  <c r="K76" i="44"/>
  <c r="L76" i="44" s="1"/>
  <c r="M76" i="44" s="1"/>
  <c r="E189" i="36"/>
  <c r="E189" i="44"/>
  <c r="D189" i="44" l="1"/>
  <c r="F189" i="44"/>
  <c r="G189" i="44" s="1"/>
  <c r="D189" i="36"/>
  <c r="F189" i="36"/>
  <c r="G189" i="36" s="1"/>
  <c r="N76" i="44"/>
  <c r="K76" i="36"/>
  <c r="L76" i="36" s="1"/>
  <c r="E190" i="36"/>
  <c r="E190" i="44"/>
  <c r="D190" i="44" l="1"/>
  <c r="F190" i="44"/>
  <c r="G190" i="44" s="1"/>
  <c r="F190" i="36"/>
  <c r="G190" i="36" s="1"/>
  <c r="D190" i="36"/>
  <c r="M76" i="36"/>
  <c r="N76" i="36" s="1"/>
  <c r="Q76" i="44"/>
  <c r="J77" i="44"/>
  <c r="E191" i="44"/>
  <c r="E191" i="36"/>
  <c r="D191" i="44" l="1"/>
  <c r="F191" i="44"/>
  <c r="G191" i="44" s="1"/>
  <c r="D191" i="36"/>
  <c r="F191" i="36"/>
  <c r="G191" i="36" s="1"/>
  <c r="Q76" i="36"/>
  <c r="J77" i="36"/>
  <c r="K77" i="44"/>
  <c r="L77" i="44" s="1"/>
  <c r="M77" i="44" s="1"/>
  <c r="E192" i="44"/>
  <c r="E192" i="36"/>
  <c r="F192" i="44" l="1"/>
  <c r="G192" i="44" s="1"/>
  <c r="D192" i="44"/>
  <c r="F192" i="36"/>
  <c r="G192" i="36" s="1"/>
  <c r="D192" i="36"/>
  <c r="N77" i="44"/>
  <c r="K77" i="36"/>
  <c r="L77" i="36" s="1"/>
  <c r="E193" i="36"/>
  <c r="E193" i="44"/>
  <c r="D193" i="44" l="1"/>
  <c r="F193" i="44"/>
  <c r="G193" i="44" s="1"/>
  <c r="D193" i="36"/>
  <c r="F193" i="36"/>
  <c r="G193" i="36" s="1"/>
  <c r="M77" i="36"/>
  <c r="N77" i="36" s="1"/>
  <c r="Q77" i="44"/>
  <c r="J78" i="44"/>
  <c r="E194" i="44"/>
  <c r="E194" i="36"/>
  <c r="F194" i="44" l="1"/>
  <c r="G194" i="44" s="1"/>
  <c r="D194" i="44"/>
  <c r="D194" i="36"/>
  <c r="F194" i="36"/>
  <c r="G194" i="36" s="1"/>
  <c r="Q77" i="36"/>
  <c r="J78" i="36"/>
  <c r="K78" i="44"/>
  <c r="L78" i="44" s="1"/>
  <c r="M78" i="44" s="1"/>
  <c r="E195" i="36"/>
  <c r="E195" i="44"/>
  <c r="F195" i="44" l="1"/>
  <c r="G195" i="44" s="1"/>
  <c r="D195" i="44"/>
  <c r="D195" i="36"/>
  <c r="F195" i="36"/>
  <c r="G195" i="36" s="1"/>
  <c r="K78" i="36"/>
  <c r="L78" i="36" s="1"/>
  <c r="M78" i="36" s="1"/>
  <c r="N78" i="36" s="1"/>
  <c r="N78" i="44"/>
  <c r="E196" i="36"/>
  <c r="E196" i="44"/>
  <c r="F196" i="44" l="1"/>
  <c r="G196" i="44" s="1"/>
  <c r="D196" i="44"/>
  <c r="F196" i="36"/>
  <c r="G196" i="36" s="1"/>
  <c r="D196" i="36"/>
  <c r="Q78" i="36"/>
  <c r="J79" i="36"/>
  <c r="Q78" i="44"/>
  <c r="J79" i="44"/>
  <c r="E197" i="36"/>
  <c r="E197" i="44"/>
  <c r="D197" i="44" l="1"/>
  <c r="F197" i="44"/>
  <c r="G197" i="44" s="1"/>
  <c r="F197" i="36"/>
  <c r="G197" i="36" s="1"/>
  <c r="D197" i="36"/>
  <c r="K79" i="36"/>
  <c r="L79" i="36" s="1"/>
  <c r="M79" i="36" s="1"/>
  <c r="K79" i="44"/>
  <c r="L79" i="44" s="1"/>
  <c r="E198" i="36"/>
  <c r="E198" i="44"/>
  <c r="D198" i="44" l="1"/>
  <c r="F198" i="44"/>
  <c r="G198" i="44" s="1"/>
  <c r="D198" i="36"/>
  <c r="F198" i="36"/>
  <c r="G198" i="36" s="1"/>
  <c r="N79" i="36"/>
  <c r="M79" i="44"/>
  <c r="N79" i="44" s="1"/>
  <c r="E199" i="44"/>
  <c r="E199" i="36"/>
  <c r="F199" i="44" l="1"/>
  <c r="G199" i="44" s="1"/>
  <c r="D199" i="44"/>
  <c r="D199" i="36"/>
  <c r="F199" i="36"/>
  <c r="G199" i="36" s="1"/>
  <c r="Q79" i="44"/>
  <c r="J80" i="44"/>
  <c r="Q79" i="36"/>
  <c r="J80" i="36"/>
  <c r="E200" i="44"/>
  <c r="E200" i="36"/>
  <c r="D200" i="44" l="1"/>
  <c r="F200" i="44"/>
  <c r="G200" i="44" s="1"/>
  <c r="D200" i="36"/>
  <c r="F200" i="36"/>
  <c r="G200" i="36" s="1"/>
  <c r="K80" i="36"/>
  <c r="K80" i="44"/>
  <c r="L80" i="44" s="1"/>
  <c r="M80" i="44" s="1"/>
  <c r="E201" i="44"/>
  <c r="E201" i="36"/>
  <c r="F201" i="44" l="1"/>
  <c r="G201" i="44" s="1"/>
  <c r="D201" i="44"/>
  <c r="D201" i="36"/>
  <c r="F201" i="36"/>
  <c r="G201" i="36" s="1"/>
  <c r="N80" i="44"/>
  <c r="L80" i="36"/>
  <c r="E202" i="44"/>
  <c r="E202" i="36"/>
  <c r="D202" i="44" l="1"/>
  <c r="F202" i="44"/>
  <c r="G202" i="44" s="1"/>
  <c r="D202" i="36"/>
  <c r="F202" i="36"/>
  <c r="G202" i="36" s="1"/>
  <c r="M80" i="36"/>
  <c r="N80" i="36" s="1"/>
  <c r="Q80" i="44"/>
  <c r="J81" i="44"/>
  <c r="E203" i="44"/>
  <c r="E203" i="36"/>
  <c r="F203" i="44" l="1"/>
  <c r="G203" i="44" s="1"/>
  <c r="D203" i="44"/>
  <c r="F203" i="36"/>
  <c r="G203" i="36" s="1"/>
  <c r="D203" i="36"/>
  <c r="Q80" i="36"/>
  <c r="J81" i="36"/>
  <c r="K81" i="44"/>
  <c r="E204" i="44"/>
  <c r="E204" i="36"/>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44"/>
  <c r="E206" i="36"/>
  <c r="F206" i="44" l="1"/>
  <c r="G206" i="44" s="1"/>
  <c r="D206" i="44"/>
  <c r="D206" i="36"/>
  <c r="F206" i="36"/>
  <c r="G206" i="36" s="1"/>
  <c r="N81" i="36"/>
  <c r="K82" i="44"/>
  <c r="E207" i="36"/>
  <c r="E207" i="44"/>
  <c r="F207" i="44" l="1"/>
  <c r="G207" i="44" s="1"/>
  <c r="D207" i="44"/>
  <c r="D207" i="36"/>
  <c r="F207" i="36"/>
  <c r="G207" i="36" s="1"/>
  <c r="Q81" i="36"/>
  <c r="J82" i="36"/>
  <c r="L82" i="44"/>
  <c r="M82" i="44" s="1"/>
  <c r="E208" i="36"/>
  <c r="E208" i="44"/>
  <c r="D208" i="44" l="1"/>
  <c r="F208" i="44"/>
  <c r="G208" i="44" s="1"/>
  <c r="F208" i="36"/>
  <c r="G208" i="36" s="1"/>
  <c r="D208" i="36"/>
  <c r="K82" i="36"/>
  <c r="N82" i="44"/>
  <c r="E209" i="44"/>
  <c r="E209" i="36"/>
  <c r="D209" i="44" l="1"/>
  <c r="F209" i="44"/>
  <c r="G209" i="44" s="1"/>
  <c r="D209" i="36"/>
  <c r="F209" i="36"/>
  <c r="G209" i="36" s="1"/>
  <c r="L82" i="36"/>
  <c r="M82" i="36" s="1"/>
  <c r="Q82" i="44"/>
  <c r="J83" i="44"/>
  <c r="E210" i="36"/>
  <c r="E210" i="44"/>
  <c r="D210" i="44" l="1"/>
  <c r="F210" i="44"/>
  <c r="G210" i="44" s="1"/>
  <c r="D210" i="36"/>
  <c r="F210" i="36"/>
  <c r="G210" i="36" s="1"/>
  <c r="K83" i="44"/>
  <c r="L83" i="44" s="1"/>
  <c r="M83" i="44" s="1"/>
  <c r="N82" i="36"/>
  <c r="E211" i="36"/>
  <c r="E211" i="44"/>
  <c r="F211" i="44" l="1"/>
  <c r="G211" i="44" s="1"/>
  <c r="D211" i="44"/>
  <c r="D211" i="36"/>
  <c r="F211" i="36"/>
  <c r="G211" i="36" s="1"/>
  <c r="N83" i="44"/>
  <c r="Q82" i="36"/>
  <c r="J83" i="36"/>
  <c r="E212" i="36"/>
  <c r="E212" i="44"/>
  <c r="F212" i="44" l="1"/>
  <c r="G212" i="44" s="1"/>
  <c r="D212" i="44"/>
  <c r="F212" i="36"/>
  <c r="G212" i="36" s="1"/>
  <c r="D212" i="36"/>
  <c r="K83" i="36"/>
  <c r="L83" i="36" s="1"/>
  <c r="Q83" i="44"/>
  <c r="J84" i="44"/>
  <c r="E213" i="44"/>
  <c r="E213" i="36"/>
  <c r="D213" i="44" l="1"/>
  <c r="F213" i="44"/>
  <c r="G213" i="44" s="1"/>
  <c r="D213" i="36"/>
  <c r="F213" i="36"/>
  <c r="G213" i="36" s="1"/>
  <c r="M83" i="36"/>
  <c r="N83" i="36" s="1"/>
  <c r="K84" i="44"/>
  <c r="L84" i="44" s="1"/>
  <c r="M84" i="44" s="1"/>
  <c r="N84" i="44" s="1"/>
  <c r="E214" i="44"/>
  <c r="E214" i="36"/>
  <c r="F214" i="44" l="1"/>
  <c r="G214" i="44" s="1"/>
  <c r="D214" i="44"/>
  <c r="D214" i="36"/>
  <c r="F214" i="36"/>
  <c r="G214" i="36" s="1"/>
  <c r="Q83" i="36"/>
  <c r="J84" i="36"/>
  <c r="K84" i="36" s="1"/>
  <c r="Q84" i="44"/>
  <c r="J85" i="44"/>
  <c r="E215" i="44"/>
  <c r="E215" i="36"/>
  <c r="D215" i="44" l="1"/>
  <c r="F215" i="44"/>
  <c r="G215" i="44" s="1"/>
  <c r="F215" i="36"/>
  <c r="G215" i="36" s="1"/>
  <c r="D215" i="36"/>
  <c r="L84" i="36"/>
  <c r="M84" i="36" s="1"/>
  <c r="N84" i="36" s="1"/>
  <c r="K85" i="44"/>
  <c r="L85" i="44" s="1"/>
  <c r="M85" i="44" s="1"/>
  <c r="N85" i="44" s="1"/>
  <c r="E216" i="36"/>
  <c r="E216" i="44"/>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44"/>
  <c r="E218" i="36"/>
  <c r="D218" i="44" l="1"/>
  <c r="F218" i="44"/>
  <c r="G218" i="44" s="1"/>
  <c r="F218" i="36"/>
  <c r="G218" i="36" s="1"/>
  <c r="D218" i="36"/>
  <c r="M85" i="36"/>
  <c r="N85" i="36" s="1"/>
  <c r="N86" i="44"/>
  <c r="E219" i="36"/>
  <c r="E219" i="44"/>
  <c r="D219" i="44" l="1"/>
  <c r="F219" i="44"/>
  <c r="G219" i="44" s="1"/>
  <c r="F219" i="36"/>
  <c r="G219" i="36" s="1"/>
  <c r="D219" i="36"/>
  <c r="Q85" i="36"/>
  <c r="J86" i="36"/>
  <c r="Q86" i="44"/>
  <c r="J87" i="44"/>
  <c r="E220" i="44"/>
  <c r="E220" i="36"/>
  <c r="D220" i="44" l="1"/>
  <c r="F220" i="44"/>
  <c r="G220" i="44" s="1"/>
  <c r="F220" i="36"/>
  <c r="G220" i="36" s="1"/>
  <c r="D220" i="36"/>
  <c r="K86" i="36"/>
  <c r="L86" i="36" s="1"/>
  <c r="K87" i="44"/>
  <c r="L87" i="44" s="1"/>
  <c r="E221" i="36"/>
  <c r="E221" i="44"/>
  <c r="F221" i="44" l="1"/>
  <c r="G221" i="44" s="1"/>
  <c r="D221" i="44"/>
  <c r="D221" i="36"/>
  <c r="F221" i="36"/>
  <c r="G221" i="36" s="1"/>
  <c r="M86" i="36"/>
  <c r="N86" i="36" s="1"/>
  <c r="M87" i="44"/>
  <c r="N87" i="44" s="1"/>
  <c r="E222" i="36"/>
  <c r="E222" i="44"/>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36"/>
  <c r="E226" i="44"/>
  <c r="D226" i="44" l="1"/>
  <c r="F226" i="44"/>
  <c r="G226" i="44" s="1"/>
  <c r="F226" i="36"/>
  <c r="G226" i="36" s="1"/>
  <c r="D226" i="36"/>
  <c r="K89" i="44"/>
  <c r="L89" i="44" s="1"/>
  <c r="M89" i="44" s="1"/>
  <c r="L88" i="36"/>
  <c r="M88" i="36" s="1"/>
  <c r="E227" i="44"/>
  <c r="E227" i="36"/>
  <c r="F227" i="44" l="1"/>
  <c r="G227" i="44" s="1"/>
  <c r="D227" i="44"/>
  <c r="D227" i="36"/>
  <c r="F227" i="36"/>
  <c r="G227" i="36" s="1"/>
  <c r="N88" i="36"/>
  <c r="N89" i="44"/>
  <c r="E228" i="36"/>
  <c r="E228" i="44"/>
  <c r="D228" i="44" l="1"/>
  <c r="F228" i="44"/>
  <c r="G228" i="44" s="1"/>
  <c r="F228" i="36"/>
  <c r="G228" i="36" s="1"/>
  <c r="D228" i="36"/>
  <c r="Q89" i="44"/>
  <c r="J90" i="44"/>
  <c r="Q88" i="36"/>
  <c r="J89" i="36"/>
  <c r="E229" i="44"/>
  <c r="E229" i="36"/>
  <c r="F229" i="44" l="1"/>
  <c r="G229" i="44" s="1"/>
  <c r="D229" i="44"/>
  <c r="F229" i="36"/>
  <c r="G229" i="36" s="1"/>
  <c r="D229" i="36"/>
  <c r="K89" i="36"/>
  <c r="L89" i="36" s="1"/>
  <c r="K90" i="44"/>
  <c r="L90" i="44" s="1"/>
  <c r="E230" i="36"/>
  <c r="E230" i="44"/>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44"/>
  <c r="E232" i="36"/>
  <c r="D232" i="44" l="1"/>
  <c r="F232" i="44"/>
  <c r="G232" i="44" s="1"/>
  <c r="D232" i="36"/>
  <c r="F232" i="36"/>
  <c r="G232" i="36" s="1"/>
  <c r="K91" i="44"/>
  <c r="L90" i="36"/>
  <c r="E233" i="44"/>
  <c r="E233" i="36"/>
  <c r="F233" i="44" l="1"/>
  <c r="G233" i="44" s="1"/>
  <c r="D233" i="44"/>
  <c r="D233" i="36"/>
  <c r="F233" i="36"/>
  <c r="G233" i="36" s="1"/>
  <c r="M90" i="36"/>
  <c r="N90" i="36" s="1"/>
  <c r="L91" i="44"/>
  <c r="M91" i="44" s="1"/>
  <c r="E234" i="36"/>
  <c r="E234" i="44"/>
  <c r="D234" i="44" l="1"/>
  <c r="F234" i="44"/>
  <c r="G234" i="44" s="1"/>
  <c r="D234" i="36"/>
  <c r="F234" i="36"/>
  <c r="G234" i="36" s="1"/>
  <c r="N91" i="44"/>
  <c r="Q90" i="36"/>
  <c r="J91" i="36"/>
  <c r="E235" i="44"/>
  <c r="E235" i="36"/>
  <c r="F235" i="44" l="1"/>
  <c r="G235" i="44" s="1"/>
  <c r="D235" i="44"/>
  <c r="F235" i="36"/>
  <c r="G235" i="36" s="1"/>
  <c r="D235" i="36"/>
  <c r="Q91" i="44"/>
  <c r="J92" i="44"/>
  <c r="K91" i="36"/>
  <c r="L91" i="36" s="1"/>
  <c r="M91" i="36" s="1"/>
  <c r="E236" i="44"/>
  <c r="E236" i="36"/>
  <c r="D236" i="44" l="1"/>
  <c r="F236" i="44"/>
  <c r="G236" i="44" s="1"/>
  <c r="F236" i="36"/>
  <c r="G236" i="36" s="1"/>
  <c r="D236" i="36"/>
  <c r="N91" i="36"/>
  <c r="K92" i="44"/>
  <c r="L92" i="44" s="1"/>
  <c r="E237" i="44"/>
  <c r="E237" i="36"/>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36"/>
  <c r="E239" i="44"/>
  <c r="D239" i="44" l="1"/>
  <c r="F239" i="44"/>
  <c r="G239" i="44" s="1"/>
  <c r="D239" i="36"/>
  <c r="F239" i="36"/>
  <c r="G239" i="36" s="1"/>
  <c r="Q92" i="36"/>
  <c r="J93" i="36"/>
  <c r="K93" i="44"/>
  <c r="L93" i="44" s="1"/>
  <c r="E240" i="44"/>
  <c r="E240" i="36"/>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36"/>
  <c r="E242" i="44"/>
  <c r="D242" i="44" l="1"/>
  <c r="F242" i="44"/>
  <c r="G242" i="44" s="1"/>
  <c r="J94" i="36"/>
  <c r="K94" i="36" s="1"/>
  <c r="L94" i="36" s="1"/>
  <c r="M94" i="36" s="1"/>
  <c r="N94" i="36" s="1"/>
  <c r="D242" i="36"/>
  <c r="F242" i="36"/>
  <c r="G242" i="36" s="1"/>
  <c r="K94" i="44"/>
  <c r="L94" i="44" s="1"/>
  <c r="M94" i="44" s="1"/>
  <c r="E243" i="44"/>
  <c r="E243" i="36"/>
  <c r="F243" i="44" l="1"/>
  <c r="G243" i="44" s="1"/>
  <c r="D243" i="44"/>
  <c r="D243" i="36"/>
  <c r="F243" i="36"/>
  <c r="G243" i="36" s="1"/>
  <c r="Q94" i="36"/>
  <c r="J95" i="36"/>
  <c r="N94" i="44"/>
  <c r="E244" i="36"/>
  <c r="E244" i="44"/>
  <c r="D244" i="44" l="1"/>
  <c r="F244" i="44"/>
  <c r="G244" i="44" s="1"/>
  <c r="D244" i="36"/>
  <c r="F244" i="36"/>
  <c r="G244" i="36" s="1"/>
  <c r="K95" i="36"/>
  <c r="L95" i="36" s="1"/>
  <c r="Q94" i="44"/>
  <c r="J95" i="44"/>
  <c r="E245" i="36"/>
  <c r="E245" i="44"/>
  <c r="F245" i="44" l="1"/>
  <c r="G245" i="44" s="1"/>
  <c r="D245" i="44"/>
  <c r="D245" i="36"/>
  <c r="F245" i="36"/>
  <c r="G245" i="36" s="1"/>
  <c r="M95" i="36"/>
  <c r="N95" i="36" s="1"/>
  <c r="K95" i="44"/>
  <c r="L95" i="44" s="1"/>
  <c r="M95" i="44" s="1"/>
  <c r="E246" i="44"/>
  <c r="E246" i="36"/>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36"/>
  <c r="E248" i="44"/>
  <c r="F248" i="44" l="1"/>
  <c r="G248" i="44" s="1"/>
  <c r="D248" i="44"/>
  <c r="F248" i="36"/>
  <c r="G248" i="36" s="1"/>
  <c r="D248" i="36"/>
  <c r="K96" i="44"/>
  <c r="L96" i="44" s="1"/>
  <c r="M96" i="44" s="1"/>
  <c r="Q96" i="36"/>
  <c r="J97" i="36"/>
  <c r="E249" i="44"/>
  <c r="E249" i="36"/>
  <c r="F249" i="44" l="1"/>
  <c r="G249" i="44" s="1"/>
  <c r="D249" i="44"/>
  <c r="F249" i="36"/>
  <c r="G249" i="36" s="1"/>
  <c r="D249" i="36"/>
  <c r="N96" i="44"/>
  <c r="K97" i="36"/>
  <c r="L97" i="36" s="1"/>
  <c r="M97" i="36" s="1"/>
  <c r="E250" i="36"/>
  <c r="E250" i="44"/>
  <c r="F250" i="44" l="1"/>
  <c r="G250" i="44" s="1"/>
  <c r="D250" i="44"/>
  <c r="D250" i="36"/>
  <c r="F250" i="36"/>
  <c r="G250" i="36" s="1"/>
  <c r="Q96" i="44"/>
  <c r="J97" i="44"/>
  <c r="N97" i="36"/>
  <c r="E251" i="44"/>
  <c r="E251" i="36"/>
  <c r="D251" i="44" l="1"/>
  <c r="F251" i="44"/>
  <c r="G251" i="44" s="1"/>
  <c r="D251" i="36"/>
  <c r="F251" i="36"/>
  <c r="G251" i="36" s="1"/>
  <c r="K97" i="44"/>
  <c r="L97" i="44" s="1"/>
  <c r="Q97" i="36"/>
  <c r="J98" i="36"/>
  <c r="E252" i="36"/>
  <c r="E252" i="44"/>
  <c r="D252" i="44" l="1"/>
  <c r="F252" i="44"/>
  <c r="G252" i="44" s="1"/>
  <c r="D252" i="36"/>
  <c r="F252" i="36"/>
  <c r="G252" i="36" s="1"/>
  <c r="M97" i="44"/>
  <c r="N97" i="44" s="1"/>
  <c r="K98" i="36"/>
  <c r="L98" i="36" s="1"/>
  <c r="E253" i="36"/>
  <c r="E253" i="44"/>
  <c r="F253" i="44" l="1"/>
  <c r="G253" i="44" s="1"/>
  <c r="D253" i="44"/>
  <c r="D253" i="36"/>
  <c r="F253" i="36"/>
  <c r="G253" i="36" s="1"/>
  <c r="M98" i="36"/>
  <c r="N98" i="36" s="1"/>
  <c r="Q97" i="44"/>
  <c r="J98" i="44"/>
  <c r="E254" i="36"/>
  <c r="E254" i="44"/>
  <c r="F254" i="44" l="1"/>
  <c r="G254" i="44" s="1"/>
  <c r="D254" i="44"/>
  <c r="F254" i="36"/>
  <c r="G254" i="36" s="1"/>
  <c r="D254" i="36"/>
  <c r="Q98" i="36"/>
  <c r="J99" i="36"/>
  <c r="K99" i="36" s="1"/>
  <c r="K98" i="44"/>
  <c r="L98" i="44" s="1"/>
  <c r="E255" i="44"/>
  <c r="E255" i="36"/>
  <c r="D255" i="44" l="1"/>
  <c r="F255" i="44"/>
  <c r="G255" i="44" s="1"/>
  <c r="D255" i="36"/>
  <c r="F255" i="36"/>
  <c r="G255" i="36" s="1"/>
  <c r="M98" i="44"/>
  <c r="N98" i="44" s="1"/>
  <c r="Q98" i="44" s="1"/>
  <c r="L99" i="36"/>
  <c r="M99" i="36" s="1"/>
  <c r="N99" i="36" s="1"/>
  <c r="E256" i="44"/>
  <c r="E256" i="36"/>
  <c r="D256" i="44" l="1"/>
  <c r="F256" i="44"/>
  <c r="G256" i="44" s="1"/>
  <c r="J99" i="44"/>
  <c r="K99" i="44" s="1"/>
  <c r="L99" i="44" s="1"/>
  <c r="M99" i="44" s="1"/>
  <c r="D256" i="36"/>
  <c r="F256" i="36"/>
  <c r="G256" i="36" s="1"/>
  <c r="J100" i="36"/>
  <c r="K100" i="36" s="1"/>
  <c r="Q99" i="36"/>
  <c r="E257" i="44"/>
  <c r="E257" i="36"/>
  <c r="D257" i="44" l="1"/>
  <c r="F257" i="44"/>
  <c r="G257" i="44" s="1"/>
  <c r="D257" i="36"/>
  <c r="F257" i="36"/>
  <c r="G257" i="36" s="1"/>
  <c r="N99" i="44"/>
  <c r="L100" i="36"/>
  <c r="M100" i="36" s="1"/>
  <c r="N100" i="36" s="1"/>
  <c r="E258" i="44"/>
  <c r="E258" i="36"/>
  <c r="D258" i="44" l="1"/>
  <c r="F258" i="44"/>
  <c r="G258" i="44" s="1"/>
  <c r="D258" i="36"/>
  <c r="F258" i="36"/>
  <c r="G258" i="36" s="1"/>
  <c r="Q100" i="36"/>
  <c r="J101" i="36"/>
  <c r="Q99" i="44"/>
  <c r="J100" i="44"/>
  <c r="E259" i="44"/>
  <c r="E259" i="36"/>
  <c r="F259" i="44" l="1"/>
  <c r="G259" i="44" s="1"/>
  <c r="D259" i="44"/>
  <c r="F259" i="36"/>
  <c r="G259" i="36" s="1"/>
  <c r="D259" i="36"/>
  <c r="K101" i="36"/>
  <c r="L101" i="36" s="1"/>
  <c r="M101" i="36" s="1"/>
  <c r="K100" i="44"/>
  <c r="L100" i="44" s="1"/>
  <c r="M100" i="44" s="1"/>
  <c r="N100" i="44" s="1"/>
  <c r="E260" i="44"/>
  <c r="E260" i="36"/>
  <c r="D260" i="44" l="1"/>
  <c r="F260" i="44"/>
  <c r="G260" i="44" s="1"/>
  <c r="F260" i="36"/>
  <c r="G260" i="36" s="1"/>
  <c r="D260" i="36"/>
  <c r="Q100" i="44"/>
  <c r="J101" i="44"/>
  <c r="N101" i="36"/>
  <c r="E261" i="36"/>
  <c r="E261" i="44"/>
  <c r="F261" i="44" l="1"/>
  <c r="G261" i="44" s="1"/>
  <c r="D261" i="44"/>
  <c r="D261" i="36"/>
  <c r="F261" i="36"/>
  <c r="G261" i="36" s="1"/>
  <c r="Q101" i="36"/>
  <c r="J102" i="36"/>
  <c r="K101" i="44"/>
  <c r="L101" i="44" s="1"/>
  <c r="M101" i="44" s="1"/>
  <c r="N101" i="44" s="1"/>
  <c r="E262" i="44"/>
  <c r="E262" i="36"/>
  <c r="F262" i="44" l="1"/>
  <c r="G262" i="44" s="1"/>
  <c r="D262" i="44"/>
  <c r="F262" i="36"/>
  <c r="G262" i="36" s="1"/>
  <c r="D262" i="36"/>
  <c r="Q101" i="44"/>
  <c r="J102" i="44"/>
  <c r="K102" i="36"/>
  <c r="L102" i="36" s="1"/>
  <c r="E263" i="36"/>
  <c r="E263" i="44"/>
  <c r="F263" i="44" l="1"/>
  <c r="G263" i="44" s="1"/>
  <c r="D263" i="44"/>
  <c r="F263" i="36"/>
  <c r="G263" i="36" s="1"/>
  <c r="D263" i="36"/>
  <c r="M102" i="36"/>
  <c r="N102" i="36" s="1"/>
  <c r="K102" i="44"/>
  <c r="L102" i="44" s="1"/>
  <c r="M102" i="44" s="1"/>
  <c r="E264" i="36"/>
  <c r="E264" i="44"/>
  <c r="F264" i="44" l="1"/>
  <c r="G264" i="44" s="1"/>
  <c r="D264" i="44"/>
  <c r="D264" i="36"/>
  <c r="F264" i="36"/>
  <c r="G264" i="36" s="1"/>
  <c r="Q102" i="36"/>
  <c r="J103" i="36"/>
  <c r="N102" i="44"/>
  <c r="E265" i="44"/>
  <c r="E265" i="36"/>
  <c r="D265" i="44" l="1"/>
  <c r="F265" i="44"/>
  <c r="G265" i="44" s="1"/>
  <c r="D265" i="36"/>
  <c r="F265" i="36"/>
  <c r="G265" i="36" s="1"/>
  <c r="K103" i="36"/>
  <c r="L103" i="36" s="1"/>
  <c r="M103" i="36" s="1"/>
  <c r="Q102" i="44"/>
  <c r="J103" i="44"/>
  <c r="E266" i="36"/>
  <c r="E266" i="44"/>
  <c r="F266" i="44" l="1"/>
  <c r="G266" i="44" s="1"/>
  <c r="D266" i="44"/>
  <c r="D266" i="36"/>
  <c r="F266" i="36"/>
  <c r="G266" i="36" s="1"/>
  <c r="N103" i="36"/>
  <c r="Q103" i="36" s="1"/>
  <c r="K103" i="44"/>
  <c r="L103" i="44" s="1"/>
  <c r="E267" i="44"/>
  <c r="E267" i="36"/>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44"/>
  <c r="E269" i="36"/>
  <c r="D269" i="44" l="1"/>
  <c r="F269" i="44"/>
  <c r="G269" i="44" s="1"/>
  <c r="D269" i="36"/>
  <c r="F269" i="36"/>
  <c r="G269" i="36" s="1"/>
  <c r="Q104" i="36"/>
  <c r="J105" i="36"/>
  <c r="K104" i="44"/>
  <c r="L104" i="44" s="1"/>
  <c r="E270" i="44"/>
  <c r="E270" i="36"/>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44"/>
  <c r="E272" i="36"/>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36"/>
  <c r="E274" i="44"/>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36"/>
  <c r="E277" i="44"/>
  <c r="D277" i="44" l="1"/>
  <c r="F277" i="44"/>
  <c r="G277" i="44" s="1"/>
  <c r="F277" i="36"/>
  <c r="G277" i="36" s="1"/>
  <c r="D277" i="36"/>
  <c r="Q106" i="44"/>
  <c r="J107" i="44"/>
  <c r="K108" i="36"/>
  <c r="L108" i="36" s="1"/>
  <c r="M108" i="36" s="1"/>
  <c r="E278" i="36"/>
  <c r="E278" i="44"/>
  <c r="F278" i="44" l="1"/>
  <c r="G278" i="44" s="1"/>
  <c r="D278" i="44"/>
  <c r="D278" i="36"/>
  <c r="F278" i="36"/>
  <c r="G278" i="36" s="1"/>
  <c r="K107" i="44"/>
  <c r="L107" i="44" s="1"/>
  <c r="N108" i="36"/>
  <c r="E279" i="36"/>
  <c r="E279" i="44"/>
  <c r="D279" i="44" l="1"/>
  <c r="F279" i="44"/>
  <c r="G279" i="44" s="1"/>
  <c r="D279" i="36"/>
  <c r="F279" i="36"/>
  <c r="G279" i="36" s="1"/>
  <c r="M107" i="44"/>
  <c r="N107" i="44" s="1"/>
  <c r="Q108" i="36"/>
  <c r="J109" i="36"/>
  <c r="E280" i="36"/>
  <c r="E280" i="44"/>
  <c r="D280" i="44" l="1"/>
  <c r="F280" i="44"/>
  <c r="G280" i="44" s="1"/>
  <c r="D280" i="36"/>
  <c r="F280" i="36"/>
  <c r="G280" i="36" s="1"/>
  <c r="Q107" i="44"/>
  <c r="J108" i="44"/>
  <c r="K109" i="36"/>
  <c r="E281" i="36"/>
  <c r="E281" i="44"/>
  <c r="D281" i="44" l="1"/>
  <c r="F281" i="44"/>
  <c r="G281" i="44" s="1"/>
  <c r="D281" i="36"/>
  <c r="F281" i="36"/>
  <c r="G281" i="36" s="1"/>
  <c r="L109" i="36"/>
  <c r="M109" i="36" s="1"/>
  <c r="N109" i="36" s="1"/>
  <c r="K108" i="44"/>
  <c r="L108" i="44" s="1"/>
  <c r="M108" i="44" s="1"/>
  <c r="E282" i="36"/>
  <c r="E282" i="44"/>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36"/>
  <c r="E284" i="44"/>
  <c r="D284" i="44" l="1"/>
  <c r="F284" i="44"/>
  <c r="G284" i="44" s="1"/>
  <c r="D284" i="36"/>
  <c r="F284" i="36"/>
  <c r="G284" i="36" s="1"/>
  <c r="Q110" i="36"/>
  <c r="J111" i="36"/>
  <c r="K109" i="44"/>
  <c r="L109" i="44" s="1"/>
  <c r="M109" i="44" s="1"/>
  <c r="E285" i="44"/>
  <c r="E285" i="36"/>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36"/>
  <c r="E287" i="44"/>
  <c r="F287" i="44" l="1"/>
  <c r="G287" i="44" s="1"/>
  <c r="D287" i="44"/>
  <c r="D287" i="36"/>
  <c r="F287" i="36"/>
  <c r="G287" i="36" s="1"/>
  <c r="J112" i="36"/>
  <c r="K112" i="36" s="1"/>
  <c r="K110" i="44"/>
  <c r="E288" i="36"/>
  <c r="E288" i="44"/>
  <c r="F288" i="44" l="1"/>
  <c r="G288" i="44" s="1"/>
  <c r="D288" i="44"/>
  <c r="F288" i="36"/>
  <c r="G288" i="36" s="1"/>
  <c r="D288" i="36"/>
  <c r="L112" i="36"/>
  <c r="M112" i="36" s="1"/>
  <c r="L110" i="44"/>
  <c r="M110" i="44" s="1"/>
  <c r="E289" i="36"/>
  <c r="E289" i="44"/>
  <c r="F289" i="44" l="1"/>
  <c r="G289" i="44" s="1"/>
  <c r="D289" i="44"/>
  <c r="D289" i="36"/>
  <c r="F289" i="36"/>
  <c r="G289" i="36" s="1"/>
  <c r="N112" i="36"/>
  <c r="N110" i="44"/>
  <c r="E290" i="44"/>
  <c r="E290" i="36"/>
  <c r="D290" i="44" l="1"/>
  <c r="F290" i="44"/>
  <c r="G290" i="44" s="1"/>
  <c r="D290" i="36"/>
  <c r="F290" i="36"/>
  <c r="G290" i="36" s="1"/>
  <c r="Q110" i="44"/>
  <c r="J111" i="44"/>
  <c r="Q112" i="36"/>
  <c r="J113" i="36"/>
  <c r="E291" i="44"/>
  <c r="E291" i="36"/>
  <c r="D291" i="44" l="1"/>
  <c r="F291" i="44"/>
  <c r="G291" i="44" s="1"/>
  <c r="D291" i="36"/>
  <c r="F291" i="36"/>
  <c r="G291" i="36" s="1"/>
  <c r="K111" i="44"/>
  <c r="L111" i="44" s="1"/>
  <c r="M111" i="44" s="1"/>
  <c r="K113" i="36"/>
  <c r="L113" i="36" s="1"/>
  <c r="M113" i="36" s="1"/>
  <c r="N113" i="36" s="1"/>
  <c r="E292" i="36"/>
  <c r="E292" i="44"/>
  <c r="F292" i="44" l="1"/>
  <c r="G292" i="44" s="1"/>
  <c r="D292" i="44"/>
  <c r="D292" i="36"/>
  <c r="F292" i="36"/>
  <c r="G292" i="36" s="1"/>
  <c r="Q113" i="36"/>
  <c r="J114" i="36"/>
  <c r="N111" i="44"/>
  <c r="E293" i="44"/>
  <c r="E293" i="36"/>
  <c r="D293" i="44" l="1"/>
  <c r="F293" i="44"/>
  <c r="G293" i="44" s="1"/>
  <c r="F293" i="36"/>
  <c r="G293" i="36" s="1"/>
  <c r="D293" i="36"/>
  <c r="K114" i="36"/>
  <c r="L114" i="36" s="1"/>
  <c r="M114" i="36" s="1"/>
  <c r="Q111" i="44"/>
  <c r="J112" i="44"/>
  <c r="E294" i="44"/>
  <c r="E294" i="36"/>
  <c r="D294" i="44" l="1"/>
  <c r="F294" i="44"/>
  <c r="G294" i="44" s="1"/>
  <c r="F294" i="36"/>
  <c r="G294" i="36" s="1"/>
  <c r="D294" i="36"/>
  <c r="N114" i="36"/>
  <c r="K112" i="44"/>
  <c r="E295" i="36"/>
  <c r="E295" i="44"/>
  <c r="D295" i="44" l="1"/>
  <c r="F295" i="44"/>
  <c r="G295" i="44" s="1"/>
  <c r="D295" i="36"/>
  <c r="F295" i="36"/>
  <c r="G295" i="36" s="1"/>
  <c r="L112" i="44"/>
  <c r="M112" i="44" s="1"/>
  <c r="N112" i="44" s="1"/>
  <c r="Q114" i="36"/>
  <c r="J115" i="36"/>
  <c r="E296" i="44"/>
  <c r="E296" i="36"/>
  <c r="F296" i="44" l="1"/>
  <c r="G296" i="44" s="1"/>
  <c r="D296" i="44"/>
  <c r="F296" i="36"/>
  <c r="G296" i="36" s="1"/>
  <c r="D296" i="36"/>
  <c r="K115" i="36"/>
  <c r="L115" i="36" s="1"/>
  <c r="M115" i="36" s="1"/>
  <c r="Q112" i="44"/>
  <c r="J113" i="44"/>
  <c r="E297" i="36"/>
  <c r="E297" i="44"/>
  <c r="F297" i="44" l="1"/>
  <c r="G297" i="44" s="1"/>
  <c r="D297" i="44"/>
  <c r="D297" i="36"/>
  <c r="F297" i="36"/>
  <c r="G297" i="36" s="1"/>
  <c r="N115" i="36"/>
  <c r="K113" i="44"/>
  <c r="E298" i="36"/>
  <c r="E298" i="44"/>
  <c r="F298" i="44" l="1"/>
  <c r="G298" i="44" s="1"/>
  <c r="D298" i="44"/>
  <c r="D298" i="36"/>
  <c r="F298" i="36"/>
  <c r="G298" i="36" s="1"/>
  <c r="L113" i="44"/>
  <c r="M113" i="44" s="1"/>
  <c r="N113" i="44" s="1"/>
  <c r="Q115" i="36"/>
  <c r="J116" i="36"/>
  <c r="E299" i="36"/>
  <c r="E299" i="44"/>
  <c r="F299" i="44" l="1"/>
  <c r="G299" i="44" s="1"/>
  <c r="D299" i="44"/>
  <c r="D299" i="36"/>
  <c r="F299" i="36"/>
  <c r="G299" i="36" s="1"/>
  <c r="Q113" i="44"/>
  <c r="J114" i="44"/>
  <c r="K116" i="36"/>
  <c r="L116" i="36" s="1"/>
  <c r="E300" i="44"/>
  <c r="E300" i="36"/>
  <c r="F300" i="44" l="1"/>
  <c r="G300" i="44" s="1"/>
  <c r="D300" i="44"/>
  <c r="D300" i="36"/>
  <c r="F300" i="36"/>
  <c r="G300" i="36" s="1"/>
  <c r="M116" i="36"/>
  <c r="N116" i="36" s="1"/>
  <c r="K114" i="44"/>
  <c r="L114" i="44" s="1"/>
  <c r="M114" i="44" s="1"/>
  <c r="E301" i="36"/>
  <c r="E301" i="44"/>
  <c r="D301" i="44" l="1"/>
  <c r="F301" i="44"/>
  <c r="G301" i="44" s="1"/>
  <c r="F301" i="36"/>
  <c r="G301" i="36" s="1"/>
  <c r="D301" i="36"/>
  <c r="Q116" i="36"/>
  <c r="J117" i="36"/>
  <c r="N114" i="44"/>
  <c r="E302" i="44"/>
  <c r="E302" i="36"/>
  <c r="D302" i="44" l="1"/>
  <c r="F302" i="44"/>
  <c r="G302" i="44" s="1"/>
  <c r="F302" i="36"/>
  <c r="G302" i="36" s="1"/>
  <c r="D302" i="36"/>
  <c r="K117" i="36"/>
  <c r="L117" i="36" s="1"/>
  <c r="M117" i="36" s="1"/>
  <c r="Q114" i="44"/>
  <c r="J115" i="44"/>
  <c r="E303" i="36"/>
  <c r="E303" i="44"/>
  <c r="F303" i="44" l="1"/>
  <c r="G303" i="44" s="1"/>
  <c r="D303" i="44"/>
  <c r="F303" i="36"/>
  <c r="G303" i="36" s="1"/>
  <c r="D303" i="36"/>
  <c r="N117" i="36"/>
  <c r="K115" i="44"/>
  <c r="L115" i="44" s="1"/>
  <c r="E304" i="44"/>
  <c r="E304" i="36"/>
  <c r="D304" i="44" l="1"/>
  <c r="F304" i="44"/>
  <c r="G304" i="44" s="1"/>
  <c r="F304" i="36"/>
  <c r="G304" i="36" s="1"/>
  <c r="D304" i="36"/>
  <c r="Q117" i="36"/>
  <c r="J118" i="36"/>
  <c r="M115" i="44"/>
  <c r="N115" i="44" s="1"/>
  <c r="E305" i="36"/>
  <c r="E305" i="44"/>
  <c r="D305" i="44" l="1"/>
  <c r="F305" i="44"/>
  <c r="G305" i="44" s="1"/>
  <c r="D305" i="36"/>
  <c r="F305" i="36"/>
  <c r="G305" i="36" s="1"/>
  <c r="K118" i="36"/>
  <c r="L118" i="36" s="1"/>
  <c r="Q115" i="44"/>
  <c r="J116" i="44"/>
  <c r="E306" i="36"/>
  <c r="E306" i="44"/>
  <c r="F306" i="44" l="1"/>
  <c r="G306" i="44" s="1"/>
  <c r="D306" i="44"/>
  <c r="F306" i="36"/>
  <c r="G306" i="36" s="1"/>
  <c r="D306" i="36"/>
  <c r="M118" i="36"/>
  <c r="N118" i="36" s="1"/>
  <c r="K116" i="44"/>
  <c r="L116" i="44" s="1"/>
  <c r="M116" i="44" s="1"/>
  <c r="E307" i="36"/>
  <c r="E307" i="44"/>
  <c r="D307" i="44" l="1"/>
  <c r="F307" i="44"/>
  <c r="G307" i="44" s="1"/>
  <c r="D307" i="36"/>
  <c r="F307" i="36"/>
  <c r="G307" i="36" s="1"/>
  <c r="Q118" i="36"/>
  <c r="J119" i="36"/>
  <c r="K119" i="36" s="1"/>
  <c r="N116" i="44"/>
  <c r="E308" i="44"/>
  <c r="E308" i="36"/>
  <c r="D308" i="44" l="1"/>
  <c r="F308" i="44"/>
  <c r="G308" i="44" s="1"/>
  <c r="F308" i="36"/>
  <c r="G308" i="36" s="1"/>
  <c r="D308" i="36"/>
  <c r="L119" i="36"/>
  <c r="Q116" i="44"/>
  <c r="J117" i="44"/>
  <c r="E309" i="44"/>
  <c r="E309" i="36"/>
  <c r="F309" i="44" l="1"/>
  <c r="G309" i="44" s="1"/>
  <c r="D309" i="44"/>
  <c r="D309" i="36"/>
  <c r="F309" i="36"/>
  <c r="G309" i="36" s="1"/>
  <c r="M119" i="36"/>
  <c r="N119" i="36" s="1"/>
  <c r="K117" i="44"/>
  <c r="E310" i="36"/>
  <c r="E310" i="44"/>
  <c r="F310" i="44" l="1"/>
  <c r="G310" i="44" s="1"/>
  <c r="D310" i="44"/>
  <c r="F310" i="36"/>
  <c r="G310" i="36" s="1"/>
  <c r="D310" i="36"/>
  <c r="Q119" i="36"/>
  <c r="J120" i="36"/>
  <c r="L117" i="44"/>
  <c r="M117" i="44" s="1"/>
  <c r="E311" i="44"/>
  <c r="E311" i="36"/>
  <c r="F311" i="44" l="1"/>
  <c r="G311" i="44" s="1"/>
  <c r="D311" i="44"/>
  <c r="D311" i="36"/>
  <c r="F311" i="36"/>
  <c r="G311" i="36" s="1"/>
  <c r="K120" i="36"/>
  <c r="N117" i="44"/>
  <c r="E312" i="36"/>
  <c r="E312" i="44"/>
  <c r="F312" i="44" l="1"/>
  <c r="G312" i="44" s="1"/>
  <c r="D312" i="44"/>
  <c r="F312" i="36"/>
  <c r="G312" i="36" s="1"/>
  <c r="D312" i="36"/>
  <c r="L120" i="36"/>
  <c r="Q117" i="44"/>
  <c r="J118" i="44"/>
  <c r="E313" i="44"/>
  <c r="E313" i="36"/>
  <c r="D313" i="44" l="1"/>
  <c r="F313" i="44"/>
  <c r="G313" i="44" s="1"/>
  <c r="D313" i="36"/>
  <c r="F313" i="36"/>
  <c r="G313" i="36" s="1"/>
  <c r="M120" i="36"/>
  <c r="N120" i="36" s="1"/>
  <c r="K118" i="44"/>
  <c r="E314" i="44"/>
  <c r="E314" i="36"/>
  <c r="D314" i="44" l="1"/>
  <c r="F314" i="44"/>
  <c r="G314" i="44" s="1"/>
  <c r="D314" i="36"/>
  <c r="F314" i="36"/>
  <c r="G314" i="36" s="1"/>
  <c r="Q120" i="36"/>
  <c r="J121" i="36"/>
  <c r="L118" i="44"/>
  <c r="M118" i="44" s="1"/>
  <c r="E315" i="44"/>
  <c r="E315" i="36"/>
  <c r="F315" i="44" l="1"/>
  <c r="G315" i="44" s="1"/>
  <c r="D315" i="44"/>
  <c r="D315" i="36"/>
  <c r="F315" i="36"/>
  <c r="G315" i="36" s="1"/>
  <c r="N118" i="44"/>
  <c r="K121" i="36"/>
  <c r="L121" i="36" s="1"/>
  <c r="E316" i="44"/>
  <c r="E316" i="36"/>
  <c r="F316" i="44" l="1"/>
  <c r="G316" i="44" s="1"/>
  <c r="D316" i="44"/>
  <c r="J119" i="44"/>
  <c r="K119" i="44" s="1"/>
  <c r="L119" i="44" s="1"/>
  <c r="D316" i="36"/>
  <c r="F316" i="36"/>
  <c r="G316" i="36" s="1"/>
  <c r="Q118" i="44"/>
  <c r="M121" i="36"/>
  <c r="N121" i="36" s="1"/>
  <c r="E317" i="36"/>
  <c r="E317" i="44"/>
  <c r="F317" i="44" l="1"/>
  <c r="G317" i="44" s="1"/>
  <c r="D317" i="44"/>
  <c r="D317" i="36"/>
  <c r="F317" i="36"/>
  <c r="G317" i="36" s="1"/>
  <c r="Q121" i="36"/>
  <c r="J122" i="36"/>
  <c r="M119" i="44"/>
  <c r="N119" i="44" s="1"/>
  <c r="E318" i="44"/>
  <c r="E318" i="36"/>
  <c r="F318" i="44" l="1"/>
  <c r="G318" i="44" s="1"/>
  <c r="D318" i="44"/>
  <c r="D318" i="36"/>
  <c r="F318" i="36"/>
  <c r="G318" i="36" s="1"/>
  <c r="Q119" i="44"/>
  <c r="J120" i="44"/>
  <c r="K120" i="44" s="1"/>
  <c r="K122" i="36"/>
  <c r="L122" i="36" s="1"/>
  <c r="E319" i="44"/>
  <c r="E319" i="36"/>
  <c r="F319" i="44" l="1"/>
  <c r="G319" i="44" s="1"/>
  <c r="D319" i="44"/>
  <c r="D319" i="36"/>
  <c r="F319" i="36"/>
  <c r="G319" i="36" s="1"/>
  <c r="M122" i="36"/>
  <c r="N122" i="36" s="1"/>
  <c r="L120" i="44"/>
  <c r="M120" i="44" s="1"/>
  <c r="N120" i="44" s="1"/>
  <c r="E320" i="36"/>
  <c r="E320" i="44"/>
  <c r="D320" i="44" l="1"/>
  <c r="F320" i="44"/>
  <c r="G320" i="44" s="1"/>
  <c r="D320" i="36"/>
  <c r="F320" i="36"/>
  <c r="G320" i="36" s="1"/>
  <c r="Q122" i="36"/>
  <c r="J123" i="36"/>
  <c r="Q120" i="44"/>
  <c r="J121" i="44"/>
  <c r="E321" i="36"/>
  <c r="E321" i="44"/>
  <c r="D321" i="44" l="1"/>
  <c r="F321" i="44"/>
  <c r="G321" i="44" s="1"/>
  <c r="D321" i="36"/>
  <c r="F321" i="36"/>
  <c r="G321" i="36" s="1"/>
  <c r="K123" i="36"/>
  <c r="L123" i="36" s="1"/>
  <c r="M123" i="36" s="1"/>
  <c r="N123" i="36" s="1"/>
  <c r="K121" i="44"/>
  <c r="E322" i="36"/>
  <c r="E322" i="44"/>
  <c r="F322" i="44" l="1"/>
  <c r="G322" i="44" s="1"/>
  <c r="D322" i="44"/>
  <c r="D322" i="36"/>
  <c r="F322" i="36"/>
  <c r="G322" i="36" s="1"/>
  <c r="J124" i="36"/>
  <c r="Q123" i="36"/>
  <c r="L121" i="44"/>
  <c r="M121" i="44" s="1"/>
  <c r="E323" i="44"/>
  <c r="E323" i="36"/>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36"/>
  <c r="E325" i="44"/>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36"/>
  <c r="E327" i="44"/>
  <c r="F327" i="44" l="1"/>
  <c r="G327" i="44" s="1"/>
  <c r="D327" i="44"/>
  <c r="D327" i="36"/>
  <c r="F327" i="36"/>
  <c r="G327" i="36" s="1"/>
  <c r="J126" i="36"/>
  <c r="K126" i="36" s="1"/>
  <c r="L126" i="36" s="1"/>
  <c r="M126" i="36" s="1"/>
  <c r="N126" i="36" s="1"/>
  <c r="Q122" i="44"/>
  <c r="J123" i="44"/>
  <c r="E328" i="36"/>
  <c r="E328" i="44"/>
  <c r="F328" i="44" l="1"/>
  <c r="G328" i="44" s="1"/>
  <c r="D328" i="44"/>
  <c r="F328" i="36"/>
  <c r="G328" i="36" s="1"/>
  <c r="D328" i="36"/>
  <c r="Q126" i="36"/>
  <c r="J127" i="36"/>
  <c r="K123" i="44"/>
  <c r="L123" i="44" s="1"/>
  <c r="M123" i="44" s="1"/>
  <c r="E329" i="36"/>
  <c r="E329" i="44"/>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36"/>
  <c r="E331" i="44"/>
  <c r="D331" i="44" l="1"/>
  <c r="F331" i="44"/>
  <c r="G331" i="44" s="1"/>
  <c r="D331" i="36"/>
  <c r="F331" i="36"/>
  <c r="G331" i="36" s="1"/>
  <c r="K128" i="36"/>
  <c r="L128" i="36" s="1"/>
  <c r="K124" i="44"/>
  <c r="L124" i="44" s="1"/>
  <c r="M124" i="44" s="1"/>
  <c r="E332" i="44"/>
  <c r="E332" i="36"/>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36"/>
  <c r="E335" i="44"/>
  <c r="F335" i="44" l="1"/>
  <c r="G335" i="44" s="1"/>
  <c r="D335" i="44"/>
  <c r="F335" i="36"/>
  <c r="G335" i="36" s="1"/>
  <c r="D335" i="36"/>
  <c r="M125" i="44"/>
  <c r="N125" i="44" s="1"/>
  <c r="N129" i="36"/>
  <c r="E336" i="44"/>
  <c r="E336" i="36"/>
  <c r="F336" i="44" l="1"/>
  <c r="G336" i="44" s="1"/>
  <c r="D336" i="44"/>
  <c r="D336" i="36"/>
  <c r="F336" i="36"/>
  <c r="G336" i="36" s="1"/>
  <c r="J130" i="36"/>
  <c r="Q129" i="36"/>
  <c r="Q125" i="44"/>
  <c r="J126" i="44"/>
  <c r="E337" i="44"/>
  <c r="E337" i="36"/>
  <c r="D337" i="44" l="1"/>
  <c r="F337" i="44"/>
  <c r="G337" i="44" s="1"/>
  <c r="F337" i="36"/>
  <c r="G337" i="36" s="1"/>
  <c r="D337" i="36"/>
  <c r="K130" i="36"/>
  <c r="L130" i="36" s="1"/>
  <c r="M130" i="36" s="1"/>
  <c r="K126" i="44"/>
  <c r="L126" i="44" s="1"/>
  <c r="E338" i="36"/>
  <c r="E338" i="44"/>
  <c r="D338" i="44" l="1"/>
  <c r="F338" i="44"/>
  <c r="G338" i="44" s="1"/>
  <c r="F338" i="36"/>
  <c r="G338" i="36" s="1"/>
  <c r="D338" i="36"/>
  <c r="M126" i="44"/>
  <c r="N126" i="44" s="1"/>
  <c r="N130" i="36"/>
  <c r="E339" i="44"/>
  <c r="E339" i="36"/>
  <c r="D339" i="44" l="1"/>
  <c r="F339" i="44"/>
  <c r="G339" i="44" s="1"/>
  <c r="D339" i="36"/>
  <c r="F339" i="36"/>
  <c r="G339" i="36" s="1"/>
  <c r="Q126" i="44"/>
  <c r="J127" i="44"/>
  <c r="K127" i="44" s="1"/>
  <c r="Q130" i="36"/>
  <c r="J131" i="36"/>
  <c r="E340" i="36"/>
  <c r="E340" i="44"/>
  <c r="D340" i="44" l="1"/>
  <c r="F340" i="44"/>
  <c r="G340" i="44" s="1"/>
  <c r="F340" i="36"/>
  <c r="G340" i="36" s="1"/>
  <c r="D340" i="36"/>
  <c r="L127" i="44"/>
  <c r="M127" i="44" s="1"/>
  <c r="N127" i="44" s="1"/>
  <c r="J128" i="44" s="1"/>
  <c r="K131" i="36"/>
  <c r="L131" i="36" s="1"/>
  <c r="E341" i="44"/>
  <c r="E341" i="36"/>
  <c r="F341" i="44" l="1"/>
  <c r="G341" i="44" s="1"/>
  <c r="D341" i="44"/>
  <c r="D341" i="36"/>
  <c r="F341" i="36"/>
  <c r="G341" i="36" s="1"/>
  <c r="Q127" i="44"/>
  <c r="M131" i="36"/>
  <c r="N131" i="36" s="1"/>
  <c r="J132" i="36" s="1"/>
  <c r="K128" i="44"/>
  <c r="L128" i="44" s="1"/>
  <c r="E342" i="44"/>
  <c r="E342" i="36"/>
  <c r="D342" i="44" l="1"/>
  <c r="F342" i="44"/>
  <c r="G342" i="44" s="1"/>
  <c r="D342" i="36"/>
  <c r="F342" i="36"/>
  <c r="G342" i="36" s="1"/>
  <c r="Q131" i="36"/>
  <c r="K132" i="36"/>
  <c r="L132" i="36" s="1"/>
  <c r="M132" i="36" s="1"/>
  <c r="N132" i="36" s="1"/>
  <c r="M128" i="44"/>
  <c r="N128" i="44" s="1"/>
  <c r="E343" i="36"/>
  <c r="E343" i="44"/>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36"/>
  <c r="E345" i="44"/>
  <c r="D345" i="44" l="1"/>
  <c r="F345" i="44"/>
  <c r="G345" i="44" s="1"/>
  <c r="F345" i="36"/>
  <c r="G345" i="36" s="1"/>
  <c r="D345" i="36"/>
  <c r="M133" i="36"/>
  <c r="N133" i="36" s="1"/>
  <c r="Q129" i="44"/>
  <c r="J130" i="44"/>
  <c r="E346" i="36"/>
  <c r="E346" i="44"/>
  <c r="D346" i="44" l="1"/>
  <c r="F346" i="44"/>
  <c r="G346" i="44" s="1"/>
  <c r="F346" i="36"/>
  <c r="G346" i="36" s="1"/>
  <c r="D346" i="36"/>
  <c r="J134" i="36"/>
  <c r="Q133" i="36"/>
  <c r="K130" i="44"/>
  <c r="L130" i="44" s="1"/>
  <c r="M130" i="44" s="1"/>
  <c r="E347" i="44"/>
  <c r="E347" i="36"/>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44"/>
  <c r="E349" i="36"/>
  <c r="D349" i="44" l="1"/>
  <c r="F349" i="44"/>
  <c r="G349" i="44" s="1"/>
  <c r="F349" i="36"/>
  <c r="G349" i="36" s="1"/>
  <c r="D349" i="36"/>
  <c r="K135" i="36"/>
  <c r="L135" i="36" s="1"/>
  <c r="M135" i="36" s="1"/>
  <c r="K131" i="44"/>
  <c r="L131" i="44" s="1"/>
  <c r="M131" i="44" s="1"/>
  <c r="E350" i="36"/>
  <c r="E350" i="44"/>
  <c r="D350" i="44" l="1"/>
  <c r="F350" i="44"/>
  <c r="G350" i="44" s="1"/>
  <c r="F350" i="36"/>
  <c r="G350" i="36" s="1"/>
  <c r="D350" i="36"/>
  <c r="N135" i="36"/>
  <c r="J136" i="36" s="1"/>
  <c r="N131" i="44"/>
  <c r="E351" i="36"/>
  <c r="E351" i="44"/>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44"/>
  <c r="E353" i="36"/>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36"/>
  <c r="E355" i="44"/>
  <c r="D355" i="44" l="1"/>
  <c r="F355" i="44"/>
  <c r="G355" i="44" s="1"/>
  <c r="D355" i="36"/>
  <c r="F355" i="36"/>
  <c r="G355" i="36" s="1"/>
  <c r="M133" i="44"/>
  <c r="N133" i="44" s="1"/>
  <c r="Q133" i="44" s="1"/>
  <c r="K137" i="36"/>
  <c r="L137" i="36" s="1"/>
  <c r="M137" i="36" s="1"/>
  <c r="E356" i="44"/>
  <c r="E356" i="36"/>
  <c r="F356" i="44" l="1"/>
  <c r="G356" i="44" s="1"/>
  <c r="D356" i="44"/>
  <c r="F356" i="36"/>
  <c r="G356" i="36" s="1"/>
  <c r="D356" i="36"/>
  <c r="J134" i="44"/>
  <c r="K134" i="44" s="1"/>
  <c r="N137" i="36"/>
  <c r="J138" i="36" s="1"/>
  <c r="E357" i="44"/>
  <c r="E357" i="36"/>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44"/>
  <c r="E362" i="36"/>
  <c r="D362" i="44" l="1"/>
  <c r="F362" i="44"/>
  <c r="G362" i="44" s="1"/>
  <c r="D362" i="36"/>
  <c r="F362" i="36"/>
  <c r="G362" i="36" s="1"/>
  <c r="N139" i="36"/>
  <c r="K136" i="44"/>
  <c r="L136" i="44" s="1"/>
  <c r="E363" i="36"/>
  <c r="E363" i="44"/>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44"/>
  <c r="E365" i="36"/>
  <c r="D365" i="44" l="1"/>
  <c r="F365" i="44"/>
  <c r="G365" i="44" s="1"/>
  <c r="D365" i="36"/>
  <c r="F365" i="36"/>
  <c r="G365" i="36" s="1"/>
  <c r="M140" i="36"/>
  <c r="N140" i="36" s="1"/>
  <c r="K137" i="44"/>
  <c r="L137" i="44" s="1"/>
  <c r="E366" i="44"/>
  <c r="E366" i="36"/>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36"/>
  <c r="E368" i="44"/>
  <c r="D368" i="44" l="1"/>
  <c r="F368" i="44"/>
  <c r="G368" i="44" s="1"/>
  <c r="D368" i="36"/>
  <c r="F368" i="36"/>
  <c r="G368" i="36" s="1"/>
  <c r="M141" i="36"/>
  <c r="N141" i="36" s="1"/>
  <c r="K138" i="44"/>
  <c r="L138" i="44" s="1"/>
  <c r="M138" i="44" s="1"/>
  <c r="N138" i="44" s="1"/>
  <c r="E369" i="36"/>
  <c r="E369" i="44"/>
  <c r="D369" i="44" l="1"/>
  <c r="F369" i="44"/>
  <c r="G369" i="44" s="1"/>
  <c r="D369" i="36"/>
  <c r="F369" i="36"/>
  <c r="G369" i="36" s="1"/>
  <c r="Q141" i="36"/>
  <c r="J142" i="36"/>
  <c r="Q138" i="44"/>
  <c r="J139" i="44"/>
  <c r="E370" i="36"/>
  <c r="E370" i="44"/>
  <c r="F370" i="44" l="1"/>
  <c r="G370" i="44" s="1"/>
  <c r="D370" i="44"/>
  <c r="F370" i="36"/>
  <c r="G370" i="36" s="1"/>
  <c r="D370" i="36"/>
  <c r="K142" i="36"/>
  <c r="L142" i="36" s="1"/>
  <c r="M142" i="36" s="1"/>
  <c r="N142" i="36" s="1"/>
  <c r="K139" i="44"/>
  <c r="E371" i="36"/>
  <c r="E371" i="44"/>
  <c r="F371" i="44" l="1"/>
  <c r="G371" i="44" s="1"/>
  <c r="D371" i="44"/>
  <c r="D371" i="36"/>
  <c r="F371" i="36"/>
  <c r="G371" i="36" s="1"/>
  <c r="Q142" i="36"/>
  <c r="J143" i="36"/>
  <c r="L139" i="44"/>
  <c r="M139" i="44" s="1"/>
  <c r="N139" i="44" s="1"/>
  <c r="E372" i="44"/>
  <c r="E372" i="36"/>
  <c r="D372" i="44" l="1"/>
  <c r="F372" i="44"/>
  <c r="G372" i="44" s="1"/>
  <c r="F372" i="36"/>
  <c r="G372" i="36" s="1"/>
  <c r="D372" i="36"/>
  <c r="K143" i="36"/>
  <c r="L143" i="36" s="1"/>
  <c r="M143" i="36" s="1"/>
  <c r="Q139" i="44"/>
  <c r="J140" i="44"/>
  <c r="E373" i="36"/>
  <c r="E373" i="44"/>
  <c r="D373" i="44" l="1"/>
  <c r="F373" i="44"/>
  <c r="G373" i="44" s="1"/>
  <c r="D373" i="36"/>
  <c r="F373" i="36"/>
  <c r="G373" i="36" s="1"/>
  <c r="N143" i="36"/>
  <c r="Q143" i="36" s="1"/>
  <c r="K140" i="44"/>
  <c r="L140" i="44" s="1"/>
  <c r="E374" i="44"/>
  <c r="E374" i="36"/>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36"/>
  <c r="E377" i="44"/>
  <c r="F377" i="44" l="1"/>
  <c r="G377" i="44" s="1"/>
  <c r="D377" i="44"/>
  <c r="F377" i="36"/>
  <c r="G377" i="36" s="1"/>
  <c r="D377" i="36"/>
  <c r="K145" i="36"/>
  <c r="L145" i="36" s="1"/>
  <c r="Q141" i="44"/>
  <c r="J142" i="44"/>
  <c r="E378" i="44"/>
  <c r="E378" i="36"/>
  <c r="D378" i="44" l="1"/>
  <c r="F378" i="44"/>
  <c r="G378" i="44" s="1"/>
  <c r="D378" i="36"/>
  <c r="F378" i="36"/>
  <c r="G378" i="36" s="1"/>
  <c r="M145" i="36"/>
  <c r="N145" i="36" s="1"/>
  <c r="K142" i="44"/>
  <c r="L142" i="44" s="1"/>
  <c r="E379" i="36"/>
  <c r="E379" i="44"/>
  <c r="D379" i="44" l="1"/>
  <c r="F379" i="44"/>
  <c r="G379" i="44" s="1"/>
  <c r="F379" i="36"/>
  <c r="G379" i="36" s="1"/>
  <c r="D379" i="36"/>
  <c r="M142" i="44"/>
  <c r="N142" i="44" s="1"/>
  <c r="J146" i="36"/>
  <c r="Q145" i="36"/>
  <c r="E380" i="44"/>
  <c r="E380" i="36"/>
  <c r="F380" i="44" l="1"/>
  <c r="G380" i="44" s="1"/>
  <c r="D380" i="44"/>
  <c r="F380" i="36"/>
  <c r="G380" i="36" s="1"/>
  <c r="D380" i="36"/>
  <c r="K146" i="36"/>
  <c r="L146" i="36" s="1"/>
  <c r="M146" i="36" s="1"/>
  <c r="N146" i="36" s="1"/>
  <c r="Q142" i="44"/>
  <c r="J143" i="44"/>
  <c r="E381" i="36"/>
  <c r="E381" i="44"/>
  <c r="D381" i="44" l="1"/>
  <c r="F381" i="44"/>
  <c r="G381" i="44" s="1"/>
  <c r="F381" i="36"/>
  <c r="G381" i="36" s="1"/>
  <c r="D381" i="36"/>
  <c r="Q146" i="36"/>
  <c r="J147" i="36"/>
  <c r="K143" i="44"/>
  <c r="L143" i="44" s="1"/>
  <c r="E382" i="44"/>
  <c r="E382" i="36"/>
  <c r="D382" i="44" l="1"/>
  <c r="F382" i="44"/>
  <c r="G382" i="44" s="1"/>
  <c r="F382" i="36"/>
  <c r="G382" i="36" s="1"/>
  <c r="D382" i="36"/>
  <c r="K147" i="36"/>
  <c r="L147" i="36" s="1"/>
  <c r="M147" i="36" s="1"/>
  <c r="M143" i="44"/>
  <c r="N143" i="44" s="1"/>
  <c r="E383" i="36"/>
  <c r="E383" i="44"/>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44"/>
  <c r="E385" i="36"/>
  <c r="D385" i="44" l="1"/>
  <c r="F385" i="44"/>
  <c r="G385" i="44" s="1"/>
  <c r="F385" i="36"/>
  <c r="G385" i="36" s="1"/>
  <c r="D385" i="36"/>
  <c r="K148" i="36"/>
  <c r="M144" i="44"/>
  <c r="N144" i="44" s="1"/>
  <c r="E386" i="44"/>
  <c r="E386" i="36"/>
  <c r="F386" i="44" l="1"/>
  <c r="G386" i="44" s="1"/>
  <c r="D386" i="44"/>
  <c r="D386" i="36"/>
  <c r="F386" i="36"/>
  <c r="G386" i="36" s="1"/>
  <c r="L148" i="36"/>
  <c r="Q144" i="44"/>
  <c r="J145" i="44"/>
  <c r="E387" i="36"/>
  <c r="E387" i="44"/>
  <c r="F387" i="44" l="1"/>
  <c r="G387" i="44" s="1"/>
  <c r="D387" i="44"/>
  <c r="D387" i="36"/>
  <c r="F387" i="36"/>
  <c r="G387" i="36" s="1"/>
  <c r="M148" i="36"/>
  <c r="N148" i="36" s="1"/>
  <c r="K145" i="44"/>
  <c r="E388" i="44"/>
  <c r="E388" i="36"/>
  <c r="D388" i="44" l="1"/>
  <c r="F388" i="44"/>
  <c r="G388" i="44" s="1"/>
  <c r="D388" i="36"/>
  <c r="F388" i="36"/>
  <c r="G388" i="36" s="1"/>
  <c r="J149" i="36"/>
  <c r="Q148" i="36"/>
  <c r="L145" i="44"/>
  <c r="M145" i="44" s="1"/>
  <c r="N145" i="44" s="1"/>
  <c r="E389" i="36"/>
  <c r="E389" i="44"/>
  <c r="D389" i="44" l="1"/>
  <c r="F389" i="44"/>
  <c r="G389" i="44" s="1"/>
  <c r="D389" i="36"/>
  <c r="F389" i="36"/>
  <c r="G389" i="36" s="1"/>
  <c r="K149" i="36"/>
  <c r="L149" i="36" s="1"/>
  <c r="Q145" i="44"/>
  <c r="J146" i="44"/>
  <c r="E390" i="44"/>
  <c r="E390" i="36"/>
  <c r="F390" i="44" l="1"/>
  <c r="G390" i="44" s="1"/>
  <c r="D390" i="44"/>
  <c r="F390" i="36"/>
  <c r="G390" i="36" s="1"/>
  <c r="D390" i="36"/>
  <c r="M149" i="36"/>
  <c r="N149" i="36" s="1"/>
  <c r="K146" i="44"/>
  <c r="L146" i="44" s="1"/>
  <c r="E391" i="44"/>
  <c r="E391" i="36"/>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36"/>
  <c r="E393" i="44"/>
  <c r="D393" i="44" l="1"/>
  <c r="F393" i="44"/>
  <c r="G393" i="44" s="1"/>
  <c r="D393" i="36"/>
  <c r="F393" i="36"/>
  <c r="G393" i="36" s="1"/>
  <c r="N150" i="36"/>
  <c r="K147" i="44"/>
  <c r="L147" i="44" s="1"/>
  <c r="E394" i="36"/>
  <c r="E394" i="44"/>
  <c r="D394" i="44" l="1"/>
  <c r="F394" i="44"/>
  <c r="G394" i="44" s="1"/>
  <c r="D394" i="36"/>
  <c r="F394" i="36"/>
  <c r="G394" i="36" s="1"/>
  <c r="M147" i="44"/>
  <c r="N147" i="44" s="1"/>
  <c r="Q150" i="36"/>
  <c r="J151" i="36"/>
  <c r="E395" i="36"/>
  <c r="E395" i="44"/>
  <c r="D395" i="44" l="1"/>
  <c r="F395" i="44"/>
  <c r="G395" i="44" s="1"/>
  <c r="D395" i="36"/>
  <c r="F395" i="36"/>
  <c r="G395" i="36" s="1"/>
  <c r="Q147" i="44"/>
  <c r="J148" i="44"/>
  <c r="K148" i="44" s="1"/>
  <c r="L148" i="44" s="1"/>
  <c r="K151" i="36"/>
  <c r="E396" i="44"/>
  <c r="E396" i="36"/>
  <c r="D396" i="44" l="1"/>
  <c r="F396" i="44"/>
  <c r="G396" i="44" s="1"/>
  <c r="D396" i="36"/>
  <c r="F396" i="36"/>
  <c r="G396" i="36" s="1"/>
  <c r="L151" i="36"/>
  <c r="M148" i="44"/>
  <c r="N148" i="44" s="1"/>
  <c r="E397" i="44"/>
  <c r="E397" i="36"/>
  <c r="D397" i="44" l="1"/>
  <c r="F397" i="44"/>
  <c r="G397" i="44" s="1"/>
  <c r="F397" i="36"/>
  <c r="G397" i="36" s="1"/>
  <c r="D397" i="36"/>
  <c r="M151" i="36"/>
  <c r="N151" i="36" s="1"/>
  <c r="Q148" i="44"/>
  <c r="J149" i="44"/>
  <c r="E398" i="44"/>
  <c r="E398" i="36"/>
  <c r="D398" i="44" l="1"/>
  <c r="F398" i="44"/>
  <c r="G398" i="44" s="1"/>
  <c r="D398" i="36"/>
  <c r="F398" i="36"/>
  <c r="G398" i="36" s="1"/>
  <c r="Q151" i="36"/>
  <c r="J152" i="36"/>
  <c r="K149" i="44"/>
  <c r="L149" i="44" s="1"/>
  <c r="M149" i="44" s="1"/>
  <c r="E399" i="36"/>
  <c r="E399" i="44"/>
  <c r="D399" i="44" l="1"/>
  <c r="F399" i="44"/>
  <c r="G399" i="44" s="1"/>
  <c r="F399" i="36"/>
  <c r="G399" i="36" s="1"/>
  <c r="D399" i="36"/>
  <c r="K152" i="36"/>
  <c r="L152" i="36" s="1"/>
  <c r="M152" i="36" s="1"/>
  <c r="N152" i="36" s="1"/>
  <c r="N149" i="44"/>
  <c r="E400" i="36"/>
  <c r="E400" i="44"/>
  <c r="F400" i="44" l="1"/>
  <c r="G400" i="44" s="1"/>
  <c r="D400" i="44"/>
  <c r="D400" i="36"/>
  <c r="F400" i="36"/>
  <c r="G400" i="36" s="1"/>
  <c r="J153" i="36"/>
  <c r="Q152" i="36"/>
  <c r="Q149" i="44"/>
  <c r="J150" i="44"/>
  <c r="E401" i="44"/>
  <c r="E401" i="36"/>
  <c r="D401" i="44" l="1"/>
  <c r="F401" i="44"/>
  <c r="G401" i="44" s="1"/>
  <c r="D401" i="36"/>
  <c r="F401" i="36"/>
  <c r="G401" i="36" s="1"/>
  <c r="K153" i="36"/>
  <c r="L153" i="36" s="1"/>
  <c r="M153" i="36" s="1"/>
  <c r="N153" i="36" s="1"/>
  <c r="K150" i="44"/>
  <c r="L150" i="44" s="1"/>
  <c r="M150" i="44" s="1"/>
  <c r="E402" i="44"/>
  <c r="E402" i="36"/>
  <c r="F402" i="44" l="1"/>
  <c r="G402" i="44" s="1"/>
  <c r="D402" i="44"/>
  <c r="F402" i="36"/>
  <c r="G402" i="36" s="1"/>
  <c r="D402" i="36"/>
  <c r="Q153" i="36"/>
  <c r="J154" i="36"/>
  <c r="N150" i="44"/>
  <c r="E403" i="36"/>
  <c r="E403" i="44"/>
  <c r="D403" i="44" l="1"/>
  <c r="F403" i="44"/>
  <c r="G403" i="44" s="1"/>
  <c r="F403" i="36"/>
  <c r="G403" i="36" s="1"/>
  <c r="D403" i="36"/>
  <c r="K154" i="36"/>
  <c r="L154" i="36" s="1"/>
  <c r="M154" i="36" s="1"/>
  <c r="N154" i="36" s="1"/>
  <c r="Q150" i="44"/>
  <c r="J151" i="44"/>
  <c r="E404" i="36"/>
  <c r="E404" i="44"/>
  <c r="D404" i="44" l="1"/>
  <c r="F404" i="44"/>
  <c r="G404" i="44" s="1"/>
  <c r="D404" i="36"/>
  <c r="F404" i="36"/>
  <c r="G404" i="36" s="1"/>
  <c r="Q154" i="36"/>
  <c r="J155" i="36"/>
  <c r="K151" i="44"/>
  <c r="L151" i="44" s="1"/>
  <c r="M151" i="44" s="1"/>
  <c r="N151" i="44" s="1"/>
  <c r="E405" i="44"/>
  <c r="E405" i="36"/>
  <c r="D405" i="44" l="1"/>
  <c r="F405" i="44"/>
  <c r="G405" i="44" s="1"/>
  <c r="D405" i="36"/>
  <c r="F405" i="36"/>
  <c r="G405" i="36" s="1"/>
  <c r="K155" i="36"/>
  <c r="Q151" i="44"/>
  <c r="J152" i="44"/>
  <c r="E406" i="36"/>
  <c r="E406" i="44"/>
  <c r="D406" i="44" l="1"/>
  <c r="F406" i="44"/>
  <c r="G406" i="44" s="1"/>
  <c r="F406" i="36"/>
  <c r="G406" i="36" s="1"/>
  <c r="D406" i="36"/>
  <c r="L155" i="36"/>
  <c r="M155" i="36" s="1"/>
  <c r="K152" i="44"/>
  <c r="L152" i="44" s="1"/>
  <c r="M152" i="44" s="1"/>
  <c r="N152" i="44" s="1"/>
  <c r="E407" i="36"/>
  <c r="E407" i="44"/>
  <c r="F407" i="44" l="1"/>
  <c r="G407" i="44" s="1"/>
  <c r="D407" i="44"/>
  <c r="D407" i="36"/>
  <c r="F407" i="36"/>
  <c r="G407" i="36" s="1"/>
  <c r="N155" i="36"/>
  <c r="Q152" i="44"/>
  <c r="J153" i="44"/>
  <c r="E408" i="36"/>
  <c r="E408" i="44"/>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36"/>
  <c r="E410" i="44"/>
  <c r="F410" i="44" l="1"/>
  <c r="G410" i="44" s="1"/>
  <c r="D410" i="44"/>
  <c r="D410" i="36"/>
  <c r="F410" i="36"/>
  <c r="G410" i="36" s="1"/>
  <c r="Q153" i="44"/>
  <c r="N156" i="36"/>
  <c r="K154" i="44"/>
  <c r="L154" i="44" s="1"/>
  <c r="E411" i="44"/>
  <c r="E411" i="36"/>
  <c r="F411" i="44" l="1"/>
  <c r="G411" i="44" s="1"/>
  <c r="D411" i="44"/>
  <c r="F411" i="36"/>
  <c r="G411" i="36" s="1"/>
  <c r="D411" i="36"/>
  <c r="M154" i="44"/>
  <c r="N154" i="44" s="1"/>
  <c r="Q156" i="36"/>
  <c r="J157" i="36"/>
  <c r="E412" i="36"/>
  <c r="E412" i="44"/>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44"/>
  <c r="E415" i="36"/>
  <c r="F415" i="44" l="1"/>
  <c r="G415" i="44" s="1"/>
  <c r="D415" i="44"/>
  <c r="F415" i="36"/>
  <c r="G415" i="36" s="1"/>
  <c r="D415" i="36"/>
  <c r="Q158" i="36"/>
  <c r="J159" i="36"/>
  <c r="Q155" i="44"/>
  <c r="J156" i="44"/>
  <c r="E416" i="36"/>
  <c r="E416" i="44"/>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44"/>
  <c r="E418" i="36"/>
  <c r="F418" i="44" l="1"/>
  <c r="G418" i="44" s="1"/>
  <c r="D418" i="44"/>
  <c r="D418" i="36"/>
  <c r="F418" i="36"/>
  <c r="G418" i="36" s="1"/>
  <c r="J160" i="36"/>
  <c r="K160" i="36" s="1"/>
  <c r="Q156" i="44"/>
  <c r="J157" i="44"/>
  <c r="E419" i="36"/>
  <c r="E419" i="44"/>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36"/>
  <c r="E421" i="44"/>
  <c r="D421" i="44" l="1"/>
  <c r="F421" i="44"/>
  <c r="G421" i="44" s="1"/>
  <c r="D421" i="36"/>
  <c r="F421" i="36"/>
  <c r="G421" i="36" s="1"/>
  <c r="J162" i="36"/>
  <c r="Q161" i="36"/>
  <c r="Q157" i="44"/>
  <c r="J158" i="44"/>
  <c r="E422" i="36"/>
  <c r="E422" i="44"/>
  <c r="D422" i="44" l="1"/>
  <c r="F422" i="44"/>
  <c r="G422" i="44" s="1"/>
  <c r="F422" i="36"/>
  <c r="G422" i="36" s="1"/>
  <c r="D422" i="36"/>
  <c r="K162" i="36"/>
  <c r="L162" i="36" s="1"/>
  <c r="M162" i="36" s="1"/>
  <c r="K158" i="44"/>
  <c r="L158" i="44" s="1"/>
  <c r="M158" i="44" s="1"/>
  <c r="E423" i="36"/>
  <c r="E423" i="44"/>
  <c r="D423" i="44" l="1"/>
  <c r="F423" i="44"/>
  <c r="G423" i="44" s="1"/>
  <c r="D423" i="36"/>
  <c r="F423" i="36"/>
  <c r="G423" i="36" s="1"/>
  <c r="N162" i="36"/>
  <c r="N158" i="44"/>
  <c r="E424" i="36"/>
  <c r="E424" i="44"/>
  <c r="D424" i="44" l="1"/>
  <c r="F424" i="44"/>
  <c r="G424" i="44" s="1"/>
  <c r="F424" i="36"/>
  <c r="G424" i="36" s="1"/>
  <c r="D424" i="36"/>
  <c r="Q162" i="36"/>
  <c r="J163" i="36"/>
  <c r="Q158" i="44"/>
  <c r="J159" i="44"/>
  <c r="E425" i="36"/>
  <c r="E425" i="44"/>
  <c r="D425" i="44" l="1"/>
  <c r="F425" i="44"/>
  <c r="G425" i="44" s="1"/>
  <c r="F425" i="36"/>
  <c r="G425" i="36" s="1"/>
  <c r="D425" i="36"/>
  <c r="K163" i="36"/>
  <c r="L163" i="36" s="1"/>
  <c r="M163" i="36" s="1"/>
  <c r="N163" i="36" s="1"/>
  <c r="K159" i="44"/>
  <c r="L159" i="44" s="1"/>
  <c r="E426" i="36"/>
  <c r="E426" i="44"/>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44"/>
  <c r="E428" i="36"/>
  <c r="D428" i="44" l="1"/>
  <c r="F428" i="44"/>
  <c r="G428" i="44" s="1"/>
  <c r="D428" i="36"/>
  <c r="F428" i="36"/>
  <c r="G428" i="36" s="1"/>
  <c r="Q164" i="36"/>
  <c r="J165" i="36"/>
  <c r="K160" i="44"/>
  <c r="L160" i="44" s="1"/>
  <c r="M160" i="44" s="1"/>
  <c r="E429" i="44"/>
  <c r="E429" i="36"/>
  <c r="F429" i="44" l="1"/>
  <c r="G429" i="44" s="1"/>
  <c r="D429" i="44"/>
  <c r="F429" i="36"/>
  <c r="G429" i="36" s="1"/>
  <c r="D429" i="36"/>
  <c r="K165" i="36"/>
  <c r="L165" i="36" s="1"/>
  <c r="M165" i="36" s="1"/>
  <c r="N160" i="44"/>
  <c r="E430" i="36"/>
  <c r="E430" i="44"/>
  <c r="D430" i="44" l="1"/>
  <c r="F430" i="44"/>
  <c r="G430" i="44" s="1"/>
  <c r="F430" i="36"/>
  <c r="G430" i="36" s="1"/>
  <c r="D430" i="36"/>
  <c r="N165" i="36"/>
  <c r="Q160" i="44"/>
  <c r="J161" i="44"/>
  <c r="E431" i="44"/>
  <c r="E431" i="36"/>
  <c r="D431" i="44" l="1"/>
  <c r="F431" i="44"/>
  <c r="G431" i="44" s="1"/>
  <c r="F431" i="36"/>
  <c r="G431" i="36" s="1"/>
  <c r="D431" i="36"/>
  <c r="Q165" i="36"/>
  <c r="J166" i="36"/>
  <c r="K161" i="44"/>
  <c r="E432" i="44"/>
  <c r="E432" i="36"/>
  <c r="D432" i="44" l="1"/>
  <c r="F432" i="44"/>
  <c r="G432" i="44" s="1"/>
  <c r="F432" i="36"/>
  <c r="G432" i="36" s="1"/>
  <c r="D432" i="36"/>
  <c r="K166" i="36"/>
  <c r="L166" i="36" s="1"/>
  <c r="M166" i="36" s="1"/>
  <c r="N166" i="36" s="1"/>
  <c r="L161" i="44"/>
  <c r="M161" i="44" s="1"/>
  <c r="E433" i="36"/>
  <c r="E433" i="44"/>
  <c r="F433" i="44" l="1"/>
  <c r="G433" i="44" s="1"/>
  <c r="D433" i="44"/>
  <c r="D433" i="36"/>
  <c r="F433" i="36"/>
  <c r="G433" i="36" s="1"/>
  <c r="Q166" i="36"/>
  <c r="J167" i="36"/>
  <c r="N161" i="44"/>
  <c r="E434" i="44"/>
  <c r="E434" i="36"/>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44"/>
  <c r="E437" i="36"/>
  <c r="D437" i="44" l="1"/>
  <c r="F437" i="44"/>
  <c r="G437" i="44" s="1"/>
  <c r="D437" i="36"/>
  <c r="F437" i="36"/>
  <c r="G437" i="36" s="1"/>
  <c r="M168" i="36"/>
  <c r="N168" i="36" s="1"/>
  <c r="Q162" i="44"/>
  <c r="J163" i="44"/>
  <c r="E438" i="36"/>
  <c r="E438" i="44"/>
  <c r="F438" i="44" l="1"/>
  <c r="G438" i="44" s="1"/>
  <c r="D438" i="44"/>
  <c r="F438" i="36"/>
  <c r="G438" i="36" s="1"/>
  <c r="D438" i="36"/>
  <c r="J169" i="36"/>
  <c r="K169" i="36" s="1"/>
  <c r="L169" i="36" s="1"/>
  <c r="Q168" i="36"/>
  <c r="K163" i="44"/>
  <c r="L163" i="44" s="1"/>
  <c r="E439" i="36"/>
  <c r="E439" i="44"/>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36"/>
  <c r="E441" i="44"/>
  <c r="F441" i="44" l="1"/>
  <c r="G441" i="44" s="1"/>
  <c r="D441" i="44"/>
  <c r="F441" i="36"/>
  <c r="G441" i="36" s="1"/>
  <c r="D441" i="36"/>
  <c r="K170" i="36"/>
  <c r="L170" i="36" s="1"/>
  <c r="M170" i="36" s="1"/>
  <c r="L164" i="44"/>
  <c r="M164" i="44" s="1"/>
  <c r="N164" i="44" s="1"/>
  <c r="E442" i="44"/>
  <c r="E442" i="36"/>
  <c r="F442" i="44" l="1"/>
  <c r="G442" i="44" s="1"/>
  <c r="D442" i="44"/>
  <c r="F442" i="36"/>
  <c r="G442" i="36" s="1"/>
  <c r="D442" i="36"/>
  <c r="Q164" i="44"/>
  <c r="J165" i="44"/>
  <c r="N170" i="36"/>
  <c r="E443" i="44"/>
  <c r="E443" i="36"/>
  <c r="D443" i="44" l="1"/>
  <c r="F443" i="44"/>
  <c r="G443" i="44" s="1"/>
  <c r="D443" i="36"/>
  <c r="F443" i="36"/>
  <c r="G443" i="36" s="1"/>
  <c r="K165" i="44"/>
  <c r="L165" i="44" s="1"/>
  <c r="M165" i="44" s="1"/>
  <c r="Q170" i="36"/>
  <c r="J171" i="36"/>
  <c r="E444" i="44"/>
  <c r="E444" i="36"/>
  <c r="D444" i="44" l="1"/>
  <c r="F444" i="44"/>
  <c r="G444" i="44" s="1"/>
  <c r="D444" i="36"/>
  <c r="F444" i="36"/>
  <c r="G444" i="36" s="1"/>
  <c r="N165" i="44"/>
  <c r="K171" i="36"/>
  <c r="L171" i="36" s="1"/>
  <c r="M171" i="36" s="1"/>
  <c r="E445" i="36"/>
  <c r="E445" i="44"/>
  <c r="F445" i="44" l="1"/>
  <c r="G445" i="44" s="1"/>
  <c r="D445" i="44"/>
  <c r="D445" i="36"/>
  <c r="F445" i="36"/>
  <c r="G445" i="36" s="1"/>
  <c r="Q165" i="44"/>
  <c r="J166" i="44"/>
  <c r="N171" i="36"/>
  <c r="E446" i="44"/>
  <c r="E446" i="36"/>
  <c r="D446" i="44" l="1"/>
  <c r="F446" i="44"/>
  <c r="G446" i="44" s="1"/>
  <c r="F446" i="36"/>
  <c r="G446" i="36" s="1"/>
  <c r="D446" i="36"/>
  <c r="K166" i="44"/>
  <c r="L166" i="44" s="1"/>
  <c r="Q171" i="36"/>
  <c r="J172" i="36"/>
  <c r="E447" i="36"/>
  <c r="E447" i="44"/>
  <c r="D447" i="44" l="1"/>
  <c r="F447" i="44"/>
  <c r="G447" i="44" s="1"/>
  <c r="D447" i="36"/>
  <c r="F447" i="36"/>
  <c r="G447" i="36" s="1"/>
  <c r="M166" i="44"/>
  <c r="N166" i="44" s="1"/>
  <c r="K172" i="36"/>
  <c r="L172" i="36" s="1"/>
  <c r="M172" i="36" s="1"/>
  <c r="N172" i="36" s="1"/>
  <c r="E448" i="36"/>
  <c r="E448" i="44"/>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36"/>
  <c r="E450" i="44"/>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44"/>
  <c r="E453" i="36"/>
  <c r="F453" i="44" l="1"/>
  <c r="G453" i="44" s="1"/>
  <c r="D453" i="44"/>
  <c r="D453" i="36"/>
  <c r="F453" i="36"/>
  <c r="G453" i="36" s="1"/>
  <c r="Q168" i="44"/>
  <c r="J169" i="44"/>
  <c r="K169" i="44" s="1"/>
  <c r="Q174" i="36"/>
  <c r="J175" i="36"/>
  <c r="E454" i="36"/>
  <c r="E454" i="44"/>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44"/>
  <c r="E456" i="36"/>
  <c r="D456" i="44" l="1"/>
  <c r="F456" i="44"/>
  <c r="G456" i="44" s="1"/>
  <c r="D456" i="36"/>
  <c r="F456" i="36"/>
  <c r="G456" i="36" s="1"/>
  <c r="J170" i="44"/>
  <c r="K170" i="44" s="1"/>
  <c r="L170" i="44" s="1"/>
  <c r="Q175" i="36"/>
  <c r="J176" i="36"/>
  <c r="E457" i="36"/>
  <c r="E457" i="44"/>
  <c r="D457" i="44" l="1"/>
  <c r="F457" i="44"/>
  <c r="G457" i="44" s="1"/>
  <c r="F457" i="36"/>
  <c r="G457" i="36" s="1"/>
  <c r="D457" i="36"/>
  <c r="M170" i="44"/>
  <c r="N170" i="44" s="1"/>
  <c r="Q170" i="44" s="1"/>
  <c r="K176" i="36"/>
  <c r="L176" i="36" s="1"/>
  <c r="M176" i="36" s="1"/>
  <c r="E458" i="36"/>
  <c r="E458" i="44"/>
  <c r="D458" i="44" l="1"/>
  <c r="F458" i="44"/>
  <c r="G458" i="44" s="1"/>
  <c r="F458" i="36"/>
  <c r="G458" i="36" s="1"/>
  <c r="D458" i="36"/>
  <c r="J171" i="44"/>
  <c r="K171" i="44"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36"/>
  <c r="E461" i="44"/>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36"/>
  <c r="E463" i="44"/>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Q450" i="36" l="1"/>
  <c r="J451" i="36"/>
  <c r="K443" i="44"/>
  <c r="L443" i="44" s="1"/>
  <c r="M443" i="44" s="1"/>
  <c r="N443" i="44" s="1"/>
  <c r="K451" i="36" l="1"/>
  <c r="L451" i="36" s="1"/>
  <c r="Q443" i="44"/>
  <c r="J444" i="44"/>
  <c r="M451" i="36" l="1"/>
  <c r="N451" i="36" s="1"/>
  <c r="K444" i="44"/>
  <c r="L444" i="44" s="1"/>
  <c r="Q451" i="36" l="1"/>
  <c r="J452" i="36"/>
  <c r="M444" i="44"/>
  <c r="N444" i="44" s="1"/>
  <c r="K452" i="36" l="1"/>
  <c r="L452" i="36" s="1"/>
  <c r="M452" i="36" s="1"/>
  <c r="N452" i="36" s="1"/>
  <c r="Q444" i="44"/>
  <c r="J445" i="44"/>
  <c r="Q452" i="36" l="1"/>
  <c r="J453" i="36"/>
  <c r="K453" i="36" s="1"/>
  <c r="K445" i="44"/>
  <c r="L445" i="44" s="1"/>
  <c r="L453" i="36" l="1"/>
  <c r="M453" i="36" s="1"/>
  <c r="N453" i="36" s="1"/>
  <c r="M445" i="44"/>
  <c r="N445" i="44" s="1"/>
  <c r="Q445" i="44" l="1"/>
  <c r="J446" i="44"/>
  <c r="K446" i="44" s="1"/>
  <c r="L446" i="44" s="1"/>
  <c r="Q453" i="36"/>
  <c r="J454" i="36"/>
  <c r="M446" i="44" l="1"/>
  <c r="N446" i="44" s="1"/>
  <c r="K454" i="36"/>
  <c r="L454" i="36" s="1"/>
  <c r="J447" i="44" l="1"/>
  <c r="K447" i="44" s="1"/>
  <c r="Q446" i="44"/>
  <c r="M454" i="36"/>
  <c r="N454" i="36" s="1"/>
  <c r="Q454" i="36" s="1"/>
  <c r="J455" i="36" l="1"/>
  <c r="K455" i="36" s="1"/>
  <c r="L447" i="44"/>
  <c r="M447" i="44" s="1"/>
  <c r="L455" i="36" l="1"/>
  <c r="M455" i="36" s="1"/>
  <c r="N455" i="36" s="1"/>
  <c r="N447" i="44"/>
  <c r="Q455" i="36" l="1"/>
  <c r="J456" i="36"/>
  <c r="K456" i="36" s="1"/>
  <c r="L456" i="36" s="1"/>
  <c r="Q447" i="44"/>
  <c r="J448" i="44"/>
  <c r="M456" i="36" l="1"/>
  <c r="N456" i="36" s="1"/>
  <c r="K448" i="44"/>
  <c r="Q456" i="36" l="1"/>
  <c r="J457" i="36"/>
  <c r="K457" i="36" s="1"/>
  <c r="L457" i="36" s="1"/>
  <c r="L448" i="44"/>
  <c r="M457" i="36" l="1"/>
  <c r="N457" i="36" s="1"/>
  <c r="M448" i="44"/>
  <c r="N448" i="44" s="1"/>
  <c r="Q457" i="36" l="1"/>
  <c r="J458" i="36"/>
  <c r="K458" i="36" s="1"/>
  <c r="Q448" i="44"/>
  <c r="J449" i="44"/>
  <c r="L458" i="36" l="1"/>
  <c r="M458" i="36" s="1"/>
  <c r="K449" i="44"/>
  <c r="L449" i="44" s="1"/>
  <c r="N458" i="36" l="1"/>
  <c r="M449" i="44"/>
  <c r="N449" i="44" s="1"/>
  <c r="R458" i="36" l="1"/>
  <c r="Q458" i="36"/>
  <c r="J459" i="36"/>
  <c r="K459" i="36" s="1"/>
  <c r="M459" i="36" s="1"/>
  <c r="Q449" i="44"/>
  <c r="J450" i="44"/>
  <c r="K450" i="44" l="1"/>
  <c r="L450" i="44" s="1"/>
  <c r="U458" i="36"/>
  <c r="P458" i="36"/>
  <c r="AA458" i="36"/>
  <c r="M450" i="44" l="1"/>
  <c r="N450" i="44" s="1"/>
  <c r="S458" i="36"/>
  <c r="T458" i="36" s="1"/>
  <c r="V458" i="36" s="1"/>
  <c r="J451" i="44" l="1"/>
  <c r="K451" i="44" s="1"/>
  <c r="L451" i="44" s="1"/>
  <c r="M451" i="44" s="1"/>
  <c r="Q450" i="44"/>
  <c r="Y458" i="36"/>
  <c r="Z458" i="36" s="1"/>
  <c r="N451" i="44" l="1"/>
  <c r="Q451" i="44" l="1"/>
  <c r="J452" i="44"/>
  <c r="K452" i="44" l="1"/>
  <c r="L452" i="44" s="1"/>
  <c r="M452" i="44" l="1"/>
  <c r="N452" i="44" s="1"/>
  <c r="Q452" i="44" l="1"/>
  <c r="J453" i="44"/>
  <c r="K453" i="44" s="1"/>
  <c r="L453" i="44" s="1"/>
  <c r="M453" i="44" l="1"/>
  <c r="N453" i="44" s="1"/>
  <c r="Q453" i="44" l="1"/>
  <c r="J454" i="44"/>
  <c r="K454" i="44" l="1"/>
  <c r="L454" i="44" s="1"/>
  <c r="M454" i="44" l="1"/>
  <c r="N454" i="44" s="1"/>
  <c r="J455" i="44" l="1"/>
  <c r="K455" i="44" s="1"/>
  <c r="L455" i="44" s="1"/>
  <c r="M455" i="44" s="1"/>
  <c r="Q454" i="44"/>
  <c r="N455" i="44" l="1"/>
  <c r="Q455" i="44" l="1"/>
  <c r="J456" i="44"/>
  <c r="K456" i="44" l="1"/>
  <c r="L456" i="44" s="1"/>
  <c r="M456" i="44" l="1"/>
  <c r="N456" i="44" s="1"/>
  <c r="Q456" i="44" l="1"/>
  <c r="J457" i="44"/>
  <c r="K457" i="44" s="1"/>
  <c r="L457" i="44" s="1"/>
  <c r="M457" i="44" l="1"/>
  <c r="N457" i="44" s="1"/>
  <c r="Q457" i="44" l="1"/>
  <c r="J458" i="44"/>
  <c r="K458" i="44" l="1"/>
  <c r="L458" i="44" s="1"/>
  <c r="M458" i="44" l="1"/>
  <c r="N458" i="44" s="1"/>
  <c r="Q458" i="44" l="1"/>
  <c r="J459" i="44"/>
  <c r="K459" i="44" s="1"/>
  <c r="M459" i="44" s="1"/>
  <c r="R458" i="44" l="1"/>
  <c r="AA458" i="44" l="1"/>
  <c r="U458" i="44"/>
  <c r="P458" i="44"/>
  <c r="S458" i="44" s="1"/>
  <c r="T458" i="44" s="1"/>
  <c r="V458" i="44" s="1"/>
  <c r="Y458" i="44" l="1"/>
  <c r="Z458" i="44" s="1"/>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BV3" i="50" s="1"/>
  <c r="I4" i="60"/>
  <c r="J43" i="53"/>
  <c r="F14" i="19"/>
  <c r="H12" i="49"/>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l="1"/>
  <c r="K18" i="29" s="1"/>
  <c r="E19" i="23"/>
  <c r="E22" i="23" s="1"/>
  <c r="F19" i="23"/>
  <c r="F39" i="23" s="1"/>
  <c r="Y11" i="24" s="1"/>
  <c r="I18" i="29"/>
  <c r="L30" i="15"/>
  <c r="J31" i="15" s="1"/>
  <c r="L31" i="15" s="1"/>
  <c r="R13" i="36"/>
  <c r="V12" i="36"/>
  <c r="Y12" i="36"/>
  <c r="Z12" i="36" s="1"/>
  <c r="X13" i="36" s="1"/>
  <c r="S12" i="44"/>
  <c r="T12" i="44" s="1"/>
  <c r="F22" i="23" l="1"/>
  <c r="F23" i="23"/>
  <c r="E23" i="23"/>
  <c r="E24" i="23" s="1"/>
  <c r="E39" i="23"/>
  <c r="J19" i="29"/>
  <c r="J32" i="15"/>
  <c r="J20" i="29"/>
  <c r="R13" i="44"/>
  <c r="V12" i="44"/>
  <c r="I20" i="29"/>
  <c r="K31" i="15"/>
  <c r="K20" i="29" s="1"/>
  <c r="AA13" i="36"/>
  <c r="Y12" i="44"/>
  <c r="Z12" i="44" s="1"/>
  <c r="X13" i="44" s="1"/>
  <c r="U13" i="36"/>
  <c r="P13" i="36"/>
  <c r="S13" i="36" s="1"/>
  <c r="T13" i="36" s="1"/>
  <c r="F24" i="23" l="1"/>
  <c r="V13" i="36"/>
  <c r="R14" i="36"/>
  <c r="P13" i="44"/>
  <c r="S13" i="44" s="1"/>
  <c r="T13" i="44" s="1"/>
  <c r="U13" i="44"/>
  <c r="K32" i="15"/>
  <c r="K21" i="29" s="1"/>
  <c r="G19" i="23"/>
  <c r="I21" i="29"/>
  <c r="F12" i="10"/>
  <c r="Y13" i="36"/>
  <c r="Z13" i="36" s="1"/>
  <c r="X14" i="36" s="1"/>
  <c r="AA13" i="44"/>
  <c r="L32" i="15"/>
  <c r="R14" i="44" l="1"/>
  <c r="V13" i="44"/>
  <c r="E22" i="20"/>
  <c r="M3" i="64"/>
  <c r="G3" i="50"/>
  <c r="D12" i="10"/>
  <c r="G12" i="10" s="1"/>
  <c r="G22" i="23"/>
  <c r="G23" i="23"/>
  <c r="Y13" i="44"/>
  <c r="Z13" i="44" s="1"/>
  <c r="X14" i="44" s="1"/>
  <c r="AA14" i="36"/>
  <c r="J21" i="29"/>
  <c r="J33" i="15"/>
  <c r="U14" i="36"/>
  <c r="P14" i="36"/>
  <c r="S14" i="36" s="1"/>
  <c r="T14" i="36" s="1"/>
  <c r="V14" i="36" l="1"/>
  <c r="R15" i="36"/>
  <c r="AA14" i="44"/>
  <c r="Y14" i="36"/>
  <c r="Z14" i="36" s="1"/>
  <c r="X15" i="36" s="1"/>
  <c r="G24" i="23"/>
  <c r="E3" i="5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3" i="36"/>
  <c r="R444" i="36"/>
  <c r="Y443" i="36"/>
  <c r="Z443" i="36" s="1"/>
  <c r="X444" i="36" s="1"/>
  <c r="V448" i="44" l="1"/>
  <c r="R449" i="44"/>
  <c r="AA444" i="36"/>
  <c r="P444" i="36"/>
  <c r="S444" i="36" s="1"/>
  <c r="T444" i="36" s="1"/>
  <c r="U444" i="36"/>
  <c r="Y448" i="44"/>
  <c r="Z448" i="44" s="1"/>
  <c r="X449" i="44" s="1"/>
  <c r="AA449" i="44" s="1"/>
  <c r="P449" i="44" l="1"/>
  <c r="U449" i="44"/>
  <c r="S449" i="44"/>
  <c r="T449" i="44" s="1"/>
  <c r="V444" i="36"/>
  <c r="R445" i="36"/>
  <c r="Y444" i="36"/>
  <c r="Z444" i="36" s="1"/>
  <c r="X445" i="36" s="1"/>
  <c r="V449" i="44" l="1"/>
  <c r="R450" i="44"/>
  <c r="Y449" i="44"/>
  <c r="Z449" i="44" s="1"/>
  <c r="X450" i="44" s="1"/>
  <c r="AA450" i="44" s="1"/>
  <c r="P445" i="36"/>
  <c r="S445" i="36" s="1"/>
  <c r="T445" i="36" s="1"/>
  <c r="U445" i="36"/>
  <c r="AA445" i="36"/>
  <c r="U450" i="44" l="1"/>
  <c r="P450" i="44"/>
  <c r="S450" i="44"/>
  <c r="T450" i="44" s="1"/>
  <c r="V445" i="36"/>
  <c r="R446" i="36"/>
  <c r="Y445" i="36"/>
  <c r="Z445" i="36" s="1"/>
  <c r="X446" i="36" s="1"/>
  <c r="V450" i="44" l="1"/>
  <c r="R451" i="44"/>
  <c r="Y450" i="44"/>
  <c r="Z450" i="44" s="1"/>
  <c r="X451" i="44" s="1"/>
  <c r="AA451" i="44" s="1"/>
  <c r="AA446" i="36"/>
  <c r="P446" i="36"/>
  <c r="S446" i="36" s="1"/>
  <c r="T446" i="36" s="1"/>
  <c r="U446" i="36"/>
  <c r="P451" i="44" l="1"/>
  <c r="U451" i="44"/>
  <c r="S451" i="44"/>
  <c r="T451" i="44" s="1"/>
  <c r="V446" i="36"/>
  <c r="R447" i="36"/>
  <c r="Y446" i="36"/>
  <c r="Z446" i="36" s="1"/>
  <c r="X447" i="36" s="1"/>
  <c r="V451" i="44" l="1"/>
  <c r="R452" i="44"/>
  <c r="Y451" i="44"/>
  <c r="Z451" i="44" s="1"/>
  <c r="X452" i="44" s="1"/>
  <c r="AA452" i="44" s="1"/>
  <c r="AA447" i="36"/>
  <c r="P447" i="36"/>
  <c r="S447" i="36" s="1"/>
  <c r="T447" i="36" s="1"/>
  <c r="U447" i="36"/>
  <c r="U452" i="44" l="1"/>
  <c r="P452" i="44"/>
  <c r="S452" i="44"/>
  <c r="T452" i="44" s="1"/>
  <c r="R448" i="36"/>
  <c r="V447" i="36"/>
  <c r="Y447" i="36"/>
  <c r="Z447" i="36" s="1"/>
  <c r="X448" i="36" s="1"/>
  <c r="V452" i="44" l="1"/>
  <c r="R453" i="44"/>
  <c r="Y452" i="44"/>
  <c r="Z452" i="44" s="1"/>
  <c r="X453" i="44" s="1"/>
  <c r="AA453" i="44" s="1"/>
  <c r="AA448" i="36"/>
  <c r="U448" i="36"/>
  <c r="P448" i="36"/>
  <c r="S448" i="36" s="1"/>
  <c r="T448" i="36" s="1"/>
  <c r="V448" i="36" l="1"/>
  <c r="R449" i="36"/>
  <c r="U453" i="44"/>
  <c r="P453" i="44"/>
  <c r="Y448" i="36"/>
  <c r="Z448" i="36" s="1"/>
  <c r="X449" i="36" s="1"/>
  <c r="AA449" i="36" s="1"/>
  <c r="S453" i="44" l="1"/>
  <c r="T453" i="44" s="1"/>
  <c r="U449" i="36"/>
  <c r="P449" i="36"/>
  <c r="S449" i="36" s="1"/>
  <c r="T449" i="36" s="1"/>
  <c r="V449" i="36" l="1"/>
  <c r="R450" i="36"/>
  <c r="Y449" i="36"/>
  <c r="Z449" i="36" s="1"/>
  <c r="X450" i="36" s="1"/>
  <c r="AA450" i="36" s="1"/>
  <c r="V453" i="44"/>
  <c r="R454" i="44"/>
  <c r="Y453" i="44"/>
  <c r="Z453" i="44" s="1"/>
  <c r="X454" i="44" s="1"/>
  <c r="AA454" i="44" s="1"/>
  <c r="U454" i="44" l="1"/>
  <c r="P454" i="44"/>
  <c r="P450" i="36"/>
  <c r="U450" i="36"/>
  <c r="S454" i="44" l="1"/>
  <c r="T454" i="44" s="1"/>
  <c r="Y454" i="44"/>
  <c r="Z454" i="44" s="1"/>
  <c r="X455" i="44" s="1"/>
  <c r="AA455" i="44" s="1"/>
  <c r="S450" i="36"/>
  <c r="T450" i="36" s="1"/>
  <c r="Y450" i="36"/>
  <c r="Z450" i="36" s="1"/>
  <c r="X451" i="36" s="1"/>
  <c r="AA451" i="36" s="1"/>
  <c r="V450" i="36" l="1"/>
  <c r="R451" i="36"/>
  <c r="V454" i="44"/>
  <c r="R455" i="44"/>
  <c r="P455" i="44" l="1"/>
  <c r="U455" i="44"/>
  <c r="S455" i="44"/>
  <c r="T455" i="44" s="1"/>
  <c r="P451" i="36"/>
  <c r="U451" i="36"/>
  <c r="S451" i="36"/>
  <c r="T451" i="36" s="1"/>
  <c r="Y451" i="36" l="1"/>
  <c r="Z451" i="36" s="1"/>
  <c r="X452" i="36" s="1"/>
  <c r="AA452" i="36" s="1"/>
  <c r="V451" i="36"/>
  <c r="R452" i="36"/>
  <c r="R456" i="44"/>
  <c r="V455" i="44"/>
  <c r="Y455" i="44"/>
  <c r="Z455" i="44" s="1"/>
  <c r="X456" i="44" s="1"/>
  <c r="AA456" i="44" s="1"/>
  <c r="U456" i="44" l="1"/>
  <c r="P456" i="44"/>
  <c r="S456" i="44"/>
  <c r="T456" i="44" s="1"/>
  <c r="P452" i="36"/>
  <c r="U452" i="36"/>
  <c r="S452" i="36" l="1"/>
  <c r="T452" i="36" s="1"/>
  <c r="Y452" i="36"/>
  <c r="Z452" i="36" s="1"/>
  <c r="X453" i="36" s="1"/>
  <c r="AA453" i="36" s="1"/>
  <c r="V456" i="44"/>
  <c r="R457" i="44"/>
  <c r="Y456" i="44"/>
  <c r="Z456" i="44" s="1"/>
  <c r="X457" i="44" s="1"/>
  <c r="AA457" i="44" s="1"/>
  <c r="U457" i="44" l="1"/>
  <c r="P457" i="44"/>
  <c r="S457" i="44"/>
  <c r="T457" i="44" s="1"/>
  <c r="V457" i="44" s="1"/>
  <c r="R453" i="36"/>
  <c r="V452" i="36"/>
  <c r="U453" i="36" l="1"/>
  <c r="P453" i="36"/>
  <c r="Y457" i="44"/>
  <c r="Z457" i="44" s="1"/>
  <c r="X458" i="44" s="1"/>
  <c r="S453" i="36" l="1"/>
  <c r="T453" i="36" s="1"/>
  <c r="Y453" i="36"/>
  <c r="Z453" i="36" s="1"/>
  <c r="X454" i="36" s="1"/>
  <c r="AA454" i="36" s="1"/>
  <c r="V453" i="36" l="1"/>
  <c r="R454" i="36"/>
  <c r="U454" i="36" l="1"/>
  <c r="P454" i="36"/>
  <c r="S454" i="36"/>
  <c r="T454" i="36" s="1"/>
  <c r="R455" i="36" l="1"/>
  <c r="V454" i="36"/>
  <c r="Y454" i="36"/>
  <c r="Z454" i="36" s="1"/>
  <c r="X455" i="36" s="1"/>
  <c r="AA455" i="36" s="1"/>
  <c r="U455" i="36" l="1"/>
  <c r="P455" i="36"/>
  <c r="S455" i="36" l="1"/>
  <c r="T455" i="36" s="1"/>
  <c r="Y455" i="36" l="1"/>
  <c r="Z455" i="36" s="1"/>
  <c r="X456" i="36" s="1"/>
  <c r="AA456" i="36" s="1"/>
  <c r="R456" i="36"/>
  <c r="V455" i="36"/>
  <c r="P456" i="36" l="1"/>
  <c r="U456" i="36"/>
  <c r="S456" i="36" l="1"/>
  <c r="T456" i="36" s="1"/>
  <c r="Y456" i="36"/>
  <c r="Z456" i="36" s="1"/>
  <c r="X457" i="36" s="1"/>
  <c r="AA457" i="36" s="1"/>
  <c r="V456" i="36" l="1"/>
  <c r="R457" i="36"/>
  <c r="P457" i="36" l="1"/>
  <c r="U457" i="36"/>
  <c r="S457" i="36"/>
  <c r="T457" i="36" s="1"/>
  <c r="V457" i="36" s="1"/>
  <c r="Y457" i="36" l="1"/>
  <c r="Z457" i="36" s="1"/>
  <c r="X45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<sst xmlns="http://schemas.openxmlformats.org/spreadsheetml/2006/main" count="24816" uniqueCount="2113">
  <si>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</si>
  <si>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</si>
  <si>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</si>
  <si>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</si>
  <si>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</si>
  <si>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</si>
  <si>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</si>
  <si>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</si>
  <si>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</si>
  <si>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</si>
  <si>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</si>
  <si>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</si>
  <si>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</si>
  <si>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</si>
  <si>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</si>
  <si>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</si>
  <si>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</si>
  <si>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</si>
  <si>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</si>
  <si>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</si>
  <si>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</si>
  <si>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</si>
  <si>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</si>
  <si>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</si>
  <si>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</si>
  <si>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</si>
  <si>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</si>
  <si>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</si>
  <si>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</si>
  <si>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</si>
  <si>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</si>
  <si>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</si>
  <si>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</si>
  <si>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</si>
  <si>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</si>
  <si>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</si>
  <si>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</si>
  <si>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</si>
  <si>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</si>
  <si>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</si>
  <si>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</si>
  <si>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</si>
  <si>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</si>
  <si>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</si>
  <si>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</si>
  <si>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</si>
  <si>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</si>
  <si>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</si>
  <si>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</si>
  <si>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</si>
  <si>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</si>
  <si>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</si>
  <si>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</si>
  <si>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</si>
  <si>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</si>
  <si>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</si>
  <si>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</si>
  <si>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</si>
  <si>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</si>
  <si>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</si>
  <si>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</si>
  <si>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</si>
  <si>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</si>
  <si>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</si>
  <si>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</si>
  <si>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</si>
  <si>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</si>
  <si>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</si>
  <si>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</si>
  <si>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</si>
  <si>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</si>
  <si>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</si>
  <si>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</si>
  <si>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</si>
  <si>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</si>
  <si>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</si>
  <si>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</si>
  <si>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</si>
  <si>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</si>
  <si>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</si>
  <si>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</si>
  <si>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</si>
  <si>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</si>
  <si>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</si>
  <si>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</si>
  <si>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</si>
  <si>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</si>
  <si>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</si>
  <si>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</si>
  <si>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</si>
  <si>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</si>
  <si>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</si>
  <si>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</si>
  <si>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</si>
  <si>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</si>
  <si>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</si>
  <si>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</si>
  <si>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</si>
  <si>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</si>
  <si>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</si>
  <si>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</si>
  <si>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</si>
  <si>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</si>
  <si>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</si>
  <si>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</si>
  <si>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</si>
  <si>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</si>
  <si>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</si>
  <si>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</si>
  <si>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</si>
  <si>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</si>
  <si>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</si>
  <si>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</si>
  <si>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</si>
  <si>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</si>
  <si>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</si>
  <si>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</si>
  <si>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</si>
  <si>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</si>
  <si>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</si>
  <si>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</si>
  <si>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</si>
  <si>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</si>
  <si>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</si>
  <si>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</si>
  <si>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</si>
  <si>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</si>
  <si>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</si>
  <si>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</si>
  <si>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</si>
  <si>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</si>
  <si>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</si>
  <si>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</si>
  <si>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</si>
  <si>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</si>
  <si>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</si>
  <si>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</si>
  <si>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</si>
  <si>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</si>
  <si>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</si>
  <si>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</si>
  <si>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</si>
  <si>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</si>
  <si>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</si>
  <si>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</si>
  <si>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</si>
  <si>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</si>
  <si>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</si>
  <si>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</si>
  <si>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</si>
  <si>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</si>
  <si>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</si>
  <si>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</si>
  <si>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</si>
  <si>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</si>
  <si>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</si>
  <si>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</si>
  <si>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</si>
  <si>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</si>
  <si>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</si>
  <si>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</si>
  <si>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</si>
  <si>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</si>
  <si>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</si>
  <si>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</si>
  <si>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</si>
  <si>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</si>
  <si>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</si>
  <si>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</si>
  <si>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</si>
  <si>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</si>
  <si>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</si>
  <si>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</si>
  <si>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</si>
  <si>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</si>
  <si>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</si>
  <si>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</si>
  <si>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</si>
  <si>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</si>
  <si>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</si>
  <si>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</si>
  <si>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</si>
  <si>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</si>
  <si>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</si>
  <si>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</si>
  <si>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</si>
  <si>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</si>
  <si>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</si>
  <si>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</si>
  <si>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</si>
  <si>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</si>
  <si>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</si>
  <si>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</si>
  <si>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</si>
  <si>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</si>
  <si>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</si>
  <si>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</si>
  <si>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</si>
  <si>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</si>
  <si>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</si>
  <si>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</si>
  <si>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</si>
  <si>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</si>
  <si>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</si>
  <si>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</si>
  <si>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</si>
  <si>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</si>
  <si>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</si>
  <si>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</si>
  <si>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</si>
  <si>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</si>
  <si>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</si>
  <si>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</si>
  <si>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</si>
  <si>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</si>
  <si>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</si>
  <si>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</si>
  <si>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</si>
  <si>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</si>
  <si>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</si>
  <si>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</si>
  <si>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</si>
  <si>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</si>
  <si>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</si>
  <si>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</si>
  <si>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</si>
  <si>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</si>
  <si>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</si>
  <si>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</si>
  <si>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</si>
  <si>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</si>
  <si>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</si>
  <si>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</si>
  <si>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</si>
  <si>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</si>
  <si>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</si>
  <si>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</si>
  <si>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</si>
  <si>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</si>
  <si>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</si>
  <si>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</si>
  <si>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</si>
  <si>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</si>
  <si>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</si>
  <si>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</si>
  <si>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</si>
  <si>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</si>
  <si>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</si>
  <si>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</si>
  <si>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</si>
  <si>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</si>
  <si>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</si>
  <si>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</si>
  <si>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</si>
  <si>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</si>
  <si>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</si>
  <si>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</si>
  <si>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</si>
  <si>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</si>
  <si>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</si>
  <si>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</si>
  <si>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</si>
  <si>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</si>
  <si>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</si>
  <si>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</si>
  <si>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</si>
  <si>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</si>
  <si>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</si>
  <si>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</si>
  <si>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</si>
  <si>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</si>
  <si>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</si>
  <si>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</si>
  <si>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</si>
  <si>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</si>
  <si>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</si>
  <si>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</si>
  <si>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</si>
  <si>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</si>
  <si>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</si>
  <si>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</si>
  <si>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</si>
  <si>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</si>
  <si>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</si>
  <si>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</si>
  <si>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</si>
  <si>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</si>
  <si>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</si>
  <si>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</si>
  <si>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</si>
  <si>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</si>
  <si>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</si>
  <si>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</si>
  <si>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</si>
  <si>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</si>
  <si>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</si>
  <si>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</si>
  <si>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</si>
  <si>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</si>
  <si>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</si>
  <si>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</si>
  <si>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</si>
  <si>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</si>
  <si>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</si>
  <si>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</si>
  <si>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</si>
  <si>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</si>
  <si>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</si>
  <si>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</si>
  <si>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</si>
  <si>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</si>
  <si>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</si>
  <si>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</si>
  <si>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</si>
  <si>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</si>
  <si>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</si>
  <si>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</si>
  <si>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</si>
  <si>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</si>
  <si>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</si>
  <si>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</si>
  <si>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</si>
  <si>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</si>
  <si>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</si>
  <si>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</si>
  <si>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</si>
  <si>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</si>
  <si>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</si>
  <si>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</si>
  <si>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</si>
  <si>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</si>
  <si>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</si>
  <si>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</si>
  <si>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</si>
  <si>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</si>
  <si>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</si>
  <si>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</si>
  <si>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</si>
  <si>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</si>
  <si>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</si>
  <si>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</si>
  <si>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</si>
  <si>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</si>
  <si>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</si>
  <si>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</si>
  <si>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</si>
  <si>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</si>
  <si>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</si>
  <si>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</si>
  <si>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</si>
  <si>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</si>
  <si>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</si>
  <si>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</si>
  <si>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</si>
  <si>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</si>
  <si>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</si>
  <si>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</si>
  <si>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</si>
  <si>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</si>
  <si>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</si>
  <si>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</si>
  <si>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</si>
  <si>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</si>
  <si>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</si>
  <si>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</si>
  <si>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</si>
  <si>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</si>
  <si>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</si>
  <si>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</si>
  <si>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</si>
  <si>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</si>
  <si>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</si>
  <si>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</si>
  <si>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</si>
  <si>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</si>
  <si>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</si>
  <si>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</si>
  <si>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</si>
  <si>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</si>
  <si>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</si>
  <si>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</si>
  <si>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</si>
  <si>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</si>
  <si>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</si>
  <si>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</si>
  <si>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</si>
  <si>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</si>
  <si>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</si>
  <si>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</si>
  <si>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</si>
  <si>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</si>
  <si>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</si>
  <si>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</si>
  <si>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</si>
  <si>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</si>
  <si>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</si>
  <si>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</si>
  <si>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</si>
  <si>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</si>
  <si>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</si>
  <si>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</si>
  <si>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</si>
  <si>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</si>
  <si>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</si>
  <si>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</si>
  <si>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</si>
  <si>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</si>
  <si>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</si>
  <si>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</si>
  <si>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</si>
  <si>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</si>
  <si>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</si>
  <si>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</si>
  <si>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</si>
  <si>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</si>
  <si>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</si>
  <si>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</si>
  <si>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</si>
  <si>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</si>
  <si>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</si>
  <si>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</si>
  <si>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</si>
  <si>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</si>
  <si>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</si>
  <si>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</si>
  <si>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</si>
  <si>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</si>
  <si>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</si>
  <si>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</si>
  <si>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</si>
  <si>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</si>
  <si>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</si>
  <si>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</si>
  <si>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</si>
  <si>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</si>
  <si>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</si>
  <si>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</si>
  <si>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</si>
  <si>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</si>
  <si>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</si>
  <si>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</si>
  <si>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</si>
  <si>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</si>
  <si>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</si>
  <si>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</si>
  <si>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</si>
  <si>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</si>
  <si>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</si>
  <si>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</si>
  <si>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</si>
  <si>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</si>
  <si>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</si>
  <si>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</si>
  <si>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</si>
  <si>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</si>
  <si>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</si>
  <si>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</si>
  <si>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</si>
  <si>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</si>
  <si>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</si>
  <si>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</si>
  <si>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</si>
  <si>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</si>
  <si>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</si>
  <si>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</si>
  <si>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</si>
  <si>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</si>
  <si>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</si>
  <si>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</si>
  <si>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</si>
  <si>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</si>
  <si>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</si>
  <si>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</si>
  <si>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</si>
  <si>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</si>
  <si>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</si>
  <si>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</si>
  <si>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</si>
  <si>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</si>
  <si>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</si>
  <si>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</si>
  <si>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</si>
  <si>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</si>
  <si>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</si>
  <si>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</si>
  <si>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</si>
  <si>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</si>
  <si>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</si>
  <si>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</si>
  <si>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</si>
  <si>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</si>
  <si>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</si>
  <si>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</si>
  <si>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</si>
  <si>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</si>
  <si>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</si>
  <si>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</si>
  <si>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</si>
  <si>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</si>
  <si>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</si>
  <si>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</si>
  <si>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</si>
  <si>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</si>
  <si>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</si>
  <si>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</si>
  <si>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</si>
  <si>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</si>
  <si>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</si>
  <si>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</si>
  <si>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</si>
  <si>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</si>
  <si>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</si>
  <si>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</si>
  <si>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</si>
  <si>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</si>
  <si>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</si>
  <si>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</si>
  <si>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</si>
  <si>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</si>
  <si>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</si>
  <si>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</si>
  <si>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</si>
  <si>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</si>
  <si>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</si>
  <si>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</si>
  <si>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</si>
  <si>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</si>
  <si>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</si>
  <si>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</si>
  <si>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</si>
  <si>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</si>
  <si>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</si>
  <si>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</si>
  <si>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</si>
  <si>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</si>
  <si>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</si>
  <si>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</si>
  <si>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</si>
  <si>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</si>
  <si>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</si>
  <si>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</si>
  <si>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</si>
  <si>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</si>
  <si>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</si>
  <si>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</si>
  <si>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</si>
  <si>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</si>
  <si>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</si>
  <si>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</si>
  <si>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</si>
  <si>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</si>
  <si>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</si>
  <si>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</si>
  <si>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</si>
  <si>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</si>
  <si>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</si>
  <si>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</si>
  <si>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</si>
  <si>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</si>
  <si>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</si>
  <si>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</si>
  <si>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</si>
  <si>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</si>
  <si>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</si>
  <si>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</si>
  <si>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</si>
  <si>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</si>
  <si>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</si>
  <si>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</si>
  <si>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</si>
  <si>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</si>
  <si>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</si>
  <si>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</si>
  <si>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</si>
  <si>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</si>
  <si>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</si>
  <si>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</si>
  <si>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</si>
  <si>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</si>
  <si>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</si>
  <si>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</si>
  <si>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</si>
  <si>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</si>
  <si>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</si>
  <si>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</si>
  <si>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</si>
  <si>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</si>
  <si>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</si>
  <si>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</si>
  <si>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</si>
  <si>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</si>
  <si>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</si>
  <si>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</si>
  <si>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</si>
  <si>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</si>
  <si>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</si>
  <si>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</si>
  <si>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</si>
  <si>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</si>
  <si>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</si>
  <si>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</si>
  <si>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</si>
  <si>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</si>
  <si>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</si>
  <si>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</si>
  <si>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</si>
  <si>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</si>
  <si>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</si>
  <si>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</si>
  <si>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</si>
  <si>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</si>
  <si>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</si>
  <si>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</si>
  <si>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</si>
  <si>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</si>
  <si>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</si>
  <si>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</si>
  <si>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</si>
  <si>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</si>
  <si>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</si>
  <si>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</si>
  <si>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</si>
  <si>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</si>
  <si>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</si>
  <si>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</si>
  <si>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</si>
  <si>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</si>
  <si>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</si>
  <si>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</si>
  <si>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</si>
  <si>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</si>
  <si>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</si>
  <si>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</si>
  <si>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</si>
  <si>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</si>
  <si>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</si>
  <si>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</si>
  <si>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</si>
  <si>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</si>
  <si>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</si>
  <si>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</si>
  <si>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</si>
  <si>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</si>
  <si>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</si>
  <si>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</si>
  <si>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</si>
  <si>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</si>
  <si>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</si>
  <si>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</si>
  <si>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</si>
  <si>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</si>
  <si>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</si>
  <si>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</si>
  <si>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</si>
  <si>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</si>
  <si>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</si>
  <si>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</si>
  <si>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</si>
  <si>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</si>
  <si>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</si>
  <si>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</si>
  <si>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</si>
  <si>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</si>
  <si>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</si>
  <si>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</si>
  <si>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</si>
  <si>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</si>
  <si>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</si>
  <si>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</si>
  <si>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</si>
  <si>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</si>
  <si>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</si>
  <si>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</si>
  <si>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</si>
  <si>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</si>
  <si>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</si>
  <si>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</si>
  <si>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</si>
  <si>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</si>
  <si>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</si>
  <si>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</si>
  <si>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</si>
  <si>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</si>
  <si>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</si>
  <si>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</si>
  <si>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</si>
  <si>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</si>
  <si>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</si>
  <si>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</si>
  <si>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</si>
  <si>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</si>
  <si>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</si>
  <si>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</si>
  <si>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</si>
  <si>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</si>
  <si>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</si>
  <si>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</si>
  <si>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</si>
  <si>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</si>
  <si>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</si>
  <si>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</si>
  <si>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</si>
  <si>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</si>
  <si>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</si>
  <si>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</si>
  <si>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</si>
  <si>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</si>
  <si>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</si>
  <si>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</si>
  <si>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</si>
  <si>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</si>
  <si>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</si>
  <si>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</si>
  <si>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</si>
  <si>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</si>
  <si>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</si>
  <si>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</si>
  <si>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</si>
  <si>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</si>
  <si>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</si>
  <si>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</si>
  <si>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</si>
  <si>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</si>
  <si>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</si>
  <si>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</si>
  <si>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</si>
  <si>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</si>
  <si>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</si>
  <si>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</si>
  <si>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</si>
  <si>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</si>
  <si>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</si>
  <si>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</si>
  <si>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</si>
  <si>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</si>
  <si>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</si>
  <si>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</si>
  <si>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</si>
  <si>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</si>
  <si>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</si>
  <si>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</si>
  <si>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</si>
  <si>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</si>
  <si>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</si>
  <si>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</si>
  <si>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</si>
  <si>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</si>
  <si>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</si>
  <si>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</si>
  <si>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</si>
  <si>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</si>
  <si>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</si>
  <si>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</si>
  <si>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</si>
  <si>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</si>
  <si>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</si>
  <si>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</si>
  <si>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</si>
  <si>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</si>
  <si>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</si>
  <si>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</si>
  <si>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</si>
  <si>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</si>
  <si>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</si>
  <si>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</si>
  <si>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</si>
  <si>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</si>
  <si>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</si>
  <si>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</si>
  <si>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</si>
  <si>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</si>
  <si>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</si>
  <si>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</si>
  <si>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</si>
  <si>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</si>
  <si>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</si>
  <si>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</si>
  <si>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</si>
  <si>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</si>
  <si>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</si>
  <si>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</si>
  <si>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</si>
  <si>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</si>
  <si>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</si>
  <si>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</si>
  <si>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</si>
  <si>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</si>
  <si>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</si>
  <si>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</si>
  <si>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</si>
  <si>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</si>
  <si>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</si>
  <si>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</si>
  <si>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</si>
  <si>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</si>
  <si>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</si>
  <si>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</si>
  <si>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</si>
  <si>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</si>
  <si>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</si>
  <si>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</si>
  <si>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</si>
  <si>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</si>
  <si>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</si>
  <si>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</si>
  <si>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</si>
  <si>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</si>
  <si>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</si>
  <si>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</si>
  <si>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</si>
  <si>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</si>
  <si>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</si>
  <si>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</si>
  <si>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</si>
  <si>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</si>
  <si>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</si>
  <si>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</si>
  <si>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</si>
  <si>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</si>
  <si>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</si>
  <si>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</si>
  <si>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</si>
  <si>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</si>
  <si>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</si>
  <si>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</si>
  <si>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</si>
  <si>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</si>
  <si>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</si>
  <si>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</si>
  <si>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</si>
  <si>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</si>
  <si>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</si>
  <si>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</si>
  <si>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</si>
  <si>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</si>
  <si>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</si>
  <si>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</si>
  <si>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</si>
  <si>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</si>
  <si>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</si>
  <si>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</si>
  <si>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</si>
  <si>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</si>
  <si>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</si>
  <si>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</si>
  <si>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</si>
  <si>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</si>
  <si>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</si>
  <si>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</si>
  <si>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</si>
  <si>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</si>
  <si>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</si>
  <si>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</si>
  <si>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</si>
  <si>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</si>
  <si>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</si>
  <si>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</si>
  <si>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</si>
  <si>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</si>
  <si>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</si>
  <si>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</si>
  <si>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</si>
  <si>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</si>
  <si>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</si>
  <si>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</si>
  <si>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</si>
  <si>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</si>
  <si>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</si>
  <si>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</si>
  <si>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</si>
  <si>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</si>
  <si>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</si>
  <si>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</si>
  <si>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</si>
  <si>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</si>
  <si>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</si>
  <si>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</si>
  <si>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</si>
  <si>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</si>
  <si>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</si>
  <si>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</si>
  <si>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</si>
  <si>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</si>
  <si>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</si>
  <si>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</si>
  <si>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</si>
  <si>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</si>
  <si>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</si>
  <si>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</si>
  <si>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</si>
  <si>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</si>
  <si>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</si>
  <si>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</si>
  <si>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</si>
  <si>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</si>
  <si>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</si>
  <si>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</si>
  <si>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</si>
  <si>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</si>
  <si>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</si>
  <si>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</si>
  <si>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</si>
  <si>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</si>
  <si>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</si>
  <si>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</si>
  <si>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</si>
  <si>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</si>
  <si>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</si>
  <si>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</si>
  <si>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</si>
  <si>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</si>
  <si>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</si>
  <si>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</si>
  <si>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</si>
  <si>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</si>
  <si>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</si>
  <si>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</si>
  <si>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</si>
  <si>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</si>
  <si>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</si>
  <si>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</si>
  <si>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</si>
  <si>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</si>
  <si>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</si>
  <si>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</si>
  <si>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</si>
  <si>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</si>
  <si>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</si>
  <si>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</si>
  <si>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</si>
  <si>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</si>
  <si>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</si>
  <si>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</si>
  <si>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</si>
  <si>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</si>
  <si>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</si>
  <si>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</si>
  <si>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</si>
  <si>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</si>
  <si>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</si>
  <si>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</si>
  <si>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</si>
  <si>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</si>
  <si>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</si>
  <si>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</si>
  <si>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</si>
  <si>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</si>
  <si>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</si>
  <si>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</si>
  <si>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</si>
  <si>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</si>
  <si>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</si>
  <si>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</si>
  <si>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</si>
  <si>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</si>
  <si>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</si>
  <si>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</si>
  <si>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</si>
  <si>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</si>
  <si>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</si>
  <si>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</si>
  <si>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</si>
  <si>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</si>
  <si>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</si>
  <si>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</si>
  <si>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</si>
  <si>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</si>
  <si>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</si>
  <si>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</si>
  <si>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</si>
  <si>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</si>
  <si>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</si>
  <si>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</si>
  <si>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</si>
  <si>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</si>
  <si>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</si>
  <si>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</si>
  <si>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</si>
  <si>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</si>
  <si>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</si>
  <si>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</si>
  <si>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</si>
  <si>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</si>
  <si>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</si>
  <si>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</si>
  <si>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</si>
  <si>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</si>
  <si>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</si>
  <si>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</si>
  <si>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</si>
  <si>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</si>
  <si>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</si>
  <si>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</si>
  <si>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</si>
  <si>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</si>
  <si>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</si>
  <si>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</si>
  <si>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</si>
  <si>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</si>
  <si>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</si>
  <si>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</si>
  <si>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</si>
  <si>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</si>
  <si>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</si>
  <si>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</si>
  <si>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</si>
  <si>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</si>
  <si>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</si>
  <si>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</si>
  <si>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</si>
  <si>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</si>
  <si>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</si>
  <si>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</si>
  <si>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</si>
  <si>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</si>
  <si>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</si>
  <si>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</si>
  <si>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</si>
  <si>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</si>
  <si>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</si>
  <si>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</si>
  <si>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</si>
  <si>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</si>
  <si>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</si>
  <si>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</si>
  <si>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</si>
  <si>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</si>
  <si>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</si>
  <si>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</si>
  <si>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</si>
  <si>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</si>
  <si>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</si>
  <si>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</si>
  <si>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</si>
  <si>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</si>
  <si>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</si>
  <si>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</si>
  <si>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</si>
  <si>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</si>
  <si>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</si>
  <si>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</si>
  <si>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</si>
  <si>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</si>
  <si>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</si>
  <si>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</si>
  <si>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</si>
  <si>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</si>
  <si>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</si>
  <si>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</si>
  <si>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</si>
  <si>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</si>
  <si>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</si>
  <si>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</si>
  <si>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</si>
  <si>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</si>
  <si>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</si>
  <si>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</si>
  <si>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</si>
  <si>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</si>
  <si>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</si>
  <si>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</si>
  <si>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</si>
  <si>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</si>
  <si>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</si>
  <si>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</si>
  <si>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</si>
  <si>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</si>
  <si>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</si>
  <si>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</si>
  <si>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</si>
  <si>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</si>
  <si>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</si>
  <si>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</si>
  <si>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</si>
  <si>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</si>
  <si>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</si>
  <si>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</si>
  <si>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</si>
  <si>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</si>
  <si>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</si>
  <si>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</si>
  <si>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</si>
  <si>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</si>
  <si>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</si>
  <si>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</si>
  <si>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</si>
  <si>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</si>
  <si>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</si>
  <si>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</si>
  <si>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</si>
  <si>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</si>
  <si>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</si>
  <si>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</si>
  <si>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</si>
  <si>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</si>
  <si>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</si>
  <si>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</si>
  <si>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</si>
  <si>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</si>
  <si>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</si>
  <si>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</si>
  <si>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</si>
  <si>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</si>
  <si>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</si>
  <si>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</si>
  <si>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</si>
  <si>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</si>
  <si>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</si>
  <si>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</si>
  <si>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</si>
  <si>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</si>
  <si>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</si>
  <si>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</si>
  <si>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</si>
  <si>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</si>
  <si>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</si>
  <si>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</si>
  <si>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</si>
  <si>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</si>
  <si>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</si>
  <si>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</si>
  <si>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</si>
  <si>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</si>
  <si>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</si>
  <si>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</si>
  <si>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</si>
  <si>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</si>
  <si>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</si>
  <si>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</si>
  <si>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</si>
  <si>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</si>
  <si>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</si>
  <si>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</si>
  <si>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</si>
  <si>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</si>
  <si>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</si>
  <si>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</si>
  <si>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</si>
  <si>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</si>
  <si>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</si>
  <si>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</si>
  <si>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</si>
  <si>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</si>
  <si>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</si>
  <si>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</si>
  <si>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</si>
  <si>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</si>
  <si>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</si>
  <si>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</si>
  <si>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</si>
  <si>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</si>
  <si>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</si>
  <si>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</si>
  <si>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</si>
  <si>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</si>
  <si>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</si>
  <si>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</si>
  <si>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</si>
  <si>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</si>
  <si>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</si>
  <si>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</si>
  <si>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</si>
  <si>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</si>
  <si>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</si>
  <si>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</si>
  <si>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</si>
  <si>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</si>
  <si>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</si>
  <si>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</si>
  <si>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</si>
  <si>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</si>
  <si>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</si>
  <si>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</si>
  <si>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</si>
  <si>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</si>
  <si>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</si>
  <si>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</si>
  <si>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</si>
  <si>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</si>
  <si>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</si>
  <si>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</si>
  <si>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</si>
  <si>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</si>
  <si>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</si>
  <si>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</si>
  <si>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</si>
  <si>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</si>
  <si>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</si>
  <si>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</si>
  <si>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</si>
  <si>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</si>
  <si>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</si>
  <si>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</si>
  <si>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</si>
  <si>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</si>
  <si>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</si>
  <si>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</si>
  <si>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</si>
  <si>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</si>
  <si>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</si>
  <si>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</si>
  <si>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</si>
  <si>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</si>
  <si>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</si>
  <si>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</si>
  <si>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</si>
  <si>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</si>
  <si>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</si>
  <si>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</si>
  <si>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</si>
  <si>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</si>
  <si>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</si>
  <si>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</si>
  <si>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</si>
  <si>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</si>
  <si>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</si>
  <si>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</si>
  <si>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</si>
  <si>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</si>
  <si>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</si>
  <si>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</si>
  <si>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</si>
  <si>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</si>
  <si>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</si>
  <si>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</si>
  <si>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</si>
  <si>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</si>
  <si>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</si>
  <si>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</si>
  <si>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</si>
  <si>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</si>
  <si>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</si>
  <si>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</si>
  <si>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</si>
  <si>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</si>
  <si>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</si>
  <si>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</si>
  <si>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</si>
  <si>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</si>
  <si>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</si>
  <si>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</si>
  <si>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</si>
  <si>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</si>
  <si>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</si>
  <si>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</si>
  <si>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</si>
  <si>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</si>
  <si>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</si>
  <si>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</si>
  <si>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</si>
  <si>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</si>
  <si>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</si>
  <si>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</si>
  <si>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</si>
  <si>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</si>
  <si>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</si>
  <si>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</si>
  <si>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</si>
  <si>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</si>
  <si>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</si>
  <si>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</si>
  <si>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</si>
  <si>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</si>
  <si>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</si>
  <si>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</si>
  <si>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</si>
  <si>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</si>
  <si>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</si>
  <si>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</si>
  <si>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</si>
  <si>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</si>
  <si>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</si>
  <si>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</si>
  <si>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</si>
  <si>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</si>
  <si>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</si>
  <si>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</si>
  <si>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</si>
  <si>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</si>
  <si>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</si>
  <si>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</si>
  <si>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</si>
  <si>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</si>
  <si>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</si>
  <si>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</si>
  <si>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</si>
  <si>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</si>
  <si>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</si>
  <si>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</si>
  <si>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</si>
  <si>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</si>
  <si>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</si>
  <si>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</si>
  <si>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</si>
  <si>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</si>
  <si>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</si>
  <si>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</si>
  <si>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</si>
  <si>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</si>
  <si>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</si>
  <si>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</si>
  <si>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</si>
  <si>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</si>
  <si>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</si>
  <si>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</si>
  <si>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</si>
  <si>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</si>
  <si>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</si>
  <si>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</si>
  <si>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</si>
  <si>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</si>
  <si>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</si>
  <si>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</si>
  <si>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</si>
  <si>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</si>
  <si>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</si>
  <si>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</si>
  <si>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</si>
  <si>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</si>
  <si>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</si>
  <si>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</si>
  <si>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</si>
  <si>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</si>
  <si>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</si>
  <si>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</si>
  <si>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</si>
  <si>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</si>
  <si>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</si>
  <si>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</si>
  <si>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</si>
  <si>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</si>
  <si>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</si>
  <si>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</si>
  <si>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</si>
  <si>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</si>
  <si>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</si>
  <si>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</si>
  <si>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</si>
  <si>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</si>
  <si>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</si>
  <si>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</si>
  <si>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</si>
  <si>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</si>
  <si>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</si>
  <si>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</si>
  <si>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</si>
  <si>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</si>
  <si>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</si>
  <si>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</si>
  <si>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</si>
  <si>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</si>
  <si>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</si>
  <si>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</si>
  <si>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</si>
  <si>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</si>
  <si>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</si>
  <si>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</si>
  <si>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</si>
  <si>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</si>
  <si>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</si>
  <si>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</si>
  <si>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</si>
  <si>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</si>
  <si>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</si>
  <si>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</si>
  <si>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</si>
  <si>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</si>
  <si>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</si>
  <si>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</si>
  <si>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</si>
  <si>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</si>
  <si>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</si>
  <si>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</si>
  <si>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</si>
  <si>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</si>
  <si>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</si>
  <si>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</si>
  <si>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</si>
  <si>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</si>
  <si>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</si>
  <si>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</si>
  <si>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</si>
  <si>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</si>
  <si>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</si>
  <si>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</si>
  <si>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</si>
  <si>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</si>
  <si>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</si>
  <si>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</si>
  <si>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</si>
  <si>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</si>
  <si>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</si>
  <si>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</si>
  <si>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</si>
  <si>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</si>
  <si>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</si>
  <si>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</si>
  <si>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</si>
  <si>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</si>
  <si>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</si>
  <si>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</si>
  <si>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</si>
  <si>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</si>
  <si>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</si>
  <si>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</si>
  <si>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</si>
  <si>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</si>
  <si>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</si>
  <si>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</si>
  <si>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</si>
  <si>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</si>
  <si>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</si>
  <si>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</si>
  <si>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</si>
  <si>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</si>
  <si>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</si>
  <si>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</si>
  <si>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</si>
  <si>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</si>
  <si>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</si>
  <si>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</si>
  <si>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</si>
  <si>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</si>
  <si>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</si>
  <si>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</si>
  <si>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</si>
  <si>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</si>
  <si>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</si>
  <si>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</si>
  <si>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</si>
  <si>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</si>
  <si>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</si>
  <si>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</si>
  <si>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</si>
  <si>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</si>
  <si>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</si>
  <si>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</si>
  <si>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</si>
  <si>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</si>
  <si>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</si>
  <si>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</si>
  <si>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</si>
  <si>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</si>
  <si>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</si>
  <si>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</si>
  <si>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</si>
  <si>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</si>
  <si>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</si>
  <si>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</si>
  <si>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</si>
  <si>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</si>
  <si>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</si>
  <si>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</si>
  <si>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</si>
  <si>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</si>
  <si>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</si>
  <si>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</si>
  <si>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</si>
  <si>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</si>
  <si>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</si>
  <si>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</si>
  <si>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</si>
  <si>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</si>
  <si>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</si>
  <si>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</si>
  <si>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</si>
  <si>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</si>
  <si>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</si>
  <si>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</si>
  <si>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</si>
  <si>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</si>
  <si>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</si>
  <si>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</si>
  <si>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</si>
  <si>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</si>
  <si>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</si>
  <si>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</si>
  <si>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</si>
  <si>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</si>
  <si>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</si>
  <si>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</si>
  <si>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</si>
  <si>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</si>
  <si>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</si>
  <si>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</si>
  <si>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</si>
  <si>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</si>
  <si>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</si>
  <si>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</si>
  <si>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</si>
  <si>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</si>
  <si>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</si>
  <si>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</si>
  <si>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</si>
  <si>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</si>
  <si>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</si>
  <si>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</si>
  <si>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</si>
  <si>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</si>
  <si>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</si>
  <si>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</si>
  <si>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</si>
  <si>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</si>
  <si>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</si>
  <si>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</si>
  <si>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</si>
  <si>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</si>
  <si>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</si>
  <si>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</si>
  <si>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</si>
  <si>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</si>
  <si>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</si>
  <si>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</si>
  <si>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</si>
  <si>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</si>
  <si>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</si>
  <si>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</si>
  <si>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</si>
  <si>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</si>
  <si>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</si>
  <si>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</si>
  <si>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</si>
  <si>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</si>
  <si>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</si>
  <si>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</si>
  <si>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</si>
  <si>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</si>
  <si>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</si>
  <si>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</si>
  <si>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</si>
  <si>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</si>
  <si>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</si>
  <si>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</si>
  <si>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</si>
  <si>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</si>
  <si>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</si>
  <si>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</si>
  <si>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</si>
  <si>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</si>
  <si>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</si>
  <si>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</si>
  <si>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</si>
  <si>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</si>
  <si>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</si>
  <si>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</si>
  <si>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</si>
  <si>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</si>
  <si>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</si>
  <si>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</si>
  <si>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</si>
  <si>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</si>
  <si>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</si>
  <si>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</si>
  <si>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</si>
  <si>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</si>
  <si>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</si>
  <si>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</si>
  <si>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</si>
  <si>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</si>
  <si>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</si>
  <si>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</si>
  <si>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</si>
  <si>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</si>
  <si>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</si>
  <si>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</si>
  <si>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</si>
  <si>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</si>
  <si>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</si>
  <si>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</si>
  <si>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</si>
  <si>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</si>
  <si>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</si>
  <si>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</si>
  <si>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</si>
  <si>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</si>
  <si>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</si>
  <si>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</si>
  <si>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</si>
  <si>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</si>
  <si>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</si>
  <si>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</si>
  <si>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</si>
  <si>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</si>
  <si>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</si>
  <si>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</si>
  <si>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</si>
  <si>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</si>
  <si>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</si>
  <si>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</si>
  <si>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</si>
  <si>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</si>
  <si>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</si>
  <si>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</si>
  <si>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</si>
  <si>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</si>
  <si>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</si>
  <si>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</si>
  <si>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</si>
  <si>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</si>
  <si>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</si>
  <si>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</si>
  <si>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</si>
  <si>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</si>
  <si>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</si>
  <si>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</si>
  <si>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</si>
  <si>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</si>
  <si>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</si>
  <si>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</si>
  <si>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</si>
  <si>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</si>
  <si>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</si>
  <si>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</si>
  <si>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</si>
  <si>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</si>
  <si>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</si>
  <si>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</si>
  <si>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</si>
  <si>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</si>
  <si>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</si>
  <si>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</si>
  <si>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</si>
  <si>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</si>
  <si>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</si>
  <si>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</si>
  <si>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</si>
  <si>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</si>
  <si>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</si>
  <si>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</si>
  <si>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</si>
  <si>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</si>
  <si>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</si>
  <si>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</si>
  <si>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</si>
  <si>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</si>
  <si>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</si>
  <si>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</si>
  <si>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</si>
  <si>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</si>
  <si>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</si>
  <si>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</si>
  <si>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</si>
  <si>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</si>
  <si>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</si>
  <si>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</si>
  <si>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</si>
  <si>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</si>
  <si>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</si>
  <si>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</si>
  <si>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</si>
  <si>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</si>
  <si>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</si>
  <si>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</si>
  <si>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</si>
  <si>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</si>
  <si>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</si>
  <si>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</si>
  <si>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</si>
  <si>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</si>
  <si>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</si>
  <si>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</si>
  <si>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</si>
  <si>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</si>
  <si>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</si>
  <si>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</si>
  <si>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</si>
  <si>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</si>
  <si>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</si>
  <si>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</si>
  <si>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</si>
  <si>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</si>
  <si>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</si>
  <si>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</si>
  <si>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</si>
  <si>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</si>
  <si>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</si>
  <si>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</si>
  <si>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</si>
  <si>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</si>
  <si>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</si>
  <si>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</si>
  <si>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</si>
  <si>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</si>
  <si>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</si>
  <si>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</si>
  <si>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</si>
  <si>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</si>
  <si>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</si>
  <si>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</si>
  <si>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</si>
  <si>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</si>
  <si>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</si>
  <si>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</si>
  <si>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</si>
  <si>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</si>
  <si>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</si>
  <si>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</si>
  <si>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</si>
  <si>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</si>
  <si>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</si>
  <si>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</si>
  <si>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</si>
  <si>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</si>
  <si>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</si>
  <si>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</si>
  <si>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</si>
  <si>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</si>
  <si>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</si>
  <si>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</si>
  <si>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</si>
  <si>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</si>
  <si>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</si>
  <si>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</si>
  <si>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</si>
  <si>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</si>
  <si>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</si>
  <si>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</si>
  <si>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</si>
  <si>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</si>
  <si>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</si>
  <si>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</si>
  <si>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</si>
  <si>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</si>
  <si>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</si>
  <si>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</si>
  <si>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</si>
  <si>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</si>
  <si>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</si>
  <si>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</si>
  <si>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</si>
  <si>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</si>
  <si>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</si>
  <si>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</si>
  <si>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</si>
  <si>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</si>
  <si>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</si>
  <si>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</si>
  <si>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</si>
  <si>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</si>
  <si>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</si>
  <si>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</si>
  <si>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</si>
  <si>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</si>
  <si>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</si>
  <si>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</si>
  <si>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</si>
  <si>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</si>
  <si>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</si>
  <si>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</si>
  <si>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</si>
  <si>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</si>
  <si>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</si>
  <si>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</si>
  <si>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</si>
  <si>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</si>
  <si>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</si>
  <si>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</si>
  <si>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</si>
  <si>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</si>
  <si>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</si>
  <si>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</si>
  <si>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</si>
  <si>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</si>
  <si>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</si>
  <si>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</si>
  <si>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</si>
  <si>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</si>
  <si>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</si>
  <si>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</si>
  <si>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</si>
  <si>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</si>
  <si>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</si>
  <si>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</si>
  <si>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</si>
  <si>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</si>
  <si>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</si>
  <si>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</si>
  <si>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</si>
  <si>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</si>
  <si>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</si>
  <si>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</si>
  <si>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</si>
  <si>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</si>
  <si>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</si>
  <si>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</si>
  <si>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</si>
  <si>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</si>
  <si>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</si>
  <si>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</si>
  <si>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</si>
  <si>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</si>
  <si>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</si>
  <si>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</si>
  <si>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</si>
  <si>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</si>
  <si>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</si>
  <si>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</si>
  <si>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</si>
  <si>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</si>
  <si>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</si>
  <si>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</si>
  <si>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</si>
  <si>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</si>
  <si>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</si>
  <si>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</si>
  <si>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</si>
  <si>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</si>
  <si>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</si>
  <si>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</si>
  <si>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</si>
  <si>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</si>
  <si>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</si>
  <si>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</si>
  <si>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</si>
  <si>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</si>
  <si>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</si>
  <si>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</si>
  <si>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</si>
  <si>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</si>
  <si>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</si>
  <si>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</si>
  <si>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</si>
  <si>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</si>
  <si>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</si>
  <si>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</si>
  <si>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</si>
  <si>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</si>
  <si>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</si>
  <si>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</si>
  <si>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</si>
  <si>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</si>
  <si>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</si>
  <si>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</si>
  <si>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</si>
  <si>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</si>
  <si>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</si>
  <si>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</si>
  <si>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</si>
  <si>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</si>
  <si>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</si>
  <si>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</si>
  <si>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</si>
  <si>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</si>
  <si>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</si>
  <si>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</si>
  <si>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</si>
  <si>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</si>
  <si>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</si>
  <si>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</si>
  <si>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</si>
  <si>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</si>
  <si>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</si>
  <si>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</si>
  <si>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</si>
  <si>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</si>
  <si>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</si>
  <si>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</si>
  <si>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</si>
  <si>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</si>
  <si>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</si>
  <si>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</si>
  <si>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</si>
  <si>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</si>
  <si>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</si>
  <si>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</si>
  <si>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</si>
  <si>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</si>
  <si>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</si>
  <si>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</si>
  <si>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</si>
  <si>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</si>
  <si>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</si>
  <si>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</si>
  <si>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</si>
  <si>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</si>
  <si>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</si>
  <si>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</si>
  <si>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</si>
  <si>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</si>
  <si>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</si>
  <si>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</si>
  <si>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</si>
  <si>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</si>
  <si>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</si>
  <si>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</si>
  <si>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</si>
  <si>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</si>
  <si>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</si>
  <si>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</si>
  <si>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</si>
  <si>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</si>
  <si>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</si>
  <si>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</si>
  <si>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</si>
  <si>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</si>
  <si>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</si>
  <si>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</si>
  <si>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</si>
  <si>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</si>
  <si>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</si>
  <si>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</si>
  <si>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</si>
  <si>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</si>
  <si>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</si>
  <si>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</si>
  <si>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</si>
  <si>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</si>
  <si>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</si>
  <si>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</si>
  <si>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</si>
  <si>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</si>
  <si>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</si>
  <si>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</si>
  <si>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</si>
  <si>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</si>
  <si>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</si>
  <si>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</si>
  <si>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</si>
  <si>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</si>
  <si>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</si>
  <si>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</si>
  <si>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</si>
  <si>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</si>
  <si>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</si>
  <si>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</si>
  <si>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</si>
  <si>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</si>
  <si>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</si>
  <si>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</si>
  <si>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</si>
  <si>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</si>
  <si>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</si>
  <si>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</si>
  <si>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</si>
  <si>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</si>
  <si>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</si>
  <si>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</si>
  <si>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</si>
  <si>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</si>
  <si>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</si>
  <si>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</si>
  <si>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</si>
  <si>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</si>
  <si>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</si>
  <si>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</si>
  <si>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</si>
  <si>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</si>
  <si>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</si>
  <si>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</si>
  <si>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</si>
  <si>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</si>
  <si>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</si>
  <si>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</si>
  <si>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</si>
  <si>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</si>
  <si>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</si>
  <si>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</si>
  <si>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</si>
  <si>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</si>
  <si>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</si>
  <si>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</si>
  <si>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</si>
  <si>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</si>
  <si>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</si>
  <si>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</si>
  <si>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</si>
  <si>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</si>
  <si>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</si>
  <si>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</si>
  <si>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</si>
  <si>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</si>
  <si>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</si>
  <si>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</si>
  <si>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</si>
  <si>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</si>
  <si>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</si>
  <si>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</si>
  <si>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</si>
  <si>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</si>
  <si>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</si>
  <si>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</si>
  <si>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</si>
  <si>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</si>
  <si>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</si>
  <si>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</si>
  <si>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</si>
  <si>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</si>
  <si>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</si>
  <si>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</si>
  <si>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</si>
  <si>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</si>
  <si>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</si>
  <si>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</si>
  <si>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</si>
  <si>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</si>
  <si>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</si>
  <si>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</si>
  <si>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</si>
  <si>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</si>
  <si>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</si>
  <si>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</si>
  <si>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</si>
  <si>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</si>
  <si>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</si>
  <si>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</si>
  <si>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</si>
  <si>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</si>
  <si>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</si>
  <si>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</si>
  <si>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</si>
  <si>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</si>
  <si>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</si>
  <si>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</si>
  <si>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</si>
  <si>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</si>
  <si>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</si>
  <si>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</si>
  <si>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</si>
  <si>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</si>
  <si>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</si>
  <si>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</si>
  <si>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</si>
  <si>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</si>
  <si>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</si>
  <si>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</si>
  <si>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</si>
  <si>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</si>
  <si>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</si>
  <si>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</si>
  <si>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</si>
  <si>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</si>
  <si>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</si>
  <si>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</si>
  <si>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</si>
  <si>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</si>
  <si>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</si>
  <si>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</si>
  <si>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</si>
  <si>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</si>
  <si>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</si>
  <si>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</si>
  <si>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</si>
  <si>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</si>
  <si>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</si>
  <si>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</si>
  <si>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</si>
  <si>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</si>
  <si>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</si>
  <si>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</si>
  <si>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</si>
  <si>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</si>
  <si>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</si>
  <si>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</si>
  <si>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</si>
  <si>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</si>
  <si>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</si>
  <si>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</si>
  <si>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</si>
  <si>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</si>
  <si>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</si>
  <si>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</si>
  <si>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</si>
  <si>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</si>
  <si>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</si>
  <si>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</si>
  <si>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</si>
  <si>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</si>
  <si>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</si>
  <si>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</si>
  <si>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</si>
  <si>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</si>
  <si>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</si>
  <si>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</si>
  <si>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</si>
  <si>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</si>
  <si>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</si>
  <si>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</si>
  <si>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</si>
  <si>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</si>
  <si>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</si>
  <si>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</si>
  <si>
    <t>Arrears Amount</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</si>
  <si>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</si>
  <si>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</si>
  <si>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</si>
  <si>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</si>
  <si>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</si>
  <si>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</si>
  <si>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</si>
  <si>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</si>
  <si>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</si>
  <si>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</si>
  <si>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</si>
  <si>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</si>
  <si>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</si>
  <si>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</si>
  <si>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</si>
  <si>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</si>
  <si>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</si>
  <si>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</si>
  <si>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</si>
  <si>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</si>
  <si>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</si>
  <si>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</si>
  <si>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</si>
  <si>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</si>
  <si>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</si>
  <si>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</si>
  <si>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</si>
  <si>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</si>
  <si>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</si>
  <si>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</si>
  <si>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Ajustement Prov Defaut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</si>
</sst>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0.00\ &quot;€&quot;;[Red]\-#,##0.00\ &quot;€&quot;"/>
    <numFmt numFmtId="41" formatCode="_-* #,##0_-;\-* #,##0_-;_-* &quot;-&quot;_-;_-@_-"/>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 numFmtId="193"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9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
      <left/>
      <right style="hair">
        <color indexed="64"/>
      </right>
      <top style="hair">
        <color indexed="64"/>
      </top>
      <bottom style="hair">
        <color indexed="64"/>
      </bottom>
      <diagonal/>
    </border>
  </borders>
  <cellStyleXfs count="291">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85" fillId="50" borderId="37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3"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lignment horizontal="left" wrapText="1"/>
    </xf>
  </cellStyleXfs>
  <cellXfs count="2236">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5" fontId="33"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7" fontId="37" fillId="9" borderId="44"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49" xfId="12" applyFont="1" applyFill="1" applyBorder="1" applyAlignment="1">
      <alignment horizontal="centerContinuous" vertical="center" wrapText="1"/>
    </xf>
    <xf numFmtId="167" fontId="40" fillId="10" borderId="52" xfId="12" applyFont="1" applyFill="1" applyBorder="1" applyAlignment="1">
      <alignment horizontal="centerContinuous" vertical="center" wrapText="1"/>
    </xf>
    <xf numFmtId="167" fontId="40" fillId="10" borderId="39" xfId="12" applyFont="1" applyFill="1" applyBorder="1" applyAlignment="1">
      <alignment horizontal="centerContinuous" vertical="center" wrapText="1"/>
    </xf>
    <xf numFmtId="167" fontId="40" fillId="10" borderId="50" xfId="12" applyFont="1" applyFill="1" applyBorder="1" applyAlignment="1">
      <alignment horizontal="centerContinuous" vertical="center" wrapText="1"/>
    </xf>
    <xf numFmtId="167" fontId="37" fillId="9" borderId="56" xfId="12" applyFont="1" applyFill="1" applyBorder="1" applyAlignment="1">
      <alignment horizontal="center" vertical="center" wrapText="1"/>
    </xf>
    <xf numFmtId="167"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7" fontId="40" fillId="10" borderId="52" xfId="12" applyFont="1" applyFill="1" applyBorder="1" applyAlignment="1">
      <alignment horizontal="center" vertical="center" wrapText="1"/>
    </xf>
    <xf numFmtId="167"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6" xfId="3" applyNumberFormat="1" applyFont="1" applyFill="1" applyBorder="1" applyAlignment="1">
      <alignment horizontal="right" vertical="center" wrapText="1"/>
    </xf>
    <xf numFmtId="168"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68" fontId="42" fillId="11" borderId="66" xfId="3" applyNumberFormat="1" applyFont="1" applyFill="1" applyBorder="1" applyAlignment="1">
      <alignment horizontal="right" vertical="center" wrapText="1"/>
    </xf>
    <xf numFmtId="168"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7" fontId="37" fillId="9" borderId="78" xfId="12" applyFont="1" applyFill="1" applyBorder="1" applyAlignment="1">
      <alignment horizontal="center" vertical="center" wrapText="1"/>
    </xf>
    <xf numFmtId="167" fontId="37" fillId="9" borderId="51" xfId="12" applyFont="1" applyFill="1" applyBorder="1" applyAlignment="1">
      <alignment horizontal="center" vertical="center" wrapText="1"/>
    </xf>
    <xf numFmtId="167" fontId="38" fillId="14" borderId="76" xfId="12" applyFont="1" applyFill="1" applyBorder="1" applyAlignment="1">
      <alignment horizontal="center" vertical="center" wrapText="1"/>
    </xf>
    <xf numFmtId="167" fontId="37" fillId="10" borderId="78" xfId="12" applyFont="1" applyFill="1" applyBorder="1" applyAlignment="1">
      <alignment horizontal="center" vertical="center" wrapText="1"/>
    </xf>
    <xf numFmtId="167" fontId="37" fillId="10" borderId="51" xfId="12" applyFont="1" applyFill="1" applyBorder="1" applyAlignment="1">
      <alignment horizontal="center" vertical="center" wrapText="1"/>
    </xf>
    <xf numFmtId="167" fontId="37" fillId="10" borderId="49" xfId="12" applyFont="1" applyFill="1" applyBorder="1" applyAlignment="1">
      <alignment horizontal="center" vertical="center" wrapText="1"/>
    </xf>
    <xf numFmtId="0" fontId="6" fillId="0" borderId="1" xfId="13" applyBorder="1"/>
    <xf numFmtId="167"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44" fontId="27" fillId="0" borderId="0" xfId="21" applyFont="1" applyAlignment="1">
      <alignment vertical="center"/>
    </xf>
    <xf numFmtId="44" fontId="47" fillId="0" borderId="0" xfId="21" applyFont="1" applyAlignment="1">
      <alignment vertical="center"/>
    </xf>
    <xf numFmtId="0" fontId="48" fillId="16" borderId="119" xfId="21" applyNumberFormat="1" applyFont="1" applyFill="1" applyBorder="1" applyAlignment="1">
      <alignment horizontal="left" vertical="center" indent="1"/>
    </xf>
    <xf numFmtId="44"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1" fontId="27" fillId="0" borderId="0" xfId="22" applyNumberFormat="1" applyFont="1" applyAlignment="1">
      <alignment vertical="center"/>
    </xf>
    <xf numFmtId="167" fontId="50" fillId="0" borderId="124" xfId="23" applyFont="1" applyFill="1" applyBorder="1" applyAlignment="1">
      <alignment horizontal="center" vertical="center"/>
    </xf>
    <xf numFmtId="167"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2"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2"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69" fontId="61" fillId="22" borderId="1" xfId="6" applyNumberFormat="1" applyFont="1" applyFill="1" applyBorder="1" applyAlignment="1">
      <alignment horizontal="right" vertical="center" indent="1"/>
    </xf>
    <xf numFmtId="169" fontId="61" fillId="11" borderId="1" xfId="6" applyNumberFormat="1" applyFont="1" applyFill="1" applyBorder="1" applyAlignment="1">
      <alignment horizontal="right" vertical="center" indent="1"/>
    </xf>
    <xf numFmtId="169"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69" fontId="65" fillId="4" borderId="14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69"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4" fontId="27" fillId="2" borderId="106" xfId="14" applyNumberFormat="1" applyFont="1" applyFill="1" applyBorder="1" applyAlignment="1">
      <alignment horizontal="left" vertical="center" indent="1"/>
    </xf>
    <xf numFmtId="169"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5"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69" fontId="27" fillId="25" borderId="160" xfId="14" applyNumberFormat="1" applyFont="1" applyFill="1" applyBorder="1" applyAlignment="1">
      <alignment horizontal="right" vertical="center" indent="2"/>
    </xf>
    <xf numFmtId="174" fontId="6" fillId="2" borderId="106" xfId="14" applyNumberFormat="1" applyFill="1" applyBorder="1" applyAlignment="1">
      <alignment horizontal="left" vertical="center" indent="4"/>
    </xf>
    <xf numFmtId="44"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69"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69"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6"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69"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69"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69"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69"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69"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69"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69"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69"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7" fontId="32" fillId="0" borderId="0" xfId="14" applyNumberFormat="1" applyFont="1" applyAlignment="1">
      <alignment vertical="center"/>
    </xf>
    <xf numFmtId="169" fontId="6" fillId="0" borderId="191" xfId="14" applyNumberFormat="1" applyBorder="1" applyAlignment="1">
      <alignment horizontal="right" vertical="center" indent="1"/>
    </xf>
    <xf numFmtId="0" fontId="32" fillId="0" borderId="192" xfId="14" applyFont="1" applyBorder="1" applyAlignment="1">
      <alignment vertical="center"/>
    </xf>
    <xf numFmtId="169"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69"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68" fontId="6" fillId="0" borderId="202" xfId="14" applyNumberFormat="1" applyBorder="1" applyAlignment="1">
      <alignment horizontal="right" vertical="center" indent="1"/>
    </xf>
    <xf numFmtId="0" fontId="23" fillId="2" borderId="9" xfId="14" applyFont="1" applyFill="1" applyBorder="1" applyAlignment="1">
      <alignment vertical="center"/>
    </xf>
    <xf numFmtId="167"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7"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78"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78"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79"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78"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79" fontId="95" fillId="0" borderId="156" xfId="26" applyNumberFormat="1" applyFont="1" applyFill="1" applyBorder="1" applyAlignment="1">
      <alignment horizontal="left" vertical="center"/>
    </xf>
    <xf numFmtId="179"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78"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79" fontId="95" fillId="0" borderId="0" xfId="26" applyNumberFormat="1" applyFont="1" applyFill="1" applyBorder="1" applyAlignment="1">
      <alignment horizontal="left" vertical="center" indent="1"/>
    </xf>
    <xf numFmtId="179" fontId="95" fillId="0" borderId="0" xfId="26" applyNumberFormat="1" applyFont="1" applyFill="1" applyBorder="1" applyAlignment="1">
      <alignment horizontal="center" vertical="center"/>
    </xf>
    <xf numFmtId="178" fontId="90" fillId="0" borderId="0" xfId="15" applyNumberFormat="1" applyFont="1" applyFill="1" applyBorder="1" applyAlignment="1">
      <alignment horizontal="center" vertical="center"/>
    </xf>
    <xf numFmtId="178"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78" fontId="94" fillId="0" borderId="0" xfId="26" applyNumberFormat="1" applyFont="1" applyFill="1" applyBorder="1" applyAlignment="1">
      <alignment horizontal="center" vertical="center"/>
    </xf>
    <xf numFmtId="178" fontId="90" fillId="0" borderId="0" xfId="26" applyNumberFormat="1" applyFont="1" applyFill="1" applyBorder="1" applyAlignment="1">
      <alignment horizontal="center" vertical="center"/>
    </xf>
    <xf numFmtId="178"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79"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3"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79"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3"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79" fontId="58" fillId="0" borderId="0" xfId="26" applyNumberFormat="1" applyFont="1" applyFill="1" applyBorder="1" applyAlignment="1">
      <alignment vertical="center"/>
    </xf>
    <xf numFmtId="173" fontId="40" fillId="0" borderId="222" xfId="15" applyNumberFormat="1" applyFont="1" applyFill="1" applyBorder="1" applyAlignment="1">
      <alignment horizontal="center" vertical="center"/>
    </xf>
    <xf numFmtId="173" fontId="40" fillId="0" borderId="221" xfId="15" applyNumberFormat="1" applyFont="1" applyFill="1" applyBorder="1" applyAlignment="1">
      <alignment horizontal="center" vertical="center"/>
    </xf>
    <xf numFmtId="173" fontId="40" fillId="0" borderId="224" xfId="15" applyNumberFormat="1" applyFont="1" applyFill="1" applyBorder="1" applyAlignment="1">
      <alignment horizontal="center" vertical="center"/>
    </xf>
    <xf numFmtId="173" fontId="40" fillId="0" borderId="0" xfId="15" applyNumberFormat="1" applyFont="1" applyFill="1" applyBorder="1" applyAlignment="1">
      <alignment horizontal="center" vertical="center"/>
    </xf>
    <xf numFmtId="173" fontId="40" fillId="0" borderId="207" xfId="15" applyNumberFormat="1" applyFont="1" applyFill="1" applyBorder="1" applyAlignment="1">
      <alignment horizontal="center" vertical="center"/>
    </xf>
    <xf numFmtId="179" fontId="40" fillId="0" borderId="225" xfId="26" applyNumberFormat="1" applyFont="1" applyFill="1" applyBorder="1" applyAlignment="1">
      <alignment horizontal="center" vertical="center"/>
    </xf>
    <xf numFmtId="173" fontId="40" fillId="0" borderId="226" xfId="15" applyNumberFormat="1" applyFont="1" applyFill="1" applyBorder="1" applyAlignment="1">
      <alignment horizontal="center" vertical="center"/>
    </xf>
    <xf numFmtId="173" fontId="40" fillId="0" borderId="228" xfId="15" applyNumberFormat="1" applyFont="1" applyFill="1" applyBorder="1" applyAlignment="1">
      <alignment horizontal="center" vertical="center"/>
    </xf>
    <xf numFmtId="173" fontId="40" fillId="0" borderId="0" xfId="15" applyNumberFormat="1" applyFont="1" applyFill="1" applyBorder="1" applyAlignment="1">
      <alignment horizontal="right" vertical="center"/>
    </xf>
    <xf numFmtId="173" fontId="40" fillId="0" borderId="207" xfId="15" applyNumberFormat="1" applyFont="1" applyFill="1" applyBorder="1" applyAlignment="1">
      <alignment horizontal="right" vertical="center"/>
    </xf>
    <xf numFmtId="179" fontId="40" fillId="0" borderId="221" xfId="26" applyNumberFormat="1" applyFont="1" applyFill="1" applyBorder="1" applyAlignment="1">
      <alignment horizontal="center" vertical="center"/>
    </xf>
    <xf numFmtId="0" fontId="6" fillId="0" borderId="208" xfId="31" applyBorder="1" applyAlignment="1">
      <alignment horizontal="left" indent="1"/>
    </xf>
    <xf numFmtId="179" fontId="40" fillId="0" borderId="209" xfId="26" applyNumberFormat="1" applyFont="1" applyFill="1" applyBorder="1" applyAlignment="1">
      <alignment horizontal="right" vertical="center"/>
    </xf>
    <xf numFmtId="173" fontId="40" fillId="0" borderId="209" xfId="15" applyNumberFormat="1" applyFont="1" applyFill="1" applyBorder="1" applyAlignment="1">
      <alignment horizontal="right" vertical="center"/>
    </xf>
    <xf numFmtId="173"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0"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1"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3" fontId="13" fillId="0" borderId="0" xfId="30" applyNumberFormat="1" applyFont="1" applyAlignment="1">
      <alignment horizontal="center" vertical="center"/>
    </xf>
    <xf numFmtId="183"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3" fontId="104"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6"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3" fontId="40" fillId="0" borderId="0" xfId="26" applyNumberFormat="1" applyFont="1" applyFill="1" applyBorder="1" applyAlignment="1">
      <alignment horizontal="center" vertical="center"/>
    </xf>
    <xf numFmtId="8" fontId="40" fillId="0" borderId="0" xfId="26" applyNumberFormat="1" applyFont="1" applyFill="1" applyBorder="1" applyAlignment="1">
      <alignment horizontal="center" vertical="center"/>
    </xf>
    <xf numFmtId="8"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8" fontId="40" fillId="0" borderId="209" xfId="26" applyNumberFormat="1" applyFont="1" applyFill="1" applyBorder="1" applyAlignment="1">
      <alignment horizontal="left" vertical="center"/>
    </xf>
    <xf numFmtId="8" fontId="40" fillId="0" borderId="209" xfId="26" applyNumberFormat="1" applyFont="1" applyFill="1" applyBorder="1" applyAlignment="1">
      <alignment vertical="center"/>
    </xf>
    <xf numFmtId="8"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78"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78"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78"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78"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78" fontId="40" fillId="0" borderId="213" xfId="26" applyNumberFormat="1" applyFont="1" applyFill="1" applyBorder="1" applyAlignment="1">
      <alignment horizontal="right" vertical="center"/>
    </xf>
    <xf numFmtId="178"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78"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7" fontId="40"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0" fillId="0" borderId="0" xfId="32" applyNumberFormat="1" applyFont="1" applyFill="1" applyBorder="1" applyAlignment="1">
      <alignment horizontal="right" vertical="center"/>
    </xf>
    <xf numFmtId="178" fontId="40" fillId="0" borderId="0" xfId="32" applyNumberFormat="1" applyFont="1" applyFill="1" applyBorder="1" applyAlignment="1">
      <alignment horizontal="right" vertical="center"/>
    </xf>
    <xf numFmtId="167"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78"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3" fillId="2" borderId="0" xfId="33" applyFont="1" applyFill="1"/>
    <xf numFmtId="185"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1"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6"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7"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2"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69"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78" fontId="40" fillId="2" borderId="213" xfId="26" applyNumberFormat="1" applyFont="1" applyFill="1" applyBorder="1" applyAlignment="1">
      <alignment horizontal="right" vertical="center"/>
    </xf>
    <xf numFmtId="0" fontId="58" fillId="0" borderId="0" xfId="30" applyFont="1" applyAlignment="1">
      <alignment vertical="center"/>
    </xf>
    <xf numFmtId="178"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78"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78"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7"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7" fontId="6" fillId="0" borderId="206" xfId="32" applyFont="1" applyFill="1" applyBorder="1" applyAlignment="1">
      <alignment horizontal="left" vertical="center" wrapText="1"/>
    </xf>
    <xf numFmtId="179"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78"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78"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78"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3"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78"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3"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78"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3"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3" fontId="40" fillId="0" borderId="236" xfId="15" applyNumberFormat="1" applyFont="1" applyBorder="1" applyAlignment="1">
      <alignment vertical="center"/>
    </xf>
    <xf numFmtId="173"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78"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78"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3"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7"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69"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69"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7" fontId="37" fillId="9" borderId="42" xfId="12" applyFont="1" applyFill="1" applyBorder="1" applyAlignment="1">
      <alignment horizontal="centerContinuous" vertical="center"/>
    </xf>
    <xf numFmtId="167" fontId="37" fillId="9" borderId="278" xfId="12" applyFont="1" applyFill="1" applyBorder="1" applyAlignment="1">
      <alignment horizontal="centerContinuous" vertical="center"/>
    </xf>
    <xf numFmtId="167" fontId="37" fillId="9" borderId="266" xfId="12" applyFont="1" applyFill="1" applyBorder="1" applyAlignment="1">
      <alignment horizontal="center" vertical="center" wrapText="1"/>
    </xf>
    <xf numFmtId="167" fontId="37" fillId="9" borderId="89" xfId="12" applyFont="1" applyFill="1" applyBorder="1" applyAlignment="1">
      <alignment horizontal="center" vertical="center" wrapText="1"/>
    </xf>
    <xf numFmtId="167" fontId="37" fillId="9" borderId="279" xfId="12" applyFont="1" applyFill="1" applyBorder="1" applyAlignment="1">
      <alignment horizontal="centerContinuous" vertical="center"/>
    </xf>
    <xf numFmtId="167"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7" fontId="6" fillId="12" borderId="278" xfId="12" applyFont="1" applyFill="1" applyBorder="1" applyAlignment="1">
      <alignment horizontal="centerContinuous" vertical="center"/>
    </xf>
    <xf numFmtId="167"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7" fontId="37" fillId="9" borderId="283" xfId="12" applyFont="1" applyFill="1" applyBorder="1" applyAlignment="1">
      <alignment horizontal="centerContinuous" vertical="center" wrapText="1"/>
    </xf>
    <xf numFmtId="167"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78"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78"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78"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78"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3"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1"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88"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69"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6" fillId="7" borderId="38" xfId="14" applyNumberFormat="1" applyFont="1" applyFill="1" applyBorder="1" applyAlignment="1">
      <alignment horizontal="center" vertical="center" wrapText="1"/>
    </xf>
    <xf numFmtId="178" fontId="4" fillId="0" borderId="241" xfId="26" applyNumberFormat="1" applyFont="1" applyBorder="1" applyAlignment="1">
      <alignment horizontal="center" vertical="center"/>
    </xf>
    <xf numFmtId="178"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3" fontId="43" fillId="0" borderId="341" xfId="1" applyNumberFormat="1" applyFont="1" applyFill="1" applyBorder="1" applyAlignment="1">
      <alignment horizontal="center" vertical="center" wrapText="1"/>
    </xf>
    <xf numFmtId="173"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0"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0"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7"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7"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7" fontId="148" fillId="7" borderId="354" xfId="42" applyFont="1" applyFill="1" applyBorder="1" applyAlignment="1">
      <alignment horizontal="center"/>
    </xf>
    <xf numFmtId="167"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3"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78" fontId="41" fillId="2" borderId="224" xfId="11" applyNumberFormat="1" applyFont="1" applyFill="1" applyBorder="1" applyAlignment="1">
      <alignment horizontal="center" vertical="center"/>
    </xf>
    <xf numFmtId="178"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7"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0"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0"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0" fillId="0" borderId="213" xfId="15" applyNumberFormat="1" applyFont="1" applyFill="1" applyBorder="1" applyAlignment="1">
      <alignment horizontal="center" vertical="center"/>
    </xf>
    <xf numFmtId="173" fontId="40" fillId="0" borderId="213" xfId="1" applyNumberFormat="1" applyFont="1" applyFill="1" applyBorder="1" applyAlignment="1">
      <alignment horizontal="center" vertical="center"/>
    </xf>
    <xf numFmtId="176" fontId="40" fillId="0" borderId="214" xfId="15" applyNumberFormat="1" applyFont="1" applyFill="1" applyBorder="1" applyAlignment="1">
      <alignment horizontal="center" vertical="center"/>
    </xf>
    <xf numFmtId="176"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69"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69"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69" fontId="27" fillId="20" borderId="160" xfId="14" applyNumberFormat="1" applyFont="1" applyFill="1" applyBorder="1" applyAlignment="1">
      <alignment horizontal="right" vertical="center" indent="2"/>
    </xf>
    <xf numFmtId="167"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0" fontId="149" fillId="0" borderId="37" xfId="40" applyNumberFormat="1" applyFont="1" applyBorder="1" applyAlignment="1">
      <alignment horizontal="centerContinuous" vertical="center"/>
    </xf>
    <xf numFmtId="190"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3" fontId="41" fillId="0" borderId="233" xfId="15" applyNumberFormat="1" applyFont="1" applyBorder="1" applyAlignment="1">
      <alignment horizontal="center" vertical="center"/>
    </xf>
    <xf numFmtId="167" fontId="125" fillId="2" borderId="0" xfId="6" applyNumberFormat="1" applyFont="1" applyFill="1"/>
    <xf numFmtId="192" fontId="40" fillId="0" borderId="269" xfId="0" applyNumberFormat="1" applyFont="1" applyBorder="1" applyAlignment="1">
      <alignment horizontal="center" vertical="center" wrapText="1"/>
    </xf>
    <xf numFmtId="191"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3"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88"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69"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78"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3"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78"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78"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88"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78" fontId="90" fillId="0" borderId="0" xfId="28" applyNumberFormat="1" applyFont="1" applyAlignment="1">
      <alignment vertical="center"/>
    </xf>
    <xf numFmtId="176"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7"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7"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7"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68" fontId="37" fillId="0" borderId="0" xfId="3" applyNumberFormat="1" applyFont="1" applyAlignment="1">
      <alignment horizontal="right"/>
    </xf>
    <xf numFmtId="169" fontId="55" fillId="0" borderId="140" xfId="14" applyNumberFormat="1" applyFont="1" applyBorder="1" applyAlignment="1">
      <alignment horizontal="center" vertical="center"/>
    </xf>
    <xf numFmtId="176" fontId="40" fillId="2" borderId="213" xfId="15" applyNumberFormat="1" applyFont="1" applyFill="1" applyBorder="1" applyAlignment="1">
      <alignment horizontal="center" vertical="center"/>
    </xf>
    <xf numFmtId="176"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68" fontId="37" fillId="0" borderId="37" xfId="3" applyNumberFormat="1" applyFont="1" applyBorder="1" applyAlignment="1">
      <alignment horizontal="right"/>
    </xf>
    <xf numFmtId="167" fontId="37" fillId="0" borderId="37" xfId="3" applyNumberFormat="1" applyFont="1" applyBorder="1" applyAlignment="1">
      <alignment horizontal="right"/>
    </xf>
    <xf numFmtId="167" fontId="37" fillId="0" borderId="37" xfId="3" applyNumberFormat="1" applyFont="1" applyBorder="1"/>
    <xf numFmtId="167"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178" fontId="40" fillId="0" borderId="0" xfId="30" applyNumberFormat="1" applyFont="1" applyAlignment="1">
      <alignment vertical="center"/>
    </xf>
    <xf numFmtId="4" fontId="6" fillId="0" borderId="339" xfId="40" applyNumberFormat="1" applyBorder="1" applyAlignment="1">
      <alignment horizontal="center" vertical="center" wrapText="1"/>
    </xf>
    <xf numFmtId="4" fontId="6" fillId="15" borderId="261" xfId="40" applyNumberFormat="1" applyFill="1" applyBorder="1" applyAlignment="1">
      <alignment horizontal="centerContinuous" vertical="center" wrapText="1"/>
    </xf>
    <xf numFmtId="0" fontId="27" fillId="7" borderId="251" xfId="13" applyFont="1" applyFill="1" applyBorder="1" applyAlignment="1">
      <alignment horizontal="centerContinuous" vertical="center" wrapText="1"/>
    </xf>
    <xf numFmtId="4" fontId="27" fillId="0" borderId="389" xfId="3" applyNumberFormat="1" applyFont="1" applyBorder="1" applyAlignment="1">
      <alignment horizontal="right" vertical="center" wrapText="1"/>
    </xf>
    <xf numFmtId="4" fontId="27" fillId="11" borderId="389" xfId="3" applyNumberFormat="1" applyFont="1" applyFill="1" applyBorder="1" applyAlignment="1">
      <alignment horizontal="right" vertical="center" wrapText="1"/>
    </xf>
    <xf numFmtId="4" fontId="41" fillId="11" borderId="389" xfId="3" applyNumberFormat="1" applyFont="1" applyFill="1" applyBorder="1" applyAlignment="1">
      <alignment horizontal="right" vertical="center" wrapText="1"/>
    </xf>
    <xf numFmtId="43" fontId="125" fillId="0" borderId="0" xfId="44" applyFont="1"/>
    <xf numFmtId="167" fontId="40" fillId="10" borderId="47" xfId="12" applyFont="1" applyFill="1" applyBorder="1" applyAlignment="1">
      <alignment horizontal="center" vertical="center" wrapText="1"/>
    </xf>
    <xf numFmtId="167" fontId="40" fillId="10" borderId="57" xfId="12" applyFont="1" applyFill="1" applyBorder="1" applyAlignment="1">
      <alignment horizontal="center" vertical="center" wrapText="1"/>
    </xf>
    <xf numFmtId="167" fontId="40" fillId="10" borderId="48" xfId="12" applyFont="1" applyFill="1" applyBorder="1" applyAlignment="1">
      <alignment horizontal="center" vertical="center" wrapText="1"/>
    </xf>
    <xf numFmtId="167" fontId="40" fillId="10" borderId="58" xfId="12" applyFont="1" applyFill="1" applyBorder="1" applyAlignment="1">
      <alignment horizontal="center" vertical="center" wrapText="1"/>
    </xf>
    <xf numFmtId="167" fontId="40" fillId="10" borderId="43" xfId="12" applyFont="1" applyFill="1" applyBorder="1" applyAlignment="1">
      <alignment horizontal="center" vertical="center" wrapText="1"/>
    </xf>
    <xf numFmtId="167" fontId="40" fillId="10" borderId="55" xfId="12" applyFont="1" applyFill="1" applyBorder="1" applyAlignment="1">
      <alignment horizontal="center"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51" xfId="12" applyFont="1" applyFill="1" applyBorder="1" applyAlignment="1">
      <alignment horizontal="center" vertical="center" wrapText="1"/>
    </xf>
    <xf numFmtId="167" fontId="37" fillId="9" borderId="43" xfId="12" applyFont="1" applyFill="1" applyBorder="1" applyAlignment="1">
      <alignment horizontal="center" vertical="center" wrapText="1"/>
    </xf>
    <xf numFmtId="167" fontId="37" fillId="9" borderId="55" xfId="12" applyFont="1" applyFill="1" applyBorder="1" applyAlignment="1">
      <alignment horizontal="center" vertical="center" wrapText="1"/>
    </xf>
    <xf numFmtId="167" fontId="37" fillId="9" borderId="47" xfId="12" applyFont="1" applyFill="1" applyBorder="1" applyAlignment="1">
      <alignment horizontal="center" vertical="center" wrapText="1"/>
    </xf>
    <xf numFmtId="167" fontId="37" fillId="9" borderId="57" xfId="12" applyFont="1" applyFill="1" applyBorder="1" applyAlignment="1">
      <alignment horizontal="center" vertical="center" wrapText="1"/>
    </xf>
    <xf numFmtId="167" fontId="37" fillId="9" borderId="48" xfId="12" applyFont="1" applyFill="1" applyBorder="1" applyAlignment="1">
      <alignment horizontal="center" vertical="center" wrapText="1"/>
    </xf>
    <xf numFmtId="167" fontId="37" fillId="9" borderId="58" xfId="12" applyFont="1" applyFill="1" applyBorder="1" applyAlignment="1">
      <alignment horizontal="center" vertical="center" wrapText="1"/>
    </xf>
    <xf numFmtId="167" fontId="40" fillId="10" borderId="42" xfId="12" applyFont="1" applyFill="1" applyBorder="1" applyAlignment="1">
      <alignment horizontal="center" vertical="center" wrapText="1"/>
    </xf>
    <xf numFmtId="167" fontId="40" fillId="10" borderId="54" xfId="12" applyFont="1" applyFill="1" applyBorder="1" applyAlignment="1">
      <alignment horizontal="center" vertical="center" wrapText="1"/>
    </xf>
    <xf numFmtId="167" fontId="38" fillId="9" borderId="48" xfId="12" applyFont="1" applyFill="1" applyBorder="1" applyAlignment="1">
      <alignment horizontal="center" vertical="center" wrapText="1"/>
    </xf>
    <xf numFmtId="167" fontId="37" fillId="9" borderId="44" xfId="12" applyFont="1" applyFill="1" applyBorder="1" applyAlignment="1">
      <alignment horizontal="center" vertical="center" wrapText="1"/>
    </xf>
    <xf numFmtId="167" fontId="37" fillId="9" borderId="45"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6" fillId="0" borderId="41" xfId="12" applyFont="1" applyBorder="1" applyAlignment="1">
      <alignment horizontal="center" vertical="center" wrapText="1"/>
    </xf>
    <xf numFmtId="167" fontId="6" fillId="0" borderId="53" xfId="12" applyFont="1" applyBorder="1" applyAlignment="1">
      <alignment horizontal="center" vertical="center" wrapText="1"/>
    </xf>
    <xf numFmtId="167" fontId="37" fillId="9" borderId="42" xfId="12" applyFont="1" applyFill="1" applyBorder="1" applyAlignment="1">
      <alignment horizontal="center" vertical="center" wrapText="1"/>
    </xf>
    <xf numFmtId="167" fontId="37" fillId="9" borderId="54" xfId="12" applyFont="1" applyFill="1" applyBorder="1" applyAlignment="1">
      <alignment horizontal="center"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28" fillId="2" borderId="0" xfId="6" applyFont="1" applyFill="1" applyAlignment="1">
      <alignment horizontal="center" vertical="center"/>
    </xf>
    <xf numFmtId="165" fontId="32" fillId="0" borderId="12" xfId="9" applyNumberFormat="1" applyFont="1" applyBorder="1" applyAlignment="1" applyProtection="1">
      <alignment horizontal="left"/>
      <protection locked="0"/>
    </xf>
    <xf numFmtId="165" fontId="32" fillId="0" borderId="13" xfId="9" applyNumberFormat="1" applyFont="1" applyBorder="1" applyAlignment="1" applyProtection="1">
      <alignment horizontal="left"/>
      <protection locked="0"/>
    </xf>
    <xf numFmtId="165" fontId="32" fillId="0" borderId="14" xfId="9" applyNumberFormat="1" applyFont="1" applyBorder="1" applyAlignment="1" applyProtection="1">
      <alignment horizontal="left"/>
      <protection locked="0"/>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0" fillId="0" borderId="0" xfId="6" applyFont="1" applyAlignment="1">
      <alignment horizontal="left" vertical="center" indent="1"/>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69" fontId="43" fillId="0" borderId="162" xfId="14" applyNumberFormat="1" applyFont="1" applyBorder="1" applyAlignment="1">
      <alignment horizontal="center" vertical="center" wrapText="1"/>
    </xf>
    <xf numFmtId="169"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0" fontId="2" fillId="41"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2" borderId="367" xfId="0"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7"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xf>
    <xf numFmtId="0" fontId="6" fillId="0" borderId="213" xfId="31" applyBorder="1" applyAlignment="1">
      <alignment horizontal="left" vertical="center" wrapText="1" indent="1"/>
    </xf>
    <xf numFmtId="0" fontId="6" fillId="0" borderId="209" xfId="31" applyBorder="1" applyAlignment="1">
      <alignment horizontal="left" vertical="center" wrapText="1" indent="1"/>
    </xf>
    <xf numFmtId="0" fontId="40" fillId="0" borderId="0" xfId="28" applyFont="1" applyAlignment="1">
      <alignment horizontal="left" vertical="center" indent="1"/>
    </xf>
    <xf numFmtId="0" fontId="6" fillId="0" borderId="213" xfId="31" applyBorder="1" applyAlignment="1">
      <alignment horizontal="left" vertical="center" indent="1"/>
    </xf>
    <xf numFmtId="14" fontId="141" fillId="0" borderId="0" xfId="26" applyNumberFormat="1" applyFont="1" applyFill="1" applyBorder="1" applyAlignment="1">
      <alignment horizontal="left" vertical="center" indent="1"/>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3" fontId="40" fillId="0" borderId="221" xfId="15" applyNumberFormat="1" applyFont="1" applyFill="1" applyBorder="1" applyAlignment="1">
      <alignment horizontal="center" vertical="center"/>
    </xf>
    <xf numFmtId="173" fontId="40" fillId="0" borderId="223" xfId="15" applyNumberFormat="1" applyFont="1" applyFill="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71" fillId="2" borderId="0" xfId="30" applyFont="1" applyFill="1" applyAlignment="1">
      <alignment horizontal="left" vertical="center" wrapText="1"/>
    </xf>
    <xf numFmtId="0" fontId="6" fillId="0" borderId="213" xfId="32" applyNumberFormat="1" applyFont="1" applyFill="1" applyBorder="1" applyAlignment="1">
      <alignment horizontal="left" vertical="center" wrapText="1" indent="1"/>
    </xf>
    <xf numFmtId="0" fontId="6" fillId="0" borderId="214" xfId="32" applyNumberFormat="1" applyFont="1" applyFill="1" applyBorder="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 fontId="6" fillId="0" borderId="262" xfId="40" applyNumberFormat="1" applyBorder="1" applyAlignment="1">
      <alignment horizontal="center" vertical="center" wrapText="1"/>
    </xf>
    <xf numFmtId="14" fontId="6" fillId="0" borderId="254" xfId="40" applyNumberFormat="1" applyBorder="1" applyAlignment="1">
      <alignment horizontal="center" vertical="center" wrapText="1"/>
    </xf>
    <xf numFmtId="14" fontId="6" fillId="0" borderId="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256" xfId="40" applyNumberFormat="1" applyBorder="1" applyAlignment="1">
      <alignment horizontal="center" vertical="center" wrapText="1"/>
    </xf>
    <xf numFmtId="4" fontId="6" fillId="0" borderId="55" xfId="40" applyNumberFormat="1" applyBorder="1" applyAlignment="1">
      <alignment horizontal="center" vertical="center" wrapText="1"/>
    </xf>
    <xf numFmtId="4" fontId="6" fillId="0" borderId="263"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14" fontId="6" fillId="0" borderId="278"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0" fontId="6" fillId="0" borderId="281" xfId="40" applyNumberFormat="1" applyBorder="1" applyAlignment="1">
      <alignment horizontal="center" vertical="center" wrapText="1"/>
    </xf>
    <xf numFmtId="190" fontId="6" fillId="0" borderId="58" xfId="40" applyNumberFormat="1" applyBorder="1" applyAlignment="1">
      <alignment horizontal="center" vertical="center" wrapText="1"/>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1">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86" xr:uid="{9E4D868A-1DBD-4AD8-A1A0-8C9346A4BA99}"/>
    <cellStyle name="Comma 54" xfId="288" xr:uid="{F14674EA-0AB1-41C6-95B7-A0510E6FD674}"/>
    <cellStyle name="Comma 55" xfId="289"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eutral 2" xfId="197" xr:uid="{61431A27-7654-4FC5-AF01-EE774A5ED5E9}"/>
    <cellStyle name="Neutral 3" xfId="198" xr:uid="{56199079-BFB4-4140-9AC9-7FAE19A240F1}"/>
    <cellStyle name="Neutre" xfId="199"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0_03 - Monthly Collection" xfId="290" xr:uid="{C81F220C-35ED-480A-8F28-5EA9797776CB}"/>
    <cellStyle name="Normal 11" xfId="285"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4" xr:uid="{6E606AE8-8D30-4953-94F0-EAE8BB16F5CC}"/>
    <cellStyle name="Normal 2 5" xfId="200" xr:uid="{41D7D001-BEA5-4E2A-B574-B5F258328605}"/>
    <cellStyle name="Normal 2_Historical_Data_2011_09_investors" xfId="201" xr:uid="{F4BAD13E-CE97-4C7F-83C5-CBE95E675388}"/>
    <cellStyle name="Normal 25 2" xfId="16" xr:uid="{410BF2F1-3FE0-45DD-A273-589D958EC7C9}"/>
    <cellStyle name="Normal 3" xfId="2" xr:uid="{A44BC3D8-9664-418C-AA8A-2D9C5E645CE4}"/>
    <cellStyle name="Normal 3 2" xfId="202" xr:uid="{883CCF90-DD07-44C1-BBB3-BFE2BE46A882}"/>
    <cellStyle name="Normal 3 2 2" xfId="203" xr:uid="{E1B6B2CC-B6FE-4FD6-A165-AF2549257BBB}"/>
    <cellStyle name="Normal 3 2 3" xfId="204" xr:uid="{D73CDA9C-EB4A-49E1-82B1-C91A6E1E9B8B}"/>
    <cellStyle name="Normal 3 3" xfId="205" xr:uid="{D3474D20-BC06-4802-8F6E-178D1257EBEC}"/>
    <cellStyle name="Normal 3 3 2" xfId="206" xr:uid="{B8E4C0FC-22A3-4755-BA41-5148D80A55CD}"/>
    <cellStyle name="Normal 3 4" xfId="207" xr:uid="{CBBDA699-5DE9-4C66-849E-C167EED0FA97}"/>
    <cellStyle name="Normal 3 5" xfId="27" xr:uid="{E9A9B5E6-4601-4E67-83E2-9546C4B446EF}"/>
    <cellStyle name="Normal 3 6" xfId="17" xr:uid="{08E10E6B-796C-40E0-87B3-638CD5B3160D}"/>
    <cellStyle name="Normal 3 6 2" xfId="208" xr:uid="{5F7EC870-607A-46BD-AA1A-439B8AEF1C10}"/>
    <cellStyle name="Normal 3 7" xfId="4" xr:uid="{A6676AB0-9552-46C7-8A1E-B801663F86C5}"/>
    <cellStyle name="Normal 3 8" xfId="50" xr:uid="{579F97E2-21BA-4A71-A169-D591E1A5A984}"/>
    <cellStyle name="Normal 4" xfId="209" xr:uid="{5741EC88-AA3F-47E0-A5B5-FD9EF6EF8CEF}"/>
    <cellStyle name="Normal 4 2" xfId="35" xr:uid="{82EF75E5-1D9D-4618-9EE3-C67EF48DB87C}"/>
    <cellStyle name="Normal 4 2 2" xfId="211" xr:uid="{9723B784-81B3-4DEF-8E82-4C1E46B3F86E}"/>
    <cellStyle name="Normal 4 2 2 2" xfId="212" xr:uid="{76C4D2E5-9313-4279-BC4D-003C17597600}"/>
    <cellStyle name="Normal 4 2 3" xfId="210" xr:uid="{1629A381-A0DD-4754-9494-38983D7FEB0A}"/>
    <cellStyle name="Normal 4 3" xfId="213" xr:uid="{82AA1A79-2735-4861-9F0B-410735D09C73}"/>
    <cellStyle name="Normal 4 3 2" xfId="214" xr:uid="{54D55A3B-8650-4ED9-9B48-B115C1B67D0A}"/>
    <cellStyle name="Normal 4 4" xfId="215" xr:uid="{0BC4D9A5-D91F-4C3F-B9F8-A3F95714AA93}"/>
    <cellStyle name="Normal 4 4 2" xfId="216" xr:uid="{93B59B21-D6DF-4794-8441-42E364B0C3FD}"/>
    <cellStyle name="Normal 5" xfId="28" xr:uid="{DD519CE7-0D48-43CC-9BC1-3684BD629D38}"/>
    <cellStyle name="Normal 5 2" xfId="218" xr:uid="{98E39F24-6CED-4E6E-A8CF-15E41DFBD109}"/>
    <cellStyle name="Normal 5 3" xfId="217"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19" xr:uid="{CF9C04B2-EE0A-4404-8007-162B208FDFAF}"/>
    <cellStyle name="Normal 8" xfId="220" xr:uid="{D307BEA4-CBCB-4549-8D44-AAB2040A2395}"/>
    <cellStyle name="Normal 9" xfId="221"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2" xr:uid="{862D9BB5-A9B6-4195-9380-73EC3DCB2D66}"/>
    <cellStyle name="Note 2" xfId="223" xr:uid="{E83E1628-7ED0-4DD6-887A-70BC35564F8D}"/>
    <cellStyle name="Note 2 2" xfId="224" xr:uid="{F514407F-6B7F-4239-9FFC-EA577FEB28D8}"/>
    <cellStyle name="Note 3" xfId="225" xr:uid="{0F744E0B-7D60-467A-8987-1B5137CA9AFB}"/>
    <cellStyle name="Note 3 2" xfId="226" xr:uid="{C6E7D039-24EC-4E31-8DD7-A62A5642187B}"/>
    <cellStyle name="Note 4" xfId="227" xr:uid="{8D973819-E83E-4C12-BEB5-FFC94DAD773B}"/>
    <cellStyle name="Note 4 2" xfId="228" xr:uid="{5F6245A4-3F11-434E-9159-37C63774F4F6}"/>
    <cellStyle name="Note 5" xfId="229" xr:uid="{DD891760-EED1-494B-A3F9-35C2DBE5C2A3}"/>
    <cellStyle name="Output 2" xfId="230" xr:uid="{49530DE1-015C-46D1-B309-BA5066919C46}"/>
    <cellStyle name="Per cent 2" xfId="287" xr:uid="{DF8D26FB-66A7-43CC-8DDA-FDA3E5E209B2}"/>
    <cellStyle name="Percent" xfId="1" builtinId="5"/>
    <cellStyle name="Percent 10" xfId="231" xr:uid="{26C46D1F-B71B-45C4-B5A6-A17D94BA363C}"/>
    <cellStyle name="Percent 2" xfId="15" xr:uid="{0D33ED19-0CDF-4428-9D1D-5AD4C003E954}"/>
    <cellStyle name="Percent 2 2" xfId="233" xr:uid="{A6D007B0-5191-411F-9F4E-F1AC82F5F90F}"/>
    <cellStyle name="Percent 2 2 2" xfId="234" xr:uid="{7DDB104D-7F82-4F45-9328-70D266FEF21A}"/>
    <cellStyle name="Percent 2 3" xfId="235" xr:uid="{336208D1-B684-4E90-A0E1-CCF414D33F8E}"/>
    <cellStyle name="Percent 2 4" xfId="232" xr:uid="{A2782D3A-F337-449B-AE45-97E066E7F32E}"/>
    <cellStyle name="Percent 3" xfId="236" xr:uid="{1E859223-5215-44B9-B792-A5FF66F84879}"/>
    <cellStyle name="Percent 3 2" xfId="237" xr:uid="{8E63A41B-C721-4A02-A0BD-3464BA8AA836}"/>
    <cellStyle name="Percent 3 2 2" xfId="238" xr:uid="{83454822-A032-4258-990A-064579E6AFFD}"/>
    <cellStyle name="Percent 3 3" xfId="239" xr:uid="{E83FA9AF-9CD2-4D6E-8D27-64D6CF92715A}"/>
    <cellStyle name="Percent 3 3 2" xfId="240" xr:uid="{246BB8D7-8E6D-47A0-9F1A-33E955265326}"/>
    <cellStyle name="Percent 3 4" xfId="241" xr:uid="{B0502615-CF93-4E5E-8C57-3BDFC69C70D9}"/>
    <cellStyle name="Percent 4" xfId="242" xr:uid="{1E24F534-E6E4-4847-A2C3-A5DCC5AFD784}"/>
    <cellStyle name="Percent 4 2" xfId="243" xr:uid="{396FE207-83B2-4129-9CE3-9C1DFDD8035D}"/>
    <cellStyle name="Percent 4 2 2" xfId="244" xr:uid="{FEE91D6E-ED56-4272-8BB6-2593FA8AD283}"/>
    <cellStyle name="Percent 4 3" xfId="245" xr:uid="{3588FC73-35B5-43AA-84AA-C4742F33FB1E}"/>
    <cellStyle name="Percent 5" xfId="246" xr:uid="{38E374B6-5697-4BAD-8695-A4562FCB5439}"/>
    <cellStyle name="Percent 5 2" xfId="247" xr:uid="{E6A437E6-F1BE-4E8A-99FB-84073C918D96}"/>
    <cellStyle name="Percent 6" xfId="248" xr:uid="{2648E739-76C9-464A-A85C-D3820086D2DD}"/>
    <cellStyle name="Percent 7" xfId="249" xr:uid="{63766F0D-0B5D-4D8B-BE81-E94F7456081E}"/>
    <cellStyle name="Percent 8" xfId="250" xr:uid="{B360BF87-4CA1-4C5F-B0D2-3F71C581234E}"/>
    <cellStyle name="Percent 9" xfId="251" xr:uid="{9C83B87A-E8AE-4BFC-91D9-B151392F6DD3}"/>
    <cellStyle name="Percent 9 2" xfId="252" xr:uid="{5720A2E8-B579-4431-BBFC-02DD1A55709D}"/>
    <cellStyle name="Percent 9 2 2" xfId="253" xr:uid="{D70FC622-16ED-4D67-949F-567EA40CE8CE}"/>
    <cellStyle name="Percent 9 3" xfId="254" xr:uid="{7C99AA39-80EA-4C11-A0C6-331E29314D28}"/>
    <cellStyle name="Percent 9 3 2" xfId="255" xr:uid="{93EF9572-1689-49E7-9DE3-F6B358488846}"/>
    <cellStyle name="Pourcentage 10" xfId="43" xr:uid="{388F0C5F-1A7E-4B9B-B413-BAF99819BEE6}"/>
    <cellStyle name="Pourcentage 3 2" xfId="36" xr:uid="{1CEB5302-CF23-473A-AED5-F2F8052DCAC9}"/>
    <cellStyle name="Prozent 2" xfId="256" xr:uid="{FF293B3D-49A4-4E97-A346-D97411A886FC}"/>
    <cellStyle name="Prozent 2 2" xfId="257" xr:uid="{C5CF1E18-9FED-48B4-8ABD-EFC1E6E44B7A}"/>
    <cellStyle name="Prozent 2 2 2" xfId="258" xr:uid="{7426BA95-2F15-4DD5-87FA-9DF88B647CBC}"/>
    <cellStyle name="Prozent 2 3" xfId="259" xr:uid="{05C49F34-3627-4F0E-9695-EB3095AEB514}"/>
    <cellStyle name="Prozent 2 3 2" xfId="260" xr:uid="{9E2F5706-ED2F-426C-9D72-2CEFB715DBBB}"/>
    <cellStyle name="Prozent 3" xfId="261" xr:uid="{AB479742-56A8-4AFC-8450-D4ECBCE76729}"/>
    <cellStyle name="Prozent 3 2" xfId="262" xr:uid="{278B4769-E5E1-4736-8223-1C8217C97199}"/>
    <cellStyle name="Satisfaisant" xfId="263" xr:uid="{5D9B0279-685B-496D-AAD6-3BA022042F22}"/>
    <cellStyle name="Sortie" xfId="264" xr:uid="{7BC96EC3-E688-4319-8303-B6D7E2617C49}"/>
    <cellStyle name="Standard 2" xfId="265" xr:uid="{17B6E868-0E77-48BD-979D-FEB01FE16362}"/>
    <cellStyle name="Standard 2 2" xfId="266" xr:uid="{2E4ACF58-3604-4AF4-A76A-D273C22912FB}"/>
    <cellStyle name="Standard 2 2 2" xfId="267" xr:uid="{BA8DC04D-F03E-4BCA-83BE-4A7860FC7B87}"/>
    <cellStyle name="Standard 2 3" xfId="268" xr:uid="{198ECF30-17D1-4163-94C3-1DEEFC683F4A}"/>
    <cellStyle name="Standard 2 3 2" xfId="269" xr:uid="{AD2E2985-67A2-4410-94F3-42C4531DA9E3}"/>
    <cellStyle name="Standard 3" xfId="270" xr:uid="{A41BCECB-4040-4BB1-BE19-8CC2D98E96E4}"/>
    <cellStyle name="Standard 3 2" xfId="271" xr:uid="{99914471-1BC4-46EF-89C6-CCAD31AF2B80}"/>
    <cellStyle name="Standard_Data requests format" xfId="272" xr:uid="{3D2065BC-646D-41F2-86F6-55702767E5D0}"/>
    <cellStyle name="Style 1" xfId="46" xr:uid="{0B98F1C6-1FE4-40AF-AE82-3076CF8DBA87}"/>
    <cellStyle name="Texte explicatif" xfId="273" xr:uid="{4A16E9BA-E60C-4FF2-B7A3-8434D621A009}"/>
    <cellStyle name="Title 2" xfId="274" xr:uid="{F6CB4DA4-9519-41D9-8C59-06357C54A5E6}"/>
    <cellStyle name="Titre" xfId="275" xr:uid="{2D8E678E-01F4-4342-8E3A-D51A1E7B7E35}"/>
    <cellStyle name="Titre 1" xfId="276" xr:uid="{E4E7E7E5-4CA7-436F-B589-71DE420A9D68}"/>
    <cellStyle name="Titre 2" xfId="277" xr:uid="{642EE67B-9848-4DD6-8031-3AA7607AA79A}"/>
    <cellStyle name="Titre 3" xfId="278" xr:uid="{A1A04847-FB8B-4D20-90E9-5766C49CB1AE}"/>
    <cellStyle name="Titre 4" xfId="279" xr:uid="{F22BE2E9-F5E0-4315-B6C9-1C9325A8189F}"/>
    <cellStyle name="Total 2" xfId="280" xr:uid="{5524EA65-A75D-4A72-B917-0A277C61D0DA}"/>
    <cellStyle name="Valuta (0)_Cartel1" xfId="281" xr:uid="{B07159D7-F465-44FD-98B5-DCB87C6E0B98}"/>
    <cellStyle name="Vérification" xfId="282" xr:uid="{74881EEA-22A9-47BE-8D8D-D1F203328E35}"/>
    <cellStyle name="Warning Text 2" xfId="283"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5.6268990916930467E-3</c:v>
                </c:pt>
                <c:pt idx="1">
                  <c:v>5.4272261342392748E-2</c:v>
                </c:pt>
                <c:pt idx="2">
                  <c:v>0.19713548720888577</c:v>
                </c:pt>
                <c:pt idx="3">
                  <c:v>0.12228647822747959</c:v>
                </c:pt>
                <c:pt idx="4">
                  <c:v>0.10925035457100737</c:v>
                </c:pt>
                <c:pt idx="5">
                  <c:v>9.353572726132818E-2</c:v>
                </c:pt>
                <c:pt idx="6">
                  <c:v>6.2884970263614962E-2</c:v>
                </c:pt>
                <c:pt idx="7">
                  <c:v>4.6045542499367403E-2</c:v>
                </c:pt>
                <c:pt idx="8">
                  <c:v>3.1051069749621976E-2</c:v>
                </c:pt>
                <c:pt idx="9">
                  <c:v>2.6026310778742179E-2</c:v>
                </c:pt>
                <c:pt idx="10">
                  <c:v>2.7617399375960847E-2</c:v>
                </c:pt>
                <c:pt idx="11">
                  <c:v>2.7423463185582558E-2</c:v>
                </c:pt>
                <c:pt idx="12">
                  <c:v>3.0837256331981804E-2</c:v>
                </c:pt>
                <c:pt idx="13">
                  <c:v>2.3108214298943466E-2</c:v>
                </c:pt>
                <c:pt idx="14">
                  <c:v>1.8912941577846117E-2</c:v>
                </c:pt>
                <c:pt idx="15">
                  <c:v>1.5826117999192195E-2</c:v>
                </c:pt>
                <c:pt idx="16">
                  <c:v>1.3525464427460715E-2</c:v>
                </c:pt>
                <c:pt idx="17">
                  <c:v>9.9489190570480768E-3</c:v>
                </c:pt>
                <c:pt idx="18">
                  <c:v>8.765205325842667E-3</c:v>
                </c:pt>
                <c:pt idx="19">
                  <c:v>6.8700408007853981E-3</c:v>
                </c:pt>
                <c:pt idx="20">
                  <c:v>7.8205485941432815E-3</c:v>
                </c:pt>
                <c:pt idx="21">
                  <c:v>4.6655042254376269E-3</c:v>
                </c:pt>
                <c:pt idx="22">
                  <c:v>5.1513502477443353E-3</c:v>
                </c:pt>
                <c:pt idx="23">
                  <c:v>3.9826439437162372E-3</c:v>
                </c:pt>
                <c:pt idx="24">
                  <c:v>4.3364358719249841E-3</c:v>
                </c:pt>
                <c:pt idx="25">
                  <c:v>3.3924672585797832E-3</c:v>
                </c:pt>
                <c:pt idx="26">
                  <c:v>4.7508929873283723E-3</c:v>
                </c:pt>
                <c:pt idx="27">
                  <c:v>2.8796883581768268E-3</c:v>
                </c:pt>
                <c:pt idx="28">
                  <c:v>2.210840242034235E-3</c:v>
                </c:pt>
                <c:pt idx="29">
                  <c:v>2.1880971927806486E-3</c:v>
                </c:pt>
                <c:pt idx="30">
                  <c:v>2.767140770335683E-2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60384559.649999999</c:v>
                      </c:pt>
                      <c:pt idx="1">
                        <c:v>582417873.32000005</c:v>
                      </c:pt>
                      <c:pt idx="2">
                        <c:v>2115541685.1300001</c:v>
                      </c:pt>
                      <c:pt idx="3">
                        <c:v>1312306302.03</c:v>
                      </c:pt>
                      <c:pt idx="4">
                        <c:v>1172410317.8099999</c:v>
                      </c:pt>
                      <c:pt idx="5">
                        <c:v>1003770213.4299999</c:v>
                      </c:pt>
                      <c:pt idx="6">
                        <c:v>674844381.62</c:v>
                      </c:pt>
                      <c:pt idx="7">
                        <c:v>494133582.69999999</c:v>
                      </c:pt>
                      <c:pt idx="8">
                        <c:v>333221751.97000003</c:v>
                      </c:pt>
                      <c:pt idx="9">
                        <c:v>279299004.67000002</c:v>
                      </c:pt>
                      <c:pt idx="10">
                        <c:v>296373628.31999999</c:v>
                      </c:pt>
                      <c:pt idx="11">
                        <c:v>294292419.60000002</c:v>
                      </c:pt>
                      <c:pt idx="12">
                        <c:v>330927232.57999998</c:v>
                      </c:pt>
                      <c:pt idx="13">
                        <c:v>247983715.72</c:v>
                      </c:pt>
                      <c:pt idx="14">
                        <c:v>202962525.22999999</c:v>
                      </c:pt>
                      <c:pt idx="15">
                        <c:v>169836556.65000001</c:v>
                      </c:pt>
                      <c:pt idx="16">
                        <c:v>145147300.53</c:v>
                      </c:pt>
                      <c:pt idx="17">
                        <c:v>106765926.75</c:v>
                      </c:pt>
                      <c:pt idx="18">
                        <c:v>94063009.700000003</c:v>
                      </c:pt>
                      <c:pt idx="19">
                        <c:v>73725222.680000007</c:v>
                      </c:pt>
                      <c:pt idx="20">
                        <c:v>83925511.260000005</c:v>
                      </c:pt>
                      <c:pt idx="21">
                        <c:v>50067437.43</c:v>
                      </c:pt>
                      <c:pt idx="22">
                        <c:v>55281250.159999996</c:v>
                      </c:pt>
                      <c:pt idx="23">
                        <c:v>42739383.960000001</c:v>
                      </c:pt>
                      <c:pt idx="24">
                        <c:v>46536070.100000001</c:v>
                      </c:pt>
                      <c:pt idx="25">
                        <c:v>36405956.140000001</c:v>
                      </c:pt>
                      <c:pt idx="26">
                        <c:v>50983779.219999999</c:v>
                      </c:pt>
                      <c:pt idx="27">
                        <c:v>30903115.66</c:v>
                      </c:pt>
                      <c:pt idx="28">
                        <c:v>23725432.48</c:v>
                      </c:pt>
                      <c:pt idx="29">
                        <c:v>23481367.5</c:v>
                      </c:pt>
                      <c:pt idx="30">
                        <c:v>296953213.81</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0.17690904097531188</c:v>
                </c:pt>
                <c:pt idx="1">
                  <c:v>0.1232847213671706</c:v>
                </c:pt>
                <c:pt idx="2">
                  <c:v>0.69980623765751737</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2.2210990917839285E-4</c:v>
                </c:pt>
                <c:pt idx="1">
                  <c:v>2.1897581767941292E-4</c:v>
                </c:pt>
                <c:pt idx="2">
                  <c:v>2.169636915424299E-4</c:v>
                </c:pt>
                <c:pt idx="3">
                  <c:v>2.135706322032045E-4</c:v>
                </c:pt>
                <c:pt idx="4">
                  <c:v>2.0978093252426965E-4</c:v>
                </c:pt>
                <c:pt idx="5">
                  <c:v>1.9801957001912586E-4</c:v>
                </c:pt>
                <c:pt idx="6">
                  <c:v>1.9771884531642094E-4</c:v>
                </c:pt>
                <c:pt idx="7">
                  <c:v>1.9439458215763462E-4</c:v>
                </c:pt>
                <c:pt idx="8">
                  <c:v>1.9369370033588213E-4</c:v>
                </c:pt>
                <c:pt idx="9">
                  <c:v>1.8768780906579333E-4</c:v>
                </c:pt>
                <c:pt idx="10">
                  <c:v>1.8681527225679098E-4</c:v>
                </c:pt>
                <c:pt idx="11">
                  <c:v>1.8490984971505258E-4</c:v>
                </c:pt>
                <c:pt idx="12">
                  <c:v>1.8434673544085432E-4</c:v>
                </c:pt>
                <c:pt idx="13">
                  <c:v>1.8341903067023126E-4</c:v>
                </c:pt>
                <c:pt idx="14">
                  <c:v>1.8290097291817349E-4</c:v>
                </c:pt>
                <c:pt idx="15">
                  <c:v>1.8153643644333811E-4</c:v>
                </c:pt>
                <c:pt idx="16">
                  <c:v>1.811538781304856E-4</c:v>
                </c:pt>
                <c:pt idx="17">
                  <c:v>1.807520688519874E-4</c:v>
                </c:pt>
                <c:pt idx="18">
                  <c:v>1.7819767658710514E-4</c:v>
                </c:pt>
                <c:pt idx="19">
                  <c:v>1.6968530567620135E-4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0.83999771516874089</c:v>
                </c:pt>
                <c:pt idx="1">
                  <c:v>0.10311730899457763</c:v>
                </c:pt>
                <c:pt idx="2">
                  <c:v>0</c:v>
                </c:pt>
                <c:pt idx="3" formatCode="General">
                  <c:v>5.6884975836681437E-2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4.2859655680471597E-3</c:v>
                </c:pt>
                <c:pt idx="1">
                  <c:v>1.5892393336546691E-2</c:v>
                </c:pt>
                <c:pt idx="2">
                  <c:v>3.4573977831495677E-2</c:v>
                </c:pt>
                <c:pt idx="3">
                  <c:v>6.0619334980210132E-2</c:v>
                </c:pt>
                <c:pt idx="4">
                  <c:v>9.136407725251279E-2</c:v>
                </c:pt>
                <c:pt idx="5">
                  <c:v>0.11836194067013903</c:v>
                </c:pt>
                <c:pt idx="6">
                  <c:v>0.14292469050131079</c:v>
                </c:pt>
                <c:pt idx="7">
                  <c:v>0.16770323552330438</c:v>
                </c:pt>
                <c:pt idx="8">
                  <c:v>0.1807401681117082</c:v>
                </c:pt>
                <c:pt idx="9">
                  <c:v>0.15051269354707816</c:v>
                </c:pt>
                <c:pt idx="10">
                  <c:v>3.3021522677647047E-2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1292391.3799999999</c:v>
                      </c:pt>
                      <c:pt idx="1">
                        <c:v>11259777.279999999</c:v>
                      </c:pt>
                      <c:pt idx="2">
                        <c:v>44500478.100000001</c:v>
                      </c:pt>
                      <c:pt idx="3">
                        <c:v>117253234.12</c:v>
                      </c:pt>
                      <c:pt idx="4">
                        <c:v>186077212.80000001</c:v>
                      </c:pt>
                      <c:pt idx="5">
                        <c:v>341791022.58999997</c:v>
                      </c:pt>
                      <c:pt idx="6">
                        <c:v>526534101.75999999</c:v>
                      </c:pt>
                      <c:pt idx="7">
                        <c:v>794943177.58000004</c:v>
                      </c:pt>
                      <c:pt idx="8">
                        <c:v>1271239108.6099999</c:v>
                      </c:pt>
                      <c:pt idx="9">
                        <c:v>2428943169.2399998</c:v>
                      </c:pt>
                      <c:pt idx="10">
                        <c:v>4178129707.9400001</c:v>
                      </c:pt>
                      <c:pt idx="11">
                        <c:v>829446346.40999997</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4.9516910273487624E-3</c:v>
                </c:pt>
                <c:pt idx="1">
                  <c:v>1.5054286251072895E-2</c:v>
                </c:pt>
                <c:pt idx="2">
                  <c:v>3.869789224744738E-2</c:v>
                </c:pt>
                <c:pt idx="3">
                  <c:v>9.3574793379446228E-2</c:v>
                </c:pt>
                <c:pt idx="4">
                  <c:v>0.18636366672937912</c:v>
                </c:pt>
                <c:pt idx="5">
                  <c:v>0.35564187694554233</c:v>
                </c:pt>
                <c:pt idx="6">
                  <c:v>0.15457334381533447</c:v>
                </c:pt>
                <c:pt idx="7">
                  <c:v>7.688369472576044E-2</c:v>
                </c:pt>
                <c:pt idx="8">
                  <c:v>4.2008332945460865E-2</c:v>
                </c:pt>
                <c:pt idx="9">
                  <c:v>1.9610468964262249E-2</c:v>
                </c:pt>
                <c:pt idx="10">
                  <c:v>1.2639952968945255E-2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0.10541312311452064</c:v>
                </c:pt>
                <c:pt idx="1">
                  <c:v>0.89458687688547933</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0.83999771516874089</c:v>
                </c:pt>
                <c:pt idx="1">
                  <c:v>0.10311730899457763</c:v>
                </c:pt>
                <c:pt idx="2">
                  <c:v>0</c:v>
                </c:pt>
                <c:pt idx="3" formatCode="General">
                  <c:v>5.6884975836681437E-2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3.9294304343559398E-2</c:v>
                </c:pt>
                <c:pt idx="1">
                  <c:v>0.13465526406146228</c:v>
                </c:pt>
                <c:pt idx="2">
                  <c:v>0.20246486058858165</c:v>
                </c:pt>
                <c:pt idx="3">
                  <c:v>0.12224423200060923</c:v>
                </c:pt>
                <c:pt idx="4">
                  <c:v>0.1013951764091348</c:v>
                </c:pt>
                <c:pt idx="5">
                  <c:v>7.0890532568944273E-2</c:v>
                </c:pt>
                <c:pt idx="6">
                  <c:v>4.6536149451626083E-2</c:v>
                </c:pt>
                <c:pt idx="7">
                  <c:v>3.1029651188982699E-2</c:v>
                </c:pt>
                <c:pt idx="8">
                  <c:v>2.3482476235806408E-2</c:v>
                </c:pt>
                <c:pt idx="9">
                  <c:v>3.6309347979719492E-2</c:v>
                </c:pt>
                <c:pt idx="10">
                  <c:v>3.2159997759253434E-2</c:v>
                </c:pt>
                <c:pt idx="11">
                  <c:v>2.7138912372832707E-2</c:v>
                </c:pt>
                <c:pt idx="12">
                  <c:v>2.248846567237069E-2</c:v>
                </c:pt>
                <c:pt idx="13">
                  <c:v>1.5174491917683232E-2</c:v>
                </c:pt>
                <c:pt idx="14">
                  <c:v>1.1407837933235189E-2</c:v>
                </c:pt>
                <c:pt idx="15">
                  <c:v>1.0655960272736374E-2</c:v>
                </c:pt>
                <c:pt idx="16">
                  <c:v>8.7621510439886193E-3</c:v>
                </c:pt>
                <c:pt idx="17">
                  <c:v>7.7343334366321145E-3</c:v>
                </c:pt>
                <c:pt idx="18">
                  <c:v>6.4956999208924619E-3</c:v>
                </c:pt>
                <c:pt idx="19">
                  <c:v>5.439165811434523E-3</c:v>
                </c:pt>
                <c:pt idx="20">
                  <c:v>4.1038299652162661E-3</c:v>
                </c:pt>
                <c:pt idx="21">
                  <c:v>3.8101424386061743E-3</c:v>
                </c:pt>
                <c:pt idx="22">
                  <c:v>3.2498538900831986E-3</c:v>
                </c:pt>
                <c:pt idx="23">
                  <c:v>2.8414581060099736E-3</c:v>
                </c:pt>
                <c:pt idx="24">
                  <c:v>3.4220067690486178E-3</c:v>
                </c:pt>
                <c:pt idx="25">
                  <c:v>3.9122912259327109E-3</c:v>
                </c:pt>
                <c:pt idx="26">
                  <c:v>2.5994226897990916E-3</c:v>
                </c:pt>
                <c:pt idx="27">
                  <c:v>2.5565532316692988E-3</c:v>
                </c:pt>
                <c:pt idx="28">
                  <c:v>2.9239969338495813E-3</c:v>
                </c:pt>
                <c:pt idx="29">
                  <c:v>2.1963485672268717E-3</c:v>
                </c:pt>
                <c:pt idx="30">
                  <c:v>1.2625085213072838E-2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421683279.88</c:v>
                      </c:pt>
                      <c:pt idx="1">
                        <c:v>1445040810.6500001</c:v>
                      </c:pt>
                      <c:pt idx="2">
                        <c:v>2172733374.46</c:v>
                      </c:pt>
                      <c:pt idx="3">
                        <c:v>1311852940.46</c:v>
                      </c:pt>
                      <c:pt idx="4">
                        <c:v>1088113182.47</c:v>
                      </c:pt>
                      <c:pt idx="5">
                        <c:v>760755350.82000005</c:v>
                      </c:pt>
                      <c:pt idx="6">
                        <c:v>499398486.92000002</c:v>
                      </c:pt>
                      <c:pt idx="7">
                        <c:v>332991900.62</c:v>
                      </c:pt>
                      <c:pt idx="8">
                        <c:v>252000073.91</c:v>
                      </c:pt>
                      <c:pt idx="9">
                        <c:v>389650490.12</c:v>
                      </c:pt>
                      <c:pt idx="10">
                        <c:v>345122112.80000001</c:v>
                      </c:pt>
                      <c:pt idx="11">
                        <c:v>291238788.24000001</c:v>
                      </c:pt>
                      <c:pt idx="12">
                        <c:v>241332939.28</c:v>
                      </c:pt>
                      <c:pt idx="13">
                        <c:v>162843690.18000001</c:v>
                      </c:pt>
                      <c:pt idx="14">
                        <c:v>122422182.97</c:v>
                      </c:pt>
                      <c:pt idx="15">
                        <c:v>114353475.73</c:v>
                      </c:pt>
                      <c:pt idx="16">
                        <c:v>94030232.950000003</c:v>
                      </c:pt>
                      <c:pt idx="17">
                        <c:v>83000301.079999998</c:v>
                      </c:pt>
                      <c:pt idx="18">
                        <c:v>69708017.319999993</c:v>
                      </c:pt>
                      <c:pt idx="19">
                        <c:v>58369916.899999999</c:v>
                      </c:pt>
                      <c:pt idx="20">
                        <c:v>44039880.810000002</c:v>
                      </c:pt>
                      <c:pt idx="21">
                        <c:v>40888199.630000003</c:v>
                      </c:pt>
                      <c:pt idx="22">
                        <c:v>34875513.649999999</c:v>
                      </c:pt>
                      <c:pt idx="23">
                        <c:v>30492851.16</c:v>
                      </c:pt>
                      <c:pt idx="24">
                        <c:v>36722956.729999997</c:v>
                      </c:pt>
                      <c:pt idx="25">
                        <c:v>41984400.119999997</c:v>
                      </c:pt>
                      <c:pt idx="26">
                        <c:v>27895469.940000001</c:v>
                      </c:pt>
                      <c:pt idx="27">
                        <c:v>27435420.219999999</c:v>
                      </c:pt>
                      <c:pt idx="28">
                        <c:v>31378609.140000001</c:v>
                      </c:pt>
                      <c:pt idx="29">
                        <c:v>23569916.379999999</c:v>
                      </c:pt>
                      <c:pt idx="30">
                        <c:v>135484962.27000001</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1.2043071812371693E-4</c:v>
                </c:pt>
                <c:pt idx="1">
                  <c:v>1.0492356144804309E-3</c:v>
                </c:pt>
                <c:pt idx="2">
                  <c:v>4.1467504483291579E-3</c:v>
                </c:pt>
                <c:pt idx="3">
                  <c:v>1.0926172524765609E-2</c:v>
                </c:pt>
                <c:pt idx="4">
                  <c:v>1.7339493833488501E-2</c:v>
                </c:pt>
                <c:pt idx="5">
                  <c:v>3.1849592109437663E-2</c:v>
                </c:pt>
                <c:pt idx="6">
                  <c:v>4.9064765498190686E-2</c:v>
                </c:pt>
                <c:pt idx="7">
                  <c:v>7.4076304767297999E-2</c:v>
                </c:pt>
                <c:pt idx="8">
                  <c:v>0.11845965635955888</c:v>
                </c:pt>
                <c:pt idx="9">
                  <c:v>0.22633961714699002</c:v>
                </c:pt>
                <c:pt idx="10">
                  <c:v>0.38933651905141148</c:v>
                </c:pt>
                <c:pt idx="11">
                  <c:v>7.7291461927925881E-2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1292391.3799999999</c:v>
                      </c:pt>
                      <c:pt idx="1">
                        <c:v>11259777.279999999</c:v>
                      </c:pt>
                      <c:pt idx="2">
                        <c:v>44500478.100000001</c:v>
                      </c:pt>
                      <c:pt idx="3">
                        <c:v>117253234.12</c:v>
                      </c:pt>
                      <c:pt idx="4">
                        <c:v>186077212.80000001</c:v>
                      </c:pt>
                      <c:pt idx="5">
                        <c:v>341791022.58999997</c:v>
                      </c:pt>
                      <c:pt idx="6">
                        <c:v>526534101.75999999</c:v>
                      </c:pt>
                      <c:pt idx="7">
                        <c:v>794943177.58000004</c:v>
                      </c:pt>
                      <c:pt idx="8">
                        <c:v>1271239108.6099999</c:v>
                      </c:pt>
                      <c:pt idx="9">
                        <c:v>2428943169.2399998</c:v>
                      </c:pt>
                      <c:pt idx="10">
                        <c:v>4178129707.9400001</c:v>
                      </c:pt>
                      <c:pt idx="11">
                        <c:v>829446346.40999997</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7.5114779925982886E-5</c:v>
                </c:pt>
                <c:pt idx="1">
                  <c:v>1.1811927157296988E-4</c:v>
                </c:pt>
                <c:pt idx="2">
                  <c:v>2.3426106483337414E-4</c:v>
                </c:pt>
                <c:pt idx="3">
                  <c:v>1.0837241010248292E-3</c:v>
                </c:pt>
                <c:pt idx="4">
                  <c:v>9.2418343456763738E-4</c:v>
                </c:pt>
                <c:pt idx="5">
                  <c:v>1.3375089409552482E-3</c:v>
                </c:pt>
                <c:pt idx="6">
                  <c:v>1.2857674294405895E-2</c:v>
                </c:pt>
                <c:pt idx="7">
                  <c:v>3.1046341491985088E-3</c:v>
                </c:pt>
                <c:pt idx="8">
                  <c:v>1.4816981516225194E-2</c:v>
                </c:pt>
                <c:pt idx="9">
                  <c:v>6.8007024446072985E-3</c:v>
                </c:pt>
                <c:pt idx="10">
                  <c:v>9.6569269926802676E-3</c:v>
                </c:pt>
                <c:pt idx="11">
                  <c:v>7.4385990065343008E-2</c:v>
                </c:pt>
                <c:pt idx="12">
                  <c:v>1.386137695726174E-2</c:v>
                </c:pt>
                <c:pt idx="13">
                  <c:v>3.0245971127992585E-2</c:v>
                </c:pt>
                <c:pt idx="14">
                  <c:v>2.1568366301417393E-2</c:v>
                </c:pt>
                <c:pt idx="15">
                  <c:v>1.9483011297031876E-2</c:v>
                </c:pt>
                <c:pt idx="16">
                  <c:v>0.24955233647541661</c:v>
                </c:pt>
                <c:pt idx="17">
                  <c:v>2.7429391445859031E-2</c:v>
                </c:pt>
                <c:pt idx="18">
                  <c:v>4.3775044335751717E-2</c:v>
                </c:pt>
                <c:pt idx="19">
                  <c:v>1.9151109852548788E-2</c:v>
                </c:pt>
                <c:pt idx="20">
                  <c:v>1.4623514952869617E-2</c:v>
                </c:pt>
                <c:pt idx="21">
                  <c:v>0.38160038356076309</c:v>
                </c:pt>
                <c:pt idx="22">
                  <c:v>1.6266795994902741E-2</c:v>
                </c:pt>
                <c:pt idx="23">
                  <c:v>3.1744424905069797E-2</c:v>
                </c:pt>
                <c:pt idx="24">
                  <c:v>2.6894110076896498E-3</c:v>
                </c:pt>
                <c:pt idx="25">
                  <c:v>2.9525272451288688E-4</c:v>
                </c:pt>
                <c:pt idx="26">
                  <c:v>2.3177880055723077E-3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806087.48</c:v>
                      </c:pt>
                      <c:pt idx="1">
                        <c:v>1267586.3</c:v>
                      </c:pt>
                      <c:pt idx="2">
                        <c:v>2513951.4700000002</c:v>
                      </c:pt>
                      <c:pt idx="3">
                        <c:v>11629887.359999999</c:v>
                      </c:pt>
                      <c:pt idx="4">
                        <c:v>9917791.0999999996</c:v>
                      </c:pt>
                      <c:pt idx="5">
                        <c:v>14353356.460000001</c:v>
                      </c:pt>
                      <c:pt idx="6">
                        <c:v>137980971</c:v>
                      </c:pt>
                      <c:pt idx="7">
                        <c:v>33317101.109999999</c:v>
                      </c:pt>
                      <c:pt idx="8">
                        <c:v>159007099.58000001</c:v>
                      </c:pt>
                      <c:pt idx="9">
                        <c:v>72981124.370000005</c:v>
                      </c:pt>
                      <c:pt idx="10">
                        <c:v>103632440.27</c:v>
                      </c:pt>
                      <c:pt idx="11">
                        <c:v>798266537.39999998</c:v>
                      </c:pt>
                      <c:pt idx="12">
                        <c:v>148752115.52000001</c:v>
                      </c:pt>
                      <c:pt idx="13">
                        <c:v>324581908.79000002</c:v>
                      </c:pt>
                      <c:pt idx="14">
                        <c:v>231458975.94</c:v>
                      </c:pt>
                      <c:pt idx="15">
                        <c:v>209080176.96000001</c:v>
                      </c:pt>
                      <c:pt idx="16">
                        <c:v>2678048371.25</c:v>
                      </c:pt>
                      <c:pt idx="17">
                        <c:v>294356038.19</c:v>
                      </c:pt>
                      <c:pt idx="18">
                        <c:v>469767936.62</c:v>
                      </c:pt>
                      <c:pt idx="19">
                        <c:v>205518406.56999999</c:v>
                      </c:pt>
                      <c:pt idx="20">
                        <c:v>156930930.62</c:v>
                      </c:pt>
                      <c:pt idx="21">
                        <c:v>4095110068.2800002</c:v>
                      </c:pt>
                      <c:pt idx="22">
                        <c:v>174565652.78</c:v>
                      </c:pt>
                      <c:pt idx="23">
                        <c:v>340662430.23000002</c:v>
                      </c:pt>
                      <c:pt idx="24">
                        <c:v>28861171.449999999</c:v>
                      </c:pt>
                      <c:pt idx="25">
                        <c:v>3168477.96</c:v>
                      </c:pt>
                      <c:pt idx="26">
                        <c:v>24873132.75</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7.8238947192946608E-4</c:v>
                </c:pt>
                <c:pt idx="1">
                  <c:v>2.3745408130270173E-3</c:v>
                </c:pt>
                <c:pt idx="2">
                  <c:v>4.9510908117048379E-3</c:v>
                </c:pt>
                <c:pt idx="3">
                  <c:v>7.6300036590541869E-3</c:v>
                </c:pt>
                <c:pt idx="4">
                  <c:v>1.1779314961986519E-2</c:v>
                </c:pt>
                <c:pt idx="5">
                  <c:v>1.6279479496274164E-2</c:v>
                </c:pt>
                <c:pt idx="6">
                  <c:v>1.836335902722221E-2</c:v>
                </c:pt>
                <c:pt idx="7">
                  <c:v>2.402999617764345E-2</c:v>
                </c:pt>
                <c:pt idx="8">
                  <c:v>3.1498756937219499E-2</c:v>
                </c:pt>
                <c:pt idx="9">
                  <c:v>3.2562611439989453E-2</c:v>
                </c:pt>
                <c:pt idx="10">
                  <c:v>3.9875502097460908E-2</c:v>
                </c:pt>
                <c:pt idx="11">
                  <c:v>4.2540891889248977E-2</c:v>
                </c:pt>
                <c:pt idx="12">
                  <c:v>4.4489489781826833E-2</c:v>
                </c:pt>
                <c:pt idx="13">
                  <c:v>5.9443872732476699E-2</c:v>
                </c:pt>
                <c:pt idx="14">
                  <c:v>5.0059670788437108E-2</c:v>
                </c:pt>
                <c:pt idx="15">
                  <c:v>6.6633166504390537E-2</c:v>
                </c:pt>
                <c:pt idx="16">
                  <c:v>6.2144849173147478E-2</c:v>
                </c:pt>
                <c:pt idx="17">
                  <c:v>5.3144244193943931E-2</c:v>
                </c:pt>
                <c:pt idx="18">
                  <c:v>7.4823899788221418E-2</c:v>
                </c:pt>
                <c:pt idx="19">
                  <c:v>4.6336832724909634E-2</c:v>
                </c:pt>
                <c:pt idx="20">
                  <c:v>9.1773025701161345E-2</c:v>
                </c:pt>
                <c:pt idx="21">
                  <c:v>8.0337112834842642E-2</c:v>
                </c:pt>
                <c:pt idx="22">
                  <c:v>4.6547408026507142E-2</c:v>
                </c:pt>
                <c:pt idx="23">
                  <c:v>6.7512106417154896E-2</c:v>
                </c:pt>
                <c:pt idx="24">
                  <c:v>2.4043057792431741E-2</c:v>
                </c:pt>
                <c:pt idx="25">
                  <c:v>4.3326757787943077E-5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8396141.9900000002</c:v>
                      </c:pt>
                      <c:pt idx="1">
                        <c:v>25482170.379999999</c:v>
                      </c:pt>
                      <c:pt idx="2">
                        <c:v>53132184.100000001</c:v>
                      </c:pt>
                      <c:pt idx="3">
                        <c:v>81880695.489999995</c:v>
                      </c:pt>
                      <c:pt idx="4">
                        <c:v>126408655.17</c:v>
                      </c:pt>
                      <c:pt idx="5">
                        <c:v>174701764.63</c:v>
                      </c:pt>
                      <c:pt idx="6">
                        <c:v>197064729.69999999</c:v>
                      </c:pt>
                      <c:pt idx="7">
                        <c:v>257875734.74000001</c:v>
                      </c:pt>
                      <c:pt idx="8">
                        <c:v>338026066.61000001</c:v>
                      </c:pt>
                      <c:pt idx="9">
                        <c:v>349442725.17000002</c:v>
                      </c:pt>
                      <c:pt idx="10">
                        <c:v>427920351.11000001</c:v>
                      </c:pt>
                      <c:pt idx="11">
                        <c:v>456523741.05000001</c:v>
                      </c:pt>
                      <c:pt idx="12">
                        <c:v>477434943.43000001</c:v>
                      </c:pt>
                      <c:pt idx="13">
                        <c:v>637916554.10000002</c:v>
                      </c:pt>
                      <c:pt idx="14">
                        <c:v>537210838.07000005</c:v>
                      </c:pt>
                      <c:pt idx="15">
                        <c:v>715067811.22000003</c:v>
                      </c:pt>
                      <c:pt idx="16">
                        <c:v>666901838.95000005</c:v>
                      </c:pt>
                      <c:pt idx="17">
                        <c:v>570312659.12</c:v>
                      </c:pt>
                      <c:pt idx="18">
                        <c:v>802965926.05999994</c:v>
                      </c:pt>
                      <c:pt idx="19">
                        <c:v>497259537.45999998</c:v>
                      </c:pt>
                      <c:pt idx="20">
                        <c:v>984853940.75999999</c:v>
                      </c:pt>
                      <c:pt idx="21">
                        <c:v>862130474.17999995</c:v>
                      </c:pt>
                      <c:pt idx="22">
                        <c:v>499519307.30000001</c:v>
                      </c:pt>
                      <c:pt idx="23">
                        <c:v>724500075.54999995</c:v>
                      </c:pt>
                      <c:pt idx="24">
                        <c:v>258015904.28</c:v>
                      </c:pt>
                      <c:pt idx="25">
                        <c:v>464957.19</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7.4611357790678517E-3</c:v>
                </c:pt>
                <c:pt idx="1">
                  <c:v>6.6447660660284968E-3</c:v>
                </c:pt>
                <c:pt idx="2">
                  <c:v>7.7937076778698492E-3</c:v>
                </c:pt>
                <c:pt idx="3">
                  <c:v>8.1262225655227508E-3</c:v>
                </c:pt>
                <c:pt idx="4">
                  <c:v>1.1447585401724308E-2</c:v>
                </c:pt>
                <c:pt idx="5">
                  <c:v>2.7343024927059718E-2</c:v>
                </c:pt>
                <c:pt idx="6">
                  <c:v>2.984466614018285E-2</c:v>
                </c:pt>
                <c:pt idx="7">
                  <c:v>4.9989666934418434E-2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0.24560101054662331</c:v>
                </c:pt>
                <c:pt idx="1">
                  <c:v>0.3379448690736086</c:v>
                </c:pt>
                <c:pt idx="2">
                  <c:v>0.14459532286599813</c:v>
                </c:pt>
                <c:pt idx="3">
                  <c:v>5.7154569957433593E-2</c:v>
                </c:pt>
                <c:pt idx="4">
                  <c:v>7.6985141133791887E-2</c:v>
                </c:pt>
                <c:pt idx="5">
                  <c:v>6.8701416693597445E-2</c:v>
                </c:pt>
                <c:pt idx="6">
                  <c:v>4.8680558109359458E-2</c:v>
                </c:pt>
                <c:pt idx="7">
                  <c:v>1.6232222239039286E-2</c:v>
                </c:pt>
                <c:pt idx="8">
                  <c:v>4.0644039381861384E-3</c:v>
                </c:pt>
                <c:pt idx="9">
                  <c:v>4.0485442362162339E-5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0.37774150386644995</c:v>
                </c:pt>
                <c:pt idx="1">
                  <c:v>2.9810326904299887E-2</c:v>
                </c:pt>
                <c:pt idx="2">
                  <c:v>0.1176299615453793</c:v>
                </c:pt>
                <c:pt idx="3">
                  <c:v>4.3598812979576858E-2</c:v>
                </c:pt>
                <c:pt idx="4">
                  <c:v>1.2790081088257011E-2</c:v>
                </c:pt>
                <c:pt idx="5">
                  <c:v>3.2454815636889865E-2</c:v>
                </c:pt>
                <c:pt idx="6">
                  <c:v>2.5703729046443847E-2</c:v>
                </c:pt>
                <c:pt idx="7">
                  <c:v>7.1980661238589899E-2</c:v>
                </c:pt>
                <c:pt idx="8">
                  <c:v>9.5803090943002198E-2</c:v>
                </c:pt>
                <c:pt idx="9">
                  <c:v>0.10831226559338573</c:v>
                </c:pt>
                <c:pt idx="10">
                  <c:v>7.7768483029518332E-3</c:v>
                </c:pt>
                <c:pt idx="11">
                  <c:v>1.4822549547967112E-2</c:v>
                </c:pt>
                <c:pt idx="12">
                  <c:v>6.1575353306806406E-2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80068505.079999998</c:v>
                      </c:pt>
                      <c:pt idx="1">
                        <c:v>71307707.200000003</c:v>
                      </c:pt>
                      <c:pt idx="2">
                        <c:v>83637470.390000001</c:v>
                      </c:pt>
                      <c:pt idx="3">
                        <c:v>87205823.890000001</c:v>
                      </c:pt>
                      <c:pt idx="4">
                        <c:v>122848729.34</c:v>
                      </c:pt>
                      <c:pt idx="5">
                        <c:v>293429203.69</c:v>
                      </c:pt>
                      <c:pt idx="6">
                        <c:v>320275340.54000002</c:v>
                      </c:pt>
                      <c:pt idx="7">
                        <c:v>536459598.02999997</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2503488</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8</xdr:col>
      <xdr:colOff>1750218</xdr:colOff>
      <xdr:row>1</xdr:row>
      <xdr:rowOff>83343</xdr:rowOff>
    </xdr:from>
    <xdr:to>
      <xdr:col>12</xdr:col>
      <xdr:colOff>362202</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topLeftCell="A15" zoomScale="85" zoomScaleNormal="85" workbookViewId="0">
      <selection activeCell="D38" sqref="D38"/>
    </sheetView>
  </sheetViews>
  <sheetFormatPr defaultColWidth="8.7265625" defaultRowHeight="14.5"/>
  <cols>
    <col min="2" max="2" width="11.54296875" customWidth="1"/>
    <col min="3" max="3" width="9.7265625" customWidth="1"/>
    <col min="4" max="4" width="20.81640625"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38"/>
    </row>
    <row r="3" spans="2:13">
      <c r="B3" s="1786" t="s">
        <v>2022</v>
      </c>
      <c r="C3" s="1787" t="s">
        <v>2023</v>
      </c>
      <c r="D3" s="1788" t="s">
        <v>2024</v>
      </c>
      <c r="E3" s="1786" t="s">
        <v>2025</v>
      </c>
      <c r="F3" s="1787" t="s">
        <v>2026</v>
      </c>
      <c r="G3" s="1787"/>
    </row>
    <row r="4" spans="2:13">
      <c r="B4" s="1789"/>
      <c r="C4" s="1790"/>
      <c r="E4" s="1789"/>
      <c r="F4" s="1790"/>
      <c r="G4" s="1790"/>
      <c r="K4">
        <f>MONTH(B5)</f>
        <v>7</v>
      </c>
    </row>
    <row r="5" spans="2:13">
      <c r="B5" s="1796">
        <f>'00 - Cover'!F20</f>
        <v>46230</v>
      </c>
      <c r="C5" s="1790">
        <v>653000</v>
      </c>
      <c r="D5" s="1238" t="str">
        <f t="shared" ref="D5:D36" si="0">"Flux de "&amp;_xlfn.SINGLE( _xlfn.XLOOKUP($K$4,L:L,M:M,FALSE))</f>
        <v>Flux de Juillet</v>
      </c>
      <c r="E5" s="1797">
        <v>0</v>
      </c>
      <c r="F5" s="1791"/>
      <c r="G5" s="1791" t="s">
        <v>2027</v>
      </c>
      <c r="H5" s="1803"/>
      <c r="I5" s="1803"/>
      <c r="L5">
        <v>1</v>
      </c>
      <c r="M5" s="1214" t="s">
        <v>2028</v>
      </c>
    </row>
    <row r="6" spans="2:13">
      <c r="B6" s="1796">
        <f t="shared" ref="B6:B36" si="1">+B5</f>
        <v>46230</v>
      </c>
      <c r="C6" s="1790">
        <v>512000</v>
      </c>
      <c r="D6" s="1238" t="str">
        <f t="shared" si="0"/>
        <v>Flux de Juillet</v>
      </c>
      <c r="E6" s="1797"/>
      <c r="F6" s="1791">
        <f>E5</f>
        <v>0</v>
      </c>
      <c r="G6" s="1791" t="s">
        <v>2027</v>
      </c>
      <c r="H6" s="1803"/>
      <c r="I6" s="1803"/>
      <c r="L6">
        <v>2</v>
      </c>
      <c r="M6" s="1214" t="s">
        <v>2029</v>
      </c>
    </row>
    <row r="7" spans="2:13">
      <c r="B7" s="1796">
        <f t="shared" si="1"/>
        <v>46230</v>
      </c>
      <c r="C7" s="1790">
        <v>653000</v>
      </c>
      <c r="D7" s="1238" t="str">
        <f t="shared" si="0"/>
        <v>Flux de Juillet</v>
      </c>
      <c r="E7" s="1797">
        <f>ROUNDDOWN('14 - Fees'!J40+'14 - Fees'!J41,2)</f>
        <v>480</v>
      </c>
      <c r="F7" s="1791"/>
      <c r="G7" s="1791" t="s">
        <v>2027</v>
      </c>
      <c r="H7" s="1803"/>
      <c r="I7" s="1803"/>
      <c r="L7">
        <v>3</v>
      </c>
      <c r="M7" s="1214" t="s">
        <v>2030</v>
      </c>
    </row>
    <row r="8" spans="2:13">
      <c r="B8" s="1796">
        <f t="shared" si="1"/>
        <v>46230</v>
      </c>
      <c r="C8" s="1790">
        <v>512000</v>
      </c>
      <c r="D8" s="1238" t="str">
        <f t="shared" si="0"/>
        <v>Flux de Juillet</v>
      </c>
      <c r="E8" s="1797"/>
      <c r="F8" s="1791">
        <f>E7</f>
        <v>480</v>
      </c>
      <c r="G8" s="1791" t="s">
        <v>2027</v>
      </c>
      <c r="H8" s="1803"/>
      <c r="I8" s="1803"/>
      <c r="L8">
        <v>4</v>
      </c>
      <c r="M8" s="1214" t="s">
        <v>2031</v>
      </c>
    </row>
    <row r="9" spans="2:13">
      <c r="B9" s="1796">
        <f t="shared" si="1"/>
        <v>46230</v>
      </c>
      <c r="C9" s="1790">
        <v>653000</v>
      </c>
      <c r="D9" s="1238" t="str">
        <f t="shared" si="0"/>
        <v>Flux de Juillet</v>
      </c>
      <c r="E9" s="1797">
        <f>ROUNDDOWN('14 - Fees'!J36,2)</f>
        <v>1050</v>
      </c>
      <c r="F9" s="1791"/>
      <c r="G9" s="1791" t="s">
        <v>2027</v>
      </c>
      <c r="H9" s="1803"/>
      <c r="I9" s="1803"/>
      <c r="L9">
        <v>5</v>
      </c>
      <c r="M9" s="1214" t="s">
        <v>2032</v>
      </c>
    </row>
    <row r="10" spans="2:13">
      <c r="B10" s="1796">
        <f t="shared" si="1"/>
        <v>46230</v>
      </c>
      <c r="C10" s="1790">
        <v>512000</v>
      </c>
      <c r="D10" s="1238" t="str">
        <f t="shared" si="0"/>
        <v>Flux de Juillet</v>
      </c>
      <c r="E10" s="1797"/>
      <c r="F10" s="1791">
        <f>E9</f>
        <v>1050</v>
      </c>
      <c r="G10" s="1791" t="s">
        <v>2027</v>
      </c>
      <c r="H10" s="1803"/>
      <c r="I10" s="1803"/>
      <c r="L10">
        <v>6</v>
      </c>
      <c r="M10" s="1214" t="s">
        <v>2033</v>
      </c>
    </row>
    <row r="11" spans="2:13">
      <c r="B11" s="1796">
        <f t="shared" si="1"/>
        <v>46230</v>
      </c>
      <c r="C11" s="1790">
        <v>653000</v>
      </c>
      <c r="D11" s="1238" t="str">
        <f t="shared" si="0"/>
        <v>Flux de Juillet</v>
      </c>
      <c r="E11" s="1797">
        <f>ROUNDDOWN('14 - Fees'!J18,2)</f>
        <v>5416.67</v>
      </c>
      <c r="F11" s="1791"/>
      <c r="G11" s="1791" t="s">
        <v>2027</v>
      </c>
      <c r="H11" s="1803"/>
      <c r="I11" s="1803"/>
      <c r="L11">
        <v>7</v>
      </c>
      <c r="M11" s="1214" t="s">
        <v>2034</v>
      </c>
    </row>
    <row r="12" spans="2:13">
      <c r="B12" s="1796">
        <f t="shared" si="1"/>
        <v>46230</v>
      </c>
      <c r="C12" s="1790">
        <v>512000</v>
      </c>
      <c r="D12" s="1238" t="str">
        <f t="shared" si="0"/>
        <v>Flux de Juillet</v>
      </c>
      <c r="E12" s="1797"/>
      <c r="F12" s="1791">
        <f>E11</f>
        <v>5416.67</v>
      </c>
      <c r="G12" s="1791" t="s">
        <v>2027</v>
      </c>
      <c r="H12" s="1803"/>
      <c r="I12" s="1803"/>
      <c r="L12">
        <v>8</v>
      </c>
      <c r="M12" s="1214" t="s">
        <v>2035</v>
      </c>
    </row>
    <row r="13" spans="2:13">
      <c r="B13" s="1796">
        <f t="shared" si="1"/>
        <v>46230</v>
      </c>
      <c r="C13" s="1790">
        <v>653000</v>
      </c>
      <c r="D13" s="1238" t="str">
        <f t="shared" si="0"/>
        <v>Flux de Juillet</v>
      </c>
      <c r="E13" s="1797">
        <f>ROUNDDOWN('14 - Fees'!J34,2)</f>
        <v>12500</v>
      </c>
      <c r="F13" s="1791"/>
      <c r="G13" s="1791" t="s">
        <v>2027</v>
      </c>
      <c r="H13" s="1803"/>
      <c r="I13" s="1803"/>
      <c r="L13">
        <v>9</v>
      </c>
      <c r="M13" s="1214" t="s">
        <v>2036</v>
      </c>
    </row>
    <row r="14" spans="2:13">
      <c r="B14" s="1796">
        <f t="shared" si="1"/>
        <v>46230</v>
      </c>
      <c r="C14" s="1790">
        <v>512000</v>
      </c>
      <c r="D14" s="1238" t="str">
        <f t="shared" si="0"/>
        <v>Flux de Juillet</v>
      </c>
      <c r="E14" s="1797"/>
      <c r="F14" s="1791">
        <f>E13</f>
        <v>12500</v>
      </c>
      <c r="G14" s="1791" t="s">
        <v>2027</v>
      </c>
      <c r="H14" s="1803"/>
      <c r="I14" s="1803"/>
      <c r="L14">
        <v>10</v>
      </c>
      <c r="M14" s="1214" t="s">
        <v>2037</v>
      </c>
    </row>
    <row r="15" spans="2:13">
      <c r="B15" s="1796">
        <f t="shared" si="1"/>
        <v>46230</v>
      </c>
      <c r="C15" s="1807" t="s">
        <v>2043</v>
      </c>
      <c r="D15" s="1238" t="str">
        <f t="shared" si="0"/>
        <v>Flux de Juillet</v>
      </c>
      <c r="E15" s="1797">
        <f>ROUNDDOWN('14 - Fees'!J54,2)</f>
        <v>17429.43</v>
      </c>
      <c r="F15" s="1791"/>
      <c r="G15" s="1791" t="s">
        <v>2027</v>
      </c>
      <c r="H15" s="1803"/>
      <c r="I15" s="1803"/>
      <c r="L15">
        <v>11</v>
      </c>
      <c r="M15" s="1214" t="s">
        <v>2038</v>
      </c>
    </row>
    <row r="16" spans="2:13">
      <c r="B16" s="1796">
        <f t="shared" si="1"/>
        <v>46230</v>
      </c>
      <c r="C16" s="1790">
        <v>512000</v>
      </c>
      <c r="D16" s="1238" t="str">
        <f t="shared" si="0"/>
        <v>Flux de Juillet</v>
      </c>
      <c r="E16" s="1797"/>
      <c r="F16" s="1791">
        <f>E15</f>
        <v>17429.43</v>
      </c>
      <c r="G16" s="1791" t="s">
        <v>2027</v>
      </c>
      <c r="H16" s="1803"/>
      <c r="I16" s="1803"/>
      <c r="L16">
        <v>12</v>
      </c>
      <c r="M16" s="1214" t="s">
        <v>2039</v>
      </c>
    </row>
    <row r="17" spans="2:18">
      <c r="B17" s="1796">
        <f t="shared" si="1"/>
        <v>46230</v>
      </c>
      <c r="C17" s="1807" t="s">
        <v>2043</v>
      </c>
      <c r="D17" s="1238" t="str">
        <f t="shared" si="0"/>
        <v>Flux de Juillet</v>
      </c>
      <c r="E17" s="1797">
        <f>ROUNDDOWN('14 - Fees'!J53,2)</f>
        <v>2255482.12</v>
      </c>
      <c r="F17" s="1791"/>
      <c r="G17" s="1791" t="s">
        <v>2027</v>
      </c>
      <c r="H17" s="1803"/>
      <c r="I17" s="1803"/>
    </row>
    <row r="18" spans="2:18">
      <c r="B18" s="1796">
        <f t="shared" si="1"/>
        <v>46230</v>
      </c>
      <c r="C18" s="1790">
        <v>512000</v>
      </c>
      <c r="D18" s="1238" t="str">
        <f t="shared" si="0"/>
        <v>Flux de Juillet</v>
      </c>
      <c r="E18" s="1797"/>
      <c r="F18" s="1791">
        <f>E17</f>
        <v>2255482.12</v>
      </c>
      <c r="G18" s="1791" t="s">
        <v>2027</v>
      </c>
      <c r="H18" s="1803"/>
      <c r="I18" s="1803"/>
    </row>
    <row r="19" spans="2:18">
      <c r="B19" s="1796">
        <f t="shared" si="1"/>
        <v>46230</v>
      </c>
      <c r="C19" s="1807" t="s">
        <v>2046</v>
      </c>
      <c r="D19" s="1238" t="str">
        <f t="shared" si="0"/>
        <v>Flux de Juillet</v>
      </c>
      <c r="E19" s="1797">
        <f>ROUNDDOWN('12 - Notes Interest'!AC17,2)</f>
        <v>622908</v>
      </c>
      <c r="F19" s="1791"/>
      <c r="G19" s="1791" t="s">
        <v>2027</v>
      </c>
      <c r="H19" s="1803"/>
      <c r="I19" s="1803"/>
    </row>
    <row r="20" spans="2:18">
      <c r="B20" s="1796">
        <f t="shared" si="1"/>
        <v>46230</v>
      </c>
      <c r="C20" s="1790">
        <v>512000</v>
      </c>
      <c r="D20" s="1238" t="str">
        <f t="shared" si="0"/>
        <v>Flux de Juillet</v>
      </c>
      <c r="E20" s="1797"/>
      <c r="F20" s="1791">
        <f>E19</f>
        <v>622908</v>
      </c>
      <c r="G20" s="1791" t="s">
        <v>2027</v>
      </c>
      <c r="H20" s="1803"/>
      <c r="I20" s="1803"/>
    </row>
    <row r="21" spans="2:18">
      <c r="B21" s="1796">
        <f t="shared" si="1"/>
        <v>46230</v>
      </c>
      <c r="C21" s="1807" t="s">
        <v>2044</v>
      </c>
      <c r="D21" s="1238" t="str">
        <f t="shared" si="0"/>
        <v>Flux de Juillet</v>
      </c>
      <c r="E21" s="1797">
        <v>0</v>
      </c>
      <c r="F21" s="1791"/>
      <c r="G21" s="1791" t="s">
        <v>2027</v>
      </c>
      <c r="H21" s="1803"/>
      <c r="I21" s="1803"/>
    </row>
    <row r="22" spans="2:18">
      <c r="B22" s="1796">
        <f t="shared" si="1"/>
        <v>46230</v>
      </c>
      <c r="C22" s="1790">
        <v>512000</v>
      </c>
      <c r="D22" s="1238" t="str">
        <f t="shared" si="0"/>
        <v>Flux de Juillet</v>
      </c>
      <c r="E22" s="1797"/>
      <c r="F22" s="1791">
        <v>0</v>
      </c>
      <c r="G22" s="1791" t="s">
        <v>2027</v>
      </c>
      <c r="H22" s="1803"/>
      <c r="I22" s="1803"/>
    </row>
    <row r="23" spans="2:18">
      <c r="B23" s="1796">
        <f t="shared" si="1"/>
        <v>46230</v>
      </c>
      <c r="C23" s="1807" t="s">
        <v>2047</v>
      </c>
      <c r="D23" s="1238" t="str">
        <f t="shared" si="0"/>
        <v>Flux de Juillet</v>
      </c>
      <c r="E23" s="1797">
        <f>ROUNDDOWN('11 - Notes Follow-up'!V25,2)</f>
        <v>4745252.16</v>
      </c>
      <c r="F23" s="1791"/>
      <c r="G23" s="1791" t="s">
        <v>2027</v>
      </c>
      <c r="H23" s="1803"/>
      <c r="I23" s="1803"/>
    </row>
    <row r="24" spans="2:18">
      <c r="B24" s="1796">
        <f t="shared" si="1"/>
        <v>46230</v>
      </c>
      <c r="C24" s="1790">
        <v>512000</v>
      </c>
      <c r="D24" s="1238" t="str">
        <f t="shared" si="0"/>
        <v>Flux de Juillet</v>
      </c>
      <c r="E24" s="1797"/>
      <c r="F24" s="1791">
        <f>E23</f>
        <v>4745252.16</v>
      </c>
      <c r="G24" s="1791" t="s">
        <v>2027</v>
      </c>
      <c r="H24" s="1803"/>
      <c r="I24" s="1803"/>
    </row>
    <row r="25" spans="2:18">
      <c r="B25" s="1796">
        <f t="shared" si="1"/>
        <v>46230</v>
      </c>
      <c r="C25" s="1807" t="s">
        <v>2045</v>
      </c>
      <c r="D25" s="1238" t="str">
        <f t="shared" si="0"/>
        <v>Flux de Juillet</v>
      </c>
      <c r="E25" s="1797">
        <f>ROUNDDOWN('12 - Notes Interest'!K17,2)</f>
        <v>3002787.16</v>
      </c>
      <c r="F25" s="1791"/>
      <c r="G25" s="1791" t="s">
        <v>2027</v>
      </c>
      <c r="H25" s="1803"/>
      <c r="I25" s="1803"/>
    </row>
    <row r="26" spans="2:18">
      <c r="B26" s="1796">
        <f t="shared" si="1"/>
        <v>46230</v>
      </c>
      <c r="C26" s="1790">
        <v>512000</v>
      </c>
      <c r="D26" s="1238" t="str">
        <f t="shared" si="0"/>
        <v>Flux de Juillet</v>
      </c>
      <c r="E26" s="1797"/>
      <c r="F26" s="1791">
        <f>E25</f>
        <v>3002787.16</v>
      </c>
      <c r="G26" s="1791" t="s">
        <v>2027</v>
      </c>
      <c r="H26" s="1803"/>
      <c r="I26" s="1803"/>
    </row>
    <row r="27" spans="2:18">
      <c r="B27" s="1796">
        <f t="shared" si="1"/>
        <v>46230</v>
      </c>
      <c r="C27" s="1790">
        <v>161100</v>
      </c>
      <c r="D27" s="1238" t="str">
        <f t="shared" si="0"/>
        <v>Flux de Juillet</v>
      </c>
      <c r="E27" s="1797">
        <f>ROUNDDOWN('11 - Notes Follow-up'!F25,2)</f>
        <v>57195205.600000001</v>
      </c>
      <c r="F27" s="1791"/>
      <c r="G27" s="1791" t="s">
        <v>2027</v>
      </c>
      <c r="H27" s="1803"/>
      <c r="I27" s="1803"/>
    </row>
    <row r="28" spans="2:18" ht="15" thickBot="1">
      <c r="B28" s="1796">
        <f t="shared" si="1"/>
        <v>46230</v>
      </c>
      <c r="C28" s="1790">
        <v>512000</v>
      </c>
      <c r="D28" s="1238" t="str">
        <f t="shared" si="0"/>
        <v>Flux de Juillet</v>
      </c>
      <c r="E28" s="1797"/>
      <c r="F28" s="1791">
        <f>E27</f>
        <v>57195205.600000001</v>
      </c>
      <c r="G28" s="1791" t="s">
        <v>2027</v>
      </c>
      <c r="H28" s="1803"/>
      <c r="I28" s="1803"/>
    </row>
    <row r="29" spans="2:18">
      <c r="B29" s="1798">
        <f t="shared" si="1"/>
        <v>46230</v>
      </c>
      <c r="C29" s="1808">
        <v>512100</v>
      </c>
      <c r="D29" s="1794" t="str">
        <f t="shared" si="0"/>
        <v>Flux de Juillet</v>
      </c>
      <c r="E29" s="1799"/>
      <c r="F29" s="1795">
        <f>ROUNDDOWN(-'10 - Reserve calculation'!K12,2)</f>
        <v>450000</v>
      </c>
      <c r="G29" s="1795" t="s">
        <v>2040</v>
      </c>
      <c r="H29" s="1803"/>
      <c r="I29" s="1803"/>
    </row>
    <row r="30" spans="2:18" ht="15" thickBot="1">
      <c r="B30" s="1800">
        <f t="shared" si="1"/>
        <v>46230</v>
      </c>
      <c r="C30" s="1809">
        <v>450000</v>
      </c>
      <c r="D30" s="1792" t="str">
        <f t="shared" si="0"/>
        <v>Flux de Juillet</v>
      </c>
      <c r="E30" s="1801">
        <f>F29</f>
        <v>450000</v>
      </c>
      <c r="F30" s="1793"/>
      <c r="G30" s="1793" t="s">
        <v>2040</v>
      </c>
      <c r="H30" s="1803"/>
      <c r="I30" s="1803"/>
    </row>
    <row r="31" spans="2:18">
      <c r="B31" s="1798">
        <f t="shared" si="1"/>
        <v>46230</v>
      </c>
      <c r="C31" s="1810" t="s">
        <v>2042</v>
      </c>
      <c r="D31" s="1794" t="str">
        <f t="shared" si="0"/>
        <v>Flux de Juillet</v>
      </c>
      <c r="E31" s="1795">
        <f>ROUNDDOWN('03 - Monthly Collection'!Q13+'03 - Monthly Collection'!AB13+'03 - Monthly Collection'!AC13,2)</f>
        <v>15257366.92</v>
      </c>
      <c r="F31" s="1804"/>
      <c r="G31" s="1795" t="s">
        <v>2041</v>
      </c>
      <c r="H31" s="1803"/>
      <c r="I31" s="1803"/>
    </row>
    <row r="32" spans="2:18">
      <c r="B32" s="1796">
        <f t="shared" si="1"/>
        <v>46230</v>
      </c>
      <c r="C32" s="1807" t="s">
        <v>2048</v>
      </c>
      <c r="D32" s="1238" t="str">
        <f t="shared" si="0"/>
        <v>Flux de Juillet</v>
      </c>
      <c r="E32" s="1791"/>
      <c r="F32" s="1239">
        <f>E31</f>
        <v>15257366.92</v>
      </c>
      <c r="G32" s="1791" t="s">
        <v>2041</v>
      </c>
      <c r="H32" s="1803"/>
      <c r="I32" s="1803"/>
      <c r="R32" s="1239"/>
    </row>
    <row r="33" spans="2:20">
      <c r="B33" s="1796">
        <f t="shared" si="1"/>
        <v>46230</v>
      </c>
      <c r="C33" s="1807" t="s">
        <v>2042</v>
      </c>
      <c r="D33" s="1238" t="str">
        <f t="shared" si="0"/>
        <v>Flux de Juillet</v>
      </c>
      <c r="E33" s="1791">
        <f>F34+F36-E35</f>
        <v>94862532.529998317</v>
      </c>
      <c r="F33" s="1239"/>
      <c r="G33" s="1791" t="s">
        <v>2041</v>
      </c>
      <c r="H33" s="1803"/>
      <c r="I33" s="1803"/>
      <c r="T33" s="1239"/>
    </row>
    <row r="34" spans="2:20">
      <c r="B34" s="1796">
        <f t="shared" si="1"/>
        <v>46230</v>
      </c>
      <c r="C34" s="1807" t="s">
        <v>2049</v>
      </c>
      <c r="D34" s="1238" t="str">
        <f t="shared" si="0"/>
        <v>Flux de Juillet</v>
      </c>
      <c r="E34" s="1791"/>
      <c r="F34" s="1239">
        <f>('02 - Monthly Asset Follow up'!BL18-'02 - Monthly Asset Follow up'!BL17+'02 - Monthly Asset Follow up'!CS18-'02 - Monthly Asset Follow up'!CS17)</f>
        <v>-11923.149999999907</v>
      </c>
      <c r="G34" s="1791" t="s">
        <v>2041</v>
      </c>
      <c r="H34" s="1803"/>
      <c r="I34" s="1803"/>
    </row>
    <row r="35" spans="2:20">
      <c r="B35" s="1796">
        <f t="shared" si="1"/>
        <v>46230</v>
      </c>
      <c r="C35" s="1807" t="s">
        <v>2050</v>
      </c>
      <c r="D35" s="1238" t="str">
        <f t="shared" si="0"/>
        <v>Flux de Juillet</v>
      </c>
      <c r="E35" s="1791">
        <f>('02 - Monthly Asset Follow up'!AQ17-'02 - Monthly Asset Follow up'!AQ18)</f>
        <v>30012.580000000075</v>
      </c>
      <c r="F35" s="1239"/>
      <c r="G35" s="1791" t="s">
        <v>2041</v>
      </c>
      <c r="H35" s="1803"/>
      <c r="I35" s="1803"/>
      <c r="R35" s="1239"/>
    </row>
    <row r="36" spans="2:20" ht="15" thickBot="1">
      <c r="B36" s="1800">
        <f t="shared" si="1"/>
        <v>46230</v>
      </c>
      <c r="C36" s="1811" t="s">
        <v>2051</v>
      </c>
      <c r="D36" s="1792" t="str">
        <f t="shared" si="0"/>
        <v>Flux de Juillet</v>
      </c>
      <c r="E36" s="1793"/>
      <c r="F36" s="1805">
        <f>('02 - Monthly Asset Follow up'!O18-'02 - Monthly Asset Follow up'!O17)</f>
        <v>94904468.259998322</v>
      </c>
      <c r="G36" s="1793" t="s">
        <v>2041</v>
      </c>
      <c r="H36" s="1803"/>
      <c r="I36" s="1803"/>
    </row>
    <row r="37" spans="2:20">
      <c r="B37" s="1796">
        <f>+B36</f>
        <v>46230</v>
      </c>
      <c r="C37" s="1807">
        <v>681000</v>
      </c>
      <c r="D37" s="1238" t="s">
        <v>2112</v>
      </c>
      <c r="E37" s="1791">
        <f>+'02 - Monthly Asset Follow up'!BM17+'02 - Monthly Asset Follow up'!CP17-'02 - Monthly Asset Follow up'!CP18-'02 - Monthly Asset Follow up'!BL18</f>
        <v>11923.149999999907</v>
      </c>
      <c r="F37" s="1239"/>
      <c r="G37" s="1791" t="s">
        <v>2041</v>
      </c>
    </row>
    <row r="38" spans="2:20">
      <c r="B38" s="1796">
        <f>+B37</f>
        <v>46230</v>
      </c>
      <c r="C38" s="1807">
        <v>249000</v>
      </c>
      <c r="D38" s="1238" t="s">
        <v>2112</v>
      </c>
      <c r="E38" s="1791"/>
      <c r="F38" s="1239">
        <f>+E37</f>
        <v>11923.149999999907</v>
      </c>
      <c r="G38" s="1791" t="s">
        <v>2041</v>
      </c>
    </row>
    <row r="39" spans="2:20" ht="15" thickBot="1">
      <c r="B39" s="1800"/>
      <c r="C39" s="1811"/>
      <c r="D39" s="1792"/>
      <c r="E39" s="1793"/>
      <c r="F39" s="1805"/>
      <c r="G39" s="1793"/>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election activeCell="H13" sqref="H13"/>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5" customHeight="1">
      <c r="A3" s="35"/>
      <c r="B3" s="37"/>
      <c r="C3" s="37"/>
      <c r="D3" s="37"/>
      <c r="E3" s="249"/>
      <c r="F3" s="256"/>
      <c r="G3" s="1213" t="s">
        <v>99</v>
      </c>
      <c r="H3" s="1213">
        <f>'00 - Cover'!$F$17</f>
        <v>46203</v>
      </c>
      <c r="I3" s="39"/>
      <c r="J3" s="39"/>
      <c r="K3" s="39"/>
    </row>
    <row r="4" spans="1:12" ht="14.5" customHeight="1">
      <c r="A4" s="35"/>
      <c r="B4" s="37"/>
      <c r="C4" s="37"/>
      <c r="D4" s="37"/>
      <c r="E4" s="249"/>
      <c r="F4" s="256"/>
      <c r="G4" s="1213" t="s">
        <v>4</v>
      </c>
      <c r="H4" s="1213">
        <f>'00 - Cover'!$F$19</f>
        <v>46223</v>
      </c>
      <c r="I4" s="39"/>
      <c r="J4" s="39"/>
      <c r="K4" s="39"/>
    </row>
    <row r="5" spans="1:12" ht="14.5" customHeight="1">
      <c r="A5" s="35"/>
      <c r="B5" s="37"/>
      <c r="C5" s="37"/>
      <c r="D5" s="37"/>
      <c r="E5" s="249"/>
      <c r="F5" s="256"/>
      <c r="G5" s="1213" t="s">
        <v>5</v>
      </c>
      <c r="H5" s="1213">
        <f>'00 - Cover'!$F$20</f>
        <v>46230</v>
      </c>
      <c r="I5" s="39"/>
      <c r="J5" s="39"/>
      <c r="K5" s="39"/>
    </row>
    <row r="6" spans="1:12" ht="1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5">
      <c r="B9" s="1765" t="s">
        <v>2003</v>
      </c>
      <c r="C9" s="44"/>
      <c r="D9" s="45"/>
      <c r="E9" s="45"/>
      <c r="F9" s="45"/>
      <c r="G9" s="45"/>
      <c r="H9" s="45"/>
      <c r="I9" s="45"/>
      <c r="J9" s="37"/>
      <c r="K9" s="37"/>
      <c r="L9" s="37"/>
    </row>
    <row r="10" spans="1:12" ht="1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 thickTop="1">
      <c r="A12" s="234"/>
      <c r="B12" s="261">
        <f>'02 - Monthly Asset Follow up'!B17</f>
        <v>46203</v>
      </c>
      <c r="C12" s="262">
        <f>IF($B12=0,"",'02 - Monthly Asset Follow up'!D17)</f>
        <v>0</v>
      </c>
      <c r="D12" s="263">
        <f>IF($B12=0,"",IF(D13="",C12,C12+D13))</f>
        <v>12428694752.200001</v>
      </c>
      <c r="E12" s="495">
        <f>'02 - Monthly Asset Follow up'!K17</f>
        <v>1114351.0900000001</v>
      </c>
      <c r="F12" s="263">
        <f>IF($B12=0,"",IF(F13="",E12,E12+F13))</f>
        <v>13356732.550000003</v>
      </c>
      <c r="G12" s="262">
        <f>IF($B12=0,"",'03 - Monthly Collection'!AM13)</f>
        <v>57371.880000000005</v>
      </c>
      <c r="H12" s="264">
        <f>IF($B12=0,"",IF(H13="",G12,G12+H13))</f>
        <v>1865968.8899999997</v>
      </c>
    </row>
    <row r="13" spans="1:12">
      <c r="A13" s="234"/>
      <c r="B13" s="254">
        <f>IF('Historical DATA'!C4="","",'Historical DATA'!C4)</f>
        <v>46173</v>
      </c>
      <c r="C13" s="255">
        <f>IF('Historical DATA'!D4="","",'Historical DATA'!D4)</f>
        <v>0</v>
      </c>
      <c r="D13" s="265">
        <f>IF('Historical DATA'!E4="","",'Historical DATA'!E4)</f>
        <v>12428694752.200001</v>
      </c>
      <c r="E13" s="496">
        <f>IF('Historical DATA'!F4="","",'Historical DATA'!F4)</f>
        <v>1035980.47</v>
      </c>
      <c r="F13" s="265">
        <f>IF('Historical DATA'!G4="","",'Historical DATA'!G4)</f>
        <v>12242381.460000003</v>
      </c>
      <c r="G13" s="255">
        <f>IF('Historical DATA'!H4="","",'Historical DATA'!H4)</f>
        <v>159095.67000000001</v>
      </c>
      <c r="H13" s="266">
        <f>IF('Historical DATA'!I4="","",'Historical DATA'!I4)</f>
        <v>1808597.0099999998</v>
      </c>
    </row>
    <row r="14" spans="1:12">
      <c r="A14" s="234"/>
      <c r="B14" s="254">
        <f>IF('Historical DATA'!C5="","",'Historical DATA'!C5)</f>
        <v>46142</v>
      </c>
      <c r="C14" s="255">
        <f>IF('Historical DATA'!D5="","",'Historical DATA'!D5)</f>
        <v>0</v>
      </c>
      <c r="D14" s="265">
        <f>IF('Historical DATA'!E5="","",'Historical DATA'!E5)</f>
        <v>12428694752.200001</v>
      </c>
      <c r="E14" s="496">
        <f>IF('Historical DATA'!F5="","",'Historical DATA'!F5)</f>
        <v>644714.96</v>
      </c>
      <c r="F14" s="265">
        <f>IF('Historical DATA'!G5="","",'Historical DATA'!G5)</f>
        <v>11206400.990000002</v>
      </c>
      <c r="G14" s="255">
        <f>IF('Historical DATA'!H5="","",'Historical DATA'!H5)</f>
        <v>2575.1800000000003</v>
      </c>
      <c r="H14" s="266">
        <f>IF('Historical DATA'!I5="","",'Historical DATA'!I5)</f>
        <v>1649501.3399999999</v>
      </c>
    </row>
    <row r="15" spans="1:12">
      <c r="B15" s="254">
        <f>IF('Historical DATA'!C6="","",'Historical DATA'!C6)</f>
        <v>46112</v>
      </c>
      <c r="C15" s="255">
        <f>IF('Historical DATA'!D6="","",'Historical DATA'!D6)</f>
        <v>0</v>
      </c>
      <c r="D15" s="265">
        <f>IF('Historical DATA'!E6="","",'Historical DATA'!E6)</f>
        <v>12428694752.200001</v>
      </c>
      <c r="E15" s="496">
        <f>IF('Historical DATA'!F6="","",'Historical DATA'!F6)</f>
        <v>533922.61</v>
      </c>
      <c r="F15" s="265">
        <f>IF('Historical DATA'!G6="","",'Historical DATA'!G6)</f>
        <v>10561686.030000001</v>
      </c>
      <c r="G15" s="255">
        <f>IF('Historical DATA'!H6="","",'Historical DATA'!H6)</f>
        <v>101335.99</v>
      </c>
      <c r="H15" s="266">
        <f>IF('Historical DATA'!I6="","",'Historical DATA'!I6)</f>
        <v>1646926.16</v>
      </c>
    </row>
    <row r="16" spans="1:12">
      <c r="B16" s="254">
        <f>IF('Historical DATA'!C7="","",'Historical DATA'!C7)</f>
        <v>46081</v>
      </c>
      <c r="C16" s="255">
        <f>IF('Historical DATA'!D7="","",'Historical DATA'!D7)</f>
        <v>0</v>
      </c>
      <c r="D16" s="265">
        <f>IF('Historical DATA'!E7="","",'Historical DATA'!E7)</f>
        <v>12428694752.200001</v>
      </c>
      <c r="E16" s="496">
        <f>IF('Historical DATA'!F7="","",'Historical DATA'!F7)</f>
        <v>340969.13</v>
      </c>
      <c r="F16" s="265">
        <f>IF('Historical DATA'!G7="","",'Historical DATA'!G7)</f>
        <v>10027763.420000002</v>
      </c>
      <c r="G16" s="255">
        <f>IF('Historical DATA'!H7="","",'Historical DATA'!H7)</f>
        <v>164020.23000000001</v>
      </c>
      <c r="H16" s="266">
        <f>IF('Historical DATA'!I7="","",'Historical DATA'!I7)</f>
        <v>1545590.17</v>
      </c>
    </row>
    <row r="17" spans="2:8">
      <c r="B17" s="254">
        <f>IF('Historical DATA'!C8="","",'Historical DATA'!C8)</f>
        <v>46053</v>
      </c>
      <c r="C17" s="255">
        <f>IF('Historical DATA'!D8="","",'Historical DATA'!D8)</f>
        <v>0</v>
      </c>
      <c r="D17" s="265">
        <f>IF('Historical DATA'!E8="","",'Historical DATA'!E8)</f>
        <v>12428694752.200001</v>
      </c>
      <c r="E17" s="496">
        <f>IF('Historical DATA'!F8="","",'Historical DATA'!F8)</f>
        <v>2770700.2</v>
      </c>
      <c r="F17" s="265">
        <f>IF('Historical DATA'!G8="","",'Historical DATA'!G8)</f>
        <v>9686794.290000001</v>
      </c>
      <c r="G17" s="255">
        <f>IF('Historical DATA'!H8="","",'Historical DATA'!H8)</f>
        <v>847684.58000000007</v>
      </c>
      <c r="H17" s="266">
        <f>IF('Historical DATA'!I8="","",'Historical DATA'!I8)</f>
        <v>1381569.94</v>
      </c>
    </row>
    <row r="18" spans="2:8">
      <c r="B18" s="254">
        <f>IF('Historical DATA'!C9="","",'Historical DATA'!C9)</f>
        <v>46022</v>
      </c>
      <c r="C18" s="255">
        <f>IF('Historical DATA'!D9="","",'Historical DATA'!D9)</f>
        <v>0</v>
      </c>
      <c r="D18" s="265">
        <f>IF('Historical DATA'!E9="","",'Historical DATA'!E9)</f>
        <v>12428694752.200001</v>
      </c>
      <c r="E18" s="496">
        <f>IF('Historical DATA'!F9="","",'Historical DATA'!F9)</f>
        <v>998490.2</v>
      </c>
      <c r="F18" s="265">
        <f>IF('Historical DATA'!G9="","",'Historical DATA'!G9)</f>
        <v>6916094.0900000008</v>
      </c>
      <c r="G18" s="255">
        <f>IF('Historical DATA'!H9="","",'Historical DATA'!H9)</f>
        <v>10317.209999999999</v>
      </c>
      <c r="H18" s="266">
        <f>IF('Historical DATA'!I9="","",'Historical DATA'!I9)</f>
        <v>533885.36</v>
      </c>
    </row>
    <row r="19" spans="2:8">
      <c r="B19" s="254">
        <f>IF('Historical DATA'!C10="","",'Historical DATA'!C10)</f>
        <v>45991</v>
      </c>
      <c r="C19" s="255">
        <f>IF('Historical DATA'!D10="","",'Historical DATA'!D10)</f>
        <v>0</v>
      </c>
      <c r="D19" s="265">
        <f>IF('Historical DATA'!E10="","",'Historical DATA'!E10)</f>
        <v>12428694752.200001</v>
      </c>
      <c r="E19" s="496">
        <f>IF('Historical DATA'!F10="","",'Historical DATA'!F10)</f>
        <v>563823.34</v>
      </c>
      <c r="F19" s="265">
        <f>IF('Historical DATA'!G10="","",'Historical DATA'!G10)</f>
        <v>5917603.8900000006</v>
      </c>
      <c r="G19" s="255">
        <f>IF('Historical DATA'!H10="","",'Historical DATA'!H10)</f>
        <v>311624.19</v>
      </c>
      <c r="H19" s="266">
        <f>IF('Historical DATA'!I10="","",'Historical DATA'!I10)</f>
        <v>523568.14999999997</v>
      </c>
    </row>
    <row r="20" spans="2:8">
      <c r="B20" s="254">
        <f>IF('Historical DATA'!C11="","",'Historical DATA'!C11)</f>
        <v>45961</v>
      </c>
      <c r="C20" s="255">
        <f>IF('Historical DATA'!D11="","",'Historical DATA'!D11)</f>
        <v>0</v>
      </c>
      <c r="D20" s="265">
        <f>IF('Historical DATA'!E11="","",'Historical DATA'!E11)</f>
        <v>12428694752.200001</v>
      </c>
      <c r="E20" s="496">
        <f>IF('Historical DATA'!F11="","",'Historical DATA'!F11)</f>
        <v>229091.41</v>
      </c>
      <c r="F20" s="265">
        <f>IF('Historical DATA'!G11="","",'Historical DATA'!G11)</f>
        <v>5353780.5500000007</v>
      </c>
      <c r="G20" s="255">
        <f>IF('Historical DATA'!H11="","",'Historical DATA'!H11)</f>
        <v>1137.19</v>
      </c>
      <c r="H20" s="266">
        <f>IF('Historical DATA'!I11="","",'Historical DATA'!I11)</f>
        <v>211943.95999999996</v>
      </c>
    </row>
    <row r="21" spans="2:8">
      <c r="B21" s="254">
        <f>IF('Historical DATA'!C12="","",'Historical DATA'!C12)</f>
        <v>45930</v>
      </c>
      <c r="C21" s="255">
        <f>IF('Historical DATA'!D12="","",'Historical DATA'!D12)</f>
        <v>4246326267.73</v>
      </c>
      <c r="D21" s="265">
        <f>IF('Historical DATA'!E12="","",'Historical DATA'!E12)</f>
        <v>12428694752.200001</v>
      </c>
      <c r="E21" s="496">
        <f>IF('Historical DATA'!F12="","",'Historical DATA'!F12)</f>
        <v>414679.66</v>
      </c>
      <c r="F21" s="265">
        <f>IF('Historical DATA'!G12="","",'Historical DATA'!G12)</f>
        <v>5124689.1400000006</v>
      </c>
      <c r="G21" s="255">
        <f>IF('Historical DATA'!H12="","",'Historical DATA'!H12)</f>
        <v>1788.58</v>
      </c>
      <c r="H21" s="266">
        <f>IF('Historical DATA'!I12="","",'Historical DATA'!I12)</f>
        <v>210806.76999999996</v>
      </c>
    </row>
    <row r="22" spans="2:8">
      <c r="B22" s="254">
        <f>IF('Historical DATA'!C13="","",'Historical DATA'!C13)</f>
        <v>45900</v>
      </c>
      <c r="C22" s="255">
        <f>IF('Historical DATA'!D13="","",'Historical DATA'!D13)</f>
        <v>0</v>
      </c>
      <c r="D22" s="265">
        <f>IF('Historical DATA'!E13="","",'Historical DATA'!E13)</f>
        <v>8182368484.4700003</v>
      </c>
      <c r="E22" s="496">
        <f>IF('Historical DATA'!F13="","",'Historical DATA'!F13)</f>
        <v>325275.99</v>
      </c>
      <c r="F22" s="265">
        <f>IF('Historical DATA'!G13="","",'Historical DATA'!G13)</f>
        <v>4710009.4800000004</v>
      </c>
      <c r="G22" s="255">
        <f>IF('Historical DATA'!H13="","",'Historical DATA'!H13)</f>
        <v>2472.34</v>
      </c>
      <c r="H22" s="266">
        <f>IF('Historical DATA'!I13="","",'Historical DATA'!I13)</f>
        <v>209018.18999999997</v>
      </c>
    </row>
    <row r="23" spans="2:8">
      <c r="B23" s="254">
        <f>IF('Historical DATA'!C14="","",'Historical DATA'!C14)</f>
        <v>45869</v>
      </c>
      <c r="C23" s="255">
        <f>IF('Historical DATA'!D14="","",'Historical DATA'!D14)</f>
        <v>0</v>
      </c>
      <c r="D23" s="265">
        <f>IF('Historical DATA'!E14="","",'Historical DATA'!E14)</f>
        <v>8182368484.4700003</v>
      </c>
      <c r="E23" s="496">
        <f>IF('Historical DATA'!F14="","",'Historical DATA'!F14)</f>
        <v>619098.98</v>
      </c>
      <c r="F23" s="265">
        <f>IF('Historical DATA'!G14="","",'Historical DATA'!G14)</f>
        <v>4384733.49</v>
      </c>
      <c r="G23" s="255">
        <f>IF('Historical DATA'!H14="","",'Historical DATA'!H14)</f>
        <v>5836.2100000000009</v>
      </c>
      <c r="H23" s="266">
        <f>IF('Historical DATA'!I14="","",'Historical DATA'!I14)</f>
        <v>206545.84999999998</v>
      </c>
    </row>
    <row r="24" spans="2:8">
      <c r="B24" s="254">
        <f>IF('Historical DATA'!C15="","",'Historical DATA'!C15)</f>
        <v>45838</v>
      </c>
      <c r="C24" s="255">
        <f>IF('Historical DATA'!D15="","",'Historical DATA'!D15)</f>
        <v>0</v>
      </c>
      <c r="D24" s="265">
        <f>IF('Historical DATA'!E15="","",'Historical DATA'!E15)</f>
        <v>8182368484.4700003</v>
      </c>
      <c r="E24" s="496">
        <f>IF('Historical DATA'!F15="","",'Historical DATA'!F15)</f>
        <v>183346.71</v>
      </c>
      <c r="F24" s="265">
        <f>IF('Historical DATA'!G15="","",'Historical DATA'!G15)</f>
        <v>3765634.51</v>
      </c>
      <c r="G24" s="255">
        <f>IF('Historical DATA'!H15="","",'Historical DATA'!H15)</f>
        <v>8765.27</v>
      </c>
      <c r="H24" s="266">
        <f>IF('Historical DATA'!I15="","",'Historical DATA'!I15)</f>
        <v>200709.63999999998</v>
      </c>
    </row>
    <row r="25" spans="2:8">
      <c r="B25" s="254">
        <f>IF('Historical DATA'!C16="","",'Historical DATA'!C16)</f>
        <v>45808</v>
      </c>
      <c r="C25" s="255">
        <f>IF('Historical DATA'!D16="","",'Historical DATA'!D16)</f>
        <v>0</v>
      </c>
      <c r="D25" s="265">
        <f>IF('Historical DATA'!E16="","",'Historical DATA'!E16)</f>
        <v>8182368484.4700003</v>
      </c>
      <c r="E25" s="496">
        <f>IF('Historical DATA'!F16="","",'Historical DATA'!F16)</f>
        <v>723701.24</v>
      </c>
      <c r="F25" s="265">
        <f>IF('Historical DATA'!G16="","",'Historical DATA'!G16)</f>
        <v>3582287.8</v>
      </c>
      <c r="G25" s="255">
        <f>IF('Historical DATA'!H16="","",'Historical DATA'!H16)</f>
        <v>14058.619999999999</v>
      </c>
      <c r="H25" s="266">
        <f>IF('Historical DATA'!I16="","",'Historical DATA'!I16)</f>
        <v>191944.37</v>
      </c>
    </row>
    <row r="26" spans="2:8">
      <c r="B26" s="254">
        <f>IF('Historical DATA'!C17="","",'Historical DATA'!C17)</f>
        <v>45777</v>
      </c>
      <c r="C26" s="255">
        <f>IF('Historical DATA'!D17="","",'Historical DATA'!D17)</f>
        <v>0</v>
      </c>
      <c r="D26" s="265">
        <f>IF('Historical DATA'!E17="","",'Historical DATA'!E17)</f>
        <v>8182368484.4700003</v>
      </c>
      <c r="E26" s="496">
        <f>IF('Historical DATA'!F17="","",'Historical DATA'!F17)</f>
        <v>1236920.96</v>
      </c>
      <c r="F26" s="265">
        <f>IF('Historical DATA'!G17="","",'Historical DATA'!G17)</f>
        <v>2858586.56</v>
      </c>
      <c r="G26" s="255">
        <f>IF('Historical DATA'!H17="","",'Historical DATA'!H17)</f>
        <v>5807.5</v>
      </c>
      <c r="H26" s="266">
        <f>IF('Historical DATA'!I17="","",'Historical DATA'!I17)</f>
        <v>177885.75</v>
      </c>
    </row>
    <row r="27" spans="2:8">
      <c r="B27" s="254">
        <f>IF('Historical DATA'!C18="","",'Historical DATA'!C18)</f>
        <v>45747</v>
      </c>
      <c r="C27" s="255">
        <f>IF('Historical DATA'!D18="","",'Historical DATA'!D18)</f>
        <v>0</v>
      </c>
      <c r="D27" s="265">
        <f>IF('Historical DATA'!E18="","",'Historical DATA'!E18)</f>
        <v>8182368484.4700003</v>
      </c>
      <c r="E27" s="496">
        <f>IF('Historical DATA'!F18="","",'Historical DATA'!F18)</f>
        <v>394532.89</v>
      </c>
      <c r="F27" s="265">
        <f>IF('Historical DATA'!G18="","",'Historical DATA'!G18)</f>
        <v>1621665.6</v>
      </c>
      <c r="G27" s="255">
        <f>IF('Historical DATA'!H18="","",'Historical DATA'!H18)</f>
        <v>115581.97</v>
      </c>
      <c r="H27" s="266">
        <f>IF('Historical DATA'!I18="","",'Historical DATA'!I18)</f>
        <v>172078.25</v>
      </c>
    </row>
    <row r="28" spans="2:8">
      <c r="B28" s="254">
        <f>IF('Historical DATA'!C19="","",'Historical DATA'!C19)</f>
        <v>45716</v>
      </c>
      <c r="C28" s="255">
        <f>IF('Historical DATA'!D19="","",'Historical DATA'!D19)</f>
        <v>0</v>
      </c>
      <c r="D28" s="265">
        <f>IF('Historical DATA'!E19="","",'Historical DATA'!E19)</f>
        <v>8182368484.4700003</v>
      </c>
      <c r="E28" s="496">
        <f>IF('Historical DATA'!F19="","",'Historical DATA'!F19)</f>
        <v>208258.58</v>
      </c>
      <c r="F28" s="265">
        <f>IF('Historical DATA'!G19="","",'Historical DATA'!G19)</f>
        <v>1227132.71</v>
      </c>
      <c r="G28" s="255">
        <f>IF('Historical DATA'!H19="","",'Historical DATA'!H19)</f>
        <v>3590.35</v>
      </c>
      <c r="H28" s="266">
        <f>IF('Historical DATA'!I19="","",'Historical DATA'!I19)</f>
        <v>56496.279999999992</v>
      </c>
    </row>
    <row r="29" spans="2:8">
      <c r="B29" s="254">
        <f>IF('Historical DATA'!C20="","",'Historical DATA'!C20)</f>
        <v>45688</v>
      </c>
      <c r="C29" s="255">
        <f>IF('Historical DATA'!D20="","",'Historical DATA'!D20)</f>
        <v>0</v>
      </c>
      <c r="D29" s="265">
        <f>IF('Historical DATA'!E20="","",'Historical DATA'!E20)</f>
        <v>8182368484.4700003</v>
      </c>
      <c r="E29" s="496">
        <f>IF('Historical DATA'!F20="","",'Historical DATA'!F20)</f>
        <v>411919.03</v>
      </c>
      <c r="F29" s="265">
        <f>IF('Historical DATA'!G20="","",'Historical DATA'!G20)</f>
        <v>1018874.13</v>
      </c>
      <c r="G29" s="255">
        <f>IF('Historical DATA'!H20="","",'Historical DATA'!H20)</f>
        <v>1637.84</v>
      </c>
      <c r="H29" s="266">
        <f>IF('Historical DATA'!I20="","",'Historical DATA'!I20)</f>
        <v>52905.929999999993</v>
      </c>
    </row>
    <row r="30" spans="2:8">
      <c r="B30" s="254">
        <f>IF('Historical DATA'!C21="","",'Historical DATA'!C21)</f>
        <v>45657</v>
      </c>
      <c r="C30" s="255">
        <f>IF('Historical DATA'!D21="","",'Historical DATA'!D21)</f>
        <v>0</v>
      </c>
      <c r="D30" s="265">
        <f>IF('Historical DATA'!E21="","",'Historical DATA'!E21)</f>
        <v>8182368484.4700003</v>
      </c>
      <c r="E30" s="496">
        <f>IF('Historical DATA'!F21="","",'Historical DATA'!F21)</f>
        <v>282412.90999999997</v>
      </c>
      <c r="F30" s="265">
        <f>IF('Historical DATA'!G21="","",'Historical DATA'!G21)</f>
        <v>606955.1</v>
      </c>
      <c r="G30" s="255">
        <f>IF('Historical DATA'!H21="","",'Historical DATA'!H21)</f>
        <v>50914.85</v>
      </c>
      <c r="H30" s="266">
        <f>IF('Historical DATA'!I21="","",'Historical DATA'!I21)</f>
        <v>51268.09</v>
      </c>
    </row>
    <row r="31" spans="2:8">
      <c r="B31" s="254">
        <f>IF('Historical DATA'!C22="","",'Historical DATA'!C22)</f>
        <v>45626</v>
      </c>
      <c r="C31" s="255">
        <f>IF('Historical DATA'!D22="","",'Historical DATA'!D22)</f>
        <v>0</v>
      </c>
      <c r="D31" s="265">
        <f>IF('Historical DATA'!E22="","",'Historical DATA'!E22)</f>
        <v>8182368484.4700003</v>
      </c>
      <c r="E31" s="496">
        <f>IF('Historical DATA'!F22="","",'Historical DATA'!F22)</f>
        <v>259157.33</v>
      </c>
      <c r="F31" s="265">
        <f>IF('Historical DATA'!G22="","",'Historical DATA'!G22)</f>
        <v>324542.19</v>
      </c>
      <c r="G31" s="255">
        <f>IF('Historical DATA'!H22="","",'Historical DATA'!H22)</f>
        <v>-558.57000000000005</v>
      </c>
      <c r="H31" s="266">
        <f>IF('Historical DATA'!I22="","",'Historical DATA'!I22)</f>
        <v>353.2399999999999</v>
      </c>
    </row>
    <row r="32" spans="2:8">
      <c r="B32" s="254">
        <f>IF('Historical DATA'!C23="","",'Historical DATA'!C23)</f>
        <v>45596</v>
      </c>
      <c r="C32" s="255">
        <f>IF('Historical DATA'!D23="","",'Historical DATA'!D23)</f>
        <v>0</v>
      </c>
      <c r="D32" s="265">
        <f>IF('Historical DATA'!E23="","",'Historical DATA'!E23)</f>
        <v>8182368484.4700003</v>
      </c>
      <c r="E32" s="496">
        <f>IF('Historical DATA'!F23="","",'Historical DATA'!F23)</f>
        <v>65384.86</v>
      </c>
      <c r="F32" s="265">
        <f>IF('Historical DATA'!G23="","",'Historical DATA'!G23)</f>
        <v>65384.86</v>
      </c>
      <c r="G32" s="255">
        <f>IF('Historical DATA'!H23="","",'Historical DATA'!H23)</f>
        <v>911.81</v>
      </c>
      <c r="H32" s="266">
        <f>IF('Historical DATA'!I23="","",'Historical DATA'!I23)</f>
        <v>911.81</v>
      </c>
    </row>
    <row r="33" spans="2:8">
      <c r="B33" s="254">
        <f>IF('Historical DATA'!C24="","",'Historical DATA'!C24)</f>
        <v>45565</v>
      </c>
      <c r="C33" s="255">
        <f>IF('Historical DATA'!D24="","",'Historical DATA'!D24)</f>
        <v>8182368484.4700003</v>
      </c>
      <c r="D33" s="265">
        <f>IF('Historical DATA'!E24="","",'Historical DATA'!E24)</f>
        <v>8182368484.4700003</v>
      </c>
      <c r="E33" s="496">
        <f>IF('Historical DATA'!F24="","",'Historical DATA'!F24)</f>
        <v>0</v>
      </c>
      <c r="F33" s="265">
        <f>IF('Historical DATA'!G24="","",'Historical DATA'!G24)</f>
        <v>0</v>
      </c>
      <c r="G33" s="255">
        <f>IF('Historical DATA'!H24="","",'Historical DATA'!H24)</f>
        <v>0</v>
      </c>
      <c r="H33" s="266">
        <f>IF('Historical DATA'!I24="","",'Historical DATA'!I24)</f>
        <v>0</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13" t="s">
        <v>99</v>
      </c>
      <c r="G3" s="1213">
        <f>'00 - Cover'!$F$17</f>
        <v>46203</v>
      </c>
    </row>
    <row r="4" spans="1:11" ht="14.5" customHeight="1">
      <c r="A4" s="35"/>
      <c r="B4" s="37"/>
      <c r="C4" s="37"/>
      <c r="D4" s="37"/>
      <c r="E4" s="37"/>
      <c r="F4" s="1213" t="s">
        <v>4</v>
      </c>
      <c r="G4" s="1213">
        <f>'00 - Cover'!$F$19</f>
        <v>46223</v>
      </c>
    </row>
    <row r="5" spans="1:11" ht="14.5" customHeight="1">
      <c r="A5" s="35"/>
      <c r="B5" s="37"/>
      <c r="C5" s="37"/>
      <c r="D5" s="37"/>
      <c r="E5" s="37"/>
      <c r="F5" s="1213" t="s">
        <v>5</v>
      </c>
      <c r="G5" s="1213">
        <f>'00 - Cover'!$F$20</f>
        <v>46230</v>
      </c>
    </row>
    <row r="6" spans="1:11" ht="14.5" customHeight="1">
      <c r="A6" s="35"/>
      <c r="B6" s="37"/>
      <c r="C6" s="37"/>
      <c r="D6" s="37"/>
      <c r="E6" s="37"/>
      <c r="F6" s="37"/>
      <c r="G6" s="37"/>
    </row>
    <row r="7" spans="1:11">
      <c r="A7" s="35"/>
      <c r="B7" s="37"/>
      <c r="C7" s="37"/>
      <c r="D7" s="37"/>
      <c r="E7" s="37"/>
      <c r="F7" s="37"/>
      <c r="G7" s="37"/>
    </row>
    <row r="8" spans="1:11">
      <c r="A8" s="229"/>
    </row>
    <row r="9" spans="1:11" ht="15.5">
      <c r="B9" s="1954" t="s">
        <v>2004</v>
      </c>
      <c r="C9" s="1955"/>
      <c r="D9" s="1955"/>
      <c r="E9" s="1955"/>
      <c r="F9" s="1955"/>
      <c r="G9" s="1955"/>
    </row>
    <row r="10" spans="1:11" ht="1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46223</v>
      </c>
      <c r="C12" s="271">
        <f>'11bis - Notes Calculation'!F17</f>
        <v>94905107.11000061</v>
      </c>
      <c r="D12" s="272">
        <f>E12-F12</f>
        <v>102719406.31120145</v>
      </c>
      <c r="E12" s="274">
        <f>'15 - Priority of Payments'!J21</f>
        <v>110368449.09120145</v>
      </c>
      <c r="F12" s="274">
        <f>'15 - Priority of Payments'!J28+'15 - Priority of Payments'!J29+'15 - Priority of Payments'!J30+'15 - Priority of Payments'!J32</f>
        <v>7649042.7800000012</v>
      </c>
      <c r="G12" s="273">
        <f>MAX(C12-D12,0)</f>
        <v>0</v>
      </c>
    </row>
    <row r="13" spans="1:11">
      <c r="A13" s="234"/>
      <c r="B13" s="275">
        <f>IF('Historical DATA'!A4="","",'Historical DATA'!A4)</f>
        <v>46195</v>
      </c>
      <c r="C13" s="276">
        <f>IF('Historical DATA'!J4="","",'Historical DATA'!J4)</f>
        <v>84328666.73000145</v>
      </c>
      <c r="D13" s="277">
        <f>IF('Historical DATA'!K4="","",'Historical DATA'!K4)</f>
        <v>90883110.105201691</v>
      </c>
      <c r="E13" s="279">
        <f>IF('Historical DATA'!L4="","",'Historical DATA'!L4)</f>
        <v>99554730.395201683</v>
      </c>
      <c r="F13" s="279">
        <f>IF('Historical DATA'!M4="","",'Historical DATA'!M4)</f>
        <v>8671620.2899999991</v>
      </c>
      <c r="G13" s="278">
        <f>IF('Historical DATA'!N4="","",'Historical DATA'!N4)</f>
        <v>0</v>
      </c>
    </row>
    <row r="14" spans="1:11">
      <c r="A14" s="234"/>
      <c r="B14" s="275">
        <f>IF('Historical DATA'!A5="","",'Historical DATA'!A5)</f>
        <v>46161</v>
      </c>
      <c r="C14" s="276">
        <f>IF('Historical DATA'!J5="","",'Historical DATA'!J5)</f>
        <v>92791275.990001678</v>
      </c>
      <c r="D14" s="277">
        <f>IF('Historical DATA'!K5="","",'Historical DATA'!K5)</f>
        <v>100118299.84360091</v>
      </c>
      <c r="E14" s="279">
        <f>IF('Historical DATA'!L5="","",'Historical DATA'!L5)</f>
        <v>108376160.90360092</v>
      </c>
      <c r="F14" s="279">
        <f>IF('Historical DATA'!M5="","",'Historical DATA'!M5)</f>
        <v>8257861.0600000005</v>
      </c>
      <c r="G14" s="278">
        <f>IF('Historical DATA'!N5="","",'Historical DATA'!N5)</f>
        <v>0</v>
      </c>
      <c r="H14" s="42"/>
    </row>
    <row r="15" spans="1:11">
      <c r="B15" s="275">
        <f>IF('Historical DATA'!A6="","",'Historical DATA'!A6)</f>
        <v>46132</v>
      </c>
      <c r="C15" s="276">
        <f>IF('Historical DATA'!J6="","",'Historical DATA'!J6)</f>
        <v>121187639.79000092</v>
      </c>
      <c r="D15" s="277">
        <f>IF('Historical DATA'!K6="","",'Historical DATA'!K6)</f>
        <v>128761346.4332011</v>
      </c>
      <c r="E15" s="279">
        <f>IF('Historical DATA'!L6="","",'Historical DATA'!L6)</f>
        <v>137208997.8432011</v>
      </c>
      <c r="F15" s="279">
        <f>IF('Historical DATA'!M6="","",'Historical DATA'!M6)</f>
        <v>8447651.4100000001</v>
      </c>
      <c r="G15" s="278">
        <f>IF('Historical DATA'!N6="","",'Historical DATA'!N6)</f>
        <v>0</v>
      </c>
      <c r="K15" s="42"/>
    </row>
    <row r="16" spans="1:11">
      <c r="B16" s="275">
        <f>IF('Historical DATA'!A7="","",'Historical DATA'!A7)</f>
        <v>46101</v>
      </c>
      <c r="C16" s="276">
        <f>IF('Historical DATA'!J7="","",'Historical DATA'!J7)</f>
        <v>90460441.800001144</v>
      </c>
      <c r="D16" s="277">
        <f>IF('Historical DATA'!K7="","",'Historical DATA'!K7)</f>
        <v>100505450.93920113</v>
      </c>
      <c r="E16" s="279">
        <f>IF('Historical DATA'!L7="","",'Historical DATA'!L7)</f>
        <v>108428645.82920113</v>
      </c>
      <c r="F16" s="279">
        <f>IF('Historical DATA'!M7="","",'Historical DATA'!M7)</f>
        <v>7923194.8900000015</v>
      </c>
      <c r="G16" s="278">
        <f>IF('Historical DATA'!N7="","",'Historical DATA'!N7)</f>
        <v>0</v>
      </c>
    </row>
    <row r="17" spans="2:7">
      <c r="B17" s="275">
        <f>IF('Historical DATA'!A8="","",'Historical DATA'!A8)</f>
        <v>46073</v>
      </c>
      <c r="C17" s="276">
        <f>IF('Historical DATA'!J8="","",'Historical DATA'!J8)</f>
        <v>99140955.050001144</v>
      </c>
      <c r="D17" s="277">
        <f>IF('Historical DATA'!K8="","",'Historical DATA'!K8)</f>
        <v>105747531.43480022</v>
      </c>
      <c r="E17" s="279">
        <f>IF('Historical DATA'!L8="","",'Historical DATA'!L8)</f>
        <v>114339918.71480022</v>
      </c>
      <c r="F17" s="279">
        <f>IF('Historical DATA'!M8="","",'Historical DATA'!M8)</f>
        <v>8592387.2799999993</v>
      </c>
      <c r="G17" s="278">
        <f>IF('Historical DATA'!N8="","",'Historical DATA'!N8)</f>
        <v>0</v>
      </c>
    </row>
    <row r="18" spans="2:7">
      <c r="B18" s="275">
        <f>IF('Historical DATA'!A9="","",'Historical DATA'!A9)</f>
        <v>46042</v>
      </c>
      <c r="C18" s="276">
        <f>IF('Historical DATA'!J9="","",'Historical DATA'!J9)</f>
        <v>96320114.010000229</v>
      </c>
      <c r="D18" s="277">
        <f>IF('Historical DATA'!K9="","",'Historical DATA'!K9)</f>
        <v>103874945.77000016</v>
      </c>
      <c r="E18" s="279">
        <f>IF('Historical DATA'!L9="","",'Historical DATA'!L9)</f>
        <v>112142835.83000016</v>
      </c>
      <c r="F18" s="279">
        <f>IF('Historical DATA'!M9="","",'Historical DATA'!M9)</f>
        <v>8267890.0599999996</v>
      </c>
      <c r="G18" s="278">
        <f>IF('Historical DATA'!N9="","",'Historical DATA'!N9)</f>
        <v>0</v>
      </c>
    </row>
    <row r="19" spans="2:7">
      <c r="B19" s="275">
        <f>IF('Historical DATA'!A10="","",'Historical DATA'!A10)</f>
        <v>46009</v>
      </c>
      <c r="C19" s="276">
        <f>IF('Historical DATA'!J10="","",'Historical DATA'!J10)</f>
        <v>90682449.090000153</v>
      </c>
      <c r="D19" s="277">
        <f>IF('Historical DATA'!K10="","",'Historical DATA'!K10)</f>
        <v>98195782.409999922</v>
      </c>
      <c r="E19" s="279">
        <f>IF('Historical DATA'!L10="","",'Historical DATA'!L10)</f>
        <v>107147331.03999992</v>
      </c>
      <c r="F19" s="279">
        <f>IF('Historical DATA'!M10="","",'Historical DATA'!M10)</f>
        <v>8951548.629999999</v>
      </c>
      <c r="G19" s="278">
        <f>IF('Historical DATA'!N10="","",'Historical DATA'!N10)</f>
        <v>0</v>
      </c>
    </row>
    <row r="20" spans="2:7">
      <c r="B20" s="275">
        <f>IF('Historical DATA'!A11="","",'Historical DATA'!A11)</f>
        <v>45981</v>
      </c>
      <c r="C20" s="276">
        <f>IF('Historical DATA'!J11="","",'Historical DATA'!J11)</f>
        <v>112862034.32999992</v>
      </c>
      <c r="D20" s="277">
        <f>IF('Historical DATA'!K11="","",'Historical DATA'!K11)</f>
        <v>115311123.14000005</v>
      </c>
      <c r="E20" s="279">
        <f>IF('Historical DATA'!L11="","",'Historical DATA'!L11)</f>
        <v>124168301.46000004</v>
      </c>
      <c r="F20" s="279">
        <f>IF('Historical DATA'!M11="","",'Historical DATA'!M11)</f>
        <v>8857178.3200000003</v>
      </c>
      <c r="G20" s="278">
        <f>IF('Historical DATA'!N11="","",'Historical DATA'!N11)</f>
        <v>0</v>
      </c>
    </row>
    <row r="21" spans="2:7">
      <c r="B21" s="275">
        <f>IF('Historical DATA'!A12="","",'Historical DATA'!A12)</f>
        <v>45950</v>
      </c>
      <c r="C21" s="276">
        <f>IF('Historical DATA'!J12="","",'Historical DATA'!J12)</f>
        <v>63104060.460000038</v>
      </c>
      <c r="D21" s="277">
        <f>IF('Historical DATA'!K12="","",'Historical DATA'!K12)</f>
        <v>67730339.120000198</v>
      </c>
      <c r="E21" s="279">
        <f>IF('Historical DATA'!L12="","",'Historical DATA'!L12)</f>
        <v>72988065.030000195</v>
      </c>
      <c r="F21" s="279">
        <f>IF('Historical DATA'!M12="","",'Historical DATA'!M12)</f>
        <v>5257725.91</v>
      </c>
      <c r="G21" s="278">
        <f>IF('Historical DATA'!N12="","",'Historical DATA'!N12)</f>
        <v>0</v>
      </c>
    </row>
    <row r="22" spans="2:7">
      <c r="B22" s="275">
        <f>IF('Historical DATA'!A13="","",'Historical DATA'!A13)</f>
        <v>45922</v>
      </c>
      <c r="C22" s="276">
        <f>IF('Historical DATA'!J13="","",'Historical DATA'!J13)</f>
        <v>70631418.550000191</v>
      </c>
      <c r="D22" s="277">
        <f>IF('Historical DATA'!K13="","",'Historical DATA'!K13)</f>
        <v>74442484.812001273</v>
      </c>
      <c r="E22" s="279">
        <f>IF('Historical DATA'!L13="","",'Historical DATA'!L13)</f>
        <v>80412846.232001275</v>
      </c>
      <c r="F22" s="279">
        <f>IF('Historical DATA'!M13="","",'Historical DATA'!M13)</f>
        <v>5970361.4199999999</v>
      </c>
      <c r="G22" s="278">
        <f>IF('Historical DATA'!N13="","",'Historical DATA'!N13)</f>
        <v>0</v>
      </c>
    </row>
    <row r="23" spans="2:7">
      <c r="B23" s="275">
        <f>IF('Historical DATA'!A14="","",'Historical DATA'!A14)</f>
        <v>45889</v>
      </c>
      <c r="C23" s="276">
        <f>IF('Historical DATA'!J14="","",'Historical DATA'!J14)</f>
        <v>68603195.680001259</v>
      </c>
      <c r="D23" s="277">
        <f>IF('Historical DATA'!K14="","",'Historical DATA'!K14)</f>
        <v>72278019.03320092</v>
      </c>
      <c r="E23" s="279">
        <f>IF('Historical DATA'!L14="","",'Historical DATA'!L14)</f>
        <v>77901731.713200912</v>
      </c>
      <c r="F23" s="279">
        <f>IF('Historical DATA'!M14="","",'Historical DATA'!M14)</f>
        <v>5623712.6799999997</v>
      </c>
      <c r="G23" s="278">
        <f>IF('Historical DATA'!N14="","",'Historical DATA'!N14)</f>
        <v>0</v>
      </c>
    </row>
    <row r="24" spans="2:7">
      <c r="B24" s="275">
        <f>IF('Historical DATA'!A15="","",'Historical DATA'!A15)</f>
        <v>45859</v>
      </c>
      <c r="C24" s="276">
        <f>IF('Historical DATA'!J15="","",'Historical DATA'!J15)</f>
        <v>65171391.290000916</v>
      </c>
      <c r="D24" s="277">
        <f>IF('Historical DATA'!K15="","",'Historical DATA'!K15)</f>
        <v>69614156.09000136</v>
      </c>
      <c r="E24" s="279">
        <f>IF('Historical DATA'!L15="","",'Historical DATA'!L15)</f>
        <v>75484341.880001366</v>
      </c>
      <c r="F24" s="279">
        <f>IF('Historical DATA'!M15="","",'Historical DATA'!M15)</f>
        <v>5870185.79</v>
      </c>
      <c r="G24" s="278">
        <f>IF('Historical DATA'!N15="","",'Historical DATA'!N15)</f>
        <v>0</v>
      </c>
    </row>
    <row r="25" spans="2:7">
      <c r="B25" s="275">
        <f>IF('Historical DATA'!A16="","",'Historical DATA'!A16)</f>
        <v>45828</v>
      </c>
      <c r="C25" s="276">
        <f>IF('Historical DATA'!J16="","",'Historical DATA'!J16)</f>
        <v>65698922.560001373</v>
      </c>
      <c r="D25" s="277">
        <f>IF('Historical DATA'!K16="","",'Historical DATA'!K16)</f>
        <v>70141364.45310156</v>
      </c>
      <c r="E25" s="279">
        <f>IF('Historical DATA'!L16="","",'Historical DATA'!L16)</f>
        <v>75995489.383101568</v>
      </c>
      <c r="F25" s="279">
        <f>IF('Historical DATA'!M16="","",'Historical DATA'!M16)</f>
        <v>5854124.9300000006</v>
      </c>
      <c r="G25" s="278">
        <f>IF('Historical DATA'!N16="","",'Historical DATA'!N16)</f>
        <v>0</v>
      </c>
    </row>
    <row r="26" spans="2:7">
      <c r="B26" s="275">
        <f>IF('Historical DATA'!A17="","",'Historical DATA'!A17)</f>
        <v>45797</v>
      </c>
      <c r="C26" s="276">
        <f>IF('Historical DATA'!J17="","",'Historical DATA'!J17)</f>
        <v>61710577.110001564</v>
      </c>
      <c r="D26" s="277">
        <f>IF('Historical DATA'!K17="","",'Historical DATA'!K17)</f>
        <v>64956218.0900013</v>
      </c>
      <c r="E26" s="279">
        <f>IF('Historical DATA'!L17="","",'Historical DATA'!L17)</f>
        <v>70575142.360001296</v>
      </c>
      <c r="F26" s="279">
        <f>IF('Historical DATA'!M17="","",'Historical DATA'!M17)</f>
        <v>5618924.2699999996</v>
      </c>
      <c r="G26" s="278">
        <f>IF('Historical DATA'!N17="","",'Historical DATA'!N17)</f>
        <v>0</v>
      </c>
    </row>
    <row r="27" spans="2:7">
      <c r="B27" s="275">
        <f>IF('Historical DATA'!A18="","",'Historical DATA'!A18)</f>
        <v>45764</v>
      </c>
      <c r="C27" s="276">
        <f>IF('Historical DATA'!J18="","",'Historical DATA'!J18)</f>
        <v>59257102.390001297</v>
      </c>
      <c r="D27" s="277">
        <f>IF('Historical DATA'!K18="","",'Historical DATA'!K18)</f>
        <v>63181777.970000699</v>
      </c>
      <c r="E27" s="279">
        <f>IF('Historical DATA'!L18="","",'Historical DATA'!L18)</f>
        <v>69263377.490000695</v>
      </c>
      <c r="F27" s="279">
        <f>IF('Historical DATA'!M18="","",'Historical DATA'!M18)</f>
        <v>6081599.5199999996</v>
      </c>
      <c r="G27" s="278">
        <f>IF('Historical DATA'!N18="","",'Historical DATA'!N18)</f>
        <v>0</v>
      </c>
    </row>
    <row r="28" spans="2:7">
      <c r="B28" s="275">
        <f>IF('Historical DATA'!A19="","",'Historical DATA'!A19)</f>
        <v>45736</v>
      </c>
      <c r="C28" s="276">
        <f>IF('Historical DATA'!J19="","",'Historical DATA'!J19)</f>
        <v>60257729.780000687</v>
      </c>
      <c r="D28" s="277">
        <f>IF('Historical DATA'!K19="","",'Historical DATA'!K19)</f>
        <v>64963948.510000482</v>
      </c>
      <c r="E28" s="279">
        <f>IF('Historical DATA'!L19="","",'Historical DATA'!L19)</f>
        <v>70534542.850000486</v>
      </c>
      <c r="F28" s="279">
        <f>IF('Historical DATA'!M19="","",'Historical DATA'!M19)</f>
        <v>5570594.3399999999</v>
      </c>
      <c r="G28" s="278">
        <f>IF('Historical DATA'!N19="","",'Historical DATA'!N19)</f>
        <v>0</v>
      </c>
    </row>
    <row r="29" spans="2:7">
      <c r="B29" s="275">
        <f>IF('Historical DATA'!A20="","",'Historical DATA'!A20)</f>
        <v>45708</v>
      </c>
      <c r="C29" s="276">
        <f>IF('Historical DATA'!J20="","",'Historical DATA'!J20)</f>
        <v>60134211.480000496</v>
      </c>
      <c r="D29" s="277">
        <f>IF('Historical DATA'!K20="","",'Historical DATA'!K20)</f>
        <v>64375085.400000304</v>
      </c>
      <c r="E29" s="279">
        <f>IF('Historical DATA'!L20="","",'Historical DATA'!L20)</f>
        <v>70408226.130000308</v>
      </c>
      <c r="F29" s="279">
        <f>IF('Historical DATA'!M20="","",'Historical DATA'!M20)</f>
        <v>6033140.7300000004</v>
      </c>
      <c r="G29" s="278">
        <f>IF('Historical DATA'!N20="","",'Historical DATA'!N20)</f>
        <v>0</v>
      </c>
    </row>
    <row r="30" spans="2:7">
      <c r="B30" s="275">
        <f>IF('Historical DATA'!A21="","",'Historical DATA'!A21)</f>
        <v>45677</v>
      </c>
      <c r="C30" s="276">
        <f>IF('Historical DATA'!J21="","",'Historical DATA'!J21)</f>
        <v>120447192.68000031</v>
      </c>
      <c r="D30" s="277">
        <f>IF('Historical DATA'!K21="","",'Historical DATA'!K21)</f>
        <v>124639603.96999994</v>
      </c>
      <c r="E30" s="279">
        <f>IF('Historical DATA'!L21="","",'Historical DATA'!L21)</f>
        <v>130762231.67999993</v>
      </c>
      <c r="F30" s="279">
        <f>IF('Historical DATA'!M21="","",'Historical DATA'!M21)</f>
        <v>6122627.71</v>
      </c>
      <c r="G30" s="278">
        <f>IF('Historical DATA'!N21="","",'Historical DATA'!N21)</f>
        <v>0</v>
      </c>
    </row>
    <row r="31" spans="2:7">
      <c r="B31" s="275">
        <f>IF('Historical DATA'!A22="","",'Historical DATA'!A22)</f>
        <v>45644</v>
      </c>
      <c r="C31" s="276">
        <f>IF('Historical DATA'!J22="","",'Historical DATA'!J22)</f>
        <v>58121049.329999924</v>
      </c>
      <c r="D31" s="277">
        <f>IF('Historical DATA'!K22="","",'Historical DATA'!K22)</f>
        <v>62148473.950000137</v>
      </c>
      <c r="E31" s="279">
        <f>IF('Historical DATA'!L22="","",'Historical DATA'!L22)</f>
        <v>68164591.890000135</v>
      </c>
      <c r="F31" s="279">
        <f>IF('Historical DATA'!M22="","",'Historical DATA'!M22)</f>
        <v>6016117.9400000004</v>
      </c>
      <c r="G31" s="278">
        <f>IF('Historical DATA'!N22="","",'Historical DATA'!N22)</f>
        <v>0</v>
      </c>
    </row>
    <row r="32" spans="2:7">
      <c r="B32" s="275">
        <f>IF('Historical DATA'!A23="","",'Historical DATA'!A23)</f>
        <v>45616</v>
      </c>
      <c r="C32" s="276">
        <f>IF('Historical DATA'!J23="","",'Historical DATA'!J23)</f>
        <v>61601068.340000153</v>
      </c>
      <c r="D32" s="277">
        <f>IF('Historical DATA'!K23="","",'Historical DATA'!K23)</f>
        <v>65347050.329999737</v>
      </c>
      <c r="E32" s="279">
        <f>IF('Historical DATA'!L23="","",'Historical DATA'!L23)</f>
        <v>72163327.339999735</v>
      </c>
      <c r="F32" s="279">
        <f>IF('Historical DATA'!M23="","",'Historical DATA'!M23)</f>
        <v>6816277.0100000007</v>
      </c>
      <c r="G32" s="278">
        <f>IF('Historical DATA'!N23="","",'Historical DATA'!N23)</f>
        <v>0</v>
      </c>
    </row>
    <row r="33" spans="2:7">
      <c r="B33" s="275">
        <f>IF('Historical DATA'!A24="","",'Historical DATA'!A24)</f>
        <v>45588</v>
      </c>
      <c r="C33" s="276">
        <f>IF('Historical DATA'!J24="","",'Historical DATA'!J24)</f>
        <v>0</v>
      </c>
      <c r="D33" s="277">
        <f>IF('Historical DATA'!K24="","",'Historical DATA'!K24)</f>
        <v>0</v>
      </c>
      <c r="E33" s="279">
        <f>IF('Historical DATA'!L24="","",'Historical DATA'!L24)</f>
        <v>0</v>
      </c>
      <c r="F33" s="279">
        <f>IF('Historical DATA'!M24="","",'Historical DATA'!M24)</f>
        <v>0</v>
      </c>
      <c r="G33" s="278">
        <f>IF('Historical DATA'!N24="","",'Historical DATA'!N24)</f>
        <v>0</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heetViews>
  <sheetFormatPr defaultColWidth="10.81640625" defaultRowHeight="14.5"/>
  <cols>
    <col min="1" max="1" width="4.453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5" customHeight="1">
      <c r="A3" s="35"/>
      <c r="B3" s="37"/>
      <c r="C3" s="1369"/>
      <c r="D3" s="1369"/>
      <c r="E3" s="1493"/>
      <c r="F3" s="1369"/>
      <c r="G3" s="1514"/>
      <c r="H3" s="1369"/>
      <c r="I3" s="1369"/>
      <c r="J3" s="1213" t="s">
        <v>99</v>
      </c>
      <c r="K3" s="1213">
        <f>'00 - Cover'!$F$17</f>
        <v>46203</v>
      </c>
      <c r="M3" s="37"/>
      <c r="N3" s="39"/>
      <c r="O3" s="39"/>
    </row>
    <row r="4" spans="1:15" ht="14.5" hidden="1" customHeight="1">
      <c r="A4" s="35"/>
      <c r="B4" s="37"/>
      <c r="C4" s="1369"/>
      <c r="D4" s="1369"/>
      <c r="E4" s="1493"/>
      <c r="F4" s="1369"/>
      <c r="G4" s="1514"/>
      <c r="H4" s="1369"/>
      <c r="I4" s="1369"/>
      <c r="J4" s="1213" t="s">
        <v>4</v>
      </c>
      <c r="K4" s="1213">
        <f>'00 - Cover'!$F$19</f>
        <v>46223</v>
      </c>
      <c r="M4" s="37"/>
      <c r="N4" s="39"/>
      <c r="O4" s="39"/>
    </row>
    <row r="5" spans="1:15" ht="14.5" hidden="1" customHeight="1">
      <c r="A5" s="35"/>
      <c r="B5" s="37"/>
      <c r="C5" s="1369"/>
      <c r="D5" s="1369"/>
      <c r="E5" s="1493"/>
      <c r="F5" s="1369"/>
      <c r="G5" s="1514"/>
      <c r="H5" s="1369"/>
      <c r="I5" s="1369"/>
      <c r="J5" s="1213" t="s">
        <v>5</v>
      </c>
      <c r="K5" s="1213">
        <f>'00 - Cover'!$F$20</f>
        <v>46230</v>
      </c>
      <c r="M5" s="37"/>
      <c r="N5" s="39"/>
      <c r="O5" s="39"/>
    </row>
    <row r="6" spans="1:15" ht="1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 thickBot="1"/>
    <row r="11" spans="1:15" ht="60" customHeight="1"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46230</v>
      </c>
      <c r="C12" s="1359">
        <f>'11 - Notes Follow-up'!G25+'11 - Notes Follow-up'!O25</f>
        <v>10194839630.92</v>
      </c>
      <c r="D12" s="1358">
        <v>5.0000000000000001E-3</v>
      </c>
      <c r="E12" s="1519">
        <v>500000</v>
      </c>
      <c r="F12" s="1359" t="str">
        <f>'00 - Cover'!F32</f>
        <v>Yes</v>
      </c>
      <c r="G12" s="1521" t="str">
        <f>'00 - Cover'!F33</f>
        <v>No</v>
      </c>
      <c r="H12" s="1839">
        <f>IF(F12="Yes",ROUNDUP(MAX(C12*D12,E12),-4),0)</f>
        <v>50980000</v>
      </c>
      <c r="I12" s="1359">
        <f>H13</f>
        <v>51430000</v>
      </c>
      <c r="J12" s="1388">
        <f>'13 - Issuer Account'!I35</f>
        <v>51430000</v>
      </c>
      <c r="K12" s="1475">
        <f>H12-J12</f>
        <v>-450000</v>
      </c>
    </row>
    <row r="13" spans="1:15">
      <c r="A13" s="234"/>
      <c r="B13" s="1476">
        <f>IF('Historical DATA'!B4="","",'Historical DATA'!B4)</f>
        <v>46202</v>
      </c>
      <c r="C13" s="1466">
        <f>IF('Historical DATA'!CU4="","",'Historical DATA'!CU4)</f>
        <v>10284999070.92</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51430000</v>
      </c>
      <c r="I13" s="1468">
        <f>IF('Historical DATA'!DA4="","",'Historical DATA'!DA4)</f>
        <v>51830000</v>
      </c>
      <c r="J13" s="1469">
        <f>IF('Historical DATA'!DB4="","",'Historical DATA'!DB4)</f>
        <v>51830000</v>
      </c>
      <c r="K13" s="1477">
        <f>IF('Historical DATA'!DC4="","",'Historical DATA'!DC4)</f>
        <v>-400000</v>
      </c>
    </row>
    <row r="14" spans="1:15">
      <c r="A14" s="234"/>
      <c r="B14" s="1476">
        <f>IF('Historical DATA'!B5="","",'Historical DATA'!B5)</f>
        <v>46169</v>
      </c>
      <c r="C14" s="1466">
        <f>IF('Historical DATA'!CU5="","",'Historical DATA'!CU5)</f>
        <v>10365110723.120001</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51830000</v>
      </c>
      <c r="I14" s="1468">
        <f>IF('Historical DATA'!DA5="","",'Historical DATA'!DA5)</f>
        <v>52270000</v>
      </c>
      <c r="J14" s="1469">
        <f>IF('Historical DATA'!DB5="","",'Historical DATA'!DB5)</f>
        <v>52270000</v>
      </c>
      <c r="K14" s="1477">
        <f>IF('Historical DATA'!DC5="","",'Historical DATA'!DC5)</f>
        <v>-440000</v>
      </c>
    </row>
    <row r="15" spans="1:15">
      <c r="B15" s="1476">
        <f>IF('Historical DATA'!B6="","",'Historical DATA'!B6)</f>
        <v>46139</v>
      </c>
      <c r="C15" s="1466">
        <f>IF('Historical DATA'!CU6="","",'Historical DATA'!CU6)</f>
        <v>10453261947.640001</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52270000</v>
      </c>
      <c r="I15" s="1468">
        <f>IF('Historical DATA'!DA6="","",'Historical DATA'!DA6)</f>
        <v>52850000</v>
      </c>
      <c r="J15" s="1469">
        <f>IF('Historical DATA'!DB6="","",'Historical DATA'!DB6)</f>
        <v>52850000</v>
      </c>
      <c r="K15" s="1477">
        <f>IF('Historical DATA'!DC6="","",'Historical DATA'!DC6)</f>
        <v>-580000</v>
      </c>
    </row>
    <row r="16" spans="1:15">
      <c r="B16" s="1476">
        <f>IF('Historical DATA'!B7="","",'Historical DATA'!B7)</f>
        <v>46108</v>
      </c>
      <c r="C16" s="1466">
        <f>IF('Historical DATA'!CU7="","",'Historical DATA'!CU7)</f>
        <v>10568389779.280001</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52850000</v>
      </c>
      <c r="I16" s="1468">
        <f>IF('Historical DATA'!DA7="","",'Historical DATA'!DA7)</f>
        <v>53280000</v>
      </c>
      <c r="J16" s="1469">
        <f>IF('Historical DATA'!DB7="","",'Historical DATA'!DB7)</f>
        <v>53280000</v>
      </c>
      <c r="K16" s="1477">
        <f>IF('Historical DATA'!DC7="","",'Historical DATA'!DC7)</f>
        <v>-430000</v>
      </c>
    </row>
    <row r="17" spans="2:11">
      <c r="B17" s="1476">
        <f>IF('Historical DATA'!B8="","",'Historical DATA'!B8)</f>
        <v>46080</v>
      </c>
      <c r="C17" s="1466">
        <f>IF('Historical DATA'!CU8="","",'Historical DATA'!CU8)</f>
        <v>10654326762.76</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53280000</v>
      </c>
      <c r="I17" s="1468">
        <f>IF('Historical DATA'!DA8="","",'Historical DATA'!DA8)</f>
        <v>53750000</v>
      </c>
      <c r="J17" s="1469">
        <f>IF('Historical DATA'!DB8="","",'Historical DATA'!DB8)</f>
        <v>53750000</v>
      </c>
      <c r="K17" s="1477">
        <f>IF('Historical DATA'!DC8="","",'Historical DATA'!DC8)</f>
        <v>-470000</v>
      </c>
    </row>
    <row r="18" spans="2:11">
      <c r="B18" s="1476">
        <f>IF('Historical DATA'!B9="","",'Historical DATA'!B9)</f>
        <v>46049</v>
      </c>
      <c r="C18" s="1466">
        <f>IF('Historical DATA'!CU9="","",'Historical DATA'!CU9)</f>
        <v>10748510121.440001</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53750000</v>
      </c>
      <c r="I18" s="1468">
        <f>IF('Historical DATA'!DA9="","",'Historical DATA'!DA9)</f>
        <v>54210000</v>
      </c>
      <c r="J18" s="1469">
        <f>IF('Historical DATA'!DB9="","",'Historical DATA'!DB9)</f>
        <v>54210000</v>
      </c>
      <c r="K18" s="1477">
        <f>IF('Historical DATA'!DC9="","",'Historical DATA'!DC9)</f>
        <v>-460000</v>
      </c>
    </row>
    <row r="19" spans="2:11">
      <c r="B19" s="1476">
        <f>IF('Historical DATA'!B10="","",'Historical DATA'!B10)</f>
        <v>46020</v>
      </c>
      <c r="C19" s="1466">
        <f>IF('Historical DATA'!CU10="","",'Historical DATA'!CU10)</f>
        <v>10840013622.68</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54210000</v>
      </c>
      <c r="I19" s="1468">
        <f>IF('Historical DATA'!DA10="","",'Historical DATA'!DA10)</f>
        <v>54640000</v>
      </c>
      <c r="J19" s="1469">
        <f>IF('Historical DATA'!DB10="","",'Historical DATA'!DB10)</f>
        <v>54640000</v>
      </c>
      <c r="K19" s="1477">
        <f>IF('Historical DATA'!DC10="","",'Historical DATA'!DC10)</f>
        <v>-430000</v>
      </c>
    </row>
    <row r="20" spans="2:11">
      <c r="B20" s="1476">
        <f>IF('Historical DATA'!B11="","",'Historical DATA'!B11)</f>
        <v>45988</v>
      </c>
      <c r="C20" s="1466">
        <f>IF('Historical DATA'!CU11="","",'Historical DATA'!CU11)</f>
        <v>10926161354.6</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54640000</v>
      </c>
      <c r="I20" s="1468">
        <f>IF('Historical DATA'!DA11="","",'Historical DATA'!DA11)</f>
        <v>55170000</v>
      </c>
      <c r="J20" s="1469">
        <f>IF('Historical DATA'!DB11="","",'Historical DATA'!DB11)</f>
        <v>55170000</v>
      </c>
      <c r="K20" s="1477">
        <f>IF('Historical DATA'!DC11="","",'Historical DATA'!DC11)</f>
        <v>-530000</v>
      </c>
    </row>
    <row r="21" spans="2:11">
      <c r="B21" s="1476">
        <f>IF('Historical DATA'!B12="","",'Historical DATA'!B12)</f>
        <v>45957</v>
      </c>
      <c r="C21" s="1466">
        <f>IF('Historical DATA'!CU12="","",'Historical DATA'!CU12)</f>
        <v>11033283884.280001</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55170000</v>
      </c>
      <c r="I21" s="1468">
        <f>IF('Historical DATA'!DA12="","",'Historical DATA'!DA12)</f>
        <v>35631660.869999997</v>
      </c>
      <c r="J21" s="1469">
        <f>IF('Historical DATA'!DB12="","",'Historical DATA'!DB12)</f>
        <v>35631660.869999997</v>
      </c>
      <c r="K21" s="1477">
        <f>IF('Historical DATA'!DC12="","",'Historical DATA'!DC12)</f>
        <v>19538339.130000003</v>
      </c>
    </row>
    <row r="22" spans="2:11">
      <c r="B22" s="1476">
        <f>IF('Historical DATA'!B13="","",'Historical DATA'!B13)</f>
        <v>45929</v>
      </c>
      <c r="C22" s="1466">
        <f>IF('Historical DATA'!CU13="","",'Historical DATA'!CU13)</f>
        <v>7126332174.3600006</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35631660.869999997</v>
      </c>
      <c r="I22" s="1468">
        <f>IF('Historical DATA'!DA13="","",'Historical DATA'!DA13)</f>
        <v>35957525.079999998</v>
      </c>
      <c r="J22" s="1469">
        <f>IF('Historical DATA'!DB13="","",'Historical DATA'!DB13)</f>
        <v>35957525.079999998</v>
      </c>
      <c r="K22" s="1477">
        <f>IF('Historical DATA'!DC13="","",'Historical DATA'!DC13)</f>
        <v>-325864.21000000089</v>
      </c>
    </row>
    <row r="23" spans="2:11">
      <c r="B23" s="1476">
        <f>IF('Historical DATA'!B14="","",'Historical DATA'!B14)</f>
        <v>45896</v>
      </c>
      <c r="C23" s="1466">
        <f>IF('Historical DATA'!CU14="","",'Historical DATA'!CU14)</f>
        <v>7191505015.1200008</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35957525.079999998</v>
      </c>
      <c r="I23" s="1468">
        <f>IF('Historical DATA'!DA14="","",'Historical DATA'!DA14)</f>
        <v>36267088.880000003</v>
      </c>
      <c r="J23" s="1469">
        <f>IF('Historical DATA'!DB14="","",'Historical DATA'!DB14)</f>
        <v>36267088.880000003</v>
      </c>
      <c r="K23" s="1477">
        <f>IF('Historical DATA'!DC14="","",'Historical DATA'!DC14)</f>
        <v>-309563.80000000447</v>
      </c>
    </row>
    <row r="24" spans="2:11">
      <c r="B24" s="1476">
        <f>IF('Historical DATA'!B15="","",'Historical DATA'!B15)</f>
        <v>45866</v>
      </c>
      <c r="C24" s="1466">
        <f>IF('Historical DATA'!CU15="","",'Historical DATA'!CU15)</f>
        <v>7253417775.8000011</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36267088.880000003</v>
      </c>
      <c r="I24" s="1468">
        <f>IF('Historical DATA'!DA15="","",'Historical DATA'!DA15)</f>
        <v>36579155.649999999</v>
      </c>
      <c r="J24" s="1469">
        <f>IF('Historical DATA'!DB15="","",'Historical DATA'!DB15)</f>
        <v>36579155.649999999</v>
      </c>
      <c r="K24" s="1477">
        <f>IF('Historical DATA'!DC15="","",'Historical DATA'!DC15)</f>
        <v>-312066.76999999583</v>
      </c>
    </row>
    <row r="25" spans="2:11">
      <c r="B25" s="1476">
        <f>IF('Historical DATA'!B16="","",'Historical DATA'!B16)</f>
        <v>45835</v>
      </c>
      <c r="C25" s="1466">
        <f>IF('Historical DATA'!CU16="","",'Historical DATA'!CU16)</f>
        <v>7315831130.5600014</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36579155.649999999</v>
      </c>
      <c r="I25" s="1468">
        <f>IF('Historical DATA'!DA16="","",'Historical DATA'!DA16)</f>
        <v>36872279.140000001</v>
      </c>
      <c r="J25" s="1469">
        <f>IF('Historical DATA'!DB16="","",'Historical DATA'!DB16)</f>
        <v>36872279.140000001</v>
      </c>
      <c r="K25" s="1477">
        <f>IF('Historical DATA'!DC16="","",'Historical DATA'!DC16)</f>
        <v>-293123.49000000209</v>
      </c>
    </row>
    <row r="26" spans="2:11">
      <c r="B26" s="1476">
        <f>IF('Historical DATA'!B17="","",'Historical DATA'!B17)</f>
        <v>45804</v>
      </c>
      <c r="C26" s="1466">
        <f>IF('Historical DATA'!CU17="","",'Historical DATA'!CU17)</f>
        <v>7374455827.6400013</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36872279.140000001</v>
      </c>
      <c r="I26" s="1468">
        <f>IF('Historical DATA'!DA17="","",'Historical DATA'!DA17)</f>
        <v>37153746.710000001</v>
      </c>
      <c r="J26" s="1469">
        <f>IF('Historical DATA'!DB17="","",'Historical DATA'!DB17)</f>
        <v>37153746.710000001</v>
      </c>
      <c r="K26" s="1477">
        <f>IF('Historical DATA'!DC17="","",'Historical DATA'!DC17)</f>
        <v>-281467.5700000003</v>
      </c>
    </row>
    <row r="27" spans="2:11">
      <c r="B27" s="1476">
        <f>IF('Historical DATA'!B18="","",'Historical DATA'!B18)</f>
        <v>45775</v>
      </c>
      <c r="C27" s="1466">
        <f>IF('Historical DATA'!CU18="","",'Historical DATA'!CU18)</f>
        <v>7430749342.0400009</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37153746.710000001</v>
      </c>
      <c r="I27" s="1468">
        <f>IF('Historical DATA'!DA18="","",'Historical DATA'!DA18)</f>
        <v>37439967.590000004</v>
      </c>
      <c r="J27" s="1469">
        <f>IF('Historical DATA'!DB18="","",'Historical DATA'!DB18)</f>
        <v>37439967.590000004</v>
      </c>
      <c r="K27" s="1477">
        <f>IF('Historical DATA'!DC18="","",'Historical DATA'!DC18)</f>
        <v>-286220.88000000268</v>
      </c>
    </row>
    <row r="28" spans="2:11">
      <c r="B28" s="1476">
        <f>IF('Historical DATA'!B19="","",'Historical DATA'!B19)</f>
        <v>45743</v>
      </c>
      <c r="C28" s="1466">
        <f>IF('Historical DATA'!CU19="","",'Historical DATA'!CU19)</f>
        <v>7487993518.8000011</v>
      </c>
      <c r="D28" s="1467">
        <f>IF('Historical DATA'!CV19="","",'Historical DATA'!CV19)</f>
        <v>5.0000000000000001E-3</v>
      </c>
      <c r="E28" s="1520">
        <f>IF('Historical DATA'!CW19="","",'Historical DATA'!CW19)</f>
        <v>500000</v>
      </c>
      <c r="F28" s="1468" t="str">
        <f>IF('Historical DATA'!CX19="","",'Historical DATA'!CX19)</f>
        <v>Yes</v>
      </c>
      <c r="G28" s="1518" t="str">
        <f>IF('Historical DATA'!CY19="","",'Historical DATA'!CY19)</f>
        <v>No</v>
      </c>
      <c r="H28" s="1468">
        <f>IF('Historical DATA'!CZ19="","",'Historical DATA'!CZ19)</f>
        <v>37439967.590000004</v>
      </c>
      <c r="I28" s="1468">
        <f>IF('Historical DATA'!DA19="","",'Historical DATA'!DA19)</f>
        <v>37725601.600000001</v>
      </c>
      <c r="J28" s="1469">
        <f>IF('Historical DATA'!DB19="","",'Historical DATA'!DB19)</f>
        <v>37725601.600000001</v>
      </c>
      <c r="K28" s="1477">
        <f>IF('Historical DATA'!DC19="","",'Historical DATA'!DC19)</f>
        <v>-285634.00999999791</v>
      </c>
    </row>
    <row r="29" spans="2:11">
      <c r="B29" s="1476">
        <f>IF('Historical DATA'!B20="","",'Historical DATA'!B20)</f>
        <v>45715</v>
      </c>
      <c r="C29" s="1466">
        <f>IF('Historical DATA'!CU20="","",'Historical DATA'!CU20)</f>
        <v>7545120320.2400007</v>
      </c>
      <c r="D29" s="1467">
        <f>IF('Historical DATA'!CV20="","",'Historical DATA'!CV20)</f>
        <v>5.0000000000000001E-3</v>
      </c>
      <c r="E29" s="1520">
        <f>IF('Historical DATA'!CW20="","",'Historical DATA'!CW20)</f>
        <v>500000</v>
      </c>
      <c r="F29" s="1468" t="str">
        <f>IF('Historical DATA'!CX20="","",'Historical DATA'!CX20)</f>
        <v>Yes</v>
      </c>
      <c r="G29" s="1518" t="str">
        <f>IF('Historical DATA'!CY20="","",'Historical DATA'!CY20)</f>
        <v>No</v>
      </c>
      <c r="H29" s="1468">
        <f>IF('Historical DATA'!CZ20="","",'Historical DATA'!CZ20)</f>
        <v>37725601.600000001</v>
      </c>
      <c r="I29" s="1468">
        <f>IF('Historical DATA'!DA20="","",'Historical DATA'!DA20)</f>
        <v>38297724.670000002</v>
      </c>
      <c r="J29" s="1469">
        <f>IF('Historical DATA'!DB20="","",'Historical DATA'!DB20)</f>
        <v>38297724.670000002</v>
      </c>
      <c r="K29" s="1477">
        <f>IF('Historical DATA'!DC20="","",'Historical DATA'!DC20)</f>
        <v>-572123.0700000003</v>
      </c>
    </row>
    <row r="30" spans="2:11">
      <c r="B30" s="1476">
        <f>IF('Historical DATA'!B21="","",'Historical DATA'!B21)</f>
        <v>45684</v>
      </c>
      <c r="C30" s="1466">
        <f>IF('Historical DATA'!CU21="","",'Historical DATA'!CU21)</f>
        <v>7659544933.5200005</v>
      </c>
      <c r="D30" s="1467">
        <f>IF('Historical DATA'!CV21="","",'Historical DATA'!CV21)</f>
        <v>5.0000000000000001E-3</v>
      </c>
      <c r="E30" s="1520">
        <f>IF('Historical DATA'!CW21="","",'Historical DATA'!CW21)</f>
        <v>500000</v>
      </c>
      <c r="F30" s="1468" t="str">
        <f>IF('Historical DATA'!CX21="","",'Historical DATA'!CX21)</f>
        <v>Yes</v>
      </c>
      <c r="G30" s="1518" t="str">
        <f>IF('Historical DATA'!CY21="","",'Historical DATA'!CY21)</f>
        <v>No</v>
      </c>
      <c r="H30" s="1468">
        <f>IF('Historical DATA'!CZ21="","",'Historical DATA'!CZ21)</f>
        <v>38297724.670000002</v>
      </c>
      <c r="I30" s="1468">
        <f>IF('Historical DATA'!DA21="","",'Historical DATA'!DA21)</f>
        <v>38573797.640000001</v>
      </c>
      <c r="J30" s="1469">
        <f>IF('Historical DATA'!DB21="","",'Historical DATA'!DB21)</f>
        <v>38573797.640000001</v>
      </c>
      <c r="K30" s="1477">
        <f>IF('Historical DATA'!DC21="","",'Historical DATA'!DC21)</f>
        <v>-276072.96999999881</v>
      </c>
    </row>
    <row r="31" spans="2:11">
      <c r="B31" s="1476">
        <f>IF('Historical DATA'!B22="","",'Historical DATA'!B22)</f>
        <v>45653</v>
      </c>
      <c r="C31" s="1466">
        <f>IF('Historical DATA'!CU22="","",'Historical DATA'!CU22)</f>
        <v>7714759527.7600002</v>
      </c>
      <c r="D31" s="1467">
        <f>IF('Historical DATA'!CV22="","",'Historical DATA'!CV22)</f>
        <v>5.0000000000000001E-3</v>
      </c>
      <c r="E31" s="1520">
        <f>IF('Historical DATA'!CW22="","",'Historical DATA'!CW22)</f>
        <v>500000</v>
      </c>
      <c r="F31" s="1468" t="str">
        <f>IF('Historical DATA'!CX22="","",'Historical DATA'!CX22)</f>
        <v>Yes</v>
      </c>
      <c r="G31" s="1518" t="str">
        <f>IF('Historical DATA'!CY22="","",'Historical DATA'!CY22)</f>
        <v>No</v>
      </c>
      <c r="H31" s="1468">
        <f>IF('Historical DATA'!CZ22="","",'Historical DATA'!CZ22)</f>
        <v>38573797.640000001</v>
      </c>
      <c r="I31" s="1468">
        <f>IF('Historical DATA'!DA22="","",'Historical DATA'!DA22)</f>
        <v>38866000</v>
      </c>
      <c r="J31" s="1469">
        <f>IF('Historical DATA'!DB22="","",'Historical DATA'!DB22)</f>
        <v>38866000</v>
      </c>
      <c r="K31" s="1477">
        <f>IF('Historical DATA'!DC22="","",'Historical DATA'!DC22)</f>
        <v>-292202.3599999994</v>
      </c>
    </row>
    <row r="32" spans="2:11">
      <c r="B32" s="1476">
        <f>IF('Historical DATA'!B23="","",'Historical DATA'!B23)</f>
        <v>45623</v>
      </c>
      <c r="C32" s="1466">
        <f>IF('Historical DATA'!CU23="","",'Historical DATA'!CU23)</f>
        <v>7773200000</v>
      </c>
      <c r="D32" s="1467">
        <f>IF('Historical DATA'!CV23="","",'Historical DATA'!CV23)</f>
        <v>5.0000000000000001E-3</v>
      </c>
      <c r="E32" s="1520">
        <f>IF('Historical DATA'!CW23="","",'Historical DATA'!CW23)</f>
        <v>500000</v>
      </c>
      <c r="F32" s="1468" t="str">
        <f>IF('Historical DATA'!CX23="","",'Historical DATA'!CX23)</f>
        <v>Yes</v>
      </c>
      <c r="G32" s="1518" t="str">
        <f>IF('Historical DATA'!CY23="","",'Historical DATA'!CY23)</f>
        <v>No</v>
      </c>
      <c r="H32" s="1468">
        <f>IF('Historical DATA'!CZ23="","",'Historical DATA'!CZ23)</f>
        <v>38866000</v>
      </c>
      <c r="I32" s="1468">
        <f>IF('Historical DATA'!DA23="","",'Historical DATA'!DA23)</f>
        <v>38866000</v>
      </c>
      <c r="J32" s="1469">
        <f>IF('Historical DATA'!DB23="","",'Historical DATA'!DB23)</f>
        <v>38866000</v>
      </c>
      <c r="K32" s="1477">
        <f>IF('Historical DATA'!DC23="","",'Historical DATA'!DC23)</f>
        <v>0</v>
      </c>
    </row>
    <row r="33" spans="2:11">
      <c r="B33" s="1476">
        <f>IF('Historical DATA'!B24="","",'Historical DATA'!B24)</f>
        <v>45588</v>
      </c>
      <c r="C33" s="1466">
        <f>IF('Historical DATA'!CU24="","",'Historical DATA'!CU24)</f>
        <v>7773200000</v>
      </c>
      <c r="D33" s="1467">
        <f>IF('Historical DATA'!CV24="","",'Historical DATA'!CV24)</f>
        <v>5.0000000000000001E-3</v>
      </c>
      <c r="E33" s="1520">
        <f>IF('Historical DATA'!CW24="","",'Historical DATA'!CW24)</f>
        <v>500000</v>
      </c>
      <c r="F33" s="1468" t="str">
        <f>IF('Historical DATA'!CX24="","",'Historical DATA'!CX24)</f>
        <v>Yes</v>
      </c>
      <c r="G33" s="1518" t="str">
        <f>IF('Historical DATA'!CY24="","",'Historical DATA'!CY24)</f>
        <v>No</v>
      </c>
      <c r="H33" s="1468">
        <f>IF('Historical DATA'!CZ24="","",'Historical DATA'!CZ24)</f>
        <v>38866000</v>
      </c>
      <c r="I33" s="1468">
        <f>IF('Historical DATA'!DA24="","",'Historical DATA'!DA24)</f>
        <v>0</v>
      </c>
      <c r="J33" s="1469">
        <f>IF('Historical DATA'!DB24="","",'Historical DATA'!DB24)</f>
        <v>0</v>
      </c>
      <c r="K33" s="1477">
        <f>IF('Historical DATA'!DC24="","",'Historical DATA'!DC24)</f>
        <v>38866000</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topLeftCell="A12" zoomScale="85" zoomScaleNormal="85" workbookViewId="0">
      <selection activeCell="O25" sqref="O25"/>
    </sheetView>
  </sheetViews>
  <sheetFormatPr defaultColWidth="11.453125" defaultRowHeight="13"/>
  <cols>
    <col min="1" max="1" width="1.81640625" style="280" customWidth="1"/>
    <col min="2" max="2" width="15.81640625" style="317" customWidth="1"/>
    <col min="3" max="3" width="2.81640625" style="280" customWidth="1"/>
    <col min="4" max="4" width="31.26953125" style="280" bestFit="1" customWidth="1"/>
    <col min="5" max="5" width="22.1796875" style="280" customWidth="1"/>
    <col min="6" max="6" width="21.26953125" style="280" bestFit="1" customWidth="1"/>
    <col min="7" max="7" width="26.1796875" style="280" bestFit="1" customWidth="1"/>
    <col min="8" max="8" width="21.453125" style="318" customWidth="1"/>
    <col min="9" max="9" width="21.453125" style="291" customWidth="1"/>
    <col min="10" max="10" width="18.81640625" style="280" customWidth="1"/>
    <col min="11" max="11" width="2.81640625" style="280" customWidth="1"/>
    <col min="12" max="12" width="31.26953125" style="280" bestFit="1" customWidth="1"/>
    <col min="13" max="13" width="20.1796875" style="280" bestFit="1" customWidth="1"/>
    <col min="14" max="18" width="18.81640625" style="280" customWidth="1"/>
    <col min="19" max="19" width="2.81640625" style="280" customWidth="1"/>
    <col min="20" max="20" width="31.81640625" style="280" bestFit="1" customWidth="1"/>
    <col min="21" max="21" width="24.453125" style="280" bestFit="1" customWidth="1"/>
    <col min="22" max="22" width="18.81640625" style="280" customWidth="1"/>
    <col min="23" max="23" width="24.54296875" style="280" bestFit="1" customWidth="1"/>
    <col min="24" max="24" width="21.81640625" style="318" customWidth="1"/>
    <col min="25" max="25" width="18.81640625" style="291" customWidth="1"/>
    <col min="26" max="26" width="2.81640625" style="280" customWidth="1"/>
    <col min="27" max="27" width="25.54296875" style="280" bestFit="1" customWidth="1"/>
    <col min="28" max="32" width="21.1796875" style="280" customWidth="1"/>
    <col min="33" max="16384" width="11.453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46203</v>
      </c>
    </row>
    <row r="5" spans="2:53" ht="16.5" customHeight="1">
      <c r="B5" s="280"/>
      <c r="H5" s="280"/>
      <c r="X5" s="280"/>
      <c r="AE5" s="1213" t="s">
        <v>4</v>
      </c>
      <c r="AF5" s="1213">
        <f>'00 - Cover'!F19</f>
        <v>46223</v>
      </c>
    </row>
    <row r="6" spans="2:53" ht="16.5" customHeight="1">
      <c r="B6" s="280"/>
      <c r="H6" s="280"/>
      <c r="X6" s="280"/>
      <c r="AE6" s="1213" t="s">
        <v>5</v>
      </c>
      <c r="AF6" s="1213">
        <f>'00 - Cover'!F20</f>
        <v>46230</v>
      </c>
    </row>
    <row r="7" spans="2:53" ht="11.25" customHeight="1">
      <c r="B7" s="280"/>
      <c r="H7" s="280"/>
      <c r="X7" s="280"/>
    </row>
    <row r="8" spans="2:53" ht="11.25" customHeight="1">
      <c r="B8" s="280"/>
      <c r="H8" s="280"/>
      <c r="X8" s="280"/>
    </row>
    <row r="9" spans="2:53" ht="14.25" customHeight="1">
      <c r="B9" s="280"/>
      <c r="H9" s="280"/>
      <c r="X9" s="280"/>
    </row>
    <row r="10" spans="2:53" ht="15.5">
      <c r="B10" s="1960" t="s">
        <v>2006</v>
      </c>
      <c r="C10" s="1961"/>
      <c r="D10" s="1961"/>
      <c r="E10" s="1961"/>
      <c r="F10" s="1961"/>
      <c r="G10" s="1961"/>
      <c r="H10" s="1961"/>
      <c r="I10" s="1961"/>
      <c r="J10" s="1961"/>
      <c r="K10" s="1961"/>
      <c r="L10" s="1961"/>
      <c r="M10" s="1961"/>
      <c r="N10" s="1961"/>
      <c r="O10" s="1961"/>
      <c r="P10" s="1961"/>
      <c r="Q10" s="1961"/>
      <c r="R10" s="1961"/>
      <c r="S10" s="1961"/>
      <c r="T10" s="1961"/>
      <c r="U10" s="1961"/>
      <c r="V10" s="1961"/>
      <c r="W10" s="1961"/>
      <c r="X10" s="1961"/>
      <c r="Y10" s="1961"/>
      <c r="Z10" s="1961"/>
      <c r="AA10" s="1961"/>
      <c r="AB10" s="1961"/>
      <c r="AC10" s="1961"/>
      <c r="AD10" s="1961"/>
      <c r="AE10" s="1961"/>
      <c r="AF10" s="1961"/>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0.63437903394349759</v>
      </c>
      <c r="F19" s="281"/>
      <c r="G19" s="292"/>
      <c r="H19" s="281"/>
      <c r="I19" s="292"/>
      <c r="J19" s="281"/>
      <c r="K19" s="281"/>
      <c r="L19" s="290" t="s">
        <v>2054</v>
      </c>
      <c r="M19" s="294">
        <f>1-E19</f>
        <v>0.36562096605650241</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62" t="s">
        <v>5</v>
      </c>
      <c r="C22" s="297"/>
      <c r="D22" s="1965" t="s">
        <v>118</v>
      </c>
      <c r="E22" s="1966"/>
      <c r="F22" s="1966"/>
      <c r="G22" s="1966"/>
      <c r="H22" s="1966"/>
      <c r="I22" s="1966"/>
      <c r="J22" s="1967"/>
      <c r="K22" s="297"/>
      <c r="L22" s="1965" t="s">
        <v>2053</v>
      </c>
      <c r="M22" s="1966"/>
      <c r="N22" s="1966"/>
      <c r="O22" s="1966"/>
      <c r="P22" s="1966"/>
      <c r="Q22" s="1966"/>
      <c r="R22" s="1967"/>
      <c r="S22" s="297"/>
      <c r="T22" s="1968" t="s">
        <v>119</v>
      </c>
      <c r="U22" s="1969"/>
      <c r="V22" s="1969"/>
      <c r="W22" s="1969"/>
      <c r="X22" s="1969"/>
      <c r="Y22" s="1970"/>
      <c r="Z22" s="297"/>
      <c r="AA22" s="1965" t="s">
        <v>130</v>
      </c>
      <c r="AB22" s="1966"/>
      <c r="AC22" s="1966"/>
      <c r="AD22" s="1966"/>
      <c r="AE22" s="1966"/>
      <c r="AF22" s="1967"/>
    </row>
    <row r="23" spans="1:32" ht="25.5" customHeight="1" thickBot="1">
      <c r="B23" s="1963"/>
      <c r="C23" s="298"/>
      <c r="D23" s="1956" t="s">
        <v>131</v>
      </c>
      <c r="E23" s="1956" t="s">
        <v>132</v>
      </c>
      <c r="F23" s="1956" t="s">
        <v>1048</v>
      </c>
      <c r="G23" s="1956" t="s">
        <v>134</v>
      </c>
      <c r="H23" s="1956" t="s">
        <v>135</v>
      </c>
      <c r="I23" s="1971" t="s">
        <v>136</v>
      </c>
      <c r="J23" s="1973" t="s">
        <v>137</v>
      </c>
      <c r="K23" s="298"/>
      <c r="L23" s="1956" t="s">
        <v>131</v>
      </c>
      <c r="M23" s="1956" t="s">
        <v>132</v>
      </c>
      <c r="N23" s="1956" t="s">
        <v>1048</v>
      </c>
      <c r="O23" s="1956" t="s">
        <v>134</v>
      </c>
      <c r="P23" s="1956" t="s">
        <v>135</v>
      </c>
      <c r="Q23" s="1971" t="s">
        <v>136</v>
      </c>
      <c r="R23" s="1973" t="s">
        <v>137</v>
      </c>
      <c r="S23" s="298"/>
      <c r="T23" s="1975" t="s">
        <v>131</v>
      </c>
      <c r="U23" s="1956" t="s">
        <v>132</v>
      </c>
      <c r="V23" s="1956" t="s">
        <v>133</v>
      </c>
      <c r="W23" s="1956" t="s">
        <v>134</v>
      </c>
      <c r="X23" s="1956" t="s">
        <v>138</v>
      </c>
      <c r="Y23" s="1958" t="s">
        <v>137</v>
      </c>
      <c r="Z23" s="298"/>
      <c r="AA23" s="1956" t="s">
        <v>139</v>
      </c>
      <c r="AB23" s="1956" t="s">
        <v>132</v>
      </c>
      <c r="AC23" s="1956" t="s">
        <v>133</v>
      </c>
      <c r="AD23" s="1956" t="s">
        <v>140</v>
      </c>
      <c r="AE23" s="1956" t="s">
        <v>141</v>
      </c>
      <c r="AF23" s="1956" t="s">
        <v>142</v>
      </c>
    </row>
    <row r="24" spans="1:32" ht="25.5" customHeight="1" thickTop="1">
      <c r="B24" s="1964"/>
      <c r="C24" s="298"/>
      <c r="D24" s="1957"/>
      <c r="E24" s="1957"/>
      <c r="F24" s="1957"/>
      <c r="G24" s="1957"/>
      <c r="H24" s="1957"/>
      <c r="I24" s="1972"/>
      <c r="J24" s="1974"/>
      <c r="K24" s="298"/>
      <c r="L24" s="1957"/>
      <c r="M24" s="1957"/>
      <c r="N24" s="1957"/>
      <c r="O24" s="1957"/>
      <c r="P24" s="1957"/>
      <c r="Q24" s="1972"/>
      <c r="R24" s="1974"/>
      <c r="S24" s="298"/>
      <c r="T24" s="1976"/>
      <c r="U24" s="1957"/>
      <c r="V24" s="1957"/>
      <c r="W24" s="1957"/>
      <c r="X24" s="1957"/>
      <c r="Y24" s="1959"/>
      <c r="Z24" s="298"/>
      <c r="AA24" s="1957"/>
      <c r="AB24" s="1957"/>
      <c r="AC24" s="1957"/>
      <c r="AD24" s="1957"/>
      <c r="AE24" s="1957"/>
      <c r="AF24" s="1957"/>
    </row>
    <row r="25" spans="1:32" s="302" customFormat="1" ht="11.5">
      <c r="A25" s="299">
        <v>22</v>
      </c>
      <c r="B25" s="300">
        <f>'00 - Cover'!F20</f>
        <v>46230</v>
      </c>
      <c r="C25" s="301"/>
      <c r="D25" s="1410">
        <f>G26</f>
        <v>6524587774.7200003</v>
      </c>
      <c r="E25" s="1384">
        <v>0</v>
      </c>
      <c r="F25" s="1410">
        <f>IF('00 - Cover'!F30="Yes",0,'11bis - Notes Calculation'!AD17)</f>
        <v>57195205.599999994</v>
      </c>
      <c r="G25" s="1384">
        <f>D25+E25-F25</f>
        <v>6467392569.1199999</v>
      </c>
      <c r="H25" s="1522">
        <v>77732</v>
      </c>
      <c r="I25" s="1412">
        <f>F25/H25</f>
        <v>735.8</v>
      </c>
      <c r="J25" s="1411">
        <f>G25/H25</f>
        <v>83201.16</v>
      </c>
      <c r="K25" s="301"/>
      <c r="L25" s="1410">
        <f>O26</f>
        <v>3760411296.2000003</v>
      </c>
      <c r="M25" s="1384">
        <v>0</v>
      </c>
      <c r="N25" s="1410">
        <f>IF('00 - Cover'!F30="Yes",0,'11bis - Notes Calculation'!AH17)</f>
        <v>32964234.399999999</v>
      </c>
      <c r="O25" s="1384">
        <f>L25+M25-N25</f>
        <v>3727447061.8000002</v>
      </c>
      <c r="P25" s="1522">
        <v>40340</v>
      </c>
      <c r="Q25" s="1412">
        <f>N25/P25</f>
        <v>817.16</v>
      </c>
      <c r="R25" s="1411">
        <f>O25/P25</f>
        <v>92400.77</v>
      </c>
      <c r="S25" s="301"/>
      <c r="T25" s="1413">
        <f>W26</f>
        <v>541315764.00000012</v>
      </c>
      <c r="U25" s="1384">
        <v>0</v>
      </c>
      <c r="V25" s="1384">
        <f>+'11bis - Notes Calculation'!AM17-'11bis - Notes Calculation'!AR17</f>
        <v>4745252.16</v>
      </c>
      <c r="W25" s="1384">
        <f>T25+U25-V25</f>
        <v>536570511.84000009</v>
      </c>
      <c r="X25" s="1386">
        <v>5808</v>
      </c>
      <c r="Y25" s="1414">
        <f>W25/X25</f>
        <v>92384.73000000001</v>
      </c>
      <c r="Z25" s="298"/>
      <c r="AA25" s="1410">
        <f>AD26</f>
        <v>300</v>
      </c>
      <c r="AB25" s="1384">
        <v>0</v>
      </c>
      <c r="AC25" s="1384">
        <v>0</v>
      </c>
      <c r="AD25" s="1384">
        <f>AA25+AB25-AC25</f>
        <v>300</v>
      </c>
      <c r="AE25" s="1386">
        <v>2</v>
      </c>
      <c r="AF25" s="1411">
        <f>AD25/AE25</f>
        <v>150</v>
      </c>
    </row>
    <row r="26" spans="1:32" s="311" customFormat="1" ht="12.5">
      <c r="A26" s="303">
        <f>A25-1</f>
        <v>21</v>
      </c>
      <c r="B26" s="137">
        <f>IF('Historical DATA'!B4="","",'Historical DATA'!B4)</f>
        <v>46202</v>
      </c>
      <c r="C26" s="304"/>
      <c r="D26" s="316">
        <f>IF('Historical DATA'!O4="","",'Historical DATA'!O4)</f>
        <v>6575408956.3200006</v>
      </c>
      <c r="E26" s="307">
        <f>IF('Historical DATA'!P4="","",'Historical DATA'!P4)</f>
        <v>0</v>
      </c>
      <c r="F26" s="307">
        <f>IF('Historical DATA'!Q4="","",'Historical DATA'!Q4)</f>
        <v>50821181.599999994</v>
      </c>
      <c r="G26" s="308">
        <f>IF('Historical DATA'!R4="","",'Historical DATA'!R4)</f>
        <v>6524587774.7200003</v>
      </c>
      <c r="H26" s="309">
        <f>IF('Historical DATA'!S4="","",'Historical DATA'!S4)</f>
        <v>77732</v>
      </c>
      <c r="I26" s="1487">
        <f>IF('Historical DATA'!T4="","",'Historical DATA'!T4)</f>
        <v>653.79999999999995</v>
      </c>
      <c r="J26" s="310">
        <f>IF('Historical DATA'!U4="","",'Historical DATA'!U4)</f>
        <v>83936.960000000006</v>
      </c>
      <c r="K26" s="305"/>
      <c r="L26" s="316">
        <f>IF('Historical DATA'!V4="","",'Historical DATA'!V4)</f>
        <v>3789701766.8000002</v>
      </c>
      <c r="M26" s="316">
        <f>IF('Historical DATA'!W4="","",'Historical DATA'!W4)</f>
        <v>0</v>
      </c>
      <c r="N26" s="316">
        <f>IF('Historical DATA'!X4="","",'Historical DATA'!X4)</f>
        <v>29290470.600000001</v>
      </c>
      <c r="O26" s="308">
        <f>IF('Historical DATA'!Y4="","",'Historical DATA'!Y4)</f>
        <v>3760411296.2000003</v>
      </c>
      <c r="P26" s="1851">
        <f>IF('Historical DATA'!Z4="","",'Historical DATA'!Z4)</f>
        <v>40340</v>
      </c>
      <c r="Q26" s="316">
        <f>IF('Historical DATA'!AA4="","",'Historical DATA'!AA4)</f>
        <v>726.09</v>
      </c>
      <c r="R26" s="316">
        <f>IF('Historical DATA'!AB4="","",'Historical DATA'!AB4)</f>
        <v>93217.930000000008</v>
      </c>
      <c r="S26" s="305"/>
      <c r="T26" s="1415">
        <f>IF('Historical DATA'!AC4="","",'Historical DATA'!AC4)</f>
        <v>545532139.68000007</v>
      </c>
      <c r="U26" s="307">
        <f>IF('Historical DATA'!AD4="","",'Historical DATA'!AD4)</f>
        <v>0</v>
      </c>
      <c r="V26" s="307">
        <f>IF('Historical DATA'!AE4="","",'Historical DATA'!AE4)</f>
        <v>4216375.6800000006</v>
      </c>
      <c r="W26" s="308">
        <f>IF('Historical DATA'!AF4="","",'Historical DATA'!AF4)</f>
        <v>541315764.00000012</v>
      </c>
      <c r="X26" s="309">
        <f>IF('Historical DATA'!AG4="","",'Historical DATA'!AG4)</f>
        <v>5808</v>
      </c>
      <c r="Y26" s="1484">
        <f>IF('Historical DATA'!AH4="","",'Historical DATA'!AH4)</f>
        <v>93201.750000000015</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ht="12.5">
      <c r="A27" s="312">
        <f>A26-1</f>
        <v>20</v>
      </c>
      <c r="B27" s="137">
        <f>IF('Historical DATA'!B5="","",'Historical DATA'!B5)</f>
        <v>46169</v>
      </c>
      <c r="C27" s="313"/>
      <c r="D27" s="316">
        <f>IF('Historical DATA'!O5="","",'Historical DATA'!O5)</f>
        <v>6631330134.4400005</v>
      </c>
      <c r="E27" s="307">
        <f>IF('Historical DATA'!P5="","",'Historical DATA'!P5)</f>
        <v>0</v>
      </c>
      <c r="F27" s="307">
        <f>IF('Historical DATA'!Q5="","",'Historical DATA'!Q5)</f>
        <v>55921178.119999997</v>
      </c>
      <c r="G27" s="308">
        <f>IF('Historical DATA'!R5="","",'Historical DATA'!R5)</f>
        <v>6575408956.3200006</v>
      </c>
      <c r="H27" s="309">
        <f>IF('Historical DATA'!S5="","",'Historical DATA'!S5)</f>
        <v>77732</v>
      </c>
      <c r="I27" s="1487">
        <f>IF('Historical DATA'!T5="","",'Historical DATA'!T5)</f>
        <v>719.41</v>
      </c>
      <c r="J27" s="310">
        <f>IF('Historical DATA'!U5="","",'Historical DATA'!U5)</f>
        <v>84590.760000000009</v>
      </c>
      <c r="K27" s="305"/>
      <c r="L27" s="316">
        <f>IF('Historical DATA'!V5="","",'Historical DATA'!V5)</f>
        <v>3821931813.2000003</v>
      </c>
      <c r="M27" s="316">
        <f>IF('Historical DATA'!W5="","",'Historical DATA'!W5)</f>
        <v>0</v>
      </c>
      <c r="N27" s="316">
        <f>IF('Historical DATA'!X5="","",'Historical DATA'!X5)</f>
        <v>32230046.400000002</v>
      </c>
      <c r="O27" s="308">
        <f>IF('Historical DATA'!Y5="","",'Historical DATA'!Y5)</f>
        <v>3789701766.8000002</v>
      </c>
      <c r="P27" s="316">
        <f>IF('Historical DATA'!Z5="","",'Historical DATA'!Z5)</f>
        <v>40340</v>
      </c>
      <c r="Q27" s="316">
        <f>IF('Historical DATA'!AA5="","",'Historical DATA'!AA5)</f>
        <v>798.96</v>
      </c>
      <c r="R27" s="316">
        <f>IF('Historical DATA'!AB5="","",'Historical DATA'!AB5)</f>
        <v>93944.02</v>
      </c>
      <c r="S27" s="305"/>
      <c r="T27" s="1415">
        <f>IF('Historical DATA'!AC5="","",'Historical DATA'!AC5)</f>
        <v>550171686.24000001</v>
      </c>
      <c r="U27" s="307">
        <f>IF('Historical DATA'!AD5="","",'Historical DATA'!AD5)</f>
        <v>0</v>
      </c>
      <c r="V27" s="307">
        <f>IF('Historical DATA'!AE5="","",'Historical DATA'!AE5)</f>
        <v>4639546.5600000005</v>
      </c>
      <c r="W27" s="308">
        <f>IF('Historical DATA'!AF5="","",'Historical DATA'!AF5)</f>
        <v>545532139.68000007</v>
      </c>
      <c r="X27" s="309">
        <f>IF('Historical DATA'!AG5="","",'Historical DATA'!AG5)</f>
        <v>5808</v>
      </c>
      <c r="Y27" s="1484">
        <f>IF('Historical DATA'!AH5="","",'Historical DATA'!AH5)</f>
        <v>93927.71</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ht="12.5">
      <c r="A28" s="312">
        <f t="shared" ref="A28:A91" si="0">A27-1</f>
        <v>19</v>
      </c>
      <c r="B28" s="137">
        <f>IF('Historical DATA'!B6="","",'Historical DATA'!B6)</f>
        <v>46139</v>
      </c>
      <c r="C28" s="313"/>
      <c r="D28" s="316">
        <f>IF('Historical DATA'!O6="","",'Historical DATA'!O6)</f>
        <v>6704364789.6800003</v>
      </c>
      <c r="E28" s="307">
        <f>IF('Historical DATA'!P6="","",'Historical DATA'!P6)</f>
        <v>0</v>
      </c>
      <c r="F28" s="307">
        <f>IF('Historical DATA'!Q6="","",'Historical DATA'!Q6)</f>
        <v>73034655.24000001</v>
      </c>
      <c r="G28" s="308">
        <f>IF('Historical DATA'!R6="","",'Historical DATA'!R6)</f>
        <v>6631330134.4400005</v>
      </c>
      <c r="H28" s="309">
        <f>IF('Historical DATA'!S6="","",'Historical DATA'!S6)</f>
        <v>77732</v>
      </c>
      <c r="I28" s="1487">
        <f>IF('Historical DATA'!T6="","",'Historical DATA'!T6)</f>
        <v>939.57000000000016</v>
      </c>
      <c r="J28" s="310">
        <f>IF('Historical DATA'!U6="","",'Historical DATA'!U6)</f>
        <v>85310.170000000013</v>
      </c>
      <c r="K28" s="305"/>
      <c r="L28" s="316">
        <f>IF('Historical DATA'!V6="","",'Historical DATA'!V6)</f>
        <v>3864024989.6000004</v>
      </c>
      <c r="M28" s="316">
        <f>IF('Historical DATA'!W6="","",'Historical DATA'!W6)</f>
        <v>0</v>
      </c>
      <c r="N28" s="316">
        <f>IF('Historical DATA'!X6="","",'Historical DATA'!X6)</f>
        <v>42093176.399999999</v>
      </c>
      <c r="O28" s="308">
        <f>IF('Historical DATA'!Y6="","",'Historical DATA'!Y6)</f>
        <v>3821931813.2000003</v>
      </c>
      <c r="P28" s="316">
        <f>IF('Historical DATA'!Z6="","",'Historical DATA'!Z6)</f>
        <v>40340</v>
      </c>
      <c r="Q28" s="316">
        <f>IF('Historical DATA'!AA6="","",'Historical DATA'!AA6)</f>
        <v>1043.46</v>
      </c>
      <c r="R28" s="316">
        <f>IF('Historical DATA'!AB6="","",'Historical DATA'!AB6)</f>
        <v>94742.98000000001</v>
      </c>
      <c r="S28" s="305"/>
      <c r="T28" s="1415">
        <f>IF('Historical DATA'!AC6="","",'Historical DATA'!AC6)</f>
        <v>556231056.48000002</v>
      </c>
      <c r="U28" s="307">
        <f>IF('Historical DATA'!AD6="","",'Historical DATA'!AD6)</f>
        <v>0</v>
      </c>
      <c r="V28" s="307">
        <f>IF('Historical DATA'!AE6="","",'Historical DATA'!AE6)</f>
        <v>6059370.2400000002</v>
      </c>
      <c r="W28" s="308">
        <f>IF('Historical DATA'!AF6="","",'Historical DATA'!AF6)</f>
        <v>550171686.24000001</v>
      </c>
      <c r="X28" s="309">
        <f>IF('Historical DATA'!AG6="","",'Historical DATA'!AG6)</f>
        <v>5808</v>
      </c>
      <c r="Y28" s="1484">
        <f>IF('Historical DATA'!AH6="","",'Historical DATA'!AH6)</f>
        <v>94726.53</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ht="12.5">
      <c r="A29" s="312">
        <f t="shared" si="0"/>
        <v>18</v>
      </c>
      <c r="B29" s="137">
        <f>IF('Historical DATA'!B7="","",'Historical DATA'!B7)</f>
        <v>46108</v>
      </c>
      <c r="C29" s="313"/>
      <c r="D29" s="316">
        <f>IF('Historical DATA'!O7="","",'Historical DATA'!O7)</f>
        <v>6758881350.5600004</v>
      </c>
      <c r="E29" s="307">
        <f>IF('Historical DATA'!P7="","",'Historical DATA'!P7)</f>
        <v>0</v>
      </c>
      <c r="F29" s="307">
        <f>IF('Historical DATA'!Q7="","",'Historical DATA'!Q7)</f>
        <v>54516560.880000003</v>
      </c>
      <c r="G29" s="308">
        <f>IF('Historical DATA'!R7="","",'Historical DATA'!R7)</f>
        <v>6704364789.6800003</v>
      </c>
      <c r="H29" s="309">
        <f>IF('Historical DATA'!S7="","",'Historical DATA'!S7)</f>
        <v>77732</v>
      </c>
      <c r="I29" s="1487">
        <f>IF('Historical DATA'!T7="","",'Historical DATA'!T7)</f>
        <v>701.34</v>
      </c>
      <c r="J29" s="310">
        <f>IF('Historical DATA'!U7="","",'Historical DATA'!U7)</f>
        <v>86249.74</v>
      </c>
      <c r="K29" s="305"/>
      <c r="L29" s="316">
        <f>IF('Historical DATA'!V7="","",'Historical DATA'!V7)</f>
        <v>3895445412.2000003</v>
      </c>
      <c r="M29" s="316">
        <f>IF('Historical DATA'!W7="","",'Historical DATA'!W7)</f>
        <v>0</v>
      </c>
      <c r="N29" s="316">
        <f>IF('Historical DATA'!X7="","",'Historical DATA'!X7)</f>
        <v>31420422.599999998</v>
      </c>
      <c r="O29" s="308">
        <f>IF('Historical DATA'!Y7="","",'Historical DATA'!Y7)</f>
        <v>3864024989.6000004</v>
      </c>
      <c r="P29" s="316">
        <f>IF('Historical DATA'!Z7="","",'Historical DATA'!Z7)</f>
        <v>40340</v>
      </c>
      <c r="Q29" s="316">
        <f>IF('Historical DATA'!AA7="","",'Historical DATA'!AA7)</f>
        <v>778.89</v>
      </c>
      <c r="R29" s="316">
        <f>IF('Historical DATA'!AB7="","",'Historical DATA'!AB7)</f>
        <v>95786.44</v>
      </c>
      <c r="S29" s="305"/>
      <c r="T29" s="1415">
        <f>IF('Historical DATA'!AC7="","",'Historical DATA'!AC7)</f>
        <v>560754036.48000002</v>
      </c>
      <c r="U29" s="307">
        <f>IF('Historical DATA'!AD7="","",'Historical DATA'!AD7)</f>
        <v>0</v>
      </c>
      <c r="V29" s="307">
        <f>IF('Historical DATA'!AE7="","",'Historical DATA'!AE7)</f>
        <v>4522980</v>
      </c>
      <c r="W29" s="308">
        <f>IF('Historical DATA'!AF7="","",'Historical DATA'!AF7)</f>
        <v>556231056.48000002</v>
      </c>
      <c r="X29" s="309">
        <f>IF('Historical DATA'!AG7="","",'Historical DATA'!AG7)</f>
        <v>5808</v>
      </c>
      <c r="Y29" s="1484">
        <f>IF('Historical DATA'!AH7="","",'Historical DATA'!AH7)</f>
        <v>95769.81</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ht="12.5">
      <c r="A30" s="312">
        <f t="shared" si="0"/>
        <v>17</v>
      </c>
      <c r="B30" s="137">
        <f>IF('Historical DATA'!B8="","",'Historical DATA'!B8)</f>
        <v>46080</v>
      </c>
      <c r="C30" s="304"/>
      <c r="D30" s="316">
        <f>IF('Historical DATA'!O8="","",'Historical DATA'!O8)</f>
        <v>6818629275.04</v>
      </c>
      <c r="E30" s="307">
        <f>IF('Historical DATA'!P8="","",'Historical DATA'!P8)</f>
        <v>0</v>
      </c>
      <c r="F30" s="307">
        <f>IF('Historical DATA'!Q8="","",'Historical DATA'!Q8)</f>
        <v>59747924.479999997</v>
      </c>
      <c r="G30" s="308">
        <f>IF('Historical DATA'!R8="","",'Historical DATA'!R8)</f>
        <v>6758881350.5600004</v>
      </c>
      <c r="H30" s="309">
        <f>IF('Historical DATA'!S8="","",'Historical DATA'!S8)</f>
        <v>77732</v>
      </c>
      <c r="I30" s="1487">
        <f>IF('Historical DATA'!T8="","",'Historical DATA'!T8)</f>
        <v>768.64</v>
      </c>
      <c r="J30" s="310">
        <f>IF('Historical DATA'!U8="","",'Historical DATA'!U8)</f>
        <v>86951.08</v>
      </c>
      <c r="K30" s="305"/>
      <c r="L30" s="316">
        <f>IF('Historical DATA'!V8="","",'Historical DATA'!V8)</f>
        <v>3929880846.4000001</v>
      </c>
      <c r="M30" s="316">
        <f>IF('Historical DATA'!W8="","",'Historical DATA'!W8)</f>
        <v>0</v>
      </c>
      <c r="N30" s="316">
        <f>IF('Historical DATA'!X8="","",'Historical DATA'!X8)</f>
        <v>34435434.200000003</v>
      </c>
      <c r="O30" s="308">
        <f>IF('Historical DATA'!Y8="","",'Historical DATA'!Y8)</f>
        <v>3895445412.2000003</v>
      </c>
      <c r="P30" s="316">
        <f>IF('Historical DATA'!Z8="","",'Historical DATA'!Z8)</f>
        <v>40340</v>
      </c>
      <c r="Q30" s="316">
        <f>IF('Historical DATA'!AA8="","",'Historical DATA'!AA8)</f>
        <v>853.63000000000011</v>
      </c>
      <c r="R30" s="316">
        <f>IF('Historical DATA'!AB8="","",'Historical DATA'!AB8)</f>
        <v>96565.33</v>
      </c>
      <c r="S30" s="305"/>
      <c r="T30" s="1415">
        <f>IF('Historical DATA'!AC8="","",'Historical DATA'!AC8)</f>
        <v>565711048.32000005</v>
      </c>
      <c r="U30" s="307">
        <f>IF('Historical DATA'!AD8="","",'Historical DATA'!AD8)</f>
        <v>0</v>
      </c>
      <c r="V30" s="307">
        <f>IF('Historical DATA'!AE8="","",'Historical DATA'!AE8)</f>
        <v>4957011.84</v>
      </c>
      <c r="W30" s="308">
        <f>IF('Historical DATA'!AF8="","",'Historical DATA'!AF8)</f>
        <v>560754036.48000002</v>
      </c>
      <c r="X30" s="309">
        <f>IF('Historical DATA'!AG8="","",'Historical DATA'!AG8)</f>
        <v>5808</v>
      </c>
      <c r="Y30" s="1484">
        <f>IF('Historical DATA'!AH8="","",'Historical DATA'!AH8)</f>
        <v>96548.56</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ht="12.5">
      <c r="A31" s="312">
        <f t="shared" si="0"/>
        <v>16</v>
      </c>
      <c r="B31" s="137">
        <f>IF('Historical DATA'!B9="","",'Historical DATA'!B9)</f>
        <v>46049</v>
      </c>
      <c r="C31" s="304"/>
      <c r="D31" s="316">
        <f>IF('Historical DATA'!O9="","",'Historical DATA'!O9)</f>
        <v>6876677200.6800003</v>
      </c>
      <c r="E31" s="307">
        <f>IF('Historical DATA'!P9="","",'Historical DATA'!P9)</f>
        <v>0</v>
      </c>
      <c r="F31" s="307">
        <f>IF('Historical DATA'!Q9="","",'Historical DATA'!Q9)</f>
        <v>58047925.640000001</v>
      </c>
      <c r="G31" s="308">
        <f>IF('Historical DATA'!R9="","",'Historical DATA'!R9)</f>
        <v>6818629275.04</v>
      </c>
      <c r="H31" s="309">
        <f>IF('Historical DATA'!S9="","",'Historical DATA'!S9)</f>
        <v>77732</v>
      </c>
      <c r="I31" s="1487">
        <f>IF('Historical DATA'!T9="","",'Historical DATA'!T9)</f>
        <v>746.77</v>
      </c>
      <c r="J31" s="310">
        <f>IF('Historical DATA'!U9="","",'Historical DATA'!U9)</f>
        <v>87719.72</v>
      </c>
      <c r="K31" s="305"/>
      <c r="L31" s="316">
        <f>IF('Historical DATA'!V9="","",'Historical DATA'!V9)</f>
        <v>3963336422</v>
      </c>
      <c r="M31" s="316">
        <f>IF('Historical DATA'!W9="","",'Historical DATA'!W9)</f>
        <v>0</v>
      </c>
      <c r="N31" s="316">
        <f>IF('Historical DATA'!X9="","",'Historical DATA'!X9)</f>
        <v>33455575.600000001</v>
      </c>
      <c r="O31" s="308">
        <f>IF('Historical DATA'!Y9="","",'Historical DATA'!Y9)</f>
        <v>3929880846.4000001</v>
      </c>
      <c r="P31" s="316">
        <f>IF('Historical DATA'!Z9="","",'Historical DATA'!Z9)</f>
        <v>40340</v>
      </c>
      <c r="Q31" s="316">
        <f>IF('Historical DATA'!AA9="","",'Historical DATA'!AA9)</f>
        <v>829.34</v>
      </c>
      <c r="R31" s="316">
        <f>IF('Historical DATA'!AB9="","",'Historical DATA'!AB9)</f>
        <v>97418.96</v>
      </c>
      <c r="S31" s="305"/>
      <c r="T31" s="1415">
        <f>IF('Historical DATA'!AC9="","",'Historical DATA'!AC9)</f>
        <v>570527041.92000008</v>
      </c>
      <c r="U31" s="307">
        <f>IF('Historical DATA'!AD9="","",'Historical DATA'!AD9)</f>
        <v>0</v>
      </c>
      <c r="V31" s="307">
        <f>IF('Historical DATA'!AE9="","",'Historical DATA'!AE9)</f>
        <v>4815993.6000000006</v>
      </c>
      <c r="W31" s="308">
        <f>IF('Historical DATA'!AF9="","",'Historical DATA'!AF9)</f>
        <v>565711048.32000005</v>
      </c>
      <c r="X31" s="309">
        <f>IF('Historical DATA'!AG9="","",'Historical DATA'!AG9)</f>
        <v>5808</v>
      </c>
      <c r="Y31" s="1484">
        <f>IF('Historical DATA'!AH9="","",'Historical DATA'!AH9)</f>
        <v>97402.040000000008</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ht="12.5">
      <c r="A32" s="312">
        <f t="shared" si="0"/>
        <v>15</v>
      </c>
      <c r="B32" s="137">
        <f>IF('Historical DATA'!B10="","",'Historical DATA'!B10)</f>
        <v>46020</v>
      </c>
      <c r="C32" s="304"/>
      <c r="D32" s="316">
        <f>IF('Historical DATA'!O10="","",'Historical DATA'!O10)</f>
        <v>6931327460.6000004</v>
      </c>
      <c r="E32" s="307">
        <f>IF('Historical DATA'!P10="","",'Historical DATA'!P10)</f>
        <v>0</v>
      </c>
      <c r="F32" s="307">
        <f>IF('Historical DATA'!Q10="","",'Historical DATA'!Q10)</f>
        <v>54650259.919999994</v>
      </c>
      <c r="G32" s="308">
        <f>IF('Historical DATA'!R10="","",'Historical DATA'!R10)</f>
        <v>6876677200.6800003</v>
      </c>
      <c r="H32" s="309">
        <f>IF('Historical DATA'!S10="","",'Historical DATA'!S10)</f>
        <v>77732</v>
      </c>
      <c r="I32" s="1487">
        <f>IF('Historical DATA'!T10="","",'Historical DATA'!T10)</f>
        <v>703.06</v>
      </c>
      <c r="J32" s="310">
        <f>IF('Historical DATA'!U10="","",'Historical DATA'!U10)</f>
        <v>88466.49</v>
      </c>
      <c r="K32" s="305"/>
      <c r="L32" s="316">
        <f>IF('Historical DATA'!V10="","",'Historical DATA'!V10)</f>
        <v>3994833894</v>
      </c>
      <c r="M32" s="316">
        <f>IF('Historical DATA'!W10="","",'Historical DATA'!W10)</f>
        <v>0</v>
      </c>
      <c r="N32" s="316">
        <f>IF('Historical DATA'!X10="","",'Historical DATA'!X10)</f>
        <v>31497472</v>
      </c>
      <c r="O32" s="308">
        <f>IF('Historical DATA'!Y10="","",'Historical DATA'!Y10)</f>
        <v>3963336422</v>
      </c>
      <c r="P32" s="316">
        <f>IF('Historical DATA'!Z10="","",'Historical DATA'!Z10)</f>
        <v>40340</v>
      </c>
      <c r="Q32" s="316">
        <f>IF('Historical DATA'!AA10="","",'Historical DATA'!AA10)</f>
        <v>780.8</v>
      </c>
      <c r="R32" s="316">
        <f>IF('Historical DATA'!AB10="","",'Historical DATA'!AB10)</f>
        <v>98248.3</v>
      </c>
      <c r="S32" s="305"/>
      <c r="T32" s="1415">
        <f>IF('Historical DATA'!AC10="","",'Historical DATA'!AC10)</f>
        <v>575061115.20000005</v>
      </c>
      <c r="U32" s="307">
        <f>IF('Historical DATA'!AD10="","",'Historical DATA'!AD10)</f>
        <v>0</v>
      </c>
      <c r="V32" s="307">
        <f>IF('Historical DATA'!AE10="","",'Historical DATA'!AE10)</f>
        <v>4534073.28</v>
      </c>
      <c r="W32" s="308">
        <f>IF('Historical DATA'!AF10="","",'Historical DATA'!AF10)</f>
        <v>570527041.92000008</v>
      </c>
      <c r="X32" s="309">
        <f>IF('Historical DATA'!AG10="","",'Historical DATA'!AG10)</f>
        <v>5808</v>
      </c>
      <c r="Y32" s="1484">
        <f>IF('Historical DATA'!AH10="","",'Historical DATA'!AH10)</f>
        <v>98231.24000000002</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ht="12.5">
      <c r="A33" s="312">
        <f t="shared" si="0"/>
        <v>14</v>
      </c>
      <c r="B33" s="137">
        <f>IF('Historical DATA'!B11="","",'Historical DATA'!B11)</f>
        <v>45988</v>
      </c>
      <c r="C33" s="314"/>
      <c r="D33" s="316">
        <f>IF('Historical DATA'!O11="","",'Historical DATA'!O11)</f>
        <v>6999283884.2800007</v>
      </c>
      <c r="E33" s="307">
        <f>IF('Historical DATA'!P11="","",'Historical DATA'!P11)</f>
        <v>0</v>
      </c>
      <c r="F33" s="307">
        <f>IF('Historical DATA'!Q11="","",'Historical DATA'!Q11)</f>
        <v>67956423.680000007</v>
      </c>
      <c r="G33" s="308">
        <f>IF('Historical DATA'!R11="","",'Historical DATA'!R11)</f>
        <v>6931327460.6000004</v>
      </c>
      <c r="H33" s="309">
        <f>IF('Historical DATA'!S11="","",'Historical DATA'!S11)</f>
        <v>77732</v>
      </c>
      <c r="I33" s="1487">
        <f>IF('Historical DATA'!T11="","",'Historical DATA'!T11)</f>
        <v>874.24000000000012</v>
      </c>
      <c r="J33" s="310">
        <f>IF('Historical DATA'!U11="","",'Historical DATA'!U11)</f>
        <v>89169.55</v>
      </c>
      <c r="K33" s="315"/>
      <c r="L33" s="316">
        <f>IF('Historical DATA'!V11="","",'Historical DATA'!V11)</f>
        <v>4034000000</v>
      </c>
      <c r="M33" s="316">
        <f>IF('Historical DATA'!W11="","",'Historical DATA'!W11)</f>
        <v>0</v>
      </c>
      <c r="N33" s="316">
        <f>IF('Historical DATA'!X11="","",'Historical DATA'!X11)</f>
        <v>39166106</v>
      </c>
      <c r="O33" s="308">
        <f>IF('Historical DATA'!Y11="","",'Historical DATA'!Y11)</f>
        <v>3994833894</v>
      </c>
      <c r="P33" s="316">
        <f>IF('Historical DATA'!Z11="","",'Historical DATA'!Z11)</f>
        <v>40340</v>
      </c>
      <c r="Q33" s="316">
        <f>IF('Historical DATA'!AA11="","",'Historical DATA'!AA11)</f>
        <v>970.9</v>
      </c>
      <c r="R33" s="316">
        <f>IF('Historical DATA'!AB11="","",'Historical DATA'!AB11)</f>
        <v>99029.1</v>
      </c>
      <c r="S33" s="315"/>
      <c r="T33" s="1415">
        <f>IF('Historical DATA'!AC11="","",'Historical DATA'!AC11)</f>
        <v>580800000</v>
      </c>
      <c r="U33" s="307">
        <f>IF('Historical DATA'!AD11="","",'Historical DATA'!AD11)</f>
        <v>0</v>
      </c>
      <c r="V33" s="307">
        <f>IF('Historical DATA'!AE11="","",'Historical DATA'!AE11)</f>
        <v>5738884.7999999998</v>
      </c>
      <c r="W33" s="308">
        <f>IF('Historical DATA'!AF11="","",'Historical DATA'!AF11)</f>
        <v>575061115.20000005</v>
      </c>
      <c r="X33" s="309">
        <f>IF('Historical DATA'!AG11="","",'Historical DATA'!AG11)</f>
        <v>5808</v>
      </c>
      <c r="Y33" s="1484">
        <f>IF('Historical DATA'!AH11="","",'Historical DATA'!AH11)</f>
        <v>99011.900000000009</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ht="12.5">
      <c r="A34" s="312">
        <f t="shared" si="0"/>
        <v>13</v>
      </c>
      <c r="B34" s="137">
        <f>IF('Historical DATA'!B12="","",'Historical DATA'!B12)</f>
        <v>45957</v>
      </c>
      <c r="C34" s="314"/>
      <c r="D34" s="316">
        <f>IF('Historical DATA'!O12="","",'Historical DATA'!O12)</f>
        <v>7059232357.3200006</v>
      </c>
      <c r="E34" s="307">
        <f>IF('Historical DATA'!P12="","",'Historical DATA'!P12)</f>
        <v>0</v>
      </c>
      <c r="F34" s="307">
        <f>IF('Historical DATA'!Q12="","",'Historical DATA'!Q12)</f>
        <v>59948473.039999999</v>
      </c>
      <c r="G34" s="308">
        <f>IF('Historical DATA'!R12="","",'Historical DATA'!R12)</f>
        <v>6999283884.2800007</v>
      </c>
      <c r="H34" s="309">
        <f>IF('Historical DATA'!S12="","",'Historical DATA'!S12)</f>
        <v>77732</v>
      </c>
      <c r="I34" s="1487">
        <f>IF('Historical DATA'!T12="","",'Historical DATA'!T12)</f>
        <v>771.22</v>
      </c>
      <c r="J34" s="310">
        <f>IF('Historical DATA'!U12="","",'Historical DATA'!U12)</f>
        <v>90043.790000000008</v>
      </c>
      <c r="K34" s="315"/>
      <c r="L34" s="316">
        <f>IF('Historical DATA'!V12="","",'Historical DATA'!V12)</f>
        <v>0</v>
      </c>
      <c r="M34" s="316">
        <f>IF('Historical DATA'!W12="","",'Historical DATA'!W12)</f>
        <v>4034000000</v>
      </c>
      <c r="N34" s="316">
        <f>IF('Historical DATA'!X12="","",'Historical DATA'!X12)</f>
        <v>0</v>
      </c>
      <c r="O34" s="308">
        <f>IF('Historical DATA'!Y12="","",'Historical DATA'!Y12)</f>
        <v>4034000000</v>
      </c>
      <c r="P34" s="316">
        <f>IF('Historical DATA'!Z12="","",'Historical DATA'!Z12)</f>
        <v>40340</v>
      </c>
      <c r="Q34" s="316">
        <f>IF('Historical DATA'!AA12="","",'Historical DATA'!AA12)</f>
        <v>0</v>
      </c>
      <c r="R34" s="316">
        <f>IF('Historical DATA'!AB12="","",'Historical DATA'!AB12)</f>
        <v>100000</v>
      </c>
      <c r="S34" s="315"/>
      <c r="T34" s="1415">
        <f>IF('Historical DATA'!AC12="","",'Historical DATA'!AC12)</f>
        <v>371538582.36000001</v>
      </c>
      <c r="U34" s="307">
        <f>IF('Historical DATA'!AD12="","",'Historical DATA'!AD12)</f>
        <v>580800000</v>
      </c>
      <c r="V34" s="307">
        <f>IF('Historical DATA'!AE12="","",'Historical DATA'!AE12)</f>
        <v>371538582.36000001</v>
      </c>
      <c r="W34" s="308">
        <f>IF('Historical DATA'!AF12="","",'Historical DATA'!AF12)</f>
        <v>580800000</v>
      </c>
      <c r="X34" s="309">
        <f>IF('Historical DATA'!AG12="","",'Historical DATA'!AG12)</f>
        <v>5808</v>
      </c>
      <c r="Y34" s="1484">
        <f>IF('Historical DATA'!AH12="","",'Historical DATA'!AH12)</f>
        <v>100000</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ht="12.5">
      <c r="A35" s="312">
        <f t="shared" si="0"/>
        <v>12</v>
      </c>
      <c r="B35" s="137">
        <f>IF('Historical DATA'!B13="","",'Historical DATA'!B13)</f>
        <v>45929</v>
      </c>
      <c r="C35" s="314"/>
      <c r="D35" s="316">
        <f>IF('Historical DATA'!O13="","",'Historical DATA'!O13)</f>
        <v>7126332174.3600006</v>
      </c>
      <c r="E35" s="307">
        <f>IF('Historical DATA'!P13="","",'Historical DATA'!P13)</f>
        <v>0</v>
      </c>
      <c r="F35" s="307">
        <f>IF('Historical DATA'!Q13="","",'Historical DATA'!Q13)</f>
        <v>67099817.039999999</v>
      </c>
      <c r="G35" s="308">
        <f>IF('Historical DATA'!R13="","",'Historical DATA'!R13)</f>
        <v>7059232357.3200006</v>
      </c>
      <c r="H35" s="309">
        <f>IF('Historical DATA'!S13="","",'Historical DATA'!S13)</f>
        <v>77732</v>
      </c>
      <c r="I35" s="1487">
        <f>IF('Historical DATA'!T13="","",'Historical DATA'!T13)</f>
        <v>863.22</v>
      </c>
      <c r="J35" s="310">
        <f>IF('Historical DATA'!U13="","",'Historical DATA'!U13)</f>
        <v>90815.010000000009</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375070142.04000002</v>
      </c>
      <c r="U35" s="307">
        <f>IF('Historical DATA'!AD13="","",'Historical DATA'!AD13)</f>
        <v>0</v>
      </c>
      <c r="V35" s="307">
        <f>IF('Historical DATA'!AE13="","",'Historical DATA'!AE13)</f>
        <v>3531559.6799999997</v>
      </c>
      <c r="W35" s="308">
        <f>IF('Historical DATA'!AF13="","",'Historical DATA'!AF13)</f>
        <v>371538582.36000001</v>
      </c>
      <c r="X35" s="309">
        <f>IF('Historical DATA'!AG13="","",'Historical DATA'!AG13)</f>
        <v>4092</v>
      </c>
      <c r="Y35" s="1484">
        <f>IF('Historical DATA'!AH13="","",'Historical DATA'!AH13)</f>
        <v>90796.33</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ht="12.5">
      <c r="A36" s="312">
        <f t="shared" si="0"/>
        <v>11</v>
      </c>
      <c r="B36" s="137">
        <f>IF('Historical DATA'!B14="","",'Historical DATA'!B14)</f>
        <v>45896</v>
      </c>
      <c r="C36" s="314"/>
      <c r="D36" s="316">
        <f>IF('Historical DATA'!O14="","",'Historical DATA'!O14)</f>
        <v>7191505015.1200008</v>
      </c>
      <c r="E36" s="307">
        <f>IF('Historical DATA'!P14="","",'Historical DATA'!P14)</f>
        <v>0</v>
      </c>
      <c r="F36" s="307">
        <f>IF('Historical DATA'!Q14="","",'Historical DATA'!Q14)</f>
        <v>65172840.759999998</v>
      </c>
      <c r="G36" s="308">
        <f>IF('Historical DATA'!R14="","",'Historical DATA'!R14)</f>
        <v>7126332174.3600006</v>
      </c>
      <c r="H36" s="309">
        <f>IF('Historical DATA'!S14="","",'Historical DATA'!S14)</f>
        <v>77732</v>
      </c>
      <c r="I36" s="1487">
        <f>IF('Historical DATA'!T14="","",'Historical DATA'!T14)</f>
        <v>838.43</v>
      </c>
      <c r="J36" s="310">
        <f>IF('Historical DATA'!U14="","",'Historical DATA'!U14)</f>
        <v>91678.23000000001</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378500261.04000002</v>
      </c>
      <c r="U36" s="307">
        <f>IF('Historical DATA'!AD14="","",'Historical DATA'!AD14)</f>
        <v>0</v>
      </c>
      <c r="V36" s="307">
        <f>IF('Historical DATA'!AE14="","",'Historical DATA'!AE14)</f>
        <v>3430119</v>
      </c>
      <c r="W36" s="308">
        <f>IF('Historical DATA'!AF14="","",'Historical DATA'!AF14)</f>
        <v>375070142.04000002</v>
      </c>
      <c r="X36" s="309">
        <f>IF('Historical DATA'!AG14="","",'Historical DATA'!AG14)</f>
        <v>4092</v>
      </c>
      <c r="Y36" s="1484">
        <f>IF('Historical DATA'!AH14="","",'Historical DATA'!AH14)</f>
        <v>91659.37000000001</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ht="12.5">
      <c r="A37" s="312">
        <f t="shared" si="0"/>
        <v>10</v>
      </c>
      <c r="B37" s="137">
        <f>IF('Historical DATA'!B15="","",'Historical DATA'!B15)</f>
        <v>45866</v>
      </c>
      <c r="C37" s="314"/>
      <c r="D37" s="316">
        <f>IF('Historical DATA'!O15="","",'Historical DATA'!O15)</f>
        <v>7253417775.8000011</v>
      </c>
      <c r="E37" s="307">
        <f>IF('Historical DATA'!P15="","",'Historical DATA'!P15)</f>
        <v>0</v>
      </c>
      <c r="F37" s="307">
        <f>IF('Historical DATA'!Q15="","",'Historical DATA'!Q15)</f>
        <v>61912760.68</v>
      </c>
      <c r="G37" s="308">
        <f>IF('Historical DATA'!R15="","",'Historical DATA'!R15)</f>
        <v>7191505015.1200008</v>
      </c>
      <c r="H37" s="309">
        <f>IF('Historical DATA'!S15="","",'Historical DATA'!S15)</f>
        <v>77732</v>
      </c>
      <c r="I37" s="1487">
        <f>IF('Historical DATA'!T15="","",'Historical DATA'!T15)</f>
        <v>796.49</v>
      </c>
      <c r="J37" s="310">
        <f>IF('Historical DATA'!U15="","",'Historical DATA'!U15)</f>
        <v>92516.660000000018</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381758802.48000002</v>
      </c>
      <c r="U37" s="307">
        <f>IF('Historical DATA'!AD15="","",'Historical DATA'!AD15)</f>
        <v>0</v>
      </c>
      <c r="V37" s="307">
        <f>IF('Historical DATA'!AE15="","",'Historical DATA'!AE15)</f>
        <v>3258541.4400000004</v>
      </c>
      <c r="W37" s="308">
        <f>IF('Historical DATA'!AF15="","",'Historical DATA'!AF15)</f>
        <v>378500261.04000002</v>
      </c>
      <c r="X37" s="309">
        <f>IF('Historical DATA'!AG15="","",'Historical DATA'!AG15)</f>
        <v>4092</v>
      </c>
      <c r="Y37" s="1484">
        <f>IF('Historical DATA'!AH15="","",'Historical DATA'!AH15)</f>
        <v>92497.62000000001</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ht="12.5">
      <c r="A38" s="312">
        <f t="shared" si="0"/>
        <v>9</v>
      </c>
      <c r="B38" s="137">
        <f>IF('Historical DATA'!B16="","",'Historical DATA'!B16)</f>
        <v>45835</v>
      </c>
      <c r="C38" s="314"/>
      <c r="D38" s="316">
        <f>IF('Historical DATA'!O16="","",'Historical DATA'!O16)</f>
        <v>7315831130.5600014</v>
      </c>
      <c r="E38" s="307">
        <f>IF('Historical DATA'!P16="","",'Historical DATA'!P16)</f>
        <v>0</v>
      </c>
      <c r="F38" s="307">
        <f>IF('Historical DATA'!Q16="","",'Historical DATA'!Q16)</f>
        <v>62413354.759999998</v>
      </c>
      <c r="G38" s="308">
        <f>IF('Historical DATA'!R16="","",'Historical DATA'!R16)</f>
        <v>7253417775.8000011</v>
      </c>
      <c r="H38" s="309">
        <f>IF('Historical DATA'!S16="","",'Historical DATA'!S16)</f>
        <v>77732</v>
      </c>
      <c r="I38" s="1487">
        <f>IF('Historical DATA'!T16="","",'Historical DATA'!T16)</f>
        <v>802.93</v>
      </c>
      <c r="J38" s="310">
        <f>IF('Historical DATA'!U16="","",'Historical DATA'!U16)</f>
        <v>93313.150000000009</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385043737.31999999</v>
      </c>
      <c r="U38" s="307">
        <f>IF('Historical DATA'!AD16="","",'Historical DATA'!AD16)</f>
        <v>0</v>
      </c>
      <c r="V38" s="307">
        <f>IF('Historical DATA'!AE16="","",'Historical DATA'!AE16)</f>
        <v>3284934.84</v>
      </c>
      <c r="W38" s="308">
        <f>IF('Historical DATA'!AF16="","",'Historical DATA'!AF16)</f>
        <v>381758802.48000002</v>
      </c>
      <c r="X38" s="309">
        <f>IF('Historical DATA'!AG16="","",'Historical DATA'!AG16)</f>
        <v>4092</v>
      </c>
      <c r="Y38" s="1484">
        <f>IF('Historical DATA'!AH16="","",'Historical DATA'!AH16)</f>
        <v>93293.94</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ht="12.5">
      <c r="A39" s="312">
        <f t="shared" si="0"/>
        <v>8</v>
      </c>
      <c r="B39" s="137">
        <f>IF('Historical DATA'!B17="","",'Historical DATA'!B17)</f>
        <v>45804</v>
      </c>
      <c r="C39" s="314"/>
      <c r="D39" s="316">
        <f>IF('Historical DATA'!O17="","",'Historical DATA'!O17)</f>
        <v>7374455827.6400013</v>
      </c>
      <c r="E39" s="307">
        <f>IF('Historical DATA'!P17="","",'Historical DATA'!P17)</f>
        <v>0</v>
      </c>
      <c r="F39" s="307">
        <f>IF('Historical DATA'!Q17="","",'Historical DATA'!Q17)</f>
        <v>58624697.080000006</v>
      </c>
      <c r="G39" s="308">
        <f>IF('Historical DATA'!R17="","",'Historical DATA'!R17)</f>
        <v>7315831130.5600014</v>
      </c>
      <c r="H39" s="309">
        <f>IF('Historical DATA'!S17="","",'Historical DATA'!S17)</f>
        <v>77732</v>
      </c>
      <c r="I39" s="1487">
        <f>IF('Historical DATA'!T17="","",'Historical DATA'!T17)</f>
        <v>754.19</v>
      </c>
      <c r="J39" s="310">
        <f>IF('Historical DATA'!U17="","",'Historical DATA'!U17)</f>
        <v>94116.080000000016</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388129228.07999998</v>
      </c>
      <c r="U39" s="307">
        <f>IF('Historical DATA'!AD17="","",'Historical DATA'!AD17)</f>
        <v>0</v>
      </c>
      <c r="V39" s="307">
        <f>IF('Historical DATA'!AE17="","",'Historical DATA'!AE17)</f>
        <v>3085490.76</v>
      </c>
      <c r="W39" s="308">
        <f>IF('Historical DATA'!AF17="","",'Historical DATA'!AF17)</f>
        <v>385043737.31999999</v>
      </c>
      <c r="X39" s="309">
        <f>IF('Historical DATA'!AG17="","",'Historical DATA'!AG17)</f>
        <v>4092</v>
      </c>
      <c r="Y39" s="1484">
        <f>IF('Historical DATA'!AH17="","",'Historical DATA'!AH17)</f>
        <v>94096.709999999992</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ht="12.5">
      <c r="A40" s="312">
        <f t="shared" si="0"/>
        <v>7</v>
      </c>
      <c r="B40" s="137">
        <f>IF('Historical DATA'!B18="","",'Historical DATA'!B18)</f>
        <v>45775</v>
      </c>
      <c r="C40" s="314"/>
      <c r="D40" s="316">
        <f>IF('Historical DATA'!O18="","",'Historical DATA'!O18)</f>
        <v>7430749342.0400009</v>
      </c>
      <c r="E40" s="307">
        <f>IF('Historical DATA'!P18="","",'Historical DATA'!P18)</f>
        <v>0</v>
      </c>
      <c r="F40" s="307">
        <f>IF('Historical DATA'!Q18="","",'Historical DATA'!Q18)</f>
        <v>56293514.400000006</v>
      </c>
      <c r="G40" s="308">
        <f>IF('Historical DATA'!R18="","",'Historical DATA'!R18)</f>
        <v>7374455827.6400013</v>
      </c>
      <c r="H40" s="309">
        <f>IF('Historical DATA'!S18="","",'Historical DATA'!S18)</f>
        <v>77732</v>
      </c>
      <c r="I40" s="1487">
        <f>IF('Historical DATA'!T18="","",'Historical DATA'!T18)</f>
        <v>724.2</v>
      </c>
      <c r="J40" s="310">
        <f>IF('Historical DATA'!U18="","",'Historical DATA'!U18)</f>
        <v>94870.270000000019</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391092040.68000001</v>
      </c>
      <c r="U40" s="307">
        <f>IF('Historical DATA'!AD18="","",'Historical DATA'!AD18)</f>
        <v>0</v>
      </c>
      <c r="V40" s="307">
        <f>IF('Historical DATA'!AE18="","",'Historical DATA'!AE18)</f>
        <v>2962812.5999999996</v>
      </c>
      <c r="W40" s="308">
        <f>IF('Historical DATA'!AF18="","",'Historical DATA'!AF18)</f>
        <v>388129228.07999998</v>
      </c>
      <c r="X40" s="309">
        <f>IF('Historical DATA'!AG18="","",'Historical DATA'!AG18)</f>
        <v>4092</v>
      </c>
      <c r="Y40" s="1484">
        <f>IF('Historical DATA'!AH18="","",'Historical DATA'!AH18)</f>
        <v>94850.739999999991</v>
      </c>
      <c r="Z40" s="315"/>
      <c r="AA40" s="306">
        <f>IF('Historical DATA'!AI18="","",'Historical DATA'!AI18)</f>
        <v>300</v>
      </c>
      <c r="AB40" s="307">
        <f>IF('Historical DATA'!AJ18="","",'Historical DATA'!AJ18)</f>
        <v>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ht="12.5">
      <c r="A41" s="312">
        <f t="shared" si="0"/>
        <v>6</v>
      </c>
      <c r="B41" s="137">
        <f>IF('Historical DATA'!B19="","",'Historical DATA'!B19)</f>
        <v>45743</v>
      </c>
      <c r="C41" s="314"/>
      <c r="D41" s="316">
        <f>IF('Historical DATA'!O19="","",'Historical DATA'!O19)</f>
        <v>7487993518.8000011</v>
      </c>
      <c r="E41" s="307">
        <f>IF('Historical DATA'!P19="","",'Historical DATA'!P19)</f>
        <v>0</v>
      </c>
      <c r="F41" s="307">
        <f>IF('Historical DATA'!Q19="","",'Historical DATA'!Q19)</f>
        <v>57244176.759999998</v>
      </c>
      <c r="G41" s="308">
        <f>IF('Historical DATA'!R19="","",'Historical DATA'!R19)</f>
        <v>7430749342.0400009</v>
      </c>
      <c r="H41" s="309">
        <f>IF('Historical DATA'!S19="","",'Historical DATA'!S19)</f>
        <v>77732</v>
      </c>
      <c r="I41" s="1487">
        <f>IF('Historical DATA'!T19="","",'Historical DATA'!T19)</f>
        <v>736.43</v>
      </c>
      <c r="J41" s="310">
        <f>IF('Historical DATA'!U19="","",'Historical DATA'!U19)</f>
        <v>95594.470000000016</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f>IF('Historical DATA'!AC19="","",'Historical DATA'!AC19)</f>
        <v>394104898.44</v>
      </c>
      <c r="U41" s="307">
        <f>IF('Historical DATA'!AD19="","",'Historical DATA'!AD19)</f>
        <v>0</v>
      </c>
      <c r="V41" s="307">
        <f>IF('Historical DATA'!AE19="","",'Historical DATA'!AE19)</f>
        <v>3012857.76</v>
      </c>
      <c r="W41" s="308">
        <f>IF('Historical DATA'!AF19="","",'Historical DATA'!AF19)</f>
        <v>391092040.68000001</v>
      </c>
      <c r="X41" s="309">
        <f>IF('Historical DATA'!AG19="","",'Historical DATA'!AG19)</f>
        <v>4092</v>
      </c>
      <c r="Y41" s="1484">
        <f>IF('Historical DATA'!AH19="","",'Historical DATA'!AH19)</f>
        <v>95574.790000000008</v>
      </c>
      <c r="Z41" s="315"/>
      <c r="AA41" s="306">
        <f>IF('Historical DATA'!AI19="","",'Historical DATA'!AI19)</f>
        <v>300</v>
      </c>
      <c r="AB41" s="307">
        <f>IF('Historical DATA'!AJ19="","",'Historical DATA'!AJ19)</f>
        <v>0</v>
      </c>
      <c r="AC41" s="307">
        <f>IF('Historical DATA'!AK19="","",'Historical DATA'!AK19)</f>
        <v>0</v>
      </c>
      <c r="AD41" s="308">
        <f>IF('Historical DATA'!AL19="","",'Historical DATA'!AL19)</f>
        <v>300</v>
      </c>
      <c r="AE41" s="309">
        <f>IF('Historical DATA'!AM19="","",'Historical DATA'!AM19)</f>
        <v>2</v>
      </c>
      <c r="AF41" s="310">
        <f>IF('Historical DATA'!AN19="","",'Historical DATA'!AN19)</f>
        <v>150</v>
      </c>
    </row>
    <row r="42" spans="1:32" s="311" customFormat="1" ht="12.5">
      <c r="A42" s="312">
        <f t="shared" si="0"/>
        <v>5</v>
      </c>
      <c r="B42" s="137">
        <f>IF('Historical DATA'!B20="","",'Historical DATA'!B20)</f>
        <v>45715</v>
      </c>
      <c r="C42" s="314"/>
      <c r="D42" s="316">
        <f>IF('Historical DATA'!O20="","",'Historical DATA'!O20)</f>
        <v>7545120320.2400007</v>
      </c>
      <c r="E42" s="307">
        <f>IF('Historical DATA'!P20="","",'Historical DATA'!P20)</f>
        <v>0</v>
      </c>
      <c r="F42" s="307">
        <f>IF('Historical DATA'!Q20="","",'Historical DATA'!Q20)</f>
        <v>57126801.439999998</v>
      </c>
      <c r="G42" s="308">
        <f>IF('Historical DATA'!R20="","",'Historical DATA'!R20)</f>
        <v>7487993518.8000011</v>
      </c>
      <c r="H42" s="309">
        <f>IF('Historical DATA'!S20="","",'Historical DATA'!S20)</f>
        <v>77732</v>
      </c>
      <c r="I42" s="1487">
        <f>IF('Historical DATA'!T20="","",'Historical DATA'!T20)</f>
        <v>734.92</v>
      </c>
      <c r="J42" s="310">
        <f>IF('Historical DATA'!U20="","",'Historical DATA'!U20)</f>
        <v>96330.900000000009</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f>IF('Historical DATA'!AC20="","",'Historical DATA'!AC20)</f>
        <v>397111618.19999999</v>
      </c>
      <c r="U42" s="307">
        <f>IF('Historical DATA'!AD20="","",'Historical DATA'!AD20)</f>
        <v>0</v>
      </c>
      <c r="V42" s="307">
        <f>IF('Historical DATA'!AE20="","",'Historical DATA'!AE20)</f>
        <v>3006719.76</v>
      </c>
      <c r="W42" s="308">
        <f>IF('Historical DATA'!AF20="","",'Historical DATA'!AF20)</f>
        <v>394104898.44</v>
      </c>
      <c r="X42" s="309">
        <f>IF('Historical DATA'!AG20="","",'Historical DATA'!AG20)</f>
        <v>4092</v>
      </c>
      <c r="Y42" s="1484">
        <f>IF('Historical DATA'!AH20="","",'Historical DATA'!AH20)</f>
        <v>96311.069999999992</v>
      </c>
      <c r="Z42" s="315"/>
      <c r="AA42" s="306">
        <f>IF('Historical DATA'!AI20="","",'Historical DATA'!AI20)</f>
        <v>300</v>
      </c>
      <c r="AB42" s="307">
        <f>IF('Historical DATA'!AJ20="","",'Historical DATA'!AJ20)</f>
        <v>0</v>
      </c>
      <c r="AC42" s="307">
        <f>IF('Historical DATA'!AK20="","",'Historical DATA'!AK20)</f>
        <v>0</v>
      </c>
      <c r="AD42" s="308">
        <f>IF('Historical DATA'!AL20="","",'Historical DATA'!AL20)</f>
        <v>300</v>
      </c>
      <c r="AE42" s="309">
        <f>IF('Historical DATA'!AM20="","",'Historical DATA'!AM20)</f>
        <v>2</v>
      </c>
      <c r="AF42" s="310">
        <f>IF('Historical DATA'!AN20="","",'Historical DATA'!AN20)</f>
        <v>150</v>
      </c>
    </row>
    <row r="43" spans="1:32" s="311" customFormat="1" ht="12.5">
      <c r="A43" s="312">
        <f t="shared" si="0"/>
        <v>4</v>
      </c>
      <c r="B43" s="137">
        <f>IF('Historical DATA'!B21="","",'Historical DATA'!B21)</f>
        <v>45684</v>
      </c>
      <c r="C43" s="314"/>
      <c r="D43" s="316">
        <f>IF('Historical DATA'!O21="","",'Historical DATA'!O21)</f>
        <v>7659544933.5200005</v>
      </c>
      <c r="E43" s="307">
        <f>IF('Historical DATA'!P21="","",'Historical DATA'!P21)</f>
        <v>0</v>
      </c>
      <c r="F43" s="307">
        <f>IF('Historical DATA'!Q21="","",'Historical DATA'!Q21)</f>
        <v>114424613.28</v>
      </c>
      <c r="G43" s="308">
        <f>IF('Historical DATA'!R21="","",'Historical DATA'!R21)</f>
        <v>7545120320.2400007</v>
      </c>
      <c r="H43" s="309">
        <f>IF('Historical DATA'!S21="","",'Historical DATA'!S21)</f>
        <v>77732</v>
      </c>
      <c r="I43" s="1487">
        <f>IF('Historical DATA'!T21="","",'Historical DATA'!T21)</f>
        <v>1472.04</v>
      </c>
      <c r="J43" s="310">
        <f>IF('Historical DATA'!U21="","",'Historical DATA'!U21)</f>
        <v>97065.82</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f>IF('Historical DATA'!AC21="","",'Historical DATA'!AC21)</f>
        <v>403133937.36000001</v>
      </c>
      <c r="U43" s="307">
        <f>IF('Historical DATA'!AD21="","",'Historical DATA'!AD21)</f>
        <v>0</v>
      </c>
      <c r="V43" s="307">
        <f>IF('Historical DATA'!AE21="","",'Historical DATA'!AE21)</f>
        <v>6022319.1600000001</v>
      </c>
      <c r="W43" s="308">
        <f>IF('Historical DATA'!AF21="","",'Historical DATA'!AF21)</f>
        <v>397111618.19999999</v>
      </c>
      <c r="X43" s="309">
        <f>IF('Historical DATA'!AG21="","",'Historical DATA'!AG21)</f>
        <v>4092</v>
      </c>
      <c r="Y43" s="1484">
        <f>IF('Historical DATA'!AH21="","",'Historical DATA'!AH21)</f>
        <v>97045.849999999991</v>
      </c>
      <c r="Z43" s="315"/>
      <c r="AA43" s="306">
        <f>IF('Historical DATA'!AI21="","",'Historical DATA'!AI21)</f>
        <v>300</v>
      </c>
      <c r="AB43" s="307">
        <f>IF('Historical DATA'!AJ21="","",'Historical DATA'!AJ21)</f>
        <v>0</v>
      </c>
      <c r="AC43" s="307">
        <f>IF('Historical DATA'!AK21="","",'Historical DATA'!AK21)</f>
        <v>0</v>
      </c>
      <c r="AD43" s="308">
        <f>IF('Historical DATA'!AL21="","",'Historical DATA'!AL21)</f>
        <v>300</v>
      </c>
      <c r="AE43" s="309">
        <f>IF('Historical DATA'!AM21="","",'Historical DATA'!AM21)</f>
        <v>2</v>
      </c>
      <c r="AF43" s="310">
        <f>IF('Historical DATA'!AN21="","",'Historical DATA'!AN21)</f>
        <v>150</v>
      </c>
    </row>
    <row r="44" spans="1:32" s="311" customFormat="1" ht="12.5">
      <c r="A44" s="312">
        <f t="shared" si="0"/>
        <v>3</v>
      </c>
      <c r="B44" s="137">
        <f>IF('Historical DATA'!B22="","",'Historical DATA'!B22)</f>
        <v>45653</v>
      </c>
      <c r="C44" s="314"/>
      <c r="D44" s="316">
        <f>IF('Historical DATA'!O22="","",'Historical DATA'!O22)</f>
        <v>7714759527.7600002</v>
      </c>
      <c r="E44" s="307">
        <f>IF('Historical DATA'!P22="","",'Historical DATA'!P22)</f>
        <v>0</v>
      </c>
      <c r="F44" s="307">
        <f>IF('Historical DATA'!Q22="","",'Historical DATA'!Q22)</f>
        <v>55214594.240000002</v>
      </c>
      <c r="G44" s="308">
        <f>IF('Historical DATA'!R22="","",'Historical DATA'!R22)</f>
        <v>7659544933.5200005</v>
      </c>
      <c r="H44" s="309">
        <f>IF('Historical DATA'!S22="","",'Historical DATA'!S22)</f>
        <v>77732</v>
      </c>
      <c r="I44" s="1487">
        <f>IF('Historical DATA'!T22="","",'Historical DATA'!T22)</f>
        <v>710.32</v>
      </c>
      <c r="J44" s="310">
        <f>IF('Historical DATA'!U22="","",'Historical DATA'!U22)</f>
        <v>98537.86</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f>IF('Historical DATA'!AC22="","",'Historical DATA'!AC22)</f>
        <v>406039953</v>
      </c>
      <c r="U44" s="307">
        <f>IF('Historical DATA'!AD22="","",'Historical DATA'!AD22)</f>
        <v>0</v>
      </c>
      <c r="V44" s="307">
        <f>IF('Historical DATA'!AE22="","",'Historical DATA'!AE22)</f>
        <v>2906015.6399999997</v>
      </c>
      <c r="W44" s="308">
        <f>IF('Historical DATA'!AF22="","",'Historical DATA'!AF22)</f>
        <v>403133937.36000001</v>
      </c>
      <c r="X44" s="309">
        <f>IF('Historical DATA'!AG22="","",'Historical DATA'!AG22)</f>
        <v>4092</v>
      </c>
      <c r="Y44" s="1484">
        <f>IF('Historical DATA'!AH22="","",'Historical DATA'!AH22)</f>
        <v>98517.58</v>
      </c>
      <c r="Z44" s="315"/>
      <c r="AA44" s="306">
        <f>IF('Historical DATA'!AI22="","",'Historical DATA'!AI22)</f>
        <v>300</v>
      </c>
      <c r="AB44" s="307">
        <f>IF('Historical DATA'!AJ22="","",'Historical DATA'!AJ22)</f>
        <v>0</v>
      </c>
      <c r="AC44" s="307">
        <f>IF('Historical DATA'!AK22="","",'Historical DATA'!AK22)</f>
        <v>0</v>
      </c>
      <c r="AD44" s="308">
        <f>IF('Historical DATA'!AL22="","",'Historical DATA'!AL22)</f>
        <v>300</v>
      </c>
      <c r="AE44" s="309">
        <f>IF('Historical DATA'!AM22="","",'Historical DATA'!AM22)</f>
        <v>2</v>
      </c>
      <c r="AF44" s="310">
        <f>IF('Historical DATA'!AN22="","",'Historical DATA'!AN22)</f>
        <v>150</v>
      </c>
    </row>
    <row r="45" spans="1:32" s="296" customFormat="1">
      <c r="A45" s="312">
        <f t="shared" si="0"/>
        <v>2</v>
      </c>
      <c r="B45" s="137">
        <f>IF('Historical DATA'!B23="","",'Historical DATA'!B23)</f>
        <v>45623</v>
      </c>
      <c r="C45" s="314"/>
      <c r="D45" s="316">
        <f>IF('Historical DATA'!O23="","",'Historical DATA'!O23)</f>
        <v>7773200000</v>
      </c>
      <c r="E45" s="307">
        <f>IF('Historical DATA'!P23="","",'Historical DATA'!P23)</f>
        <v>0</v>
      </c>
      <c r="F45" s="307">
        <f>IF('Historical DATA'!Q23="","",'Historical DATA'!Q23)</f>
        <v>58440472.240000002</v>
      </c>
      <c r="G45" s="308">
        <f>IF('Historical DATA'!R23="","",'Historical DATA'!R23)</f>
        <v>7714759527.7600002</v>
      </c>
      <c r="H45" s="309">
        <f>IF('Historical DATA'!S23="","",'Historical DATA'!S23)</f>
        <v>77732</v>
      </c>
      <c r="I45" s="1487">
        <f>IF('Historical DATA'!T23="","",'Historical DATA'!T23)</f>
        <v>751.82</v>
      </c>
      <c r="J45" s="310">
        <f>IF('Historical DATA'!U23="","",'Historical DATA'!U23)</f>
        <v>99248.180000000008</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f>IF('Historical DATA'!AC23="","",'Historical DATA'!AC23)</f>
        <v>409200000</v>
      </c>
      <c r="U45" s="307">
        <f>IF('Historical DATA'!AD23="","",'Historical DATA'!AD23)</f>
        <v>0</v>
      </c>
      <c r="V45" s="307">
        <f>IF('Historical DATA'!AE23="","",'Historical DATA'!AE23)</f>
        <v>3160047</v>
      </c>
      <c r="W45" s="308">
        <f>IF('Historical DATA'!AF23="","",'Historical DATA'!AF23)</f>
        <v>406039953</v>
      </c>
      <c r="X45" s="309">
        <f>IF('Historical DATA'!AG23="","",'Historical DATA'!AG23)</f>
        <v>4092</v>
      </c>
      <c r="Y45" s="1484">
        <f>IF('Historical DATA'!AH23="","",'Historical DATA'!AH23)</f>
        <v>99227.75</v>
      </c>
      <c r="Z45" s="315"/>
      <c r="AA45" s="306">
        <f>IF('Historical DATA'!AI23="","",'Historical DATA'!AI23)</f>
        <v>300</v>
      </c>
      <c r="AB45" s="307">
        <f>IF('Historical DATA'!AJ23="","",'Historical DATA'!AJ23)</f>
        <v>0</v>
      </c>
      <c r="AC45" s="307">
        <f>IF('Historical DATA'!AK23="","",'Historical DATA'!AK23)</f>
        <v>0</v>
      </c>
      <c r="AD45" s="308">
        <f>IF('Historical DATA'!AL23="","",'Historical DATA'!AL23)</f>
        <v>300</v>
      </c>
      <c r="AE45" s="309">
        <f>IF('Historical DATA'!AM23="","",'Historical DATA'!AM23)</f>
        <v>2</v>
      </c>
      <c r="AF45" s="310">
        <f>IF('Historical DATA'!AN23="","",'Historical DATA'!AN23)</f>
        <v>150</v>
      </c>
    </row>
    <row r="46" spans="1:32" s="296" customFormat="1">
      <c r="A46" s="312">
        <f t="shared" si="0"/>
        <v>1</v>
      </c>
      <c r="B46" s="137">
        <f>IF('Historical DATA'!B24="","",'Historical DATA'!B24)</f>
        <v>45588</v>
      </c>
      <c r="C46" s="314"/>
      <c r="D46" s="316">
        <f>IF('Historical DATA'!O24="","",'Historical DATA'!O24)</f>
        <v>0</v>
      </c>
      <c r="E46" s="307">
        <f>IF('Historical DATA'!P24="","",'Historical DATA'!P24)</f>
        <v>7773200000</v>
      </c>
      <c r="F46" s="307">
        <f>IF('Historical DATA'!Q24="","",'Historical DATA'!Q24)</f>
        <v>0</v>
      </c>
      <c r="G46" s="308">
        <f>IF('Historical DATA'!R24="","",'Historical DATA'!R24)</f>
        <v>7773200000</v>
      </c>
      <c r="H46" s="309">
        <f>IF('Historical DATA'!S24="","",'Historical DATA'!S24)</f>
        <v>77732</v>
      </c>
      <c r="I46" s="1487">
        <f>IF('Historical DATA'!T24="","",'Historical DATA'!T24)</f>
        <v>0</v>
      </c>
      <c r="J46" s="310">
        <f>IF('Historical DATA'!U24="","",'Historical DATA'!U24)</f>
        <v>100000</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f>IF('Historical DATA'!AC24="","",'Historical DATA'!AC24)</f>
        <v>0</v>
      </c>
      <c r="U46" s="307">
        <f>IF('Historical DATA'!AD24="","",'Historical DATA'!AD24)</f>
        <v>409200000</v>
      </c>
      <c r="V46" s="307">
        <f>IF('Historical DATA'!AE24="","",'Historical DATA'!AE24)</f>
        <v>0</v>
      </c>
      <c r="W46" s="308">
        <f>IF('Historical DATA'!AF24="","",'Historical DATA'!AF24)</f>
        <v>409200000</v>
      </c>
      <c r="X46" s="309">
        <f>IF('Historical DATA'!AG24="","",'Historical DATA'!AG24)</f>
        <v>4092</v>
      </c>
      <c r="Y46" s="1484">
        <f>IF('Historical DATA'!AH24="","",'Historical DATA'!AH24)</f>
        <v>100000</v>
      </c>
      <c r="Z46" s="315"/>
      <c r="AA46" s="306">
        <f>IF('Historical DATA'!AI24="","",'Historical DATA'!AI24)</f>
        <v>0</v>
      </c>
      <c r="AB46" s="307">
        <f>IF('Historical DATA'!AJ24="","",'Historical DATA'!AJ24)</f>
        <v>300</v>
      </c>
      <c r="AC46" s="307">
        <f>IF('Historical DATA'!AK24="","",'Historical DATA'!AK24)</f>
        <v>0</v>
      </c>
      <c r="AD46" s="308">
        <f>IF('Historical DATA'!AL24="","",'Historical DATA'!AL24)</f>
        <v>300</v>
      </c>
      <c r="AE46" s="309">
        <f>IF('Historical DATA'!AM24="","",'Historical DATA'!AM24)</f>
        <v>2</v>
      </c>
      <c r="AF46" s="310">
        <f>IF('Historical DATA'!AN24="","",'Historical DATA'!AN24)</f>
        <v>150</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L22:R22"/>
    <mergeCell ref="L23:L24"/>
    <mergeCell ref="M23:M24"/>
    <mergeCell ref="N23:N24"/>
    <mergeCell ref="O23:O24"/>
    <mergeCell ref="P23:P24"/>
    <mergeCell ref="Q23:Q24"/>
    <mergeCell ref="R23:R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AE23:AE24"/>
    <mergeCell ref="AF23:AF24"/>
    <mergeCell ref="W23:W24"/>
    <mergeCell ref="X23:X24"/>
    <mergeCell ref="Y23:Y24"/>
    <mergeCell ref="AA23:AA24"/>
    <mergeCell ref="AB23:AB24"/>
    <mergeCell ref="AC23:AC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30" customWidth="1"/>
    <col min="9" max="9" width="20.1796875" bestFit="1" customWidth="1"/>
    <col min="10" max="10" width="21.1796875" bestFit="1" customWidth="1"/>
    <col min="11" max="11" width="20.1796875" bestFit="1" customWidth="1"/>
    <col min="12" max="12" width="25.54296875" style="1430" customWidth="1"/>
    <col min="13" max="13" width="3.453125" customWidth="1"/>
    <col min="14" max="14" width="24.26953125" style="1430" customWidth="1"/>
    <col min="15" max="16" width="24.26953125" customWidth="1"/>
    <col min="17" max="17" width="3" customWidth="1"/>
    <col min="18" max="18" width="24.1796875" customWidth="1"/>
    <col min="19" max="20" width="19.453125" customWidth="1"/>
    <col min="21" max="21" width="3" customWidth="1"/>
    <col min="22" max="24" width="25.54296875" customWidth="1"/>
    <col min="25" max="26" width="27.81640625" bestFit="1" customWidth="1"/>
    <col min="27" max="27" width="5.7265625" customWidth="1"/>
    <col min="28" max="30" width="17.7265625" customWidth="1"/>
    <col min="31" max="35" width="18.453125" customWidth="1"/>
    <col min="36" max="36" width="2.81640625" customWidth="1"/>
    <col min="37" max="39" width="28.81640625" customWidth="1"/>
    <col min="40" max="40" width="1.7265625" customWidth="1"/>
    <col min="41" max="43" width="17.7265625" customWidth="1"/>
    <col min="44" max="44" width="18.453125" customWidth="1"/>
    <col min="45" max="49" width="23.26953125" customWidth="1"/>
    <col min="52" max="59" width="23.453125" customWidth="1"/>
    <col min="80" max="80" width="17" bestFit="1" customWidth="1"/>
    <col min="81" max="81" width="5.54296875" bestFit="1" customWidth="1"/>
    <col min="82" max="82" width="12" bestFit="1" customWidth="1"/>
    <col min="83" max="83" width="23.81640625" bestFit="1" customWidth="1"/>
    <col min="84" max="84" width="37.453125" bestFit="1" customWidth="1"/>
    <col min="85" max="85" width="24.7265625" bestFit="1" customWidth="1"/>
    <col min="86" max="86" width="13.54296875" bestFit="1" customWidth="1"/>
    <col min="87" max="87" width="14.179687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46203</v>
      </c>
    </row>
    <row r="6" spans="2:44" s="280" customFormat="1" ht="11.25" customHeight="1">
      <c r="H6" s="1440"/>
      <c r="L6" s="1440"/>
      <c r="N6" s="1440"/>
      <c r="V6" s="1213" t="s">
        <v>4</v>
      </c>
      <c r="W6" s="1213">
        <f>'00 - Cover'!F20</f>
        <v>46230</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5">
      <c r="B11" s="1960" t="s">
        <v>2007</v>
      </c>
      <c r="C11" s="1961"/>
      <c r="D11" s="1961"/>
      <c r="E11" s="1961"/>
      <c r="F11" s="1961"/>
      <c r="G11" s="1961"/>
      <c r="H11" s="1961"/>
      <c r="I11" s="1961"/>
      <c r="J11" s="1961"/>
      <c r="K11" s="1961"/>
      <c r="L11" s="1961"/>
      <c r="M11" s="1961"/>
      <c r="N11" s="1961"/>
      <c r="O11" s="1961"/>
      <c r="P11" s="1961"/>
      <c r="Q11" s="1961"/>
      <c r="R11" s="1961"/>
      <c r="S11" s="1961"/>
      <c r="T11" s="1961"/>
      <c r="U11" s="1961"/>
      <c r="V11" s="1961"/>
      <c r="W11" s="1961"/>
    </row>
    <row r="12" spans="2:44" s="280" customFormat="1" ht="13">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8" t="s">
        <v>5</v>
      </c>
      <c r="C14" s="1378"/>
      <c r="D14" s="1977" t="s">
        <v>1050</v>
      </c>
      <c r="E14" s="1977"/>
      <c r="F14" s="1977"/>
      <c r="H14" s="1977" t="s">
        <v>247</v>
      </c>
      <c r="I14" s="1977"/>
      <c r="J14" s="1977"/>
      <c r="K14" s="1977"/>
      <c r="L14" s="1977"/>
      <c r="N14" s="1977" t="s">
        <v>244</v>
      </c>
      <c r="O14" s="1977"/>
      <c r="P14" s="1977"/>
      <c r="R14" s="1981" t="s">
        <v>1051</v>
      </c>
      <c r="S14" s="1981"/>
      <c r="T14" s="1981"/>
      <c r="V14" s="1977" t="s">
        <v>410</v>
      </c>
      <c r="W14" s="1977"/>
      <c r="X14" s="1977"/>
      <c r="Y14" s="1977"/>
      <c r="Z14" s="1820"/>
      <c r="AB14" s="1986" t="s">
        <v>1094</v>
      </c>
      <c r="AC14" s="1986"/>
      <c r="AD14" s="1986"/>
      <c r="AE14" s="1986"/>
      <c r="AF14" s="1986"/>
      <c r="AG14" s="1986"/>
      <c r="AH14" s="1986"/>
      <c r="AI14" s="1986"/>
      <c r="AK14" s="1977" t="s">
        <v>412</v>
      </c>
      <c r="AL14" s="1977"/>
      <c r="AM14" s="1977"/>
      <c r="AO14" s="1982" t="s">
        <v>1100</v>
      </c>
      <c r="AP14" s="1982"/>
      <c r="AQ14" s="1982"/>
      <c r="AR14" s="1982"/>
    </row>
    <row r="15" spans="2:44">
      <c r="B15" s="1979"/>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83" t="s">
        <v>2057</v>
      </c>
      <c r="AC15" s="1984"/>
      <c r="AD15" s="1984"/>
      <c r="AE15" s="1985"/>
      <c r="AF15" s="1983" t="s">
        <v>2058</v>
      </c>
      <c r="AG15" s="1984"/>
      <c r="AH15" s="1984"/>
      <c r="AI15" s="1985"/>
      <c r="AK15" s="1385" t="s">
        <v>335</v>
      </c>
      <c r="AL15" s="1385" t="s">
        <v>337</v>
      </c>
      <c r="AM15" s="1385" t="s">
        <v>2059</v>
      </c>
      <c r="AO15" s="1375"/>
      <c r="AP15" s="1385"/>
      <c r="AQ15" s="1385"/>
      <c r="AR15" s="1385"/>
    </row>
    <row r="16" spans="2:44" ht="100.5" customHeight="1">
      <c r="B16" s="1980"/>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46230</v>
      </c>
      <c r="C17" s="301"/>
      <c r="D17" s="1656">
        <f>+'11 - Notes Follow-up'!D25+'11 - Notes Follow-up'!T25+'11 - Notes Follow-up'!L25</f>
        <v>10826314834.92</v>
      </c>
      <c r="E17" s="1657">
        <f>'02 - Monthly Asset Follow up'!P17</f>
        <v>10731409727.809999</v>
      </c>
      <c r="F17" s="1658">
        <f>D17-E17</f>
        <v>94905107.11000061</v>
      </c>
      <c r="G17" s="1659"/>
      <c r="H17" s="1660">
        <v>1</v>
      </c>
      <c r="I17" s="1657">
        <f>'11 - Notes Follow-up'!G25+'11 - Notes Follow-up'!O25</f>
        <v>10194839630.92</v>
      </c>
      <c r="J17" s="1657">
        <f>AE18+AI18</f>
        <v>584.653500366956</v>
      </c>
      <c r="K17" s="1657">
        <f>E17</f>
        <v>10731409727.809999</v>
      </c>
      <c r="L17" s="1661">
        <f>ROUNDUP(H17-((I17+J17)/K17),4)</f>
        <v>0.05</v>
      </c>
      <c r="M17" s="1349"/>
      <c r="N17" s="1662">
        <v>0.05</v>
      </c>
      <c r="O17" s="1663">
        <f>E17</f>
        <v>10731409727.809999</v>
      </c>
      <c r="P17" s="1664">
        <f>O17*N17</f>
        <v>536570486.39050001</v>
      </c>
      <c r="Q17" s="1659"/>
      <c r="R17" s="1665">
        <f>E17</f>
        <v>10731409727.809999</v>
      </c>
      <c r="S17" s="1663">
        <f>P17</f>
        <v>536570486.39050001</v>
      </c>
      <c r="T17" s="1664">
        <f>MAX(R17-S17,0)</f>
        <v>10194839241.4195</v>
      </c>
      <c r="U17" s="1659"/>
      <c r="V17" s="1665">
        <f>F17</f>
        <v>94905107.11000061</v>
      </c>
      <c r="W17" s="1663">
        <f>'11 - Notes Follow-up'!D25+'11 - Notes Follow-up'!L25</f>
        <v>10284999070.92</v>
      </c>
      <c r="X17" s="1663">
        <f>P17</f>
        <v>536570486.39050001</v>
      </c>
      <c r="Y17" s="1663">
        <f>MIN(V17*'11 - Notes Follow-up'!$E$19,MAX(W17-T17,0)*'11 - Notes Follow-up'!$E$19)</f>
        <v>57195505.539037473</v>
      </c>
      <c r="Z17" s="1664">
        <f>MIN(V17*'11 - Notes Follow-up'!$M$19,MAX(W17-T17,0)*'11 - Notes Follow-up'!$M$19)</f>
        <v>32964323.961462256</v>
      </c>
      <c r="AA17" s="1666"/>
      <c r="AB17" s="1665">
        <f>'11 - Notes Follow-up'!H26</f>
        <v>77732</v>
      </c>
      <c r="AC17" s="1663">
        <f>ROUNDDOWN(Y17/AB17,2)</f>
        <v>735.8</v>
      </c>
      <c r="AD17" s="1663">
        <f>AC17*AB17</f>
        <v>57195205.599999994</v>
      </c>
      <c r="AE17" s="1664">
        <f>Y17-AD17</f>
        <v>299.93903747946024</v>
      </c>
      <c r="AF17" s="1665">
        <f>+'11 - Notes Follow-up'!P25</f>
        <v>40340</v>
      </c>
      <c r="AG17" s="1663">
        <f>ROUNDDOWN(Z17/AF17,2)</f>
        <v>817.16</v>
      </c>
      <c r="AH17" s="1663">
        <f>AG17*AF17</f>
        <v>32964234.399999999</v>
      </c>
      <c r="AI17" s="1664">
        <f>Z17-AH17</f>
        <v>89.561462257057428</v>
      </c>
      <c r="AJ17" s="1666"/>
      <c r="AK17" s="1656">
        <f>F17</f>
        <v>94905107.11000061</v>
      </c>
      <c r="AL17" s="1657">
        <f>AD17+AH17</f>
        <v>90159440</v>
      </c>
      <c r="AM17" s="1657">
        <f>+AK17-AL17-AE17-AI17</f>
        <v>4745277.6095008738</v>
      </c>
      <c r="AN17" s="1666"/>
      <c r="AO17" s="1667">
        <f>'11 - Notes Follow-up'!X26</f>
        <v>5808</v>
      </c>
      <c r="AP17" s="1668">
        <f>ROUNDDOWN(AM17/AO17,2)</f>
        <v>817.02</v>
      </c>
      <c r="AQ17" s="1668">
        <f>AP17*AO17</f>
        <v>4745252.16</v>
      </c>
      <c r="AR17" s="1849">
        <f>AM17-AQ17</f>
        <v>25.449500873684883</v>
      </c>
      <c r="BH17" s="1214"/>
      <c r="BI17" s="1214"/>
      <c r="BJ17" s="1214"/>
      <c r="BK17" s="1214"/>
      <c r="BY17" s="1214"/>
      <c r="CA17" s="1348"/>
      <c r="CJ17" s="1214"/>
    </row>
    <row r="18" spans="2:88" s="1259" customFormat="1">
      <c r="B18" s="1653">
        <f>IF('Historical DATA'!B4="","",'Historical DATA'!B4)</f>
        <v>46202</v>
      </c>
      <c r="C18" s="304"/>
      <c r="D18" s="1437">
        <f>IF('Historical DATA'!AO4="","",'Historical DATA'!AO4)</f>
        <v>10910642862.800001</v>
      </c>
      <c r="E18" s="1431">
        <f>IF('Historical DATA'!AP4="","",'Historical DATA'!AP4)</f>
        <v>10826314196.07</v>
      </c>
      <c r="F18" s="1433">
        <f>IF('Historical DATA'!AQ4="","",'Historical DATA'!AQ4)</f>
        <v>84328666.73000145</v>
      </c>
      <c r="H18" s="1447">
        <f>IF('Historical DATA'!AR4="","",'Historical DATA'!AR4)</f>
        <v>1</v>
      </c>
      <c r="I18" s="1431">
        <f>IF('Historical DATA'!AS4="","",'Historical DATA'!AS4)</f>
        <v>10284999070.92</v>
      </c>
      <c r="J18" s="1431">
        <f>IF('Historical DATA'!AT4="","",'Historical DATA'!AT4)</f>
        <v>483.12450263649225</v>
      </c>
      <c r="K18" s="1431">
        <f>IF('Historical DATA'!AU4="","",'Historical DATA'!AU4)</f>
        <v>10826314196.07</v>
      </c>
      <c r="L18" s="1450">
        <f>IF('Historical DATA'!AV4="","",'Historical DATA'!AV4)</f>
        <v>0.05</v>
      </c>
      <c r="M18" s="1654"/>
      <c r="N18" s="1445">
        <f>IF('Historical DATA'!AW4="","",'Historical DATA'!AW4)</f>
        <v>0.05</v>
      </c>
      <c r="O18" s="1436">
        <f>IF('Historical DATA'!AX4="","",'Historical DATA'!AX4)</f>
        <v>10826314196.07</v>
      </c>
      <c r="P18" s="1435">
        <f>IF('Historical DATA'!AY4="","",'Historical DATA'!AY4)</f>
        <v>541315709.80350006</v>
      </c>
      <c r="R18" s="1434">
        <f>IF('Historical DATA'!AZ4="","",'Historical DATA'!AZ4)</f>
        <v>10826314196.07</v>
      </c>
      <c r="S18" s="1436">
        <f>IF('Historical DATA'!BA4="","",'Historical DATA'!BA4)</f>
        <v>541315709.80350006</v>
      </c>
      <c r="T18" s="1435">
        <f>IF('Historical DATA'!BB4="","",'Historical DATA'!BB4)</f>
        <v>10284998486.2665</v>
      </c>
      <c r="V18" s="1434">
        <f>IF('Historical DATA'!BC4="","",'Historical DATA'!BC4)</f>
        <v>84328666.73000145</v>
      </c>
      <c r="W18" s="1436">
        <f>IF('Historical DATA'!BD4="","",'Historical DATA'!BD4)</f>
        <v>10365110723.120001</v>
      </c>
      <c r="X18" s="1436">
        <f>IF('Historical DATA'!BE4="","",'Historical DATA'!BE4)</f>
        <v>541315709.80350006</v>
      </c>
      <c r="Y18" s="1435">
        <f>IF('Historical DATA'!BF4="","",'Historical DATA'!BF4)</f>
        <v>50821523.646857128</v>
      </c>
      <c r="Z18" s="1435">
        <f>IF('Historical DATA'!BG4="","",'Historical DATA'!BG4)</f>
        <v>29290713.206643235</v>
      </c>
      <c r="AA18" s="1416"/>
      <c r="AB18" s="1434">
        <f>IF('Historical DATA'!BH4="","",'Historical DATA'!BH4)</f>
        <v>77732</v>
      </c>
      <c r="AC18" s="1436">
        <f>IF('Historical DATA'!BI4="","",'Historical DATA'!BI4)</f>
        <v>653.79999999999995</v>
      </c>
      <c r="AD18" s="1436">
        <f>IF('Historical DATA'!BJ4="","",'Historical DATA'!BJ4)</f>
        <v>50821181.599999994</v>
      </c>
      <c r="AE18" s="1435">
        <f>IF('Historical DATA'!BK4="","",'Historical DATA'!BK4)</f>
        <v>342.04685713350773</v>
      </c>
      <c r="AF18" s="1435">
        <f>IF('Historical DATA'!BL4="","",'Historical DATA'!BL4)</f>
        <v>40340</v>
      </c>
      <c r="AG18" s="1435">
        <f>IF('Historical DATA'!BM4="","",'Historical DATA'!BM4)</f>
        <v>726.09</v>
      </c>
      <c r="AH18" s="1435">
        <f>IF('Historical DATA'!BN4="","",'Historical DATA'!BN4)</f>
        <v>29290470.600000001</v>
      </c>
      <c r="AI18" s="1435">
        <f>IF('Historical DATA'!BO4="","",'Historical DATA'!BO4)</f>
        <v>242.60664323344827</v>
      </c>
      <c r="AJ18" s="1416"/>
      <c r="AK18" s="1437">
        <f>IF('Historical DATA'!BP4="","",'Historical DATA'!BP4)</f>
        <v>84328666.73000145</v>
      </c>
      <c r="AL18" s="1431">
        <f>IF('Historical DATA'!BQ4="","",'Historical DATA'!BQ4)</f>
        <v>80111652.199999988</v>
      </c>
      <c r="AM18" s="1433">
        <f>IF('Historical DATA'!BR4="","",'Historical DATA'!BR4)</f>
        <v>4216429.8765010945</v>
      </c>
      <c r="AN18" s="1416"/>
      <c r="AO18" s="1448">
        <f>IF('Historical DATA'!BS4="","",'Historical DATA'!BS4)</f>
        <v>5808</v>
      </c>
      <c r="AP18" s="1438">
        <f>IF('Historical DATA'!BT4="","",'Historical DATA'!BT4)</f>
        <v>725.96</v>
      </c>
      <c r="AQ18" s="1438">
        <f>IF('Historical DATA'!BU4="","",'Historical DATA'!BU4)</f>
        <v>4216375.6800000006</v>
      </c>
      <c r="AR18" s="1439">
        <f>IF('Historical DATA'!BV4="","",'Historical DATA'!BV4)</f>
        <v>54.196501093916595</v>
      </c>
      <c r="BH18" s="1416"/>
      <c r="BI18" s="1416"/>
      <c r="BJ18" s="1416"/>
      <c r="BK18" s="1416"/>
      <c r="BY18" s="1416"/>
      <c r="CA18" s="1655"/>
      <c r="CJ18" s="1416"/>
    </row>
    <row r="19" spans="2:88" ht="13.5" customHeight="1">
      <c r="B19" s="1653">
        <f>IF('Historical DATA'!B5="","",'Historical DATA'!B5)</f>
        <v>46169</v>
      </c>
      <c r="C19" s="304"/>
      <c r="D19" s="1437">
        <f>IF('Historical DATA'!AO5="","",'Historical DATA'!AO5)</f>
        <v>11003433633.880001</v>
      </c>
      <c r="E19" s="1431">
        <f>IF('Historical DATA'!AP5="","",'Historical DATA'!AP5)</f>
        <v>10910642357.889999</v>
      </c>
      <c r="F19" s="1433">
        <f>IF('Historical DATA'!AQ5="","",'Historical DATA'!AQ5)</f>
        <v>92791275.990001678</v>
      </c>
      <c r="G19" s="1259"/>
      <c r="H19" s="1447">
        <f>IF('Historical DATA'!AR5="","",'Historical DATA'!AR5)</f>
        <v>1</v>
      </c>
      <c r="I19" s="1431">
        <f>IF('Historical DATA'!AS5="","",'Historical DATA'!AS5)</f>
        <v>10365110723.120001</v>
      </c>
      <c r="J19" s="1431">
        <f>IF('Historical DATA'!AT5="","",'Historical DATA'!AT5)</f>
        <v>411.46850142627954</v>
      </c>
      <c r="K19" s="1431">
        <f>IF('Historical DATA'!AU5="","",'Historical DATA'!AU5)</f>
        <v>10910642357.889999</v>
      </c>
      <c r="L19" s="1450">
        <f>IF('Historical DATA'!AV5="","",'Historical DATA'!AV5)</f>
        <v>0.05</v>
      </c>
      <c r="M19" s="1446"/>
      <c r="N19" s="1445">
        <f>IF('Historical DATA'!AW5="","",'Historical DATA'!AW5)</f>
        <v>0.05</v>
      </c>
      <c r="O19" s="1436">
        <f>IF('Historical DATA'!AX5="","",'Historical DATA'!AX5)</f>
        <v>10910642357.889999</v>
      </c>
      <c r="P19" s="1435">
        <f>IF('Historical DATA'!AY5="","",'Historical DATA'!AY5)</f>
        <v>545532117.89450002</v>
      </c>
      <c r="Q19" s="1259"/>
      <c r="R19" s="1434">
        <f>IF('Historical DATA'!AZ5="","",'Historical DATA'!AZ5)</f>
        <v>10910642357.889999</v>
      </c>
      <c r="S19" s="1436">
        <f>IF('Historical DATA'!BA5="","",'Historical DATA'!BA5)</f>
        <v>545532117.89450002</v>
      </c>
      <c r="T19" s="1435">
        <f>IF('Historical DATA'!BB5="","",'Historical DATA'!BB5)</f>
        <v>10365110239.995499</v>
      </c>
      <c r="U19" s="1259"/>
      <c r="V19" s="1434">
        <f>IF('Historical DATA'!BC5="","",'Historical DATA'!BC5)</f>
        <v>92791275.990001678</v>
      </c>
      <c r="W19" s="1436">
        <f>IF('Historical DATA'!BD5="","",'Historical DATA'!BD5)</f>
        <v>10453261947.640001</v>
      </c>
      <c r="X19" s="1436">
        <f>IF('Historical DATA'!BE5="","",'Historical DATA'!BE5)</f>
        <v>545532117.89450002</v>
      </c>
      <c r="Y19" s="1435">
        <f>IF('Historical DATA'!BF5="","",'Historical DATA'!BF5)</f>
        <v>55921594.449023649</v>
      </c>
      <c r="Z19" s="1435">
        <f>IF('Historical DATA'!BG5="","",'Historical DATA'!BG5)</f>
        <v>32230113.195478987</v>
      </c>
      <c r="AA19" s="1416"/>
      <c r="AB19" s="1434">
        <f>IF('Historical DATA'!BH5="","",'Historical DATA'!BH5)</f>
        <v>77732</v>
      </c>
      <c r="AC19" s="1436">
        <f>IF('Historical DATA'!BI5="","",'Historical DATA'!BI5)</f>
        <v>719.41</v>
      </c>
      <c r="AD19" s="1436">
        <f>IF('Historical DATA'!BJ5="","",'Historical DATA'!BJ5)</f>
        <v>55921178.119999997</v>
      </c>
      <c r="AE19" s="1435">
        <f>IF('Historical DATA'!BK5="","",'Historical DATA'!BK5)</f>
        <v>416.3290236517787</v>
      </c>
      <c r="AF19" s="1435">
        <f>IF('Historical DATA'!BL5="","",'Historical DATA'!BL5)</f>
        <v>40340</v>
      </c>
      <c r="AG19" s="1435">
        <f>IF('Historical DATA'!BM5="","",'Historical DATA'!BM5)</f>
        <v>798.96</v>
      </c>
      <c r="AH19" s="1435">
        <f>IF('Historical DATA'!BN5="","",'Historical DATA'!BN5)</f>
        <v>32230046.400000002</v>
      </c>
      <c r="AI19" s="1435">
        <f>IF('Historical DATA'!BO5="","",'Historical DATA'!BO5)</f>
        <v>66.795478984713554</v>
      </c>
      <c r="AJ19" s="1416"/>
      <c r="AK19" s="1437">
        <f>IF('Historical DATA'!BP5="","",'Historical DATA'!BP5)</f>
        <v>92791275.990001678</v>
      </c>
      <c r="AL19" s="1431">
        <f>IF('Historical DATA'!BQ5="","",'Historical DATA'!BQ5)</f>
        <v>88151224.519999996</v>
      </c>
      <c r="AM19" s="1433">
        <f>IF('Historical DATA'!BR5="","",'Historical DATA'!BR5)</f>
        <v>4639568.3454990461</v>
      </c>
      <c r="AN19" s="1416"/>
      <c r="AO19" s="1448">
        <f>IF('Historical DATA'!BS5="","",'Historical DATA'!BS5)</f>
        <v>5808</v>
      </c>
      <c r="AP19" s="1438">
        <f>IF('Historical DATA'!BT5="","",'Historical DATA'!BT5)</f>
        <v>798.82</v>
      </c>
      <c r="AQ19" s="1438">
        <f>IF('Historical DATA'!BU5="","",'Historical DATA'!BU5)</f>
        <v>4639546.5600000005</v>
      </c>
      <c r="AR19" s="1439">
        <f>IF('Historical DATA'!BV5="","",'Historical DATA'!BV5)</f>
        <v>21.785499045625329</v>
      </c>
      <c r="AS19" s="1214"/>
      <c r="AX19" s="1214"/>
      <c r="AY19" s="1214"/>
      <c r="BA19" s="1349"/>
      <c r="BH19" s="1214"/>
      <c r="BI19" s="1214"/>
      <c r="BJ19" s="1214"/>
      <c r="BK19" s="1214"/>
      <c r="BY19" s="1214"/>
      <c r="CA19" s="1349"/>
      <c r="CJ19" s="1214"/>
    </row>
    <row r="20" spans="2:88" ht="13.5" customHeight="1">
      <c r="B20" s="1653">
        <f>IF('Historical DATA'!B6="","",'Historical DATA'!B6)</f>
        <v>46139</v>
      </c>
      <c r="C20" s="304"/>
      <c r="D20" s="1437">
        <f>IF('Historical DATA'!AO6="","",'Historical DATA'!AO6)</f>
        <v>11124620835.76</v>
      </c>
      <c r="E20" s="1431">
        <f>IF('Historical DATA'!AP6="","",'Historical DATA'!AP6)</f>
        <v>11003433195.969999</v>
      </c>
      <c r="F20" s="1433">
        <f>IF('Historical DATA'!AQ6="","",'Historical DATA'!AQ6)</f>
        <v>121187639.79000092</v>
      </c>
      <c r="G20" s="1259"/>
      <c r="H20" s="1447">
        <f>IF('Historical DATA'!AR6="","",'Historical DATA'!AR6)</f>
        <v>1</v>
      </c>
      <c r="I20" s="1431">
        <f>IF('Historical DATA'!AS6="","",'Historical DATA'!AS6)</f>
        <v>10453261947.640001</v>
      </c>
      <c r="J20" s="1431">
        <f>IF('Historical DATA'!AT6="","",'Historical DATA'!AT6)</f>
        <v>439.71199943125248</v>
      </c>
      <c r="K20" s="1431">
        <f>IF('Historical DATA'!AU6="","",'Historical DATA'!AU6)</f>
        <v>11003433195.969999</v>
      </c>
      <c r="L20" s="1450">
        <f>IF('Historical DATA'!AV6="","",'Historical DATA'!AV6)</f>
        <v>0.05</v>
      </c>
      <c r="M20" s="1446"/>
      <c r="N20" s="1445">
        <f>IF('Historical DATA'!AW6="","",'Historical DATA'!AW6)</f>
        <v>0.05</v>
      </c>
      <c r="O20" s="1436">
        <f>IF('Historical DATA'!AX6="","",'Historical DATA'!AX6)</f>
        <v>11003433195.969999</v>
      </c>
      <c r="P20" s="1435">
        <f>IF('Historical DATA'!AY6="","",'Historical DATA'!AY6)</f>
        <v>550171659.79849994</v>
      </c>
      <c r="Q20" s="1259"/>
      <c r="R20" s="1434">
        <f>IF('Historical DATA'!AZ6="","",'Historical DATA'!AZ6)</f>
        <v>11003433195.969999</v>
      </c>
      <c r="S20" s="1436">
        <f>IF('Historical DATA'!BA6="","",'Historical DATA'!BA6)</f>
        <v>550171659.79849994</v>
      </c>
      <c r="T20" s="1435">
        <f>IF('Historical DATA'!BB6="","",'Historical DATA'!BB6)</f>
        <v>10453261536.171499</v>
      </c>
      <c r="U20" s="1259"/>
      <c r="V20" s="1434">
        <f>IF('Historical DATA'!BC6="","",'Historical DATA'!BC6)</f>
        <v>121187639.79000092</v>
      </c>
      <c r="W20" s="1436">
        <f>IF('Historical DATA'!BD6="","",'Historical DATA'!BD6)</f>
        <v>10568389779.280001</v>
      </c>
      <c r="X20" s="1436">
        <f>IF('Historical DATA'!BE6="","",'Historical DATA'!BE6)</f>
        <v>550171659.79849994</v>
      </c>
      <c r="Y20" s="1435">
        <f>IF('Historical DATA'!BF6="","",'Historical DATA'!BF6)</f>
        <v>73034942.457141399</v>
      </c>
      <c r="Z20" s="1435">
        <f>IF('Historical DATA'!BG6="","",'Historical DATA'!BG6)</f>
        <v>42093300.651360035</v>
      </c>
      <c r="AA20" s="1416"/>
      <c r="AB20" s="1434">
        <f>IF('Historical DATA'!BH6="","",'Historical DATA'!BH6)</f>
        <v>77732</v>
      </c>
      <c r="AC20" s="1436">
        <f>IF('Historical DATA'!BI6="","",'Historical DATA'!BI6)</f>
        <v>939.57</v>
      </c>
      <c r="AD20" s="1436">
        <f>IF('Historical DATA'!BJ6="","",'Historical DATA'!BJ6)</f>
        <v>73034655.24000001</v>
      </c>
      <c r="AE20" s="1435">
        <f>IF('Historical DATA'!BK6="","",'Historical DATA'!BK6)</f>
        <v>287.2171413898468</v>
      </c>
      <c r="AF20" s="1435">
        <f>IF('Historical DATA'!BL6="","",'Historical DATA'!BL6)</f>
        <v>40340</v>
      </c>
      <c r="AG20" s="1435">
        <f>IF('Historical DATA'!BM6="","",'Historical DATA'!BM6)</f>
        <v>1043.46</v>
      </c>
      <c r="AH20" s="1435">
        <f>IF('Historical DATA'!BN6="","",'Historical DATA'!BN6)</f>
        <v>42093176.399999999</v>
      </c>
      <c r="AI20" s="1435">
        <f>IF('Historical DATA'!BO6="","",'Historical DATA'!BO6)</f>
        <v>124.25136003643274</v>
      </c>
      <c r="AJ20" s="1416"/>
      <c r="AK20" s="1437">
        <f>IF('Historical DATA'!BP6="","",'Historical DATA'!BP6)</f>
        <v>121187639.79000092</v>
      </c>
      <c r="AL20" s="1431">
        <f>IF('Historical DATA'!BQ6="","",'Historical DATA'!BQ6)</f>
        <v>115127831.64000002</v>
      </c>
      <c r="AM20" s="1433">
        <f>IF('Historical DATA'!BR6="","",'Historical DATA'!BR6)</f>
        <v>6059396.6814994738</v>
      </c>
      <c r="AN20" s="1416"/>
      <c r="AO20" s="1448">
        <f>IF('Historical DATA'!BS6="","",'Historical DATA'!BS6)</f>
        <v>5808</v>
      </c>
      <c r="AP20" s="1438">
        <f>IF('Historical DATA'!BT6="","",'Historical DATA'!BT6)</f>
        <v>1043.28</v>
      </c>
      <c r="AQ20" s="1438">
        <f>IF('Historical DATA'!BU6="","",'Historical DATA'!BU6)</f>
        <v>6059370.2400000002</v>
      </c>
      <c r="AR20" s="1439">
        <f>IF('Historical DATA'!BV6="","",'Historical DATA'!BV6)</f>
        <v>26.441499473527074</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46108</v>
      </c>
      <c r="C21" s="304"/>
      <c r="D21" s="1437">
        <f>IF('Historical DATA'!AO7="","",'Historical DATA'!AO7)</f>
        <v>11215080799.240002</v>
      </c>
      <c r="E21" s="1431">
        <f>IF('Historical DATA'!AP7="","",'Historical DATA'!AP7)</f>
        <v>11124620357.440001</v>
      </c>
      <c r="F21" s="1433">
        <f>IF('Historical DATA'!AQ7="","",'Historical DATA'!AQ7)</f>
        <v>90460441.800001144</v>
      </c>
      <c r="G21" s="1259"/>
      <c r="H21" s="1447">
        <f>IF('Historical DATA'!AR7="","",'Historical DATA'!AR7)</f>
        <v>1</v>
      </c>
      <c r="I21" s="1431">
        <f>IF('Historical DATA'!AS7="","",'Historical DATA'!AS7)</f>
        <v>10568389779.280001</v>
      </c>
      <c r="J21" s="1431">
        <f>IF('Historical DATA'!AT7="","",'Historical DATA'!AT7)</f>
        <v>558.78550178557634</v>
      </c>
      <c r="K21" s="1431">
        <f>IF('Historical DATA'!AU7="","",'Historical DATA'!AU7)</f>
        <v>11124620357.440001</v>
      </c>
      <c r="L21" s="1450">
        <f>IF('Historical DATA'!AV7="","",'Historical DATA'!AV7)</f>
        <v>0.05</v>
      </c>
      <c r="M21" s="1446"/>
      <c r="N21" s="1445">
        <f>IF('Historical DATA'!AW7="","",'Historical DATA'!AW7)</f>
        <v>0.05</v>
      </c>
      <c r="O21" s="1436">
        <f>IF('Historical DATA'!AX7="","",'Historical DATA'!AX7)</f>
        <v>11124620357.440001</v>
      </c>
      <c r="P21" s="1435">
        <f>IF('Historical DATA'!AY7="","",'Historical DATA'!AY7)</f>
        <v>556231017.8720001</v>
      </c>
      <c r="Q21" s="1259"/>
      <c r="R21" s="1434">
        <f>IF('Historical DATA'!AZ7="","",'Historical DATA'!AZ7)</f>
        <v>11124620357.440001</v>
      </c>
      <c r="S21" s="1436">
        <f>IF('Historical DATA'!BA7="","",'Historical DATA'!BA7)</f>
        <v>556231017.8720001</v>
      </c>
      <c r="T21" s="1435">
        <f>IF('Historical DATA'!BB7="","",'Historical DATA'!BB7)</f>
        <v>10568389339.568001</v>
      </c>
      <c r="U21" s="1259"/>
      <c r="V21" s="1434">
        <f>IF('Historical DATA'!BC7="","",'Historical DATA'!BC7)</f>
        <v>90460441.800001144</v>
      </c>
      <c r="W21" s="1436">
        <f>IF('Historical DATA'!BD7="","",'Historical DATA'!BD7)</f>
        <v>10654326762.76</v>
      </c>
      <c r="X21" s="1436">
        <f>IF('Historical DATA'!BE7="","",'Historical DATA'!BE7)</f>
        <v>556231017.8720001</v>
      </c>
      <c r="Y21" s="1435">
        <f>IF('Historical DATA'!BF7="","",'Historical DATA'!BF7)</f>
        <v>54516898.144873567</v>
      </c>
      <c r="Z21" s="1435">
        <f>IF('Historical DATA'!BG7="","",'Historical DATA'!BG7)</f>
        <v>31420525.047125865</v>
      </c>
      <c r="AA21" s="1416"/>
      <c r="AB21" s="1434">
        <f>IF('Historical DATA'!BH7="","",'Historical DATA'!BH7)</f>
        <v>77732</v>
      </c>
      <c r="AC21" s="1436">
        <f>IF('Historical DATA'!BI7="","",'Historical DATA'!BI7)</f>
        <v>701.34</v>
      </c>
      <c r="AD21" s="1436">
        <f>IF('Historical DATA'!BJ7="","",'Historical DATA'!BJ7)</f>
        <v>54516560.880000003</v>
      </c>
      <c r="AE21" s="1435">
        <f>IF('Historical DATA'!BK7="","",'Historical DATA'!BK7)</f>
        <v>337.26487356424332</v>
      </c>
      <c r="AF21" s="1435">
        <f>IF('Historical DATA'!BL7="","",'Historical DATA'!BL7)</f>
        <v>40340</v>
      </c>
      <c r="AG21" s="1435">
        <f>IF('Historical DATA'!BM7="","",'Historical DATA'!BM7)</f>
        <v>778.89</v>
      </c>
      <c r="AH21" s="1435">
        <f>IF('Historical DATA'!BN7="","",'Historical DATA'!BN7)</f>
        <v>31420422.599999998</v>
      </c>
      <c r="AI21" s="1435">
        <f>IF('Historical DATA'!BO7="","",'Historical DATA'!BO7)</f>
        <v>102.44712586700916</v>
      </c>
      <c r="AJ21" s="1416"/>
      <c r="AK21" s="1437">
        <f>IF('Historical DATA'!BP7="","",'Historical DATA'!BP7)</f>
        <v>90460441.800001144</v>
      </c>
      <c r="AL21" s="1431">
        <f>IF('Historical DATA'!BQ7="","",'Historical DATA'!BQ7)</f>
        <v>85936983.480000004</v>
      </c>
      <c r="AM21" s="1433">
        <f>IF('Historical DATA'!BR7="","",'Historical DATA'!BR7)</f>
        <v>4523018.608001709</v>
      </c>
      <c r="AN21" s="1416"/>
      <c r="AO21" s="1448">
        <f>IF('Historical DATA'!BS7="","",'Historical DATA'!BS7)</f>
        <v>5808</v>
      </c>
      <c r="AP21" s="1438">
        <f>IF('Historical DATA'!BT7="","",'Historical DATA'!BT7)</f>
        <v>778.75</v>
      </c>
      <c r="AQ21" s="1438">
        <f>IF('Historical DATA'!BU7="","",'Historical DATA'!BU7)</f>
        <v>4522980</v>
      </c>
      <c r="AR21" s="1439">
        <f>IF('Historical DATA'!BV7="","",'Historical DATA'!BV7)</f>
        <v>38.608001708984375</v>
      </c>
      <c r="CJ21" s="1214"/>
    </row>
    <row r="22" spans="2:88">
      <c r="B22" s="1653">
        <f>IF('Historical DATA'!B8="","",'Historical DATA'!B8)</f>
        <v>46080</v>
      </c>
      <c r="C22" s="304"/>
      <c r="D22" s="1437">
        <f>IF('Historical DATA'!AO8="","",'Historical DATA'!AO8)</f>
        <v>11314221169.76</v>
      </c>
      <c r="E22" s="1431">
        <f>IF('Historical DATA'!AP8="","",'Historical DATA'!AP8)</f>
        <v>11215080214.709999</v>
      </c>
      <c r="F22" s="1433">
        <f>IF('Historical DATA'!AQ8="","",'Historical DATA'!AQ8)</f>
        <v>99140955.050001144</v>
      </c>
      <c r="G22" s="1259"/>
      <c r="H22" s="1447">
        <f>IF('Historical DATA'!AR8="","",'Historical DATA'!AR8)</f>
        <v>1</v>
      </c>
      <c r="I22" s="1431">
        <f>IF('Historical DATA'!AS8="","",'Historical DATA'!AS8)</f>
        <v>10654326762.76</v>
      </c>
      <c r="J22" s="1431">
        <f>IF('Historical DATA'!AT8="","",'Historical DATA'!AT8)</f>
        <v>598.37949920445681</v>
      </c>
      <c r="K22" s="1431">
        <f>IF('Historical DATA'!AU8="","",'Historical DATA'!AU8)</f>
        <v>11215080214.709999</v>
      </c>
      <c r="L22" s="1450">
        <f>IF('Historical DATA'!AV8="","",'Historical DATA'!AV8)</f>
        <v>0.05</v>
      </c>
      <c r="M22" s="1446"/>
      <c r="N22" s="1445">
        <f>IF('Historical DATA'!AW8="","",'Historical DATA'!AW8)</f>
        <v>0.05</v>
      </c>
      <c r="O22" s="1436">
        <f>IF('Historical DATA'!AX8="","",'Historical DATA'!AX8)</f>
        <v>11215080214.709999</v>
      </c>
      <c r="P22" s="1435">
        <f>IF('Historical DATA'!AY8="","",'Historical DATA'!AY8)</f>
        <v>560754010.73549998</v>
      </c>
      <c r="Q22" s="1259"/>
      <c r="R22" s="1434">
        <f>IF('Historical DATA'!AZ8="","",'Historical DATA'!AZ8)</f>
        <v>11215080214.709999</v>
      </c>
      <c r="S22" s="1436">
        <f>IF('Historical DATA'!BA8="","",'Historical DATA'!BA8)</f>
        <v>560754010.73549998</v>
      </c>
      <c r="T22" s="1435">
        <f>IF('Historical DATA'!BB8="","",'Historical DATA'!BB8)</f>
        <v>10654326203.974499</v>
      </c>
      <c r="U22" s="1259"/>
      <c r="V22" s="1434">
        <f>IF('Historical DATA'!BC8="","",'Historical DATA'!BC8)</f>
        <v>99140955.050001144</v>
      </c>
      <c r="W22" s="1436">
        <f>IF('Historical DATA'!BD8="","",'Historical DATA'!BD8)</f>
        <v>10748510121.440001</v>
      </c>
      <c r="X22" s="1436">
        <f>IF('Historical DATA'!BE8="","",'Historical DATA'!BE8)</f>
        <v>560754010.73549998</v>
      </c>
      <c r="Y22" s="1435">
        <f>IF('Historical DATA'!BF8="","",'Historical DATA'!BF8)</f>
        <v>59748300.891229384</v>
      </c>
      <c r="Z22" s="1435">
        <f>IF('Historical DATA'!BG8="","",'Historical DATA'!BG8)</f>
        <v>34435616.574272402</v>
      </c>
      <c r="AA22" s="1416"/>
      <c r="AB22" s="1434">
        <f>IF('Historical DATA'!BH8="","",'Historical DATA'!BH8)</f>
        <v>77732</v>
      </c>
      <c r="AC22" s="1436">
        <f>IF('Historical DATA'!BI8="","",'Historical DATA'!BI8)</f>
        <v>768.64</v>
      </c>
      <c r="AD22" s="1436">
        <f>IF('Historical DATA'!BJ8="","",'Historical DATA'!BJ8)</f>
        <v>59747924.479999997</v>
      </c>
      <c r="AE22" s="1435">
        <f>IF('Historical DATA'!BK8="","",'Historical DATA'!BK8)</f>
        <v>376.4112293869257</v>
      </c>
      <c r="AF22" s="1435">
        <f>IF('Historical DATA'!BL8="","",'Historical DATA'!BL8)</f>
        <v>40340</v>
      </c>
      <c r="AG22" s="1435">
        <f>IF('Historical DATA'!BM8="","",'Historical DATA'!BM8)</f>
        <v>853.63</v>
      </c>
      <c r="AH22" s="1435">
        <f>IF('Historical DATA'!BN8="","",'Historical DATA'!BN8)</f>
        <v>34435434.200000003</v>
      </c>
      <c r="AI22" s="1435">
        <f>IF('Historical DATA'!BO8="","",'Historical DATA'!BO8)</f>
        <v>182.37427239865065</v>
      </c>
      <c r="AJ22" s="1416"/>
      <c r="AK22" s="1437">
        <f>IF('Historical DATA'!BP8="","",'Historical DATA'!BP8)</f>
        <v>99140955.050001144</v>
      </c>
      <c r="AL22" s="1431">
        <f>IF('Historical DATA'!BQ8="","",'Historical DATA'!BQ8)</f>
        <v>94183358.680000007</v>
      </c>
      <c r="AM22" s="1433">
        <f>IF('Historical DATA'!BR8="","",'Historical DATA'!BR8)</f>
        <v>4957037.5844993517</v>
      </c>
      <c r="AN22" s="1416"/>
      <c r="AO22" s="1448">
        <f>IF('Historical DATA'!BS8="","",'Historical DATA'!BS8)</f>
        <v>5808</v>
      </c>
      <c r="AP22" s="1438">
        <f>IF('Historical DATA'!BT8="","",'Historical DATA'!BT8)</f>
        <v>853.48</v>
      </c>
      <c r="AQ22" s="1438">
        <f>IF('Historical DATA'!BU8="","",'Historical DATA'!BU8)</f>
        <v>4957011.84</v>
      </c>
      <c r="AR22" s="1439">
        <f>IF('Historical DATA'!BV8="","",'Historical DATA'!BV8)</f>
        <v>25.74449935182929</v>
      </c>
    </row>
    <row r="23" spans="2:88">
      <c r="B23" s="1653">
        <f>IF('Historical DATA'!B9="","",'Historical DATA'!B9)</f>
        <v>46049</v>
      </c>
      <c r="C23" s="304"/>
      <c r="D23" s="1437">
        <f>IF('Historical DATA'!AO9="","",'Historical DATA'!AO9)</f>
        <v>11410540664.6</v>
      </c>
      <c r="E23" s="1431">
        <f>IF('Historical DATA'!AP9="","",'Historical DATA'!AP9)</f>
        <v>11314220550.59</v>
      </c>
      <c r="F23" s="1433">
        <f>IF('Historical DATA'!AQ9="","",'Historical DATA'!AQ9)</f>
        <v>96320114.010000229</v>
      </c>
      <c r="G23" s="1259"/>
      <c r="H23" s="1447">
        <f>IF('Historical DATA'!AR9="","",'Historical DATA'!AR9)</f>
        <v>1</v>
      </c>
      <c r="I23" s="1431">
        <f>IF('Historical DATA'!AS9="","",'Historical DATA'!AS9)</f>
        <v>10748510121.440001</v>
      </c>
      <c r="J23" s="1431">
        <f>IF('Historical DATA'!AT9="","",'Historical DATA'!AT9)</f>
        <v>603.00550087541342</v>
      </c>
      <c r="K23" s="1431">
        <f>IF('Historical DATA'!AU9="","",'Historical DATA'!AU9)</f>
        <v>11314220550.59</v>
      </c>
      <c r="L23" s="1450">
        <f>IF('Historical DATA'!AV9="","",'Historical DATA'!AV9)</f>
        <v>0.05</v>
      </c>
      <c r="M23" s="1446"/>
      <c r="N23" s="1445">
        <f>IF('Historical DATA'!AW9="","",'Historical DATA'!AW9)</f>
        <v>0.05</v>
      </c>
      <c r="O23" s="1436">
        <f>IF('Historical DATA'!AX9="","",'Historical DATA'!AX9)</f>
        <v>11314220550.59</v>
      </c>
      <c r="P23" s="1435">
        <f>IF('Historical DATA'!AY9="","",'Historical DATA'!AY9)</f>
        <v>565711027.52950001</v>
      </c>
      <c r="Q23" s="1259"/>
      <c r="R23" s="1434">
        <f>IF('Historical DATA'!AZ9="","",'Historical DATA'!AZ9)</f>
        <v>11314220550.59</v>
      </c>
      <c r="S23" s="1436">
        <f>IF('Historical DATA'!BA9="","",'Historical DATA'!BA9)</f>
        <v>565711027.52950001</v>
      </c>
      <c r="T23" s="1435">
        <f>IF('Historical DATA'!BB9="","",'Historical DATA'!BB9)</f>
        <v>10748509523.060501</v>
      </c>
      <c r="U23" s="1259"/>
      <c r="V23" s="1434">
        <f>IF('Historical DATA'!BC9="","",'Historical DATA'!BC9)</f>
        <v>96320114.010000229</v>
      </c>
      <c r="W23" s="1436">
        <f>IF('Historical DATA'!BD9="","",'Historical DATA'!BD9)</f>
        <v>10840013622.68</v>
      </c>
      <c r="X23" s="1436">
        <f>IF('Historical DATA'!BE9="","",'Historical DATA'!BE9)</f>
        <v>565711027.52950001</v>
      </c>
      <c r="Y23" s="1435">
        <f>IF('Historical DATA'!BF9="","",'Historical DATA'!BF9)</f>
        <v>58048280.890129752</v>
      </c>
      <c r="Z23" s="1435">
        <f>IF('Historical DATA'!BG9="","",'Historical DATA'!BG9)</f>
        <v>33455818.729369454</v>
      </c>
      <c r="AA23" s="1416"/>
      <c r="AB23" s="1434">
        <f>IF('Historical DATA'!BH9="","",'Historical DATA'!BH9)</f>
        <v>77732</v>
      </c>
      <c r="AC23" s="1436">
        <f>IF('Historical DATA'!BI9="","",'Historical DATA'!BI9)</f>
        <v>746.77</v>
      </c>
      <c r="AD23" s="1436">
        <f>IF('Historical DATA'!BJ9="","",'Historical DATA'!BJ9)</f>
        <v>58047925.640000001</v>
      </c>
      <c r="AE23" s="1435">
        <f>IF('Historical DATA'!BK9="","",'Historical DATA'!BK9)</f>
        <v>355.2501297518611</v>
      </c>
      <c r="AF23" s="1435">
        <f>IF('Historical DATA'!BL9="","",'Historical DATA'!BL9)</f>
        <v>40340</v>
      </c>
      <c r="AG23" s="1435">
        <f>IF('Historical DATA'!BM9="","",'Historical DATA'!BM9)</f>
        <v>829.34</v>
      </c>
      <c r="AH23" s="1435">
        <f>IF('Historical DATA'!BN9="","",'Historical DATA'!BN9)</f>
        <v>33455575.600000001</v>
      </c>
      <c r="AI23" s="1435">
        <f>IF('Historical DATA'!BO9="","",'Historical DATA'!BO9)</f>
        <v>243.12936945259571</v>
      </c>
      <c r="AJ23" s="1416"/>
      <c r="AK23" s="1437">
        <f>IF('Historical DATA'!BP9="","",'Historical DATA'!BP9)</f>
        <v>96320114.010000229</v>
      </c>
      <c r="AL23" s="1431">
        <f>IF('Historical DATA'!BQ9="","",'Historical DATA'!BQ9)</f>
        <v>91503501.24000001</v>
      </c>
      <c r="AM23" s="1433">
        <f>IF('Historical DATA'!BR9="","",'Historical DATA'!BR9)</f>
        <v>4816014.3905010149</v>
      </c>
      <c r="AN23" s="1416"/>
      <c r="AO23" s="1448">
        <f>IF('Historical DATA'!BS9="","",'Historical DATA'!BS9)</f>
        <v>5808</v>
      </c>
      <c r="AP23" s="1438">
        <f>IF('Historical DATA'!BT9="","",'Historical DATA'!BT9)</f>
        <v>829.2</v>
      </c>
      <c r="AQ23" s="1438">
        <f>IF('Historical DATA'!BU9="","",'Historical DATA'!BU9)</f>
        <v>4815993.6000000006</v>
      </c>
      <c r="AR23" s="1439">
        <f>IF('Historical DATA'!BV9="","",'Historical DATA'!BV9)</f>
        <v>20.790501014329493</v>
      </c>
    </row>
    <row r="24" spans="2:88">
      <c r="B24" s="1653">
        <f>IF('Historical DATA'!B10="","",'Historical DATA'!B10)</f>
        <v>46020</v>
      </c>
      <c r="C24" s="304"/>
      <c r="D24" s="1437">
        <f>IF('Historical DATA'!AO10="","",'Historical DATA'!AO10)</f>
        <v>11501222469.799999</v>
      </c>
      <c r="E24" s="1431">
        <f>IF('Historical DATA'!AP10="","",'Historical DATA'!AP10)</f>
        <v>11410540020.709999</v>
      </c>
      <c r="F24" s="1433">
        <f>IF('Historical DATA'!AQ10="","",'Historical DATA'!AQ10)</f>
        <v>90682449.090000153</v>
      </c>
      <c r="G24" s="1259"/>
      <c r="H24" s="1447">
        <f>IF('Historical DATA'!AR10="","",'Historical DATA'!AR10)</f>
        <v>1</v>
      </c>
      <c r="I24" s="1431">
        <f>IF('Historical DATA'!AS10="","",'Historical DATA'!AS10)</f>
        <v>10840013622.68</v>
      </c>
      <c r="J24" s="1431">
        <f>IF('Historical DATA'!AT10="","",'Historical DATA'!AT10)</f>
        <v>597.14749938994646</v>
      </c>
      <c r="K24" s="1431">
        <f>IF('Historical DATA'!AU10="","",'Historical DATA'!AU10)</f>
        <v>11410540020.709999</v>
      </c>
      <c r="L24" s="1450">
        <f>IF('Historical DATA'!AV10="","",'Historical DATA'!AV10)</f>
        <v>0.05</v>
      </c>
      <c r="M24" s="1446"/>
      <c r="N24" s="1445">
        <f>IF('Historical DATA'!AW10="","",'Historical DATA'!AW10)</f>
        <v>0.05</v>
      </c>
      <c r="O24" s="1436">
        <f>IF('Historical DATA'!AX10="","",'Historical DATA'!AX10)</f>
        <v>11410540020.709999</v>
      </c>
      <c r="P24" s="1435">
        <f>IF('Historical DATA'!AY10="","",'Historical DATA'!AY10)</f>
        <v>570527001.03549993</v>
      </c>
      <c r="Q24" s="1259"/>
      <c r="R24" s="1434">
        <f>IF('Historical DATA'!AZ10="","",'Historical DATA'!AZ10)</f>
        <v>11410540020.709999</v>
      </c>
      <c r="S24" s="1436">
        <f>IF('Historical DATA'!BA10="","",'Historical DATA'!BA10)</f>
        <v>570527001.03549993</v>
      </c>
      <c r="T24" s="1435">
        <f>IF('Historical DATA'!BB10="","",'Historical DATA'!BB10)</f>
        <v>10840013019.6745</v>
      </c>
      <c r="U24" s="1259"/>
      <c r="V24" s="1434">
        <f>IF('Historical DATA'!BC10="","",'Historical DATA'!BC10)</f>
        <v>90682449.090000153</v>
      </c>
      <c r="W24" s="1436">
        <f>IF('Historical DATA'!BD10="","",'Historical DATA'!BD10)</f>
        <v>10926161354.6</v>
      </c>
      <c r="X24" s="1436">
        <f>IF('Historical DATA'!BE10="","",'Historical DATA'!BE10)</f>
        <v>570527001.03549993</v>
      </c>
      <c r="Y24" s="1435">
        <f>IF('Historical DATA'!BF10="","",'Historical DATA'!BF10)</f>
        <v>54650695.717823811</v>
      </c>
      <c r="Z24" s="1435">
        <f>IF('Historical DATA'!BG10="","",'Historical DATA'!BG10)</f>
        <v>31497639.207677059</v>
      </c>
      <c r="AA24" s="1416"/>
      <c r="AB24" s="1434">
        <f>IF('Historical DATA'!BH10="","",'Historical DATA'!BH10)</f>
        <v>77732</v>
      </c>
      <c r="AC24" s="1436">
        <f>IF('Historical DATA'!BI10="","",'Historical DATA'!BI10)</f>
        <v>703.06</v>
      </c>
      <c r="AD24" s="1436">
        <f>IF('Historical DATA'!BJ10="","",'Historical DATA'!BJ10)</f>
        <v>54650259.919999994</v>
      </c>
      <c r="AE24" s="1435">
        <f>IF('Historical DATA'!BK10="","",'Historical DATA'!BK10)</f>
        <v>435.79782381653786</v>
      </c>
      <c r="AF24" s="1435">
        <f>IF('Historical DATA'!BL10="","",'Historical DATA'!BL10)</f>
        <v>40340</v>
      </c>
      <c r="AG24" s="1435">
        <f>IF('Historical DATA'!BM10="","",'Historical DATA'!BM10)</f>
        <v>780.8</v>
      </c>
      <c r="AH24" s="1435">
        <f>IF('Historical DATA'!BN10="","",'Historical DATA'!BN10)</f>
        <v>31497472</v>
      </c>
      <c r="AI24" s="1435">
        <f>IF('Historical DATA'!BO10="","",'Historical DATA'!BO10)</f>
        <v>167.20767705887556</v>
      </c>
      <c r="AJ24" s="1416"/>
      <c r="AK24" s="1437">
        <f>IF('Historical DATA'!BP10="","",'Historical DATA'!BP10)</f>
        <v>90682449.090000153</v>
      </c>
      <c r="AL24" s="1431">
        <f>IF('Historical DATA'!BQ10="","",'Historical DATA'!BQ10)</f>
        <v>86147731.919999987</v>
      </c>
      <c r="AM24" s="1433">
        <f>IF('Historical DATA'!BR10="","",'Historical DATA'!BR10)</f>
        <v>4534114.1644992903</v>
      </c>
      <c r="AN24" s="1416"/>
      <c r="AO24" s="1448">
        <f>IF('Historical DATA'!BS10="","",'Historical DATA'!BS10)</f>
        <v>5808</v>
      </c>
      <c r="AP24" s="1438">
        <f>IF('Historical DATA'!BT10="","",'Historical DATA'!BT10)</f>
        <v>780.66</v>
      </c>
      <c r="AQ24" s="1438">
        <f>IF('Historical DATA'!BU10="","",'Historical DATA'!BU10)</f>
        <v>4534073.28</v>
      </c>
      <c r="AR24" s="1439">
        <f>IF('Historical DATA'!BV10="","",'Historical DATA'!BV10)</f>
        <v>40.884499290026724</v>
      </c>
    </row>
    <row r="25" spans="2:88">
      <c r="B25" s="1653">
        <f>IF('Historical DATA'!B11="","",'Historical DATA'!B11)</f>
        <v>45988</v>
      </c>
      <c r="C25" s="304"/>
      <c r="D25" s="1437">
        <f>IF('Historical DATA'!AO11="","",'Historical DATA'!AO11)</f>
        <v>11614083884.280001</v>
      </c>
      <c r="E25" s="1431">
        <f>IF('Historical DATA'!AP11="","",'Historical DATA'!AP11)</f>
        <v>11501221849.950001</v>
      </c>
      <c r="F25" s="1433">
        <f>IF('Historical DATA'!AQ11="","",'Historical DATA'!AQ11)</f>
        <v>112862034.32999992</v>
      </c>
      <c r="G25" s="1259"/>
      <c r="H25" s="1447">
        <f>IF('Historical DATA'!AR11="","",'Historical DATA'!AR11)</f>
        <v>1</v>
      </c>
      <c r="I25" s="1431">
        <f>IF('Historical DATA'!AS11="","",'Historical DATA'!AS11)</f>
        <v>10926161354.6</v>
      </c>
      <c r="J25" s="1431">
        <f>IF('Historical DATA'!AT11="","",'Historical DATA'!AT11)</f>
        <v>349.02100082486868</v>
      </c>
      <c r="K25" s="1431">
        <f>IF('Historical DATA'!AU11="","",'Historical DATA'!AU11)</f>
        <v>11501221849.950001</v>
      </c>
      <c r="L25" s="1450">
        <f>IF('Historical DATA'!AV11="","",'Historical DATA'!AV11)</f>
        <v>0.05</v>
      </c>
      <c r="M25" s="1446"/>
      <c r="N25" s="1445">
        <f>IF('Historical DATA'!AW11="","",'Historical DATA'!AW11)</f>
        <v>0.05</v>
      </c>
      <c r="O25" s="1436">
        <f>IF('Historical DATA'!AX11="","",'Historical DATA'!AX11)</f>
        <v>11501221849.950001</v>
      </c>
      <c r="P25" s="1435">
        <f>IF('Historical DATA'!AY11="","",'Historical DATA'!AY11)</f>
        <v>575061092.49750006</v>
      </c>
      <c r="Q25" s="1259"/>
      <c r="R25" s="1434">
        <f>IF('Historical DATA'!AZ11="","",'Historical DATA'!AZ11)</f>
        <v>11501221849.950001</v>
      </c>
      <c r="S25" s="1436">
        <f>IF('Historical DATA'!BA11="","",'Historical DATA'!BA11)</f>
        <v>575061092.49750006</v>
      </c>
      <c r="T25" s="1435">
        <f>IF('Historical DATA'!BB11="","",'Historical DATA'!BB11)</f>
        <v>10926160757.452501</v>
      </c>
      <c r="U25" s="1259"/>
      <c r="V25" s="1434">
        <f>IF('Historical DATA'!BC11="","",'Historical DATA'!BC11)</f>
        <v>112862034.32999992</v>
      </c>
      <c r="W25" s="1436">
        <f>IF('Historical DATA'!BD11="","",'Historical DATA'!BD11)</f>
        <v>11033283884.280001</v>
      </c>
      <c r="X25" s="1436">
        <f>IF('Historical DATA'!BE11="","",'Historical DATA'!BE11)</f>
        <v>575061092.49750006</v>
      </c>
      <c r="Y25" s="1435">
        <f>IF('Historical DATA'!BF11="","",'Historical DATA'!BF11)</f>
        <v>67956664.860738143</v>
      </c>
      <c r="Z25" s="1435">
        <f>IF('Historical DATA'!BG11="","",'Historical DATA'!BG11)</f>
        <v>39166461.966761254</v>
      </c>
      <c r="AA25" s="1416"/>
      <c r="AB25" s="1434">
        <f>IF('Historical DATA'!BH11="","",'Historical DATA'!BH11)</f>
        <v>77732</v>
      </c>
      <c r="AC25" s="1436">
        <f>IF('Historical DATA'!BI11="","",'Historical DATA'!BI11)</f>
        <v>874.24</v>
      </c>
      <c r="AD25" s="1436">
        <f>IF('Historical DATA'!BJ11="","",'Historical DATA'!BJ11)</f>
        <v>67956423.680000007</v>
      </c>
      <c r="AE25" s="1435">
        <f>IF('Historical DATA'!BK11="","",'Historical DATA'!BK11)</f>
        <v>241.18073813617229</v>
      </c>
      <c r="AF25" s="1435">
        <f>IF('Historical DATA'!BL11="","",'Historical DATA'!BL11)</f>
        <v>40340</v>
      </c>
      <c r="AG25" s="1435">
        <f>IF('Historical DATA'!BM11="","",'Historical DATA'!BM11)</f>
        <v>970.9</v>
      </c>
      <c r="AH25" s="1435">
        <f>IF('Historical DATA'!BN11="","",'Historical DATA'!BN11)</f>
        <v>39166106</v>
      </c>
      <c r="AI25" s="1435">
        <f>IF('Historical DATA'!BO11="","",'Historical DATA'!BO11)</f>
        <v>355.96676125377417</v>
      </c>
      <c r="AJ25" s="1416"/>
      <c r="AK25" s="1437">
        <f>IF('Historical DATA'!BP11="","",'Historical DATA'!BP11)</f>
        <v>112862034.32999992</v>
      </c>
      <c r="AL25" s="1431">
        <f>IF('Historical DATA'!BQ11="","",'Historical DATA'!BQ11)</f>
        <v>107122529.68000001</v>
      </c>
      <c r="AM25" s="1433">
        <f>IF('Historical DATA'!BR11="","",'Historical DATA'!BR11)</f>
        <v>5738907.5025005266</v>
      </c>
      <c r="AN25" s="1416"/>
      <c r="AO25" s="1448">
        <f>IF('Historical DATA'!BS11="","",'Historical DATA'!BS11)</f>
        <v>5808</v>
      </c>
      <c r="AP25" s="1438">
        <f>IF('Historical DATA'!BT11="","",'Historical DATA'!BT11)</f>
        <v>988.1</v>
      </c>
      <c r="AQ25" s="1438">
        <f>IF('Historical DATA'!BU11="","",'Historical DATA'!BU11)</f>
        <v>5738884.7999999998</v>
      </c>
      <c r="AR25" s="1439">
        <f>IF('Historical DATA'!BV11="","",'Historical DATA'!BV11)</f>
        <v>22.702500526793301</v>
      </c>
    </row>
    <row r="26" spans="2:88">
      <c r="B26" s="1653">
        <f>IF('Historical DATA'!B12="","",'Historical DATA'!B12)</f>
        <v>45957</v>
      </c>
      <c r="C26" s="304"/>
      <c r="D26" s="1437">
        <f>IF('Historical DATA'!AO12="","",'Historical DATA'!AO12)</f>
        <v>7430770939.6800003</v>
      </c>
      <c r="E26" s="1431">
        <f>IF('Historical DATA'!AP12="","",'Historical DATA'!AP12)</f>
        <v>7367666879.2200003</v>
      </c>
      <c r="F26" s="1433">
        <f>IF('Historical DATA'!AQ12="","",'Historical DATA'!AQ12)</f>
        <v>63104060.460000038</v>
      </c>
      <c r="G26" s="1259"/>
      <c r="H26" s="1447">
        <f>IF('Historical DATA'!AR12="","",'Historical DATA'!AR12)</f>
        <v>1</v>
      </c>
      <c r="I26" s="1431">
        <f>IF('Historical DATA'!AS12="","",'Historical DATA'!AS12)</f>
        <v>6999283884.2800007</v>
      </c>
      <c r="J26" s="1431">
        <f>IF('Historical DATA'!AT12="","",'Historical DATA'!AT12)</f>
        <v>4.3625001534819603</v>
      </c>
      <c r="K26" s="1431">
        <f>IF('Historical DATA'!AU12="","",'Historical DATA'!AU12)</f>
        <v>7367666879.2200003</v>
      </c>
      <c r="L26" s="1450">
        <f>IF('Historical DATA'!AV12="","",'Historical DATA'!AV12)</f>
        <v>0.05</v>
      </c>
      <c r="M26" s="1446"/>
      <c r="N26" s="1445">
        <f>IF('Historical DATA'!AW12="","",'Historical DATA'!AW12)</f>
        <v>0.05</v>
      </c>
      <c r="O26" s="1436">
        <f>IF('Historical DATA'!AX12="","",'Historical DATA'!AX12)</f>
        <v>7367666879.2200003</v>
      </c>
      <c r="P26" s="1435">
        <f>IF('Historical DATA'!AY12="","",'Historical DATA'!AY12)</f>
        <v>368383343.96100003</v>
      </c>
      <c r="Q26" s="1259"/>
      <c r="R26" s="1434">
        <f>IF('Historical DATA'!AZ12="","",'Historical DATA'!AZ12)</f>
        <v>7367666879.2200003</v>
      </c>
      <c r="S26" s="1436">
        <f>IF('Historical DATA'!BA12="","",'Historical DATA'!BA12)</f>
        <v>368383343.96100003</v>
      </c>
      <c r="T26" s="1435">
        <f>IF('Historical DATA'!BB12="","",'Historical DATA'!BB12)</f>
        <v>6999283535.2589998</v>
      </c>
      <c r="U26" s="1259"/>
      <c r="V26" s="1434">
        <f>IF('Historical DATA'!BC12="","",'Historical DATA'!BC12)</f>
        <v>63104060.460000038</v>
      </c>
      <c r="W26" s="1436">
        <f>IF('Historical DATA'!BD12="","",'Historical DATA'!BD12)</f>
        <v>7059232357.3200006</v>
      </c>
      <c r="X26" s="1436">
        <f>IF('Historical DATA'!BE12="","",'Historical DATA'!BE12)</f>
        <v>368383343.96100003</v>
      </c>
      <c r="Y26" s="1435">
        <f>IF('Historical DATA'!BF12="","",'Historical DATA'!BF12)</f>
        <v>59948822.061000824</v>
      </c>
      <c r="Z26" s="1435">
        <f>IF('Historical DATA'!BG12="","",'Historical DATA'!BG12)</f>
        <v>0</v>
      </c>
      <c r="AA26" s="1416"/>
      <c r="AB26" s="1434">
        <f>IF('Historical DATA'!BH12="","",'Historical DATA'!BH12)</f>
        <v>77732</v>
      </c>
      <c r="AC26" s="1436">
        <f>IF('Historical DATA'!BI12="","",'Historical DATA'!BI12)</f>
        <v>771.22</v>
      </c>
      <c r="AD26" s="1436">
        <f>IF('Historical DATA'!BJ12="","",'Historical DATA'!BJ12)</f>
        <v>59948473.039999999</v>
      </c>
      <c r="AE26" s="1435">
        <f>IF('Historical DATA'!BK12="","",'Historical DATA'!BK12)</f>
        <v>349.02100082486868</v>
      </c>
      <c r="AF26" s="1435">
        <f>IF('Historical DATA'!BL12="","",'Historical DATA'!BL12)</f>
        <v>40340</v>
      </c>
      <c r="AG26" s="1435">
        <f>IF('Historical DATA'!BM12="","",'Historical DATA'!BM12)</f>
        <v>0</v>
      </c>
      <c r="AH26" s="1435">
        <f>IF('Historical DATA'!BN12="","",'Historical DATA'!BN12)</f>
        <v>0</v>
      </c>
      <c r="AI26" s="1435">
        <f>IF('Historical DATA'!BO12="","",'Historical DATA'!BO12)</f>
        <v>0</v>
      </c>
      <c r="AJ26" s="1416"/>
      <c r="AK26" s="1437">
        <f>IF('Historical DATA'!BP12="","",'Historical DATA'!BP12)</f>
        <v>63104060.460000038</v>
      </c>
      <c r="AL26" s="1431">
        <f>IF('Historical DATA'!BQ12="","",'Historical DATA'!BQ12)</f>
        <v>59948473.039999999</v>
      </c>
      <c r="AM26" s="1433">
        <f>IF('Historical DATA'!BR12="","",'Historical DATA'!BR12)</f>
        <v>371538602.31899923</v>
      </c>
      <c r="AN26" s="1416"/>
      <c r="AO26" s="1448">
        <f>IF('Historical DATA'!BS12="","",'Historical DATA'!BS12)</f>
        <v>4092</v>
      </c>
      <c r="AP26" s="1438">
        <f>IF('Historical DATA'!BT12="","",'Historical DATA'!BT12)</f>
        <v>90796.33</v>
      </c>
      <c r="AQ26" s="1438">
        <f>IF('Historical DATA'!BU12="","",'Historical DATA'!BU12)</f>
        <v>371538582.36000001</v>
      </c>
      <c r="AR26" s="1439">
        <f>IF('Historical DATA'!BV12="","",'Historical DATA'!BV12)</f>
        <v>19.958999216556549</v>
      </c>
    </row>
    <row r="27" spans="2:88">
      <c r="B27" s="1653">
        <f>IF('Historical DATA'!B13="","",'Historical DATA'!B13)</f>
        <v>45929</v>
      </c>
      <c r="C27" s="304"/>
      <c r="D27" s="1437">
        <f>IF('Historical DATA'!AO13="","",'Historical DATA'!AO13)</f>
        <v>7501402316.4000006</v>
      </c>
      <c r="E27" s="1431">
        <f>IF('Historical DATA'!AP13="","",'Historical DATA'!AP13)</f>
        <v>7430770897.8500004</v>
      </c>
      <c r="F27" s="1433">
        <f>IF('Historical DATA'!AQ13="","",'Historical DATA'!AQ13)</f>
        <v>70631418.550000191</v>
      </c>
      <c r="G27" s="1259"/>
      <c r="H27" s="1447">
        <f>IF('Historical DATA'!AR13="","",'Historical DATA'!AR13)</f>
        <v>1</v>
      </c>
      <c r="I27" s="1431">
        <f>IF('Historical DATA'!AS13="","",'Historical DATA'!AS13)</f>
        <v>7059232357.3200006</v>
      </c>
      <c r="J27" s="1431">
        <f>IF('Historical DATA'!AT13="","",'Historical DATA'!AT13)</f>
        <v>197.90400146692991</v>
      </c>
      <c r="K27" s="1431">
        <f>IF('Historical DATA'!AU13="","",'Historical DATA'!AU13)</f>
        <v>7430770897.8500004</v>
      </c>
      <c r="L27" s="1450">
        <f>IF('Historical DATA'!AV13="","",'Historical DATA'!AV13)</f>
        <v>0.05</v>
      </c>
      <c r="M27" s="1446"/>
      <c r="N27" s="1445">
        <f>IF('Historical DATA'!AW13="","",'Historical DATA'!AW13)</f>
        <v>0.05</v>
      </c>
      <c r="O27" s="1436">
        <f>IF('Historical DATA'!AX13="","",'Historical DATA'!AX13)</f>
        <v>7430770897.8500004</v>
      </c>
      <c r="P27" s="1435">
        <f>IF('Historical DATA'!AY13="","",'Historical DATA'!AY13)</f>
        <v>371538544.89250004</v>
      </c>
      <c r="Q27" s="1259"/>
      <c r="R27" s="1434">
        <f>IF('Historical DATA'!AZ13="","",'Historical DATA'!AZ13)</f>
        <v>7430770897.8500004</v>
      </c>
      <c r="S27" s="1436">
        <f>IF('Historical DATA'!BA13="","",'Historical DATA'!BA13)</f>
        <v>371538544.89250004</v>
      </c>
      <c r="T27" s="1435">
        <f>IF('Historical DATA'!BB13="","",'Historical DATA'!BB13)</f>
        <v>7059232352.9575005</v>
      </c>
      <c r="U27" s="1259"/>
      <c r="V27" s="1434">
        <f>IF('Historical DATA'!BC13="","",'Historical DATA'!BC13)</f>
        <v>70631418.550000191</v>
      </c>
      <c r="W27" s="1436">
        <f>IF('Historical DATA'!BD13="","",'Historical DATA'!BD13)</f>
        <v>7126332174.3600006</v>
      </c>
      <c r="X27" s="1436">
        <f>IF('Historical DATA'!BE13="","",'Historical DATA'!BE13)</f>
        <v>371538544.89250004</v>
      </c>
      <c r="Y27" s="1435">
        <f>IF('Historical DATA'!BF13="","",'Historical DATA'!BF13)</f>
        <v>67099821.402500153</v>
      </c>
      <c r="Z27" s="1435" t="str">
        <f>IF('Historical DATA'!BG13="","",'Historical DATA'!BG13)</f>
        <v/>
      </c>
      <c r="AA27" s="1416"/>
      <c r="AB27" s="1434">
        <f>IF('Historical DATA'!BH13="","",'Historical DATA'!BH13)</f>
        <v>77732</v>
      </c>
      <c r="AC27" s="1436">
        <f>IF('Historical DATA'!BI13="","",'Historical DATA'!BI13)</f>
        <v>863.22</v>
      </c>
      <c r="AD27" s="1436">
        <f>IF('Historical DATA'!BJ13="","",'Historical DATA'!BJ13)</f>
        <v>67099817.039999999</v>
      </c>
      <c r="AE27" s="1435">
        <f>IF('Historical DATA'!BK13="","",'Historical DATA'!BK13)</f>
        <v>4.3625001534819603</v>
      </c>
      <c r="AF27" s="1435" t="str">
        <f>IF('Historical DATA'!BL13="","",'Historical DATA'!BL13)</f>
        <v/>
      </c>
      <c r="AG27" s="1435" t="str">
        <f>IF('Historical DATA'!BM13="","",'Historical DATA'!BM13)</f>
        <v/>
      </c>
      <c r="AH27" s="1435" t="str">
        <f>IF('Historical DATA'!BN13="","",'Historical DATA'!BN13)</f>
        <v/>
      </c>
      <c r="AI27" s="1435">
        <f>IF('Historical DATA'!BO13="","",'Historical DATA'!BO13)</f>
        <v>0</v>
      </c>
      <c r="AJ27" s="1416"/>
      <c r="AK27" s="1437">
        <f>IF('Historical DATA'!BP13="","",'Historical DATA'!BP13)</f>
        <v>70631418.550000191</v>
      </c>
      <c r="AL27" s="1431">
        <f>IF('Historical DATA'!BQ13="","",'Historical DATA'!BQ13)</f>
        <v>67099817.039999999</v>
      </c>
      <c r="AM27" s="1433">
        <f>IF('Historical DATA'!BR13="","",'Historical DATA'!BR13)</f>
        <v>3531597.1475000381</v>
      </c>
      <c r="AN27" s="1416"/>
      <c r="AO27" s="1448">
        <f>IF('Historical DATA'!BS13="","",'Historical DATA'!BS13)</f>
        <v>4092</v>
      </c>
      <c r="AP27" s="1438">
        <f>IF('Historical DATA'!BT13="","",'Historical DATA'!BT13)</f>
        <v>863.04</v>
      </c>
      <c r="AQ27" s="1438">
        <f>IF('Historical DATA'!BU13="","",'Historical DATA'!BU13)</f>
        <v>3531559.6799999997</v>
      </c>
      <c r="AR27" s="1439">
        <f>IF('Historical DATA'!BV13="","",'Historical DATA'!BV13)</f>
        <v>37.467500038444996</v>
      </c>
    </row>
    <row r="28" spans="2:88">
      <c r="B28" s="1653">
        <f>IF('Historical DATA'!B14="","",'Historical DATA'!B14)</f>
        <v>45896</v>
      </c>
      <c r="C28" s="304"/>
      <c r="D28" s="1437">
        <f>IF('Historical DATA'!AO14="","",'Historical DATA'!AO14)</f>
        <v>7570005276.1600008</v>
      </c>
      <c r="E28" s="1431">
        <f>IF('Historical DATA'!AP14="","",'Historical DATA'!AP14)</f>
        <v>7501402080.4799995</v>
      </c>
      <c r="F28" s="1433">
        <f>IF('Historical DATA'!AQ14="","",'Historical DATA'!AQ14)</f>
        <v>68603195.680001259</v>
      </c>
      <c r="G28" s="1259"/>
      <c r="H28" s="1447">
        <f>IF('Historical DATA'!AR14="","",'Historical DATA'!AR14)</f>
        <v>1</v>
      </c>
      <c r="I28" s="1431">
        <f>IF('Historical DATA'!AS14="","",'Historical DATA'!AS14)</f>
        <v>7126332174.3600006</v>
      </c>
      <c r="J28" s="1431">
        <f>IF('Historical DATA'!AT14="","",'Historical DATA'!AT14)</f>
        <v>87.479501076042652</v>
      </c>
      <c r="K28" s="1431">
        <f>IF('Historical DATA'!AU14="","",'Historical DATA'!AU14)</f>
        <v>7501402080.4799995</v>
      </c>
      <c r="L28" s="1450">
        <f>IF('Historical DATA'!AV14="","",'Historical DATA'!AV14)</f>
        <v>0.05</v>
      </c>
      <c r="M28" s="1446"/>
      <c r="N28" s="1445">
        <f>IF('Historical DATA'!AW14="","",'Historical DATA'!AW14)</f>
        <v>0.05</v>
      </c>
      <c r="O28" s="1436">
        <f>IF('Historical DATA'!AX14="","",'Historical DATA'!AX14)</f>
        <v>7501402080.4799995</v>
      </c>
      <c r="P28" s="1435">
        <f>IF('Historical DATA'!AY14="","",'Historical DATA'!AY14)</f>
        <v>375070104.02399999</v>
      </c>
      <c r="Q28" s="1259"/>
      <c r="R28" s="1434">
        <f>IF('Historical DATA'!AZ14="","",'Historical DATA'!AZ14)</f>
        <v>7501402080.4799995</v>
      </c>
      <c r="S28" s="1436">
        <f>IF('Historical DATA'!BA14="","",'Historical DATA'!BA14)</f>
        <v>375070104.02399999</v>
      </c>
      <c r="T28" s="1435">
        <f>IF('Historical DATA'!BB14="","",'Historical DATA'!BB14)</f>
        <v>7126331976.4559994</v>
      </c>
      <c r="U28" s="1259"/>
      <c r="V28" s="1434">
        <f>IF('Historical DATA'!BC14="","",'Historical DATA'!BC14)</f>
        <v>68603195.680001259</v>
      </c>
      <c r="W28" s="1436">
        <f>IF('Historical DATA'!BD14="","",'Historical DATA'!BD14)</f>
        <v>7191505015.1200008</v>
      </c>
      <c r="X28" s="1436">
        <f>IF('Historical DATA'!BE14="","",'Historical DATA'!BE14)</f>
        <v>375070104.02399999</v>
      </c>
      <c r="Y28" s="1435">
        <f>IF('Historical DATA'!BF14="","",'Historical DATA'!BF14)</f>
        <v>65173038.664001465</v>
      </c>
      <c r="Z28" s="1435" t="str">
        <f>IF('Historical DATA'!BG14="","",'Historical DATA'!BG14)</f>
        <v/>
      </c>
      <c r="AA28" s="1416"/>
      <c r="AB28" s="1434">
        <f>IF('Historical DATA'!BH14="","",'Historical DATA'!BH14)</f>
        <v>77732</v>
      </c>
      <c r="AC28" s="1436">
        <f>IF('Historical DATA'!BI14="","",'Historical DATA'!BI14)</f>
        <v>838.43</v>
      </c>
      <c r="AD28" s="1436">
        <f>IF('Historical DATA'!BJ14="","",'Historical DATA'!BJ14)</f>
        <v>65172840.759999998</v>
      </c>
      <c r="AE28" s="1435">
        <f>IF('Historical DATA'!BK14="","",'Historical DATA'!BK14)</f>
        <v>197.90400146692991</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68603195.680001259</v>
      </c>
      <c r="AL28" s="1431">
        <f>IF('Historical DATA'!BQ14="","",'Historical DATA'!BQ14)</f>
        <v>65172840.759999998</v>
      </c>
      <c r="AM28" s="1433">
        <f>IF('Historical DATA'!BR14="","",'Historical DATA'!BR14)</f>
        <v>3430157.015999794</v>
      </c>
      <c r="AN28" s="1416"/>
      <c r="AO28" s="1448">
        <f>IF('Historical DATA'!BS14="","",'Historical DATA'!BS14)</f>
        <v>4092</v>
      </c>
      <c r="AP28" s="1438">
        <f>IF('Historical DATA'!BT14="","",'Historical DATA'!BT14)</f>
        <v>838.25</v>
      </c>
      <c r="AQ28" s="1438">
        <f>IF('Historical DATA'!BU14="","",'Historical DATA'!BU14)</f>
        <v>3430119</v>
      </c>
      <c r="AR28" s="1439">
        <f>IF('Historical DATA'!BV14="","",'Historical DATA'!BV14)</f>
        <v>38.015999794006348</v>
      </c>
    </row>
    <row r="29" spans="2:88">
      <c r="B29" s="1653">
        <f>IF('Historical DATA'!B15="","",'Historical DATA'!B15)</f>
        <v>45866</v>
      </c>
      <c r="C29" s="304"/>
      <c r="D29" s="1437">
        <f>IF('Historical DATA'!AO15="","",'Historical DATA'!AO15)</f>
        <v>7635176578.2800007</v>
      </c>
      <c r="E29" s="1431">
        <f>IF('Historical DATA'!AP15="","",'Historical DATA'!AP15)</f>
        <v>7570005186.9899998</v>
      </c>
      <c r="F29" s="1433">
        <f>IF('Historical DATA'!AQ15="","",'Historical DATA'!AQ15)</f>
        <v>65171391.290000916</v>
      </c>
      <c r="G29" s="1259"/>
      <c r="H29" s="1447">
        <f>IF('Historical DATA'!AR15="","",'Historical DATA'!AR15)</f>
        <v>1</v>
      </c>
      <c r="I29" s="1431">
        <f>IF('Historical DATA'!AS15="","",'Historical DATA'!AS15)</f>
        <v>7191505015.1200008</v>
      </c>
      <c r="J29" s="1431">
        <f>IF('Historical DATA'!AT15="","",'Historical DATA'!AT15)</f>
        <v>627.74600147455931</v>
      </c>
      <c r="K29" s="1431">
        <f>IF('Historical DATA'!AU15="","",'Historical DATA'!AU15)</f>
        <v>7570005186.9899998</v>
      </c>
      <c r="L29" s="1450">
        <f>IF('Historical DATA'!AV15="","",'Historical DATA'!AV15)</f>
        <v>0.05</v>
      </c>
      <c r="M29" s="1446"/>
      <c r="N29" s="1445">
        <f>IF('Historical DATA'!AW15="","",'Historical DATA'!AW15)</f>
        <v>0.05</v>
      </c>
      <c r="O29" s="1436">
        <f>IF('Historical DATA'!AX15="","",'Historical DATA'!AX15)</f>
        <v>7570005186.9899998</v>
      </c>
      <c r="P29" s="1435">
        <f>IF('Historical DATA'!AY15="","",'Historical DATA'!AY15)</f>
        <v>378500259.3495</v>
      </c>
      <c r="Q29" s="1259"/>
      <c r="R29" s="1434">
        <f>IF('Historical DATA'!AZ15="","",'Historical DATA'!AZ15)</f>
        <v>7570005186.9899998</v>
      </c>
      <c r="S29" s="1436">
        <f>IF('Historical DATA'!BA15="","",'Historical DATA'!BA15)</f>
        <v>378500259.3495</v>
      </c>
      <c r="T29" s="1435">
        <f>IF('Historical DATA'!BB15="","",'Historical DATA'!BB15)</f>
        <v>7191504927.6405001</v>
      </c>
      <c r="U29" s="1259"/>
      <c r="V29" s="1434">
        <f>IF('Historical DATA'!BC15="","",'Historical DATA'!BC15)</f>
        <v>65171391.290000916</v>
      </c>
      <c r="W29" s="1436">
        <f>IF('Historical DATA'!BD15="","",'Historical DATA'!BD15)</f>
        <v>7253417775.8000011</v>
      </c>
      <c r="X29" s="1436">
        <f>IF('Historical DATA'!BE15="","",'Historical DATA'!BE15)</f>
        <v>378500259.3495</v>
      </c>
      <c r="Y29" s="1435">
        <f>IF('Historical DATA'!BF15="","",'Historical DATA'!BF15)</f>
        <v>61912848.159501076</v>
      </c>
      <c r="Z29" s="1435" t="str">
        <f>IF('Historical DATA'!BG15="","",'Historical DATA'!BG15)</f>
        <v/>
      </c>
      <c r="AA29" s="1416"/>
      <c r="AB29" s="1434">
        <f>IF('Historical DATA'!BH15="","",'Historical DATA'!BH15)</f>
        <v>77732</v>
      </c>
      <c r="AC29" s="1436">
        <f>IF('Historical DATA'!BI15="","",'Historical DATA'!BI15)</f>
        <v>796.49</v>
      </c>
      <c r="AD29" s="1436">
        <f>IF('Historical DATA'!BJ15="","",'Historical DATA'!BJ15)</f>
        <v>61912760.68</v>
      </c>
      <c r="AE29" s="1435">
        <f>IF('Historical DATA'!BK15="","",'Historical DATA'!BK15)</f>
        <v>87.479501076042652</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65171391.290000916</v>
      </c>
      <c r="AL29" s="1431">
        <f>IF('Historical DATA'!BQ15="","",'Historical DATA'!BQ15)</f>
        <v>61912760.68</v>
      </c>
      <c r="AM29" s="1433">
        <f>IF('Historical DATA'!BR15="","",'Historical DATA'!BR15)</f>
        <v>3258543.1304998398</v>
      </c>
      <c r="AN29" s="1416"/>
      <c r="AO29" s="1448">
        <f>IF('Historical DATA'!BS15="","",'Historical DATA'!BS15)</f>
        <v>4092</v>
      </c>
      <c r="AP29" s="1438">
        <f>IF('Historical DATA'!BT15="","",'Historical DATA'!BT15)</f>
        <v>796.32</v>
      </c>
      <c r="AQ29" s="1438">
        <f>IF('Historical DATA'!BU15="","",'Historical DATA'!BU15)</f>
        <v>3258541.4400000004</v>
      </c>
      <c r="AR29" s="1439">
        <f>IF('Historical DATA'!BV15="","",'Historical DATA'!BV15)</f>
        <v>1.6904998393729329</v>
      </c>
    </row>
    <row r="30" spans="2:88">
      <c r="B30" s="1653">
        <f>IF('Historical DATA'!B16="","",'Historical DATA'!B16)</f>
        <v>45835</v>
      </c>
      <c r="C30" s="304"/>
      <c r="D30" s="1437">
        <f>IF('Historical DATA'!AO16="","",'Historical DATA'!AO16)</f>
        <v>7700874867.8800011</v>
      </c>
      <c r="E30" s="1431">
        <f>IF('Historical DATA'!AP16="","",'Historical DATA'!AP16)</f>
        <v>7635175945.3199997</v>
      </c>
      <c r="F30" s="1433">
        <f>IF('Historical DATA'!AQ16="","",'Historical DATA'!AQ16)</f>
        <v>65698922.560001373</v>
      </c>
      <c r="G30" s="1259"/>
      <c r="H30" s="1447">
        <f>IF('Historical DATA'!AR16="","",'Historical DATA'!AR16)</f>
        <v>1</v>
      </c>
      <c r="I30" s="1431">
        <f>IF('Historical DATA'!AS16="","",'Historical DATA'!AS16)</f>
        <v>7253417775.8000011</v>
      </c>
      <c r="J30" s="1431">
        <f>IF('Historical DATA'!AT16="","",'Historical DATA'!AT16)</f>
        <v>375.88050166517496</v>
      </c>
      <c r="K30" s="1431">
        <f>IF('Historical DATA'!AU16="","",'Historical DATA'!AU16)</f>
        <v>7635175945.3199997</v>
      </c>
      <c r="L30" s="1450">
        <f>IF('Historical DATA'!AV16="","",'Historical DATA'!AV16)</f>
        <v>0.05</v>
      </c>
      <c r="M30" s="1446"/>
      <c r="N30" s="1445">
        <f>IF('Historical DATA'!AW16="","",'Historical DATA'!AW16)</f>
        <v>0.05</v>
      </c>
      <c r="O30" s="1436">
        <f>IF('Historical DATA'!AX16="","",'Historical DATA'!AX16)</f>
        <v>7635175945.3199997</v>
      </c>
      <c r="P30" s="1435">
        <f>IF('Historical DATA'!AY16="","",'Historical DATA'!AY16)</f>
        <v>381758797.26600003</v>
      </c>
      <c r="Q30" s="1259"/>
      <c r="R30" s="1434">
        <f>IF('Historical DATA'!AZ16="","",'Historical DATA'!AZ16)</f>
        <v>7635175945.3199997</v>
      </c>
      <c r="S30" s="1436">
        <f>IF('Historical DATA'!BA16="","",'Historical DATA'!BA16)</f>
        <v>381758797.26600003</v>
      </c>
      <c r="T30" s="1435">
        <f>IF('Historical DATA'!BB16="","",'Historical DATA'!BB16)</f>
        <v>7253417148.0539999</v>
      </c>
      <c r="U30" s="1259"/>
      <c r="V30" s="1434">
        <f>IF('Historical DATA'!BC16="","",'Historical DATA'!BC16)</f>
        <v>65698922.560001373</v>
      </c>
      <c r="W30" s="1436">
        <f>IF('Historical DATA'!BD16="","",'Historical DATA'!BD16)</f>
        <v>7315831130.5600014</v>
      </c>
      <c r="X30" s="1436">
        <f>IF('Historical DATA'!BE16="","",'Historical DATA'!BE16)</f>
        <v>381758797.26600003</v>
      </c>
      <c r="Y30" s="1435">
        <f>IF('Historical DATA'!BF16="","",'Historical DATA'!BF16)</f>
        <v>62413982.506001472</v>
      </c>
      <c r="Z30" s="1435" t="str">
        <f>IF('Historical DATA'!BG16="","",'Historical DATA'!BG16)</f>
        <v/>
      </c>
      <c r="AA30" s="1416"/>
      <c r="AB30" s="1434">
        <f>IF('Historical DATA'!BH16="","",'Historical DATA'!BH16)</f>
        <v>77732</v>
      </c>
      <c r="AC30" s="1436">
        <f>IF('Historical DATA'!BI16="","",'Historical DATA'!BI16)</f>
        <v>802.93</v>
      </c>
      <c r="AD30" s="1436">
        <f>IF('Historical DATA'!BJ16="","",'Historical DATA'!BJ16)</f>
        <v>62413354.759999998</v>
      </c>
      <c r="AE30" s="1435">
        <f>IF('Historical DATA'!BK16="","",'Historical DATA'!BK16)</f>
        <v>627.74600147455931</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65698922.560001373</v>
      </c>
      <c r="AL30" s="1431">
        <f>IF('Historical DATA'!BQ16="","",'Historical DATA'!BQ16)</f>
        <v>62413354.759999998</v>
      </c>
      <c r="AM30" s="1433">
        <f>IF('Historical DATA'!BR16="","",'Historical DATA'!BR16)</f>
        <v>3284940.0539999008</v>
      </c>
      <c r="AN30" s="1416"/>
      <c r="AO30" s="1448">
        <f>IF('Historical DATA'!BS16="","",'Historical DATA'!BS16)</f>
        <v>4092</v>
      </c>
      <c r="AP30" s="1438">
        <f>IF('Historical DATA'!BT16="","",'Historical DATA'!BT16)</f>
        <v>802.77</v>
      </c>
      <c r="AQ30" s="1438">
        <f>IF('Historical DATA'!BU16="","",'Historical DATA'!BU16)</f>
        <v>3284934.84</v>
      </c>
      <c r="AR30" s="1439">
        <f>IF('Historical DATA'!BV16="","",'Historical DATA'!BV16)</f>
        <v>5.2139999009668827</v>
      </c>
    </row>
    <row r="31" spans="2:88">
      <c r="B31" s="1653">
        <f>IF('Historical DATA'!B17="","",'Historical DATA'!B17)</f>
        <v>45804</v>
      </c>
      <c r="C31" s="304"/>
      <c r="D31" s="1437">
        <f>IF('Historical DATA'!AO17="","",'Historical DATA'!AO17)</f>
        <v>7762585055.7200012</v>
      </c>
      <c r="E31" s="1431">
        <f>IF('Historical DATA'!AP17="","",'Historical DATA'!AP17)</f>
        <v>7700874478.6099997</v>
      </c>
      <c r="F31" s="1433">
        <f>IF('Historical DATA'!AQ17="","",'Historical DATA'!AQ17)</f>
        <v>61710577.110001564</v>
      </c>
      <c r="G31" s="1259"/>
      <c r="H31" s="1447">
        <f>IF('Historical DATA'!AR17="","",'Historical DATA'!AR17)</f>
        <v>1</v>
      </c>
      <c r="I31" s="1431">
        <f>IF('Historical DATA'!AS17="","",'Historical DATA'!AS17)</f>
        <v>7315831130.5600014</v>
      </c>
      <c r="J31" s="1431">
        <f>IF('Historical DATA'!AT17="","",'Historical DATA'!AT17)</f>
        <v>761.32650145888329</v>
      </c>
      <c r="K31" s="1431">
        <f>IF('Historical DATA'!AU17="","",'Historical DATA'!AU17)</f>
        <v>7700874478.6099997</v>
      </c>
      <c r="L31" s="1450">
        <f>IF('Historical DATA'!AV17="","",'Historical DATA'!AV17)</f>
        <v>0.05</v>
      </c>
      <c r="M31" s="1446"/>
      <c r="N31" s="1445">
        <f>IF('Historical DATA'!AW17="","",'Historical DATA'!AW17)</f>
        <v>0.05</v>
      </c>
      <c r="O31" s="1436">
        <f>IF('Historical DATA'!AX17="","",'Historical DATA'!AX17)</f>
        <v>7700874478.6099997</v>
      </c>
      <c r="P31" s="1435">
        <f>IF('Historical DATA'!AY17="","",'Historical DATA'!AY17)</f>
        <v>385043723.93050003</v>
      </c>
      <c r="Q31" s="1259"/>
      <c r="R31" s="1434">
        <f>IF('Historical DATA'!AZ17="","",'Historical DATA'!AZ17)</f>
        <v>7700874478.6099997</v>
      </c>
      <c r="S31" s="1436">
        <f>IF('Historical DATA'!BA17="","",'Historical DATA'!BA17)</f>
        <v>385043723.93050003</v>
      </c>
      <c r="T31" s="1435">
        <f>IF('Historical DATA'!BB17="","",'Historical DATA'!BB17)</f>
        <v>7315830754.6794996</v>
      </c>
      <c r="U31" s="1259"/>
      <c r="V31" s="1434">
        <f>IF('Historical DATA'!BC17="","",'Historical DATA'!BC17)</f>
        <v>61710577.110001564</v>
      </c>
      <c r="W31" s="1436">
        <f>IF('Historical DATA'!BD17="","",'Historical DATA'!BD17)</f>
        <v>7374455827.6400013</v>
      </c>
      <c r="X31" s="1436">
        <f>IF('Historical DATA'!BE17="","",'Historical DATA'!BE17)</f>
        <v>385043723.93050003</v>
      </c>
      <c r="Y31" s="1435">
        <f>IF('Historical DATA'!BF17="","",'Historical DATA'!BF17)</f>
        <v>58625072.960501671</v>
      </c>
      <c r="Z31" s="1435" t="str">
        <f>IF('Historical DATA'!BG17="","",'Historical DATA'!BG17)</f>
        <v/>
      </c>
      <c r="AA31" s="1416"/>
      <c r="AB31" s="1434">
        <f>IF('Historical DATA'!BH17="","",'Historical DATA'!BH17)</f>
        <v>77732</v>
      </c>
      <c r="AC31" s="1436">
        <f>IF('Historical DATA'!BI17="","",'Historical DATA'!BI17)</f>
        <v>754.19</v>
      </c>
      <c r="AD31" s="1436">
        <f>IF('Historical DATA'!BJ17="","",'Historical DATA'!BJ17)</f>
        <v>58624697.080000006</v>
      </c>
      <c r="AE31" s="1435">
        <f>IF('Historical DATA'!BK17="","",'Historical DATA'!BK17)</f>
        <v>375.88050166517496</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61710577.110001564</v>
      </c>
      <c r="AL31" s="1431">
        <f>IF('Historical DATA'!BQ17="","",'Historical DATA'!BQ17)</f>
        <v>58624697.080000006</v>
      </c>
      <c r="AM31" s="1433">
        <f>IF('Historical DATA'!BR17="","",'Historical DATA'!BR17)</f>
        <v>3085504.1494998932</v>
      </c>
      <c r="AN31" s="1416"/>
      <c r="AO31" s="1448">
        <f>IF('Historical DATA'!BS17="","",'Historical DATA'!BS17)</f>
        <v>4092</v>
      </c>
      <c r="AP31" s="1438">
        <f>IF('Historical DATA'!BT17="","",'Historical DATA'!BT17)</f>
        <v>754.03</v>
      </c>
      <c r="AQ31" s="1438">
        <f>IF('Historical DATA'!BU17="","",'Historical DATA'!BU17)</f>
        <v>3085490.76</v>
      </c>
      <c r="AR31" s="1439">
        <f>IF('Historical DATA'!BV17="","",'Historical DATA'!BV17)</f>
        <v>13.389499893411994</v>
      </c>
    </row>
    <row r="32" spans="2:88">
      <c r="B32" s="1653">
        <f>IF('Historical DATA'!B18="","",'Historical DATA'!B18)</f>
        <v>45775</v>
      </c>
      <c r="C32" s="304"/>
      <c r="D32" s="1437">
        <f>IF('Historical DATA'!AO18="","",'Historical DATA'!AO18)</f>
        <v>7821841382.7200012</v>
      </c>
      <c r="E32" s="1431">
        <f>IF('Historical DATA'!AP18="","",'Historical DATA'!AP18)</f>
        <v>7762584280.3299999</v>
      </c>
      <c r="F32" s="1433">
        <f>IF('Historical DATA'!AQ18="","",'Historical DATA'!AQ18)</f>
        <v>59257102.390001297</v>
      </c>
      <c r="G32" s="1259"/>
      <c r="H32" s="1447">
        <f>IF('Historical DATA'!AR18="","",'Historical DATA'!AR18)</f>
        <v>1</v>
      </c>
      <c r="I32" s="1431">
        <f>IF('Historical DATA'!AS18="","",'Historical DATA'!AS18)</f>
        <v>7374455827.6400013</v>
      </c>
      <c r="J32" s="1431">
        <f>IF('Historical DATA'!AT18="","",'Historical DATA'!AT18)</f>
        <v>688.95300125330687</v>
      </c>
      <c r="K32" s="1431">
        <f>IF('Historical DATA'!AU18="","",'Historical DATA'!AU18)</f>
        <v>7762584280.3299999</v>
      </c>
      <c r="L32" s="1450">
        <f>IF('Historical DATA'!AV18="","",'Historical DATA'!AV18)</f>
        <v>0.05</v>
      </c>
      <c r="M32" s="1446"/>
      <c r="N32" s="1445">
        <f>IF('Historical DATA'!AW18="","",'Historical DATA'!AW18)</f>
        <v>0.05</v>
      </c>
      <c r="O32" s="1436">
        <f>IF('Historical DATA'!AX18="","",'Historical DATA'!AX18)</f>
        <v>7762584280.3299999</v>
      </c>
      <c r="P32" s="1435">
        <f>IF('Historical DATA'!AY18="","",'Historical DATA'!AY18)</f>
        <v>388129214.0165</v>
      </c>
      <c r="Q32" s="1259"/>
      <c r="R32" s="1434">
        <f>IF('Historical DATA'!AZ18="","",'Historical DATA'!AZ18)</f>
        <v>7762584280.3299999</v>
      </c>
      <c r="S32" s="1436">
        <f>IF('Historical DATA'!BA18="","",'Historical DATA'!BA18)</f>
        <v>388129214.0165</v>
      </c>
      <c r="T32" s="1435">
        <f>IF('Historical DATA'!BB18="","",'Historical DATA'!BB18)</f>
        <v>7374455066.3134995</v>
      </c>
      <c r="U32" s="1259"/>
      <c r="V32" s="1434">
        <f>IF('Historical DATA'!BC18="","",'Historical DATA'!BC18)</f>
        <v>59257102.390001297</v>
      </c>
      <c r="W32" s="1436">
        <f>IF('Historical DATA'!BD18="","",'Historical DATA'!BD18)</f>
        <v>7430749342.0400009</v>
      </c>
      <c r="X32" s="1436">
        <f>IF('Historical DATA'!BE18="","",'Historical DATA'!BE18)</f>
        <v>388129214.0165</v>
      </c>
      <c r="Y32" s="1435">
        <f>IF('Historical DATA'!BF18="","",'Historical DATA'!BF18)</f>
        <v>56294275.726501465</v>
      </c>
      <c r="Z32" s="1435" t="str">
        <f>IF('Historical DATA'!BG18="","",'Historical DATA'!BG18)</f>
        <v/>
      </c>
      <c r="AA32" s="1416"/>
      <c r="AB32" s="1434">
        <f>IF('Historical DATA'!BH18="","",'Historical DATA'!BH18)</f>
        <v>77732</v>
      </c>
      <c r="AC32" s="1436">
        <f>IF('Historical DATA'!BI18="","",'Historical DATA'!BI18)</f>
        <v>724.2</v>
      </c>
      <c r="AD32" s="1436">
        <f>IF('Historical DATA'!BJ18="","",'Historical DATA'!BJ18)</f>
        <v>56293514.400000006</v>
      </c>
      <c r="AE32" s="1435">
        <f>IF('Historical DATA'!BK18="","",'Historical DATA'!BK18)</f>
        <v>761.32650145888329</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59257102.390001297</v>
      </c>
      <c r="AL32" s="1431">
        <f>IF('Historical DATA'!BQ18="","",'Historical DATA'!BQ18)</f>
        <v>56293514.400000006</v>
      </c>
      <c r="AM32" s="1433">
        <f>IF('Historical DATA'!BR18="","",'Historical DATA'!BR18)</f>
        <v>2962826.6634998322</v>
      </c>
      <c r="AN32" s="1416"/>
      <c r="AO32" s="1448">
        <f>IF('Historical DATA'!BS18="","",'Historical DATA'!BS18)</f>
        <v>4092</v>
      </c>
      <c r="AP32" s="1438">
        <f>IF('Historical DATA'!BT18="","",'Historical DATA'!BT18)</f>
        <v>724.05</v>
      </c>
      <c r="AQ32" s="1438">
        <f>IF('Historical DATA'!BU18="","",'Historical DATA'!BU18)</f>
        <v>2962812.5999999996</v>
      </c>
      <c r="AR32" s="1439">
        <f>IF('Historical DATA'!BV18="","",'Historical DATA'!BV18)</f>
        <v>14.063499832525849</v>
      </c>
    </row>
    <row r="33" spans="2:44">
      <c r="B33" s="1653">
        <f>IF('Historical DATA'!B19="","",'Historical DATA'!B19)</f>
        <v>45743</v>
      </c>
      <c r="C33" s="304"/>
      <c r="D33" s="1437">
        <f>IF('Historical DATA'!AO19="","",'Historical DATA'!AO19)</f>
        <v>7882098417.2400007</v>
      </c>
      <c r="E33" s="1431">
        <f>IF('Historical DATA'!AP19="","",'Historical DATA'!AP19)</f>
        <v>7821840687.46</v>
      </c>
      <c r="F33" s="1433">
        <f>IF('Historical DATA'!AQ19="","",'Historical DATA'!AQ19)</f>
        <v>60257729.780000687</v>
      </c>
      <c r="G33" s="1259"/>
      <c r="H33" s="1447">
        <f>IF('Historical DATA'!AR19="","",'Historical DATA'!AR19)</f>
        <v>1</v>
      </c>
      <c r="I33" s="1431">
        <f>IF('Historical DATA'!AS19="","",'Historical DATA'!AS19)</f>
        <v>7430749342.0400009</v>
      </c>
      <c r="J33" s="1431">
        <f>IF('Historical DATA'!AT19="","",'Historical DATA'!AT19)</f>
        <v>678.18800121545792</v>
      </c>
      <c r="K33" s="1431">
        <f>IF('Historical DATA'!AU19="","",'Historical DATA'!AU19)</f>
        <v>7821840687.46</v>
      </c>
      <c r="L33" s="1450">
        <f>IF('Historical DATA'!AV19="","",'Historical DATA'!AV19)</f>
        <v>0.05</v>
      </c>
      <c r="M33" s="1446"/>
      <c r="N33" s="1445">
        <f>IF('Historical DATA'!AW19="","",'Historical DATA'!AW19)</f>
        <v>0.05</v>
      </c>
      <c r="O33" s="1436">
        <f>IF('Historical DATA'!AX19="","",'Historical DATA'!AX19)</f>
        <v>7821840687.46</v>
      </c>
      <c r="P33" s="1435">
        <f>IF('Historical DATA'!AY19="","",'Historical DATA'!AY19)</f>
        <v>391092034.37300003</v>
      </c>
      <c r="Q33" s="1259"/>
      <c r="R33" s="1434">
        <f>IF('Historical DATA'!AZ19="","",'Historical DATA'!AZ19)</f>
        <v>7821840687.46</v>
      </c>
      <c r="S33" s="1436">
        <f>IF('Historical DATA'!BA19="","",'Historical DATA'!BA19)</f>
        <v>391092034.37300003</v>
      </c>
      <c r="T33" s="1435">
        <f>IF('Historical DATA'!BB19="","",'Historical DATA'!BB19)</f>
        <v>7430748653.0869999</v>
      </c>
      <c r="U33" s="1259"/>
      <c r="V33" s="1434">
        <f>IF('Historical DATA'!BC19="","",'Historical DATA'!BC19)</f>
        <v>60257729.780000687</v>
      </c>
      <c r="W33" s="1436">
        <f>IF('Historical DATA'!BD19="","",'Historical DATA'!BD19)</f>
        <v>7487993518.8000011</v>
      </c>
      <c r="X33" s="1436">
        <f>IF('Historical DATA'!BE19="","",'Historical DATA'!BE19)</f>
        <v>391092034.37300003</v>
      </c>
      <c r="Y33" s="1435">
        <f>IF('Historical DATA'!BF19="","",'Historical DATA'!BF19)</f>
        <v>57244865.713001251</v>
      </c>
      <c r="Z33" s="1435" t="str">
        <f>IF('Historical DATA'!BG19="","",'Historical DATA'!BG19)</f>
        <v/>
      </c>
      <c r="AA33" s="1416"/>
      <c r="AB33" s="1434">
        <f>IF('Historical DATA'!BH19="","",'Historical DATA'!BH19)</f>
        <v>77732</v>
      </c>
      <c r="AC33" s="1436">
        <f>IF('Historical DATA'!BI19="","",'Historical DATA'!BI19)</f>
        <v>736.43</v>
      </c>
      <c r="AD33" s="1436">
        <f>IF('Historical DATA'!BJ19="","",'Historical DATA'!BJ19)</f>
        <v>57244176.759999998</v>
      </c>
      <c r="AE33" s="1435">
        <f>IF('Historical DATA'!BK19="","",'Historical DATA'!BK19)</f>
        <v>688.95300125330687</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f>IF('Historical DATA'!BP19="","",'Historical DATA'!BP19)</f>
        <v>60257729.780000687</v>
      </c>
      <c r="AL33" s="1431">
        <f>IF('Historical DATA'!BQ19="","",'Historical DATA'!BQ19)</f>
        <v>57244176.759999998</v>
      </c>
      <c r="AM33" s="1433">
        <f>IF('Historical DATA'!BR19="","",'Historical DATA'!BR19)</f>
        <v>3012864.0669994354</v>
      </c>
      <c r="AN33" s="1416"/>
      <c r="AO33" s="1448">
        <f>IF('Historical DATA'!BS19="","",'Historical DATA'!BS19)</f>
        <v>4092</v>
      </c>
      <c r="AP33" s="1438">
        <f>IF('Historical DATA'!BT19="","",'Historical DATA'!BT19)</f>
        <v>736.28</v>
      </c>
      <c r="AQ33" s="1438">
        <f>IF('Historical DATA'!BU19="","",'Historical DATA'!BU19)</f>
        <v>3012857.76</v>
      </c>
      <c r="AR33" s="1439">
        <f>IF('Historical DATA'!BV19="","",'Historical DATA'!BV19)</f>
        <v>6.3069994356483221</v>
      </c>
    </row>
    <row r="34" spans="2:44">
      <c r="B34" s="1653">
        <f>IF('Historical DATA'!B20="","",'Historical DATA'!B20)</f>
        <v>45715</v>
      </c>
      <c r="C34" s="304"/>
      <c r="D34" s="1437">
        <f>IF('Historical DATA'!AO20="","",'Historical DATA'!AO20)</f>
        <v>7942231938.4400005</v>
      </c>
      <c r="E34" s="1431">
        <f>IF('Historical DATA'!AP20="","",'Historical DATA'!AP20)</f>
        <v>7882097726.96</v>
      </c>
      <c r="F34" s="1433">
        <f>IF('Historical DATA'!AQ20="","",'Historical DATA'!AQ20)</f>
        <v>60134211.480000496</v>
      </c>
      <c r="G34" s="1259"/>
      <c r="H34" s="1447">
        <f>IF('Historical DATA'!AR20="","",'Historical DATA'!AR20)</f>
        <v>1</v>
      </c>
      <c r="I34" s="1431">
        <f>IF('Historical DATA'!AS20="","",'Historical DATA'!AS20)</f>
        <v>7487993518.8000011</v>
      </c>
      <c r="J34" s="1431">
        <f>IF('Historical DATA'!AT20="","",'Historical DATA'!AT20)</f>
        <v>225.95000049471855</v>
      </c>
      <c r="K34" s="1431">
        <f>IF('Historical DATA'!AU20="","",'Historical DATA'!AU20)</f>
        <v>7882097726.96</v>
      </c>
      <c r="L34" s="1450">
        <f>IF('Historical DATA'!AV20="","",'Historical DATA'!AV20)</f>
        <v>0.05</v>
      </c>
      <c r="M34" s="1446"/>
      <c r="N34" s="1445">
        <f>IF('Historical DATA'!AW20="","",'Historical DATA'!AW20)</f>
        <v>0.05</v>
      </c>
      <c r="O34" s="1436">
        <f>IF('Historical DATA'!AX20="","",'Historical DATA'!AX20)</f>
        <v>7882097726.96</v>
      </c>
      <c r="P34" s="1435">
        <f>IF('Historical DATA'!AY20="","",'Historical DATA'!AY20)</f>
        <v>394104886.34800005</v>
      </c>
      <c r="Q34" s="1259"/>
      <c r="R34" s="1434">
        <f>IF('Historical DATA'!AZ20="","",'Historical DATA'!AZ20)</f>
        <v>7882097726.96</v>
      </c>
      <c r="S34" s="1436">
        <f>IF('Historical DATA'!BA20="","",'Historical DATA'!BA20)</f>
        <v>394104886.34800005</v>
      </c>
      <c r="T34" s="1435">
        <f>IF('Historical DATA'!BB20="","",'Historical DATA'!BB20)</f>
        <v>7487992840.6119995</v>
      </c>
      <c r="U34" s="1259"/>
      <c r="V34" s="1434">
        <f>IF('Historical DATA'!BC20="","",'Historical DATA'!BC20)</f>
        <v>60134211.480000496</v>
      </c>
      <c r="W34" s="1436">
        <f>IF('Historical DATA'!BD20="","",'Historical DATA'!BD20)</f>
        <v>7545120320.2400007</v>
      </c>
      <c r="X34" s="1436">
        <f>IF('Historical DATA'!BE20="","",'Historical DATA'!BE20)</f>
        <v>394104886.34800005</v>
      </c>
      <c r="Y34" s="1435">
        <f>IF('Historical DATA'!BF20="","",'Historical DATA'!BF20)</f>
        <v>57127479.628001213</v>
      </c>
      <c r="Z34" s="1435" t="str">
        <f>IF('Historical DATA'!BG20="","",'Historical DATA'!BG20)</f>
        <v/>
      </c>
      <c r="AA34" s="1416"/>
      <c r="AB34" s="1434">
        <f>IF('Historical DATA'!BH20="","",'Historical DATA'!BH20)</f>
        <v>77732</v>
      </c>
      <c r="AC34" s="1436">
        <f>IF('Historical DATA'!BI20="","",'Historical DATA'!BI20)</f>
        <v>734.92</v>
      </c>
      <c r="AD34" s="1436">
        <f>IF('Historical DATA'!BJ20="","",'Historical DATA'!BJ20)</f>
        <v>57126801.439999998</v>
      </c>
      <c r="AE34" s="1435">
        <f>IF('Historical DATA'!BK20="","",'Historical DATA'!BK20)</f>
        <v>678.18800121545792</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f>IF('Historical DATA'!BP20="","",'Historical DATA'!BP20)</f>
        <v>60134211.480000496</v>
      </c>
      <c r="AL34" s="1431">
        <f>IF('Historical DATA'!BQ20="","",'Historical DATA'!BQ20)</f>
        <v>57126801.439999998</v>
      </c>
      <c r="AM34" s="1433">
        <f>IF('Historical DATA'!BR20="","",'Historical DATA'!BR20)</f>
        <v>3006731.8519992828</v>
      </c>
      <c r="AN34" s="1416"/>
      <c r="AO34" s="1448">
        <f>IF('Historical DATA'!BS20="","",'Historical DATA'!BS20)</f>
        <v>4092</v>
      </c>
      <c r="AP34" s="1438">
        <f>IF('Historical DATA'!BT20="","",'Historical DATA'!BT20)</f>
        <v>734.78</v>
      </c>
      <c r="AQ34" s="1438">
        <f>IF('Historical DATA'!BU20="","",'Historical DATA'!BU20)</f>
        <v>3006719.76</v>
      </c>
      <c r="AR34" s="1439">
        <f>IF('Historical DATA'!BV20="","",'Historical DATA'!BV20)</f>
        <v>12.091999283060431</v>
      </c>
    </row>
    <row r="35" spans="2:44">
      <c r="B35" s="1653">
        <f>IF('Historical DATA'!B21="","",'Historical DATA'!B21)</f>
        <v>45684</v>
      </c>
      <c r="C35" s="304"/>
      <c r="D35" s="1437">
        <f>IF('Historical DATA'!AO21="","",'Historical DATA'!AO21)</f>
        <v>8062678870.8800001</v>
      </c>
      <c r="E35" s="1431">
        <f>IF('Historical DATA'!AP21="","",'Historical DATA'!AP21)</f>
        <v>7942231678.1999998</v>
      </c>
      <c r="F35" s="1433">
        <f>IF('Historical DATA'!AQ21="","",'Historical DATA'!AQ21)</f>
        <v>120447192.68000031</v>
      </c>
      <c r="G35" s="1259"/>
      <c r="H35" s="1447">
        <f>IF('Historical DATA'!AR21="","",'Historical DATA'!AR21)</f>
        <v>1</v>
      </c>
      <c r="I35" s="1431">
        <f>IF('Historical DATA'!AS21="","",'Historical DATA'!AS21)</f>
        <v>7545120320.2400007</v>
      </c>
      <c r="J35" s="1431">
        <f>IF('Historical DATA'!AT21="","",'Historical DATA'!AT21)</f>
        <v>423.66149974614382</v>
      </c>
      <c r="K35" s="1431">
        <f>IF('Historical DATA'!AU21="","",'Historical DATA'!AU21)</f>
        <v>7942231678.1999998</v>
      </c>
      <c r="L35" s="1450">
        <f>IF('Historical DATA'!AV21="","",'Historical DATA'!AV21)</f>
        <v>0.05</v>
      </c>
      <c r="M35" s="1446"/>
      <c r="N35" s="1445">
        <f>IF('Historical DATA'!AW21="","",'Historical DATA'!AW21)</f>
        <v>0.05</v>
      </c>
      <c r="O35" s="1436">
        <f>IF('Historical DATA'!AX21="","",'Historical DATA'!AX21)</f>
        <v>7942231678.1999998</v>
      </c>
      <c r="P35" s="1435">
        <f>IF('Historical DATA'!AY21="","",'Historical DATA'!AY21)</f>
        <v>397111583.91000003</v>
      </c>
      <c r="Q35" s="1259"/>
      <c r="R35" s="1434">
        <f>IF('Historical DATA'!AZ21="","",'Historical DATA'!AZ21)</f>
        <v>7942231678.1999998</v>
      </c>
      <c r="S35" s="1436">
        <f>IF('Historical DATA'!BA21="","",'Historical DATA'!BA21)</f>
        <v>397111583.91000003</v>
      </c>
      <c r="T35" s="1435">
        <f>IF('Historical DATA'!BB21="","",'Historical DATA'!BB21)</f>
        <v>7545120094.29</v>
      </c>
      <c r="U35" s="1259"/>
      <c r="V35" s="1434">
        <f>IF('Historical DATA'!BC21="","",'Historical DATA'!BC21)</f>
        <v>120447192.68000031</v>
      </c>
      <c r="W35" s="1436">
        <f>IF('Historical DATA'!BD21="","",'Historical DATA'!BD21)</f>
        <v>7659544933.5200005</v>
      </c>
      <c r="X35" s="1436">
        <f>IF('Historical DATA'!BE21="","",'Historical DATA'!BE21)</f>
        <v>397111583.91000003</v>
      </c>
      <c r="Y35" s="1435">
        <f>IF('Historical DATA'!BF21="","",'Historical DATA'!BF21)</f>
        <v>114424839.2300005</v>
      </c>
      <c r="Z35" s="1435" t="str">
        <f>IF('Historical DATA'!BG21="","",'Historical DATA'!BG21)</f>
        <v/>
      </c>
      <c r="AA35" s="1416"/>
      <c r="AB35" s="1434">
        <f>IF('Historical DATA'!BH21="","",'Historical DATA'!BH21)</f>
        <v>77732</v>
      </c>
      <c r="AC35" s="1436">
        <f>IF('Historical DATA'!BI21="","",'Historical DATA'!BI21)</f>
        <v>1472.04</v>
      </c>
      <c r="AD35" s="1436">
        <f>IF('Historical DATA'!BJ21="","",'Historical DATA'!BJ21)</f>
        <v>114424613.28</v>
      </c>
      <c r="AE35" s="1435">
        <f>IF('Historical DATA'!BK21="","",'Historical DATA'!BK21)</f>
        <v>225.95000049471855</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f>IF('Historical DATA'!BP21="","",'Historical DATA'!BP21)</f>
        <v>120447192.68000031</v>
      </c>
      <c r="AL35" s="1431">
        <f>IF('Historical DATA'!BQ21="","",'Historical DATA'!BQ21)</f>
        <v>114424613.28</v>
      </c>
      <c r="AM35" s="1433">
        <f>IF('Historical DATA'!BR21="","",'Historical DATA'!BR21)</f>
        <v>6022353.4499998093</v>
      </c>
      <c r="AN35" s="1416"/>
      <c r="AO35" s="1448">
        <f>IF('Historical DATA'!BS21="","",'Historical DATA'!BS21)</f>
        <v>4092</v>
      </c>
      <c r="AP35" s="1438">
        <f>IF('Historical DATA'!BT21="","",'Historical DATA'!BT21)</f>
        <v>1471.73</v>
      </c>
      <c r="AQ35" s="1438">
        <f>IF('Historical DATA'!BU21="","",'Historical DATA'!BU21)</f>
        <v>6022319.1600000001</v>
      </c>
      <c r="AR35" s="1439">
        <f>IF('Historical DATA'!BV21="","",'Historical DATA'!BV21)</f>
        <v>34.289999809116125</v>
      </c>
    </row>
    <row r="36" spans="2:44">
      <c r="B36" s="1653">
        <f>IF('Historical DATA'!B22="","",'Historical DATA'!B22)</f>
        <v>45653</v>
      </c>
      <c r="C36" s="304"/>
      <c r="D36" s="1437">
        <f>IF('Historical DATA'!AO22="","",'Historical DATA'!AO22)</f>
        <v>8120799480.7600002</v>
      </c>
      <c r="E36" s="1431">
        <f>IF('Historical DATA'!AP22="","",'Historical DATA'!AP22)</f>
        <v>8062678431.4300003</v>
      </c>
      <c r="F36" s="1433">
        <f>IF('Historical DATA'!AQ22="","",'Historical DATA'!AQ22)</f>
        <v>58121049.329999924</v>
      </c>
      <c r="G36" s="1259"/>
      <c r="H36" s="1447">
        <f>IF('Historical DATA'!AR22="","",'Historical DATA'!AR22)</f>
        <v>1</v>
      </c>
      <c r="I36" s="1431">
        <f>IF('Historical DATA'!AS22="","",'Historical DATA'!AS22)</f>
        <v>7659544933.5200005</v>
      </c>
      <c r="J36" s="1431">
        <f>IF('Historical DATA'!AT22="","",'Historical DATA'!AT22)</f>
        <v>542.6830003336072</v>
      </c>
      <c r="K36" s="1431">
        <f>IF('Historical DATA'!AU22="","",'Historical DATA'!AU22)</f>
        <v>8062678431.4300003</v>
      </c>
      <c r="L36" s="1450">
        <f>IF('Historical DATA'!AV22="","",'Historical DATA'!AV22)</f>
        <v>0.05</v>
      </c>
      <c r="M36" s="1446"/>
      <c r="N36" s="1445">
        <f>IF('Historical DATA'!AW22="","",'Historical DATA'!AW22)</f>
        <v>0.05</v>
      </c>
      <c r="O36" s="1436">
        <f>IF('Historical DATA'!AX22="","",'Historical DATA'!AX22)</f>
        <v>8062678431.4300003</v>
      </c>
      <c r="P36" s="1435">
        <f>IF('Historical DATA'!AY22="","",'Historical DATA'!AY22)</f>
        <v>403133921.57150006</v>
      </c>
      <c r="Q36" s="1259"/>
      <c r="R36" s="1434">
        <f>IF('Historical DATA'!AZ22="","",'Historical DATA'!AZ22)</f>
        <v>8062678431.4300003</v>
      </c>
      <c r="S36" s="1436">
        <f>IF('Historical DATA'!BA22="","",'Historical DATA'!BA22)</f>
        <v>403133921.57150006</v>
      </c>
      <c r="T36" s="1435">
        <f>IF('Historical DATA'!BB22="","",'Historical DATA'!BB22)</f>
        <v>7659544509.8585005</v>
      </c>
      <c r="U36" s="1259"/>
      <c r="V36" s="1434">
        <f>IF('Historical DATA'!BC22="","",'Historical DATA'!BC22)</f>
        <v>58121049.329999924</v>
      </c>
      <c r="W36" s="1436">
        <f>IF('Historical DATA'!BD22="","",'Historical DATA'!BD22)</f>
        <v>7714759527.7600002</v>
      </c>
      <c r="X36" s="1436">
        <f>IF('Historical DATA'!BE22="","",'Historical DATA'!BE22)</f>
        <v>403133921.57150006</v>
      </c>
      <c r="Y36" s="1435">
        <f>IF('Historical DATA'!BF22="","",'Historical DATA'!BF22)</f>
        <v>55215017.901499748</v>
      </c>
      <c r="Z36" s="1435" t="str">
        <f>IF('Historical DATA'!BG22="","",'Historical DATA'!BG22)</f>
        <v/>
      </c>
      <c r="AA36" s="1416"/>
      <c r="AB36" s="1434">
        <f>IF('Historical DATA'!BH22="","",'Historical DATA'!BH22)</f>
        <v>77732</v>
      </c>
      <c r="AC36" s="1436">
        <f>IF('Historical DATA'!BI22="","",'Historical DATA'!BI22)</f>
        <v>710.32</v>
      </c>
      <c r="AD36" s="1436">
        <f>IF('Historical DATA'!BJ22="","",'Historical DATA'!BJ22)</f>
        <v>55214594.240000002</v>
      </c>
      <c r="AE36" s="1435">
        <f>IF('Historical DATA'!BK22="","",'Historical DATA'!BK22)</f>
        <v>423.66149974614382</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f>IF('Historical DATA'!BP22="","",'Historical DATA'!BP22)</f>
        <v>58121049.329999924</v>
      </c>
      <c r="AL36" s="1431">
        <f>IF('Historical DATA'!BQ22="","",'Historical DATA'!BQ22)</f>
        <v>55214594.240000002</v>
      </c>
      <c r="AM36" s="1433">
        <f>IF('Historical DATA'!BR22="","",'Historical DATA'!BR22)</f>
        <v>2906031.4285001755</v>
      </c>
      <c r="AN36" s="1416"/>
      <c r="AO36" s="1448">
        <f>IF('Historical DATA'!BS22="","",'Historical DATA'!BS22)</f>
        <v>4092</v>
      </c>
      <c r="AP36" s="1438">
        <f>IF('Historical DATA'!BT22="","",'Historical DATA'!BT22)</f>
        <v>710.17</v>
      </c>
      <c r="AQ36" s="1438">
        <f>IF('Historical DATA'!BU22="","",'Historical DATA'!BU22)</f>
        <v>2906015.6399999997</v>
      </c>
      <c r="AR36" s="1439">
        <f>IF('Historical DATA'!BV22="","",'Historical DATA'!BV22)</f>
        <v>15.78850017581135</v>
      </c>
    </row>
    <row r="37" spans="2:44">
      <c r="B37" s="1653">
        <f>IF('Historical DATA'!B23="","",'Historical DATA'!B23)</f>
        <v>45623</v>
      </c>
      <c r="C37" s="304"/>
      <c r="D37" s="1437">
        <f>IF('Historical DATA'!AO23="","",'Historical DATA'!AO23)</f>
        <v>8182400000</v>
      </c>
      <c r="E37" s="1431">
        <f>IF('Historical DATA'!AP23="","",'Historical DATA'!AP23)</f>
        <v>8120798931.6599998</v>
      </c>
      <c r="F37" s="1433">
        <f>IF('Historical DATA'!AQ23="","",'Historical DATA'!AQ23)</f>
        <v>61601068.340000153</v>
      </c>
      <c r="G37" s="1259"/>
      <c r="H37" s="1447">
        <f>IF('Historical DATA'!AR23="","",'Historical DATA'!AR23)</f>
        <v>1</v>
      </c>
      <c r="I37" s="1431">
        <f>IF('Historical DATA'!AS23="","",'Historical DATA'!AS23)</f>
        <v>7714759527.7600002</v>
      </c>
      <c r="J37" s="1431">
        <f>IF('Historical DATA'!AT23="","",'Historical DATA'!AT23)</f>
        <v>0</v>
      </c>
      <c r="K37" s="1431">
        <f>IF('Historical DATA'!AU23="","",'Historical DATA'!AU23)</f>
        <v>8120798931.6599998</v>
      </c>
      <c r="L37" s="1450">
        <f>IF('Historical DATA'!AV23="","",'Historical DATA'!AV23)</f>
        <v>0.05</v>
      </c>
      <c r="M37" s="1446"/>
      <c r="N37" s="1445">
        <f>IF('Historical DATA'!AW23="","",'Historical DATA'!AW23)</f>
        <v>0.05</v>
      </c>
      <c r="O37" s="1436">
        <f>IF('Historical DATA'!AX23="","",'Historical DATA'!AX23)</f>
        <v>8120798931.6599998</v>
      </c>
      <c r="P37" s="1435">
        <f>IF('Historical DATA'!AY23="","",'Historical DATA'!AY23)</f>
        <v>406039946.583</v>
      </c>
      <c r="Q37" s="1259"/>
      <c r="R37" s="1434">
        <f>IF('Historical DATA'!AZ23="","",'Historical DATA'!AZ23)</f>
        <v>8120798931.6599998</v>
      </c>
      <c r="S37" s="1436">
        <f>IF('Historical DATA'!BA23="","",'Historical DATA'!BA23)</f>
        <v>406039946.583</v>
      </c>
      <c r="T37" s="1435">
        <f>IF('Historical DATA'!BB23="","",'Historical DATA'!BB23)</f>
        <v>7714758985.0769997</v>
      </c>
      <c r="U37" s="1259"/>
      <c r="V37" s="1434">
        <f>IF('Historical DATA'!BC23="","",'Historical DATA'!BC23)</f>
        <v>61601068.340000153</v>
      </c>
      <c r="W37" s="1436">
        <f>IF('Historical DATA'!BD23="","",'Historical DATA'!BD23)</f>
        <v>7773200000</v>
      </c>
      <c r="X37" s="1436">
        <f>IF('Historical DATA'!BE23="","",'Historical DATA'!BE23)</f>
        <v>406039946.583</v>
      </c>
      <c r="Y37" s="1435">
        <f>IF('Historical DATA'!BF23="","",'Historical DATA'!BF23)</f>
        <v>58441014.923000336</v>
      </c>
      <c r="Z37" s="1435" t="str">
        <f>IF('Historical DATA'!BG23="","",'Historical DATA'!BG23)</f>
        <v/>
      </c>
      <c r="AA37" s="1416"/>
      <c r="AB37" s="1434">
        <f>IF('Historical DATA'!BH23="","",'Historical DATA'!BH23)</f>
        <v>77732</v>
      </c>
      <c r="AC37" s="1436">
        <f>IF('Historical DATA'!BI23="","",'Historical DATA'!BI23)</f>
        <v>751.82</v>
      </c>
      <c r="AD37" s="1436">
        <f>IF('Historical DATA'!BJ23="","",'Historical DATA'!BJ23)</f>
        <v>58440472.240000002</v>
      </c>
      <c r="AE37" s="1435">
        <f>IF('Historical DATA'!BK23="","",'Historical DATA'!BK23)</f>
        <v>542.6830003336072</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f>IF('Historical DATA'!BP23="","",'Historical DATA'!BP23)</f>
        <v>61601068.340000153</v>
      </c>
      <c r="AL37" s="1431">
        <f>IF('Historical DATA'!BQ23="","",'Historical DATA'!BQ23)</f>
        <v>58440472.240000002</v>
      </c>
      <c r="AM37" s="1433">
        <f>IF('Historical DATA'!BR23="","",'Historical DATA'!BR23)</f>
        <v>3160053.4169998169</v>
      </c>
      <c r="AN37" s="1416"/>
      <c r="AO37" s="1448">
        <f>IF('Historical DATA'!BS23="","",'Historical DATA'!BS23)</f>
        <v>4092</v>
      </c>
      <c r="AP37" s="1438">
        <f>IF('Historical DATA'!BT23="","",'Historical DATA'!BT23)</f>
        <v>772.25</v>
      </c>
      <c r="AQ37" s="1438">
        <f>IF('Historical DATA'!BU23="","",'Historical DATA'!BU23)</f>
        <v>3160047</v>
      </c>
      <c r="AR37" s="1439">
        <f>IF('Historical DATA'!BV23="","",'Historical DATA'!BV23)</f>
        <v>6.4169998168945313</v>
      </c>
    </row>
    <row r="38" spans="2:44">
      <c r="B38" s="1653">
        <f>IF('Historical DATA'!B24="","",'Historical DATA'!B24)</f>
        <v>45588</v>
      </c>
      <c r="C38" s="304"/>
      <c r="D38" s="1437">
        <f>IF('Historical DATA'!AO24="","",'Historical DATA'!AO24)</f>
        <v>0</v>
      </c>
      <c r="E38" s="1431">
        <f>IF('Historical DATA'!AP24="","",'Historical DATA'!AP24)</f>
        <v>0</v>
      </c>
      <c r="F38" s="1433">
        <f>IF('Historical DATA'!AQ24="","",'Historical DATA'!AQ24)</f>
        <v>0</v>
      </c>
      <c r="G38" s="1259"/>
      <c r="H38" s="1447">
        <f>IF('Historical DATA'!AR24="","",'Historical DATA'!AR24)</f>
        <v>0</v>
      </c>
      <c r="I38" s="1431">
        <f>IF('Historical DATA'!AS24="","",'Historical DATA'!AS24)</f>
        <v>0</v>
      </c>
      <c r="J38" s="1431">
        <f>IF('Historical DATA'!AT24="","",'Historical DATA'!AT24)</f>
        <v>0</v>
      </c>
      <c r="K38" s="1431">
        <f>IF('Historical DATA'!AU24="","",'Historical DATA'!AU24)</f>
        <v>0</v>
      </c>
      <c r="L38" s="1450">
        <f>IF('Historical DATA'!AV24="","",'Historical DATA'!AV24)</f>
        <v>0</v>
      </c>
      <c r="M38" s="1446"/>
      <c r="N38" s="1445">
        <f>IF('Historical DATA'!AW24="","",'Historical DATA'!AW24)</f>
        <v>0</v>
      </c>
      <c r="O38" s="1436">
        <f>IF('Historical DATA'!AX24="","",'Historical DATA'!AX24)</f>
        <v>0</v>
      </c>
      <c r="P38" s="1435">
        <f>IF('Historical DATA'!AY24="","",'Historical DATA'!AY24)</f>
        <v>0</v>
      </c>
      <c r="Q38" s="1259"/>
      <c r="R38" s="1434">
        <f>IF('Historical DATA'!AZ24="","",'Historical DATA'!AZ24)</f>
        <v>0</v>
      </c>
      <c r="S38" s="1436">
        <f>IF('Historical DATA'!BA24="","",'Historical DATA'!BA24)</f>
        <v>0</v>
      </c>
      <c r="T38" s="1435">
        <f>IF('Historical DATA'!BB24="","",'Historical DATA'!BB24)</f>
        <v>0</v>
      </c>
      <c r="U38" s="1259"/>
      <c r="V38" s="1434">
        <f>IF('Historical DATA'!BC24="","",'Historical DATA'!BC24)</f>
        <v>0</v>
      </c>
      <c r="W38" s="1436">
        <f>IF('Historical DATA'!BD24="","",'Historical DATA'!BD24)</f>
        <v>0</v>
      </c>
      <c r="X38" s="1436">
        <f>IF('Historical DATA'!BE24="","",'Historical DATA'!BE24)</f>
        <v>0</v>
      </c>
      <c r="Y38" s="1435">
        <f>IF('Historical DATA'!BF24="","",'Historical DATA'!BF24)</f>
        <v>0</v>
      </c>
      <c r="Z38" s="1435" t="str">
        <f>IF('Historical DATA'!BG24="","",'Historical DATA'!BG24)</f>
        <v/>
      </c>
      <c r="AA38" s="1416"/>
      <c r="AB38" s="1434">
        <f>IF('Historical DATA'!BH24="","",'Historical DATA'!BH24)</f>
        <v>0</v>
      </c>
      <c r="AC38" s="1436">
        <f>IF('Historical DATA'!BI24="","",'Historical DATA'!BI24)</f>
        <v>0</v>
      </c>
      <c r="AD38" s="1436">
        <f>IF('Historical DATA'!BJ24="","",'Historical DATA'!BJ24)</f>
        <v>0</v>
      </c>
      <c r="AE38" s="1435">
        <f>IF('Historical DATA'!BK24="","",'Historical DATA'!BK24)</f>
        <v>0</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f>IF('Historical DATA'!BP24="","",'Historical DATA'!BP24)</f>
        <v>0</v>
      </c>
      <c r="AL38" s="1431">
        <f>IF('Historical DATA'!BQ24="","",'Historical DATA'!BQ24)</f>
        <v>0</v>
      </c>
      <c r="AM38" s="1433">
        <f>IF('Historical DATA'!BR24="","",'Historical DATA'!BR24)</f>
        <v>0</v>
      </c>
      <c r="AN38" s="1416"/>
      <c r="AO38" s="1448">
        <f>IF('Historical DATA'!BS24="","",'Historical DATA'!BS24)</f>
        <v>0</v>
      </c>
      <c r="AP38" s="1438">
        <f>IF('Historical DATA'!BT24="","",'Historical DATA'!BT24)</f>
        <v>0</v>
      </c>
      <c r="AQ38" s="1438">
        <f>IF('Historical DATA'!BU24="","",'Historical DATA'!BU24)</f>
        <v>0</v>
      </c>
      <c r="AR38" s="1439">
        <f>IF('Historical DATA'!BV24="","",'Historical DATA'!BV24)</f>
        <v>0</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AK14:AM14"/>
    <mergeCell ref="B14:B16"/>
    <mergeCell ref="R14:T14"/>
    <mergeCell ref="AO14:AR14"/>
    <mergeCell ref="AB15:AE15"/>
    <mergeCell ref="AF15:AI15"/>
    <mergeCell ref="AB14:AI14"/>
    <mergeCell ref="B11:W11"/>
    <mergeCell ref="D14:F14"/>
    <mergeCell ref="V14:Y14"/>
    <mergeCell ref="N14:P14"/>
    <mergeCell ref="H14:L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AB44" sqref="AB44:AB45"/>
    </sheetView>
  </sheetViews>
  <sheetFormatPr defaultColWidth="21.453125" defaultRowHeight="12.5"/>
  <cols>
    <col min="1" max="1" width="6.1796875" style="234" customWidth="1"/>
    <col min="2" max="2" width="24.453125" style="234" customWidth="1"/>
    <col min="3" max="3" width="4.453125" style="234" customWidth="1"/>
    <col min="4" max="4" width="17.26953125" style="234" customWidth="1"/>
    <col min="5" max="5" width="22.26953125" style="234" customWidth="1"/>
    <col min="6" max="6" width="16.26953125" style="234" customWidth="1"/>
    <col min="7" max="7" width="18.81640625" style="234" customWidth="1"/>
    <col min="8" max="8" width="15.81640625" style="234" customWidth="1"/>
    <col min="9" max="9" width="12.7265625" style="1219" bestFit="1" customWidth="1"/>
    <col min="10" max="10" width="19.81640625" style="234" customWidth="1"/>
    <col min="11" max="11" width="23.26953125" style="234" customWidth="1"/>
    <col min="12" max="12" width="7.453125" style="234" customWidth="1"/>
    <col min="13" max="13" width="17.26953125" style="234" customWidth="1"/>
    <col min="14" max="14" width="22.26953125" style="234" customWidth="1"/>
    <col min="15" max="15" width="16.26953125" style="234" customWidth="1"/>
    <col min="16" max="16" width="18.81640625" style="234" customWidth="1"/>
    <col min="17" max="17" width="15.81640625" style="234" customWidth="1"/>
    <col min="18" max="18" width="12.7265625" style="1219" bestFit="1" customWidth="1"/>
    <col min="19" max="19" width="19.81640625" style="234" customWidth="1"/>
    <col min="20" max="20" width="23.26953125" style="234" customWidth="1"/>
    <col min="21" max="21" width="7.453125" style="234" customWidth="1"/>
    <col min="22" max="27" width="16" style="234" customWidth="1"/>
    <col min="28" max="29" width="18.81640625" style="234" customWidth="1"/>
    <col min="30" max="16384" width="21.453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46203</v>
      </c>
    </row>
    <row r="5" spans="2:29" ht="15" customHeight="1">
      <c r="D5" s="37"/>
      <c r="E5" s="37"/>
      <c r="F5" s="38"/>
      <c r="M5" s="37"/>
      <c r="N5" s="37"/>
      <c r="O5" s="38"/>
      <c r="AB5" s="1213" t="s">
        <v>4</v>
      </c>
      <c r="AC5" s="1213">
        <f>'00 - Cover'!F19</f>
        <v>46223</v>
      </c>
    </row>
    <row r="6" spans="2:29" ht="12.75" customHeight="1">
      <c r="D6" s="37"/>
      <c r="E6" s="37"/>
      <c r="F6" s="38"/>
      <c r="M6" s="37"/>
      <c r="N6" s="37"/>
      <c r="O6" s="38"/>
      <c r="AB6" s="1213" t="s">
        <v>5</v>
      </c>
      <c r="AC6" s="1213">
        <f>'00 - Cover'!F20</f>
        <v>46230</v>
      </c>
    </row>
    <row r="7" spans="2:29" ht="13">
      <c r="D7" s="37"/>
      <c r="E7" s="37"/>
      <c r="F7" s="37"/>
      <c r="G7" s="37"/>
      <c r="H7" s="37"/>
      <c r="I7" s="1361"/>
      <c r="J7" s="82"/>
      <c r="K7" s="82"/>
      <c r="M7" s="37"/>
      <c r="N7" s="37"/>
      <c r="O7" s="37"/>
      <c r="P7" s="37"/>
      <c r="Q7" s="37"/>
      <c r="R7" s="1361"/>
      <c r="S7" s="82"/>
      <c r="T7" s="82"/>
    </row>
    <row r="10" spans="2:29" ht="15.5">
      <c r="D10" s="1991" t="s">
        <v>639</v>
      </c>
      <c r="E10" s="1992"/>
      <c r="F10" s="1992"/>
      <c r="G10" s="1992"/>
      <c r="H10" s="1992"/>
      <c r="I10" s="1992"/>
      <c r="J10" s="1992"/>
      <c r="K10" s="1992"/>
      <c r="L10" s="1992"/>
      <c r="M10" s="1992"/>
      <c r="N10" s="1992"/>
      <c r="O10" s="1992"/>
      <c r="P10" s="1992"/>
      <c r="Q10" s="1992"/>
      <c r="R10" s="1992"/>
      <c r="S10" s="1992"/>
      <c r="T10" s="1992"/>
      <c r="U10" s="1992"/>
      <c r="V10" s="1992"/>
      <c r="W10" s="1992"/>
      <c r="X10" s="1992"/>
      <c r="Y10" s="1992"/>
      <c r="Z10" s="1992"/>
      <c r="AA10" s="1992"/>
      <c r="AB10" s="1992"/>
      <c r="AC10" s="1992"/>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95"/>
      <c r="K12" s="322"/>
      <c r="M12" s="319"/>
      <c r="N12" s="320"/>
      <c r="O12" s="321"/>
      <c r="P12" s="321"/>
      <c r="Q12" s="321"/>
      <c r="R12" s="1362"/>
      <c r="S12" s="1995"/>
      <c r="T12" s="322"/>
    </row>
    <row r="13" spans="2:29">
      <c r="D13" s="319"/>
      <c r="E13" s="320"/>
      <c r="F13" s="321"/>
      <c r="G13" s="321"/>
      <c r="H13" s="321"/>
      <c r="I13" s="1362"/>
      <c r="J13" s="1996"/>
      <c r="K13" s="322"/>
      <c r="M13" s="319"/>
      <c r="N13" s="320"/>
      <c r="O13" s="321"/>
      <c r="P13" s="321"/>
      <c r="Q13" s="321"/>
      <c r="R13" s="1362"/>
      <c r="S13" s="1996"/>
      <c r="T13" s="322"/>
    </row>
    <row r="14" spans="2:29" ht="15.5">
      <c r="B14" s="1978"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79"/>
      <c r="D15" s="1987" t="s">
        <v>145</v>
      </c>
      <c r="E15" s="1987" t="s">
        <v>146</v>
      </c>
      <c r="F15" s="1988" t="s">
        <v>147</v>
      </c>
      <c r="G15" s="1988"/>
      <c r="H15" s="1988"/>
      <c r="I15" s="1989" t="s">
        <v>1076</v>
      </c>
      <c r="J15" s="1987" t="s">
        <v>149</v>
      </c>
      <c r="K15" s="1987" t="s">
        <v>150</v>
      </c>
      <c r="M15" s="1987" t="s">
        <v>145</v>
      </c>
      <c r="N15" s="1987" t="s">
        <v>146</v>
      </c>
      <c r="O15" s="1988" t="s">
        <v>147</v>
      </c>
      <c r="P15" s="1988"/>
      <c r="Q15" s="1988"/>
      <c r="R15" s="1989" t="s">
        <v>1076</v>
      </c>
      <c r="S15" s="1987" t="s">
        <v>149</v>
      </c>
      <c r="T15" s="1987" t="s">
        <v>150</v>
      </c>
      <c r="V15" s="1993" t="s">
        <v>145</v>
      </c>
      <c r="W15" s="1993" t="s">
        <v>146</v>
      </c>
      <c r="X15" s="1997" t="s">
        <v>147</v>
      </c>
      <c r="Y15" s="1998"/>
      <c r="Z15" s="1999"/>
      <c r="AA15" s="2000" t="s">
        <v>1076</v>
      </c>
      <c r="AB15" s="1993" t="s">
        <v>149</v>
      </c>
      <c r="AC15" s="1993" t="s">
        <v>154</v>
      </c>
    </row>
    <row r="16" spans="2:29" ht="20.25" customHeight="1">
      <c r="B16" s="1980"/>
      <c r="D16" s="1987"/>
      <c r="E16" s="1987"/>
      <c r="F16" s="330" t="s">
        <v>151</v>
      </c>
      <c r="G16" s="330" t="s">
        <v>152</v>
      </c>
      <c r="H16" s="330" t="s">
        <v>153</v>
      </c>
      <c r="I16" s="1990"/>
      <c r="J16" s="1987"/>
      <c r="K16" s="1987"/>
      <c r="M16" s="1987"/>
      <c r="N16" s="1987"/>
      <c r="O16" s="330" t="s">
        <v>151</v>
      </c>
      <c r="P16" s="330" t="s">
        <v>152</v>
      </c>
      <c r="Q16" s="330" t="s">
        <v>153</v>
      </c>
      <c r="R16" s="1990"/>
      <c r="S16" s="1987"/>
      <c r="T16" s="1987"/>
      <c r="V16" s="1994"/>
      <c r="W16" s="1994"/>
      <c r="X16" s="337" t="s">
        <v>151</v>
      </c>
      <c r="Y16" s="337" t="s">
        <v>152</v>
      </c>
      <c r="Z16" s="337" t="s">
        <v>153</v>
      </c>
      <c r="AA16" s="2001"/>
      <c r="AB16" s="1994"/>
      <c r="AC16" s="1994"/>
    </row>
    <row r="17" spans="2:71">
      <c r="B17" s="1432">
        <f>'00 - Cover'!F20</f>
        <v>46230</v>
      </c>
      <c r="D17" s="331">
        <f>'11 - Notes Follow-up'!H26</f>
        <v>77732</v>
      </c>
      <c r="E17" s="332">
        <f>'11 - Notes Follow-up'!J26</f>
        <v>83936.960000000006</v>
      </c>
      <c r="F17" s="333">
        <f>'00 - Cover'!F22</f>
        <v>46202</v>
      </c>
      <c r="G17" s="333">
        <f>'00 - Cover'!F20</f>
        <v>46230</v>
      </c>
      <c r="H17" s="334">
        <f>IFERROR(G17-F17,"N/A")</f>
        <v>28</v>
      </c>
      <c r="I17" s="1365">
        <v>6.0000000000000001E-3</v>
      </c>
      <c r="J17" s="1769">
        <f>ROUND(E17*(I17)*H17/365,2)</f>
        <v>38.630000000000003</v>
      </c>
      <c r="K17" s="335">
        <f>J17*D17</f>
        <v>3002787.16</v>
      </c>
      <c r="M17" s="331">
        <f>'11 - Notes Follow-up'!P25</f>
        <v>40340</v>
      </c>
      <c r="N17" s="332">
        <f>'11 - Notes Follow-up'!R26</f>
        <v>93217.930000000008</v>
      </c>
      <c r="O17" s="333">
        <f>+F17</f>
        <v>46202</v>
      </c>
      <c r="P17" s="333">
        <f t="shared" ref="P17:Q17" si="0">+G17</f>
        <v>46230</v>
      </c>
      <c r="Q17" s="1850">
        <f t="shared" si="0"/>
        <v>28</v>
      </c>
      <c r="R17" s="1365">
        <v>6.0000000000000001E-3</v>
      </c>
      <c r="S17" s="1769">
        <f>ROUND(N17*(R17)*Q17/365,2)</f>
        <v>42.91</v>
      </c>
      <c r="T17" s="335">
        <f>S17*M17</f>
        <v>1730989.4</v>
      </c>
      <c r="V17" s="331">
        <f>'11 - Notes Follow-up'!X26</f>
        <v>5808</v>
      </c>
      <c r="W17" s="332">
        <f>'11 - Notes Follow-up'!Y26</f>
        <v>93201.750000000015</v>
      </c>
      <c r="X17" s="333">
        <f>F17</f>
        <v>46202</v>
      </c>
      <c r="Y17" s="333">
        <f>'00 - Cover'!F20</f>
        <v>46230</v>
      </c>
      <c r="Z17" s="334">
        <f>IFERROR(Y17-X17,"N/A")</f>
        <v>28</v>
      </c>
      <c r="AA17" s="1365">
        <v>1.4999999999999999E-2</v>
      </c>
      <c r="AB17" s="1769">
        <f>ROUND(W17*(AA17)*Z17/365,2)</f>
        <v>107.25</v>
      </c>
      <c r="AC17" s="335">
        <f>AB17*V17</f>
        <v>622908</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46202</v>
      </c>
      <c r="D18" s="331">
        <f>IF('Historical DATA'!BW4="","",'Historical DATA'!BW4)</f>
        <v>77732</v>
      </c>
      <c r="E18" s="332">
        <f>IF('Historical DATA'!BX4="","",'Historical DATA'!BX4)</f>
        <v>84590.760000000009</v>
      </c>
      <c r="F18" s="333">
        <f>IF('Historical DATA'!BY4="","",'Historical DATA'!BY4)</f>
        <v>46169</v>
      </c>
      <c r="G18" s="333">
        <f>IF('Historical DATA'!BZ4="","",'Historical DATA'!BZ4)</f>
        <v>46202</v>
      </c>
      <c r="H18" s="334">
        <f>IF('Historical DATA'!CA4="","",'Historical DATA'!CA4)</f>
        <v>33</v>
      </c>
      <c r="I18" s="1365">
        <f>IF('Historical DATA'!CB4="","",'Historical DATA'!CB4)</f>
        <v>6.0000000000000001E-3</v>
      </c>
      <c r="J18" s="1364">
        <f>IF('Historical DATA'!CC4="","",'Historical DATA'!CC4)</f>
        <v>45.89</v>
      </c>
      <c r="K18" s="335">
        <f>IF('Historical DATA'!CD4="","",'Historical DATA'!CD4)</f>
        <v>3567121.48</v>
      </c>
      <c r="M18" s="331">
        <f>IF('Historical DATA'!CE4="","",'Historical DATA'!CE4)</f>
        <v>40340</v>
      </c>
      <c r="N18" s="332">
        <f>IF('Historical DATA'!CF4="","",'Historical DATA'!CF4)</f>
        <v>93944.02</v>
      </c>
      <c r="O18" s="333">
        <f>IF('Historical DATA'!CG4="","",'Historical DATA'!CG4)</f>
        <v>46169</v>
      </c>
      <c r="P18" s="333">
        <f>IF('Historical DATA'!CH4="","",'Historical DATA'!CH4)</f>
        <v>46202</v>
      </c>
      <c r="Q18" s="1850">
        <f>IF('Historical DATA'!CI4="","",'Historical DATA'!CI4)</f>
        <v>33</v>
      </c>
      <c r="R18" s="1365">
        <f>IF('Historical DATA'!CJ4="","",'Historical DATA'!CJ4)</f>
        <v>6.0000000000000001E-3</v>
      </c>
      <c r="S18" s="1855">
        <f>IF('Historical DATA'!CK4="","",'Historical DATA'!CK4)</f>
        <v>50.96</v>
      </c>
      <c r="T18" s="335">
        <f>IF('Historical DATA'!CL4="","",'Historical DATA'!CL4)</f>
        <v>2055726.4000000001</v>
      </c>
      <c r="V18" s="331">
        <f>IF('Historical DATA'!CM4="","",'Historical DATA'!CM4)</f>
        <v>5808</v>
      </c>
      <c r="W18" s="332">
        <f>IF('Historical DATA'!CN4="","",'Historical DATA'!CN4)</f>
        <v>93927.71</v>
      </c>
      <c r="X18" s="333">
        <f>IF('Historical DATA'!CO4="","",'Historical DATA'!CO4)</f>
        <v>46169</v>
      </c>
      <c r="Y18" s="333">
        <f>IF('Historical DATA'!CP4="","",'Historical DATA'!CP4)</f>
        <v>46202</v>
      </c>
      <c r="Z18" s="334">
        <f>IF('Historical DATA'!CQ4="","",'Historical DATA'!CQ4)</f>
        <v>33</v>
      </c>
      <c r="AA18" s="1365">
        <f>IF('Historical DATA'!CR4="","",'Historical DATA'!CR4)</f>
        <v>1.4999999999999999E-2</v>
      </c>
      <c r="AB18" s="1364">
        <f>IF('Historical DATA'!CS4="","",'Historical DATA'!CS4)</f>
        <v>127.38</v>
      </c>
      <c r="AC18" s="335">
        <f>IF('Historical DATA'!CT4="","",'Historical DATA'!CT4)</f>
        <v>739823.03999999992</v>
      </c>
    </row>
    <row r="19" spans="2:71">
      <c r="B19" s="137">
        <f>IF('Historical DATA'!B5="","",'Historical DATA'!B5)</f>
        <v>46169</v>
      </c>
      <c r="D19" s="331">
        <f>IF('Historical DATA'!BW5="","",'Historical DATA'!BW5)</f>
        <v>77732</v>
      </c>
      <c r="E19" s="332">
        <f>IF('Historical DATA'!BX5="","",'Historical DATA'!BX5)</f>
        <v>85310.170000000013</v>
      </c>
      <c r="F19" s="333">
        <f>IF('Historical DATA'!BY5="","",'Historical DATA'!BY5)</f>
        <v>46139</v>
      </c>
      <c r="G19" s="333">
        <f>IF('Historical DATA'!BZ5="","",'Historical DATA'!BZ5)</f>
        <v>46169</v>
      </c>
      <c r="H19" s="334">
        <f>IF('Historical DATA'!CA5="","",'Historical DATA'!CA5)</f>
        <v>30</v>
      </c>
      <c r="I19" s="1365">
        <f>IF('Historical DATA'!CB5="","",'Historical DATA'!CB5)</f>
        <v>6.0000000000000001E-3</v>
      </c>
      <c r="J19" s="1364">
        <f>IF('Historical DATA'!CC5="","",'Historical DATA'!CC5)</f>
        <v>42.07</v>
      </c>
      <c r="K19" s="335">
        <f>IF('Historical DATA'!CD5="","",'Historical DATA'!CD5)</f>
        <v>3270185.24</v>
      </c>
      <c r="M19" s="331">
        <f>IF('Historical DATA'!CE5="","",'Historical DATA'!CE5)</f>
        <v>40340</v>
      </c>
      <c r="N19" s="332">
        <f>IF('Historical DATA'!CF5="","",'Historical DATA'!CF5)</f>
        <v>94742.98000000001</v>
      </c>
      <c r="O19" s="333">
        <f>IF('Historical DATA'!CG5="","",'Historical DATA'!CG5)</f>
        <v>46139</v>
      </c>
      <c r="P19" s="333">
        <f>IF('Historical DATA'!CH5="","",'Historical DATA'!CH5)</f>
        <v>46169</v>
      </c>
      <c r="Q19" s="1850">
        <f>IF('Historical DATA'!CI5="","",'Historical DATA'!CI5)</f>
        <v>30</v>
      </c>
      <c r="R19" s="1365">
        <f>IF('Historical DATA'!CJ5="","",'Historical DATA'!CJ5)</f>
        <v>6.0000000000000001E-3</v>
      </c>
      <c r="S19" s="1855">
        <f>IF('Historical DATA'!CK5="","",'Historical DATA'!CK5)</f>
        <v>46.72</v>
      </c>
      <c r="T19" s="335">
        <f>IF('Historical DATA'!CL5="","",'Historical DATA'!CL5)</f>
        <v>1884684.8</v>
      </c>
      <c r="V19" s="331">
        <f>IF('Historical DATA'!CM5="","",'Historical DATA'!CM5)</f>
        <v>5808</v>
      </c>
      <c r="W19" s="332">
        <f>IF('Historical DATA'!CN5="","",'Historical DATA'!CN5)</f>
        <v>94726.53</v>
      </c>
      <c r="X19" s="333">
        <f>IF('Historical DATA'!CO5="","",'Historical DATA'!CO5)</f>
        <v>46139</v>
      </c>
      <c r="Y19" s="333">
        <f>IF('Historical DATA'!CP5="","",'Historical DATA'!CP5)</f>
        <v>46169</v>
      </c>
      <c r="Z19" s="334">
        <f>IF('Historical DATA'!CQ5="","",'Historical DATA'!CQ5)</f>
        <v>30</v>
      </c>
      <c r="AA19" s="1365">
        <f>IF('Historical DATA'!CR5="","",'Historical DATA'!CR5)</f>
        <v>1.4999999999999999E-2</v>
      </c>
      <c r="AB19" s="1364">
        <f>IF('Historical DATA'!CS5="","",'Historical DATA'!CS5)</f>
        <v>116.79</v>
      </c>
      <c r="AC19" s="335">
        <f>IF('Historical DATA'!CT5="","",'Historical DATA'!CT5)</f>
        <v>678316.32000000007</v>
      </c>
    </row>
    <row r="20" spans="2:71">
      <c r="B20" s="137">
        <f>IF('Historical DATA'!B6="","",'Historical DATA'!B6)</f>
        <v>46139</v>
      </c>
      <c r="D20" s="331">
        <f>IF('Historical DATA'!BW6="","",'Historical DATA'!BW6)</f>
        <v>77732</v>
      </c>
      <c r="E20" s="332">
        <f>IF('Historical DATA'!BX6="","",'Historical DATA'!BX6)</f>
        <v>86249.74</v>
      </c>
      <c r="F20" s="333">
        <f>IF('Historical DATA'!BY6="","",'Historical DATA'!BY6)</f>
        <v>46108</v>
      </c>
      <c r="G20" s="333">
        <f>IF('Historical DATA'!BZ6="","",'Historical DATA'!BZ6)</f>
        <v>46139</v>
      </c>
      <c r="H20" s="334">
        <f>IF('Historical DATA'!CA6="","",'Historical DATA'!CA6)</f>
        <v>31</v>
      </c>
      <c r="I20" s="1365">
        <f>IF('Historical DATA'!CB6="","",'Historical DATA'!CB6)</f>
        <v>6.0000000000000001E-3</v>
      </c>
      <c r="J20" s="1364">
        <f>IF('Historical DATA'!CC6="","",'Historical DATA'!CC6)</f>
        <v>43.95</v>
      </c>
      <c r="K20" s="335">
        <f>IF('Historical DATA'!CD6="","",'Historical DATA'!CD6)</f>
        <v>3416321.4000000004</v>
      </c>
      <c r="M20" s="331">
        <f>IF('Historical DATA'!CE6="","",'Historical DATA'!CE6)</f>
        <v>40340</v>
      </c>
      <c r="N20" s="332">
        <f>IF('Historical DATA'!CF6="","",'Historical DATA'!CF6)</f>
        <v>95786.44</v>
      </c>
      <c r="O20" s="333">
        <f>IF('Historical DATA'!CG6="","",'Historical DATA'!CG6)</f>
        <v>46108</v>
      </c>
      <c r="P20" s="333">
        <f>IF('Historical DATA'!CH6="","",'Historical DATA'!CH6)</f>
        <v>46139</v>
      </c>
      <c r="Q20" s="1850">
        <f>IF('Historical DATA'!CI6="","",'Historical DATA'!CI6)</f>
        <v>31</v>
      </c>
      <c r="R20" s="1365">
        <f>IF('Historical DATA'!CJ6="","",'Historical DATA'!CJ6)</f>
        <v>6.0000000000000001E-3</v>
      </c>
      <c r="S20" s="1855">
        <f>IF('Historical DATA'!CK6="","",'Historical DATA'!CK6)</f>
        <v>48.81</v>
      </c>
      <c r="T20" s="335">
        <f>IF('Historical DATA'!CL6="","",'Historical DATA'!CL6)</f>
        <v>1968995.4000000001</v>
      </c>
      <c r="V20" s="331">
        <f>IF('Historical DATA'!CM6="","",'Historical DATA'!CM6)</f>
        <v>5808</v>
      </c>
      <c r="W20" s="332">
        <f>IF('Historical DATA'!CN6="","",'Historical DATA'!CN6)</f>
        <v>95769.81</v>
      </c>
      <c r="X20" s="333">
        <f>IF('Historical DATA'!CO6="","",'Historical DATA'!CO6)</f>
        <v>46108</v>
      </c>
      <c r="Y20" s="333">
        <f>IF('Historical DATA'!CP6="","",'Historical DATA'!CP6)</f>
        <v>46139</v>
      </c>
      <c r="Z20" s="334">
        <f>IF('Historical DATA'!CQ6="","",'Historical DATA'!CQ6)</f>
        <v>31</v>
      </c>
      <c r="AA20" s="1365">
        <f>IF('Historical DATA'!CR6="","",'Historical DATA'!CR6)</f>
        <v>1.4999999999999999E-2</v>
      </c>
      <c r="AB20" s="1364">
        <f>IF('Historical DATA'!CS6="","",'Historical DATA'!CS6)</f>
        <v>122.01</v>
      </c>
      <c r="AC20" s="335">
        <f>IF('Historical DATA'!CT6="","",'Historical DATA'!CT6)</f>
        <v>708634.08000000007</v>
      </c>
    </row>
    <row r="21" spans="2:71">
      <c r="B21" s="137">
        <f>IF('Historical DATA'!B7="","",'Historical DATA'!B7)</f>
        <v>46108</v>
      </c>
      <c r="D21" s="331">
        <f>IF('Historical DATA'!BW7="","",'Historical DATA'!BW7)</f>
        <v>77732</v>
      </c>
      <c r="E21" s="332">
        <f>IF('Historical DATA'!BX7="","",'Historical DATA'!BX7)</f>
        <v>86951.08</v>
      </c>
      <c r="F21" s="333">
        <f>IF('Historical DATA'!BY7="","",'Historical DATA'!BY7)</f>
        <v>46080</v>
      </c>
      <c r="G21" s="333">
        <f>IF('Historical DATA'!BZ7="","",'Historical DATA'!BZ7)</f>
        <v>46108</v>
      </c>
      <c r="H21" s="334">
        <f>IF('Historical DATA'!CA7="","",'Historical DATA'!CA7)</f>
        <v>28</v>
      </c>
      <c r="I21" s="1365">
        <f>IF('Historical DATA'!CB7="","",'Historical DATA'!CB7)</f>
        <v>6.0000000000000001E-3</v>
      </c>
      <c r="J21" s="1364">
        <f>IF('Historical DATA'!CC7="","",'Historical DATA'!CC7)</f>
        <v>40.020000000000003</v>
      </c>
      <c r="K21" s="335">
        <f>IF('Historical DATA'!CD7="","",'Historical DATA'!CD7)</f>
        <v>3110834.64</v>
      </c>
      <c r="M21" s="331">
        <f>IF('Historical DATA'!CE7="","",'Historical DATA'!CE7)</f>
        <v>40340</v>
      </c>
      <c r="N21" s="332">
        <f>IF('Historical DATA'!CF7="","",'Historical DATA'!CF7)</f>
        <v>96565.33</v>
      </c>
      <c r="O21" s="333">
        <f>IF('Historical DATA'!CG7="","",'Historical DATA'!CG7)</f>
        <v>46080</v>
      </c>
      <c r="P21" s="333">
        <f>IF('Historical DATA'!CH7="","",'Historical DATA'!CH7)</f>
        <v>46108</v>
      </c>
      <c r="Q21" s="1850">
        <f>IF('Historical DATA'!CI7="","",'Historical DATA'!CI7)</f>
        <v>28</v>
      </c>
      <c r="R21" s="1365">
        <f>IF('Historical DATA'!CJ7="","",'Historical DATA'!CJ7)</f>
        <v>6.0000000000000001E-3</v>
      </c>
      <c r="S21" s="1855">
        <f>IF('Historical DATA'!CK7="","",'Historical DATA'!CK7)</f>
        <v>44.45</v>
      </c>
      <c r="T21" s="335">
        <f>IF('Historical DATA'!CL7="","",'Historical DATA'!CL7)</f>
        <v>1793113</v>
      </c>
      <c r="V21" s="331">
        <f>IF('Historical DATA'!CM7="","",'Historical DATA'!CM7)</f>
        <v>5808</v>
      </c>
      <c r="W21" s="332">
        <f>IF('Historical DATA'!CN7="","",'Historical DATA'!CN7)</f>
        <v>96548.56</v>
      </c>
      <c r="X21" s="333">
        <f>IF('Historical DATA'!CO7="","",'Historical DATA'!CO7)</f>
        <v>46080</v>
      </c>
      <c r="Y21" s="333">
        <f>IF('Historical DATA'!CP7="","",'Historical DATA'!CP7)</f>
        <v>46108</v>
      </c>
      <c r="Z21" s="334">
        <f>IF('Historical DATA'!CQ7="","",'Historical DATA'!CQ7)</f>
        <v>28</v>
      </c>
      <c r="AA21" s="1365">
        <f>IF('Historical DATA'!CR7="","",'Historical DATA'!CR7)</f>
        <v>1.4999999999999999E-2</v>
      </c>
      <c r="AB21" s="1364">
        <f>IF('Historical DATA'!CS7="","",'Historical DATA'!CS7)</f>
        <v>111.1</v>
      </c>
      <c r="AC21" s="335">
        <f>IF('Historical DATA'!CT7="","",'Historical DATA'!CT7)</f>
        <v>645268.79999999993</v>
      </c>
    </row>
    <row r="22" spans="2:71">
      <c r="B22" s="137">
        <f>IF('Historical DATA'!B8="","",'Historical DATA'!B8)</f>
        <v>46080</v>
      </c>
      <c r="D22" s="331">
        <f>IF('Historical DATA'!BW8="","",'Historical DATA'!BW8)</f>
        <v>77732</v>
      </c>
      <c r="E22" s="332">
        <f>IF('Historical DATA'!BX8="","",'Historical DATA'!BX8)</f>
        <v>87719.72</v>
      </c>
      <c r="F22" s="333">
        <f>IF('Historical DATA'!BY8="","",'Historical DATA'!BY8)</f>
        <v>46049</v>
      </c>
      <c r="G22" s="333">
        <f>IF('Historical DATA'!BZ8="","",'Historical DATA'!BZ8)</f>
        <v>46080</v>
      </c>
      <c r="H22" s="334">
        <f>IF('Historical DATA'!CA8="","",'Historical DATA'!CA8)</f>
        <v>31</v>
      </c>
      <c r="I22" s="1365">
        <f>IF('Historical DATA'!CB8="","",'Historical DATA'!CB8)</f>
        <v>6.0000000000000001E-3</v>
      </c>
      <c r="J22" s="1364">
        <f>IF('Historical DATA'!CC8="","",'Historical DATA'!CC8)</f>
        <v>44.7</v>
      </c>
      <c r="K22" s="335">
        <f>IF('Historical DATA'!CD8="","",'Historical DATA'!CD8)</f>
        <v>3474620.4000000004</v>
      </c>
      <c r="M22" s="331">
        <f>IF('Historical DATA'!CE8="","",'Historical DATA'!CE8)</f>
        <v>40340</v>
      </c>
      <c r="N22" s="332">
        <f>IF('Historical DATA'!CF8="","",'Historical DATA'!CF8)</f>
        <v>97418.96</v>
      </c>
      <c r="O22" s="333">
        <f>IF('Historical DATA'!CG8="","",'Historical DATA'!CG8)</f>
        <v>46049</v>
      </c>
      <c r="P22" s="333">
        <f>IF('Historical DATA'!CH8="","",'Historical DATA'!CH8)</f>
        <v>46080</v>
      </c>
      <c r="Q22" s="1850">
        <f>IF('Historical DATA'!CI8="","",'Historical DATA'!CI8)</f>
        <v>31</v>
      </c>
      <c r="R22" s="1365">
        <f>IF('Historical DATA'!CJ8="","",'Historical DATA'!CJ8)</f>
        <v>6.0000000000000001E-3</v>
      </c>
      <c r="S22" s="1855">
        <f>IF('Historical DATA'!CK8="","",'Historical DATA'!CK8)</f>
        <v>49.64</v>
      </c>
      <c r="T22" s="335">
        <f>IF('Historical DATA'!CL8="","",'Historical DATA'!CL8)</f>
        <v>2002477.6</v>
      </c>
      <c r="V22" s="331">
        <f>IF('Historical DATA'!CM8="","",'Historical DATA'!CM8)</f>
        <v>5808</v>
      </c>
      <c r="W22" s="332">
        <f>IF('Historical DATA'!CN8="","",'Historical DATA'!CN8)</f>
        <v>97402.040000000008</v>
      </c>
      <c r="X22" s="333">
        <f>IF('Historical DATA'!CO8="","",'Historical DATA'!CO8)</f>
        <v>46049</v>
      </c>
      <c r="Y22" s="333">
        <f>IF('Historical DATA'!CP8="","",'Historical DATA'!CP8)</f>
        <v>46080</v>
      </c>
      <c r="Z22" s="334">
        <f>IF('Historical DATA'!CQ8="","",'Historical DATA'!CQ8)</f>
        <v>31</v>
      </c>
      <c r="AA22" s="1365">
        <f>IF('Historical DATA'!CR8="","",'Historical DATA'!CR8)</f>
        <v>1.4999999999999999E-2</v>
      </c>
      <c r="AB22" s="1364">
        <f>IF('Historical DATA'!CS8="","",'Historical DATA'!CS8)</f>
        <v>124.09</v>
      </c>
      <c r="AC22" s="335">
        <f>IF('Historical DATA'!CT8="","",'Historical DATA'!CT8)</f>
        <v>720714.72</v>
      </c>
    </row>
    <row r="23" spans="2:71">
      <c r="B23" s="137">
        <f>IF('Historical DATA'!B9="","",'Historical DATA'!B9)</f>
        <v>46049</v>
      </c>
      <c r="D23" s="331">
        <f>IF('Historical DATA'!BW9="","",'Historical DATA'!BW9)</f>
        <v>77732</v>
      </c>
      <c r="E23" s="332">
        <f>IF('Historical DATA'!BX9="","",'Historical DATA'!BX9)</f>
        <v>88466.49</v>
      </c>
      <c r="F23" s="333">
        <f>IF('Historical DATA'!BY9="","",'Historical DATA'!BY9)</f>
        <v>46020</v>
      </c>
      <c r="G23" s="333">
        <f>IF('Historical DATA'!BZ9="","",'Historical DATA'!BZ9)</f>
        <v>46049</v>
      </c>
      <c r="H23" s="334">
        <f>IF('Historical DATA'!CA9="","",'Historical DATA'!CA9)</f>
        <v>29</v>
      </c>
      <c r="I23" s="1365">
        <f>IF('Historical DATA'!CB9="","",'Historical DATA'!CB9)</f>
        <v>6.0000000000000001E-3</v>
      </c>
      <c r="J23" s="1364">
        <f>IF('Historical DATA'!CC9="","",'Historical DATA'!CC9)</f>
        <v>42.17</v>
      </c>
      <c r="K23" s="335">
        <f>IF('Historical DATA'!CD9="","",'Historical DATA'!CD9)</f>
        <v>3277958.44</v>
      </c>
      <c r="M23" s="331">
        <f>IF('Historical DATA'!CE9="","",'Historical DATA'!CE9)</f>
        <v>40340</v>
      </c>
      <c r="N23" s="332">
        <f>IF('Historical DATA'!CF9="","",'Historical DATA'!CF9)</f>
        <v>98248.3</v>
      </c>
      <c r="O23" s="333">
        <f>IF('Historical DATA'!CG9="","",'Historical DATA'!CG9)</f>
        <v>46020</v>
      </c>
      <c r="P23" s="333">
        <f>IF('Historical DATA'!CH9="","",'Historical DATA'!CH9)</f>
        <v>46049</v>
      </c>
      <c r="Q23" s="1850">
        <f>IF('Historical DATA'!CI9="","",'Historical DATA'!CI9)</f>
        <v>29</v>
      </c>
      <c r="R23" s="1365">
        <f>IF('Historical DATA'!CJ9="","",'Historical DATA'!CJ9)</f>
        <v>6.0000000000000001E-3</v>
      </c>
      <c r="S23" s="1855">
        <f>IF('Historical DATA'!CK9="","",'Historical DATA'!CK9)</f>
        <v>46.84</v>
      </c>
      <c r="T23" s="335">
        <f>IF('Historical DATA'!CL9="","",'Historical DATA'!CL9)</f>
        <v>1889525.6</v>
      </c>
      <c r="V23" s="331">
        <f>IF('Historical DATA'!CM9="","",'Historical DATA'!CM9)</f>
        <v>5808</v>
      </c>
      <c r="W23" s="332">
        <f>IF('Historical DATA'!CN9="","",'Historical DATA'!CN9)</f>
        <v>98231.24000000002</v>
      </c>
      <c r="X23" s="333">
        <f>IF('Historical DATA'!CO9="","",'Historical DATA'!CO9)</f>
        <v>46020</v>
      </c>
      <c r="Y23" s="333">
        <f>IF('Historical DATA'!CP9="","",'Historical DATA'!CP9)</f>
        <v>46049</v>
      </c>
      <c r="Z23" s="334">
        <f>IF('Historical DATA'!CQ9="","",'Historical DATA'!CQ9)</f>
        <v>29</v>
      </c>
      <c r="AA23" s="1365">
        <f>IF('Historical DATA'!CR9="","",'Historical DATA'!CR9)</f>
        <v>1.4999999999999999E-2</v>
      </c>
      <c r="AB23" s="1364">
        <f>IF('Historical DATA'!CS9="","",'Historical DATA'!CS9)</f>
        <v>117.07</v>
      </c>
      <c r="AC23" s="335">
        <f>IF('Historical DATA'!CT9="","",'Historical DATA'!CT9)</f>
        <v>679942.55999999994</v>
      </c>
    </row>
    <row r="24" spans="2:71">
      <c r="B24" s="137">
        <f>IF('Historical DATA'!B10="","",'Historical DATA'!B10)</f>
        <v>46020</v>
      </c>
      <c r="D24" s="331">
        <f>IF('Historical DATA'!BW10="","",'Historical DATA'!BW10)</f>
        <v>77732</v>
      </c>
      <c r="E24" s="332">
        <f>IF('Historical DATA'!BX10="","",'Historical DATA'!BX10)</f>
        <v>89169.55</v>
      </c>
      <c r="F24" s="333">
        <f>IF('Historical DATA'!BY10="","",'Historical DATA'!BY10)</f>
        <v>45988</v>
      </c>
      <c r="G24" s="333">
        <f>IF('Historical DATA'!BZ10="","",'Historical DATA'!BZ10)</f>
        <v>46020</v>
      </c>
      <c r="H24" s="334">
        <f>IF('Historical DATA'!CA10="","",'Historical DATA'!CA10)</f>
        <v>32</v>
      </c>
      <c r="I24" s="1365">
        <f>IF('Historical DATA'!CB10="","",'Historical DATA'!CB10)</f>
        <v>6.0000000000000001E-3</v>
      </c>
      <c r="J24" s="1364">
        <f>IF('Historical DATA'!CC10="","",'Historical DATA'!CC10)</f>
        <v>46.91</v>
      </c>
      <c r="K24" s="335">
        <f>IF('Historical DATA'!CD10="","",'Historical DATA'!CD10)</f>
        <v>3646408.1199999996</v>
      </c>
      <c r="M24" s="331">
        <f>IF('Historical DATA'!CE10="","",'Historical DATA'!CE10)</f>
        <v>40340</v>
      </c>
      <c r="N24" s="332">
        <f>IF('Historical DATA'!CF10="","",'Historical DATA'!CF10)</f>
        <v>99029.1</v>
      </c>
      <c r="O24" s="333">
        <f>IF('Historical DATA'!CG10="","",'Historical DATA'!CG10)</f>
        <v>45988</v>
      </c>
      <c r="P24" s="333">
        <f>IF('Historical DATA'!CH10="","",'Historical DATA'!CH10)</f>
        <v>46020</v>
      </c>
      <c r="Q24" s="1850">
        <f>IF('Historical DATA'!CI10="","",'Historical DATA'!CI10)</f>
        <v>32</v>
      </c>
      <c r="R24" s="1365">
        <f>IF('Historical DATA'!CJ10="","",'Historical DATA'!CJ10)</f>
        <v>6.0000000000000001E-3</v>
      </c>
      <c r="S24" s="1855">
        <f>IF('Historical DATA'!CK10="","",'Historical DATA'!CK10)</f>
        <v>52.09</v>
      </c>
      <c r="T24" s="335">
        <f>IF('Historical DATA'!CL10="","",'Historical DATA'!CL10)</f>
        <v>2101310.6</v>
      </c>
      <c r="V24" s="331">
        <f>IF('Historical DATA'!CM10="","",'Historical DATA'!CM10)</f>
        <v>5808</v>
      </c>
      <c r="W24" s="332">
        <f>IF('Historical DATA'!CN10="","",'Historical DATA'!CN10)</f>
        <v>99011.900000000009</v>
      </c>
      <c r="X24" s="333">
        <f>IF('Historical DATA'!CO10="","",'Historical DATA'!CO10)</f>
        <v>45988</v>
      </c>
      <c r="Y24" s="333">
        <f>IF('Historical DATA'!CP10="","",'Historical DATA'!CP10)</f>
        <v>46020</v>
      </c>
      <c r="Z24" s="334">
        <f>IF('Historical DATA'!CQ10="","",'Historical DATA'!CQ10)</f>
        <v>32</v>
      </c>
      <c r="AA24" s="1365">
        <f>IF('Historical DATA'!CR10="","",'Historical DATA'!CR10)</f>
        <v>1.4999999999999999E-2</v>
      </c>
      <c r="AB24" s="1364">
        <f>IF('Historical DATA'!CS10="","",'Historical DATA'!CS10)</f>
        <v>130.21</v>
      </c>
      <c r="AC24" s="335">
        <f>IF('Historical DATA'!CT10="","",'Historical DATA'!CT10)</f>
        <v>756259.68</v>
      </c>
    </row>
    <row r="25" spans="2:71">
      <c r="B25" s="137">
        <f>IF('Historical DATA'!B11="","",'Historical DATA'!B11)</f>
        <v>45988</v>
      </c>
      <c r="D25" s="331">
        <f>IF('Historical DATA'!BW11="","",'Historical DATA'!BW11)</f>
        <v>77732</v>
      </c>
      <c r="E25" s="332">
        <f>IF('Historical DATA'!BX11="","",'Historical DATA'!BX11)</f>
        <v>90043.790000000008</v>
      </c>
      <c r="F25" s="333">
        <f>IF('Historical DATA'!BY11="","",'Historical DATA'!BY11)</f>
        <v>45957</v>
      </c>
      <c r="G25" s="333">
        <f>IF('Historical DATA'!BZ11="","",'Historical DATA'!BZ11)</f>
        <v>45988</v>
      </c>
      <c r="H25" s="334">
        <f>IF('Historical DATA'!CA11="","",'Historical DATA'!CA11)</f>
        <v>31</v>
      </c>
      <c r="I25" s="1365">
        <f>IF('Historical DATA'!CB11="","",'Historical DATA'!CB11)</f>
        <v>6.0000000000000001E-3</v>
      </c>
      <c r="J25" s="1364">
        <f>IF('Historical DATA'!CC11="","",'Historical DATA'!CC11)</f>
        <v>45.89</v>
      </c>
      <c r="K25" s="335">
        <f>IF('Historical DATA'!CD11="","",'Historical DATA'!CD11)</f>
        <v>3567121.48</v>
      </c>
      <c r="M25" s="331">
        <f>IF('Historical DATA'!CE11="","",'Historical DATA'!CE11)</f>
        <v>40340</v>
      </c>
      <c r="N25" s="331">
        <f>IF('Historical DATA'!CF11="","",'Historical DATA'!CF11)</f>
        <v>100000</v>
      </c>
      <c r="O25" s="331">
        <f>IF('Historical DATA'!CG11="","",'Historical DATA'!CG11)</f>
        <v>45957</v>
      </c>
      <c r="P25" s="331">
        <f>IF('Historical DATA'!CH11="","",'Historical DATA'!CH11)</f>
        <v>45988</v>
      </c>
      <c r="Q25" s="331">
        <f>IF('Historical DATA'!CI11="","",'Historical DATA'!CI11)</f>
        <v>31</v>
      </c>
      <c r="R25" s="1365">
        <f>IF('Historical DATA'!CJ11="","",'Historical DATA'!CJ11)</f>
        <v>6.0000000000000001E-3</v>
      </c>
      <c r="S25" s="331">
        <f>IF('Historical DATA'!CK11="","",'Historical DATA'!CK11)</f>
        <v>50.96</v>
      </c>
      <c r="T25" s="331">
        <f>IF('Historical DATA'!CL11="","",'Historical DATA'!CL11)</f>
        <v>2055726.4000000001</v>
      </c>
      <c r="V25" s="331">
        <f>IF('Historical DATA'!CM11="","",'Historical DATA'!CM11)</f>
        <v>5808</v>
      </c>
      <c r="W25" s="332">
        <f>IF('Historical DATA'!CN11="","",'Historical DATA'!CN11)</f>
        <v>100000</v>
      </c>
      <c r="X25" s="333">
        <f>IF('Historical DATA'!CO11="","",'Historical DATA'!CO11)</f>
        <v>45957</v>
      </c>
      <c r="Y25" s="333">
        <f>IF('Historical DATA'!CP11="","",'Historical DATA'!CP11)</f>
        <v>45988</v>
      </c>
      <c r="Z25" s="334">
        <f>IF('Historical DATA'!CQ11="","",'Historical DATA'!CQ11)</f>
        <v>31</v>
      </c>
      <c r="AA25" s="1365">
        <f>IF('Historical DATA'!CR11="","",'Historical DATA'!CR11)</f>
        <v>1.4999999999999999E-2</v>
      </c>
      <c r="AB25" s="1364">
        <f>IF('Historical DATA'!CS11="","",'Historical DATA'!CS11)</f>
        <v>127.4</v>
      </c>
      <c r="AC25" s="335">
        <f>IF('Historical DATA'!CT11="","",'Historical DATA'!CT11)</f>
        <v>739939.20000000007</v>
      </c>
    </row>
    <row r="26" spans="2:71">
      <c r="B26" s="137">
        <f>IF('Historical DATA'!B12="","",'Historical DATA'!B12)</f>
        <v>45957</v>
      </c>
      <c r="C26" s="1457"/>
      <c r="D26" s="331">
        <f>IF('Historical DATA'!BW12="","",'Historical DATA'!BW12)</f>
        <v>77732</v>
      </c>
      <c r="E26" s="332">
        <f>IF('Historical DATA'!BX12="","",'Historical DATA'!BX12)</f>
        <v>90815.010000000009</v>
      </c>
      <c r="F26" s="333">
        <f>IF('Historical DATA'!BY12="","",'Historical DATA'!BY12)</f>
        <v>45929</v>
      </c>
      <c r="G26" s="333">
        <f>IF('Historical DATA'!BZ12="","",'Historical DATA'!BZ12)</f>
        <v>45957</v>
      </c>
      <c r="H26" s="334">
        <f>IF('Historical DATA'!CA12="","",'Historical DATA'!CA12)</f>
        <v>28</v>
      </c>
      <c r="I26" s="1365">
        <f>IF('Historical DATA'!CB12="","",'Historical DATA'!CB12)</f>
        <v>6.0000000000000001E-3</v>
      </c>
      <c r="J26" s="1364">
        <f>IF('Historical DATA'!CC12="","",'Historical DATA'!CC12)</f>
        <v>41.8</v>
      </c>
      <c r="K26" s="335">
        <f>IF('Historical DATA'!CD12="","",'Historical DATA'!CD12)</f>
        <v>3249197.5999999996</v>
      </c>
      <c r="M26" s="331">
        <f>IF('Historical DATA'!CE12="","",'Historical DATA'!CE12)</f>
        <v>40340</v>
      </c>
      <c r="N26" s="331">
        <f>IF('Historical DATA'!CF12="","",'Historical DATA'!CF12)</f>
        <v>0</v>
      </c>
      <c r="O26" s="331">
        <f>IF('Historical DATA'!CG12="","",'Historical DATA'!CG12)</f>
        <v>45929</v>
      </c>
      <c r="P26" s="331">
        <f>IF('Historical DATA'!CH12="","",'Historical DATA'!CH12)</f>
        <v>45957</v>
      </c>
      <c r="Q26" s="331">
        <f>IF('Historical DATA'!CI12="","",'Historical DATA'!CI12)</f>
        <v>28</v>
      </c>
      <c r="R26" s="1365">
        <f>IF('Historical DATA'!CJ12="","",'Historical DATA'!CJ12)</f>
        <v>6.0000000000000001E-3</v>
      </c>
      <c r="S26" s="331">
        <f>IF('Historical DATA'!CK12="","",'Historical DATA'!CK12)</f>
        <v>0</v>
      </c>
      <c r="T26" s="331">
        <f>IF('Historical DATA'!CL12="","",'Historical DATA'!CL12)</f>
        <v>0</v>
      </c>
      <c r="V26" s="331">
        <f>IF('Historical DATA'!CM12="","",'Historical DATA'!CM12)</f>
        <v>4092</v>
      </c>
      <c r="W26" s="332">
        <f>IF('Historical DATA'!CN12="","",'Historical DATA'!CN12)</f>
        <v>90796.33</v>
      </c>
      <c r="X26" s="333">
        <f>IF('Historical DATA'!CO12="","",'Historical DATA'!CO12)</f>
        <v>45929</v>
      </c>
      <c r="Y26" s="333">
        <f>IF('Historical DATA'!CP12="","",'Historical DATA'!CP12)</f>
        <v>45957</v>
      </c>
      <c r="Z26" s="334">
        <f>IF('Historical DATA'!CQ12="","",'Historical DATA'!CQ12)</f>
        <v>28</v>
      </c>
      <c r="AA26" s="1365">
        <f>IF('Historical DATA'!CR12="","",'Historical DATA'!CR12)</f>
        <v>1.4999999999999999E-2</v>
      </c>
      <c r="AB26" s="1364">
        <f>IF('Historical DATA'!CS12="","",'Historical DATA'!CS12)</f>
        <v>104.48</v>
      </c>
      <c r="AC26" s="335">
        <f>IF('Historical DATA'!CT12="","",'Historical DATA'!CT12)</f>
        <v>427532.16000000003</v>
      </c>
    </row>
    <row r="27" spans="2:71">
      <c r="B27" s="137">
        <f>IF('Historical DATA'!B13="","",'Historical DATA'!B13)</f>
        <v>45929</v>
      </c>
      <c r="C27" s="1457"/>
      <c r="D27" s="331">
        <f>IF('Historical DATA'!BW13="","",'Historical DATA'!BW13)</f>
        <v>77732</v>
      </c>
      <c r="E27" s="332">
        <f>IF('Historical DATA'!BX13="","",'Historical DATA'!BX13)</f>
        <v>91678.23000000001</v>
      </c>
      <c r="F27" s="333">
        <f>IF('Historical DATA'!BY13="","",'Historical DATA'!BY13)</f>
        <v>45896</v>
      </c>
      <c r="G27" s="333">
        <f>IF('Historical DATA'!BZ13="","",'Historical DATA'!BZ13)</f>
        <v>45929</v>
      </c>
      <c r="H27" s="334">
        <f>IF('Historical DATA'!CA13="","",'Historical DATA'!CA13)</f>
        <v>33</v>
      </c>
      <c r="I27" s="1365">
        <f>IF('Historical DATA'!CB13="","",'Historical DATA'!CB13)</f>
        <v>6.0000000000000001E-3</v>
      </c>
      <c r="J27" s="1364">
        <f>IF('Historical DATA'!CC13="","",'Historical DATA'!CC13)</f>
        <v>49.73</v>
      </c>
      <c r="K27" s="335">
        <f>IF('Historical DATA'!CD13="","",'Historical DATA'!CD13)</f>
        <v>3865612.36</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91659.37000000001</v>
      </c>
      <c r="X27" s="333">
        <f>IF('Historical DATA'!CO13="","",'Historical DATA'!CO13)</f>
        <v>45896</v>
      </c>
      <c r="Y27" s="333">
        <f>IF('Historical DATA'!CP13="","",'Historical DATA'!CP13)</f>
        <v>45929</v>
      </c>
      <c r="Z27" s="334">
        <f>IF('Historical DATA'!CQ13="","",'Historical DATA'!CQ13)</f>
        <v>33</v>
      </c>
      <c r="AA27" s="1365">
        <f>IF('Historical DATA'!CR13="","",'Historical DATA'!CR13)</f>
        <v>1.4999999999999999E-2</v>
      </c>
      <c r="AB27" s="1364">
        <f>IF('Historical DATA'!CS13="","",'Historical DATA'!CS13)</f>
        <v>124.31</v>
      </c>
      <c r="AC27" s="335">
        <f>IF('Historical DATA'!CT13="","",'Historical DATA'!CT13)</f>
        <v>508676.52</v>
      </c>
    </row>
    <row r="28" spans="2:71">
      <c r="B28" s="137">
        <f>IF('Historical DATA'!B14="","",'Historical DATA'!B14)</f>
        <v>45896</v>
      </c>
      <c r="C28" s="1457"/>
      <c r="D28" s="331">
        <f>IF('Historical DATA'!BW14="","",'Historical DATA'!BW14)</f>
        <v>77732</v>
      </c>
      <c r="E28" s="332">
        <f>IF('Historical DATA'!BX14="","",'Historical DATA'!BX14)</f>
        <v>92516.660000000018</v>
      </c>
      <c r="F28" s="333">
        <f>IF('Historical DATA'!BY14="","",'Historical DATA'!BY14)</f>
        <v>45866</v>
      </c>
      <c r="G28" s="333">
        <f>IF('Historical DATA'!BZ14="","",'Historical DATA'!BZ14)</f>
        <v>45896</v>
      </c>
      <c r="H28" s="334">
        <f>IF('Historical DATA'!CA14="","",'Historical DATA'!CA14)</f>
        <v>30</v>
      </c>
      <c r="I28" s="1365">
        <f>IF('Historical DATA'!CB14="","",'Historical DATA'!CB14)</f>
        <v>6.0000000000000001E-3</v>
      </c>
      <c r="J28" s="1364">
        <f>IF('Historical DATA'!CC14="","",'Historical DATA'!CC14)</f>
        <v>45.62</v>
      </c>
      <c r="K28" s="335">
        <f>IF('Historical DATA'!CD14="","",'Historical DATA'!CD14)</f>
        <v>3546133.84</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92497.62000000001</v>
      </c>
      <c r="X28" s="333">
        <f>IF('Historical DATA'!CO14="","",'Historical DATA'!CO14)</f>
        <v>45866</v>
      </c>
      <c r="Y28" s="333">
        <f>IF('Historical DATA'!CP14="","",'Historical DATA'!CP14)</f>
        <v>45896</v>
      </c>
      <c r="Z28" s="334">
        <f>IF('Historical DATA'!CQ14="","",'Historical DATA'!CQ14)</f>
        <v>30</v>
      </c>
      <c r="AA28" s="1365">
        <f>IF('Historical DATA'!CR14="","",'Historical DATA'!CR14)</f>
        <v>1.4999999999999999E-2</v>
      </c>
      <c r="AB28" s="1364">
        <f>IF('Historical DATA'!CS14="","",'Historical DATA'!CS14)</f>
        <v>114.04</v>
      </c>
      <c r="AC28" s="335">
        <f>IF('Historical DATA'!CT14="","",'Historical DATA'!CT14)</f>
        <v>466651.68000000005</v>
      </c>
    </row>
    <row r="29" spans="2:71">
      <c r="B29" s="137">
        <f>IF('Historical DATA'!B15="","",'Historical DATA'!B15)</f>
        <v>45866</v>
      </c>
      <c r="C29" s="1457"/>
      <c r="D29" s="331">
        <f>IF('Historical DATA'!BW15="","",'Historical DATA'!BW15)</f>
        <v>77732</v>
      </c>
      <c r="E29" s="332">
        <f>IF('Historical DATA'!BX15="","",'Historical DATA'!BX15)</f>
        <v>93313.150000000009</v>
      </c>
      <c r="F29" s="333">
        <f>IF('Historical DATA'!BY15="","",'Historical DATA'!BY15)</f>
        <v>45835</v>
      </c>
      <c r="G29" s="333">
        <f>IF('Historical DATA'!BZ15="","",'Historical DATA'!BZ15)</f>
        <v>45866</v>
      </c>
      <c r="H29" s="334">
        <f>IF('Historical DATA'!CA15="","",'Historical DATA'!CA15)</f>
        <v>31</v>
      </c>
      <c r="I29" s="1365">
        <f>IF('Historical DATA'!CB15="","",'Historical DATA'!CB15)</f>
        <v>6.0000000000000001E-3</v>
      </c>
      <c r="J29" s="1364">
        <f>IF('Historical DATA'!CC15="","",'Historical DATA'!CC15)</f>
        <v>47.55</v>
      </c>
      <c r="K29" s="335">
        <f>IF('Historical DATA'!CD15="","",'Historical DATA'!CD15)</f>
        <v>3696156.5999999996</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93293.94</v>
      </c>
      <c r="X29" s="333">
        <f>IF('Historical DATA'!CO15="","",'Historical DATA'!CO15)</f>
        <v>45835</v>
      </c>
      <c r="Y29" s="333">
        <f>IF('Historical DATA'!CP15="","",'Historical DATA'!CP15)</f>
        <v>45866</v>
      </c>
      <c r="Z29" s="334">
        <f>IF('Historical DATA'!CQ15="","",'Historical DATA'!CQ15)</f>
        <v>31</v>
      </c>
      <c r="AA29" s="1365">
        <f>IF('Historical DATA'!CR15="","",'Historical DATA'!CR15)</f>
        <v>1.4999999999999999E-2</v>
      </c>
      <c r="AB29" s="1364">
        <f>IF('Historical DATA'!CS15="","",'Historical DATA'!CS15)</f>
        <v>118.85</v>
      </c>
      <c r="AC29" s="335">
        <f>IF('Historical DATA'!CT15="","",'Historical DATA'!CT15)</f>
        <v>486334.19999999995</v>
      </c>
    </row>
    <row r="30" spans="2:71">
      <c r="B30" s="137">
        <f>IF('Historical DATA'!B16="","",'Historical DATA'!B16)</f>
        <v>45835</v>
      </c>
      <c r="C30" s="1457"/>
      <c r="D30" s="331">
        <f>IF('Historical DATA'!BW16="","",'Historical DATA'!BW16)</f>
        <v>77732</v>
      </c>
      <c r="E30" s="332">
        <f>IF('Historical DATA'!BX16="","",'Historical DATA'!BX16)</f>
        <v>94116.080000000016</v>
      </c>
      <c r="F30" s="333">
        <f>IF('Historical DATA'!BY16="","",'Historical DATA'!BY16)</f>
        <v>45804</v>
      </c>
      <c r="G30" s="333">
        <f>IF('Historical DATA'!BZ16="","",'Historical DATA'!BZ16)</f>
        <v>45835</v>
      </c>
      <c r="H30" s="334">
        <f>IF('Historical DATA'!CA16="","",'Historical DATA'!CA16)</f>
        <v>31</v>
      </c>
      <c r="I30" s="1365">
        <f>IF('Historical DATA'!CB16="","",'Historical DATA'!CB16)</f>
        <v>6.0000000000000001E-3</v>
      </c>
      <c r="J30" s="1364">
        <f>IF('Historical DATA'!CC16="","",'Historical DATA'!CC16)</f>
        <v>47.96</v>
      </c>
      <c r="K30" s="335">
        <f>IF('Historical DATA'!CD16="","",'Historical DATA'!CD16)</f>
        <v>3728026.72</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94096.709999999992</v>
      </c>
      <c r="X30" s="333">
        <f>IF('Historical DATA'!CO16="","",'Historical DATA'!CO16)</f>
        <v>45804</v>
      </c>
      <c r="Y30" s="333">
        <f>IF('Historical DATA'!CP16="","",'Historical DATA'!CP16)</f>
        <v>45835</v>
      </c>
      <c r="Z30" s="334">
        <f>IF('Historical DATA'!CQ16="","",'Historical DATA'!CQ16)</f>
        <v>31</v>
      </c>
      <c r="AA30" s="1365">
        <f>IF('Historical DATA'!CR16="","",'Historical DATA'!CR16)</f>
        <v>1.4999999999999999E-2</v>
      </c>
      <c r="AB30" s="1364">
        <f>IF('Historical DATA'!CS16="","",'Historical DATA'!CS16)</f>
        <v>119.87</v>
      </c>
      <c r="AC30" s="335">
        <f>IF('Historical DATA'!CT16="","",'Historical DATA'!CT16)</f>
        <v>490508.04000000004</v>
      </c>
    </row>
    <row r="31" spans="2:71">
      <c r="B31" s="137">
        <f>IF('Historical DATA'!B17="","",'Historical DATA'!B17)</f>
        <v>45804</v>
      </c>
      <c r="C31" s="1457"/>
      <c r="D31" s="331">
        <f>IF('Historical DATA'!BW17="","",'Historical DATA'!BW17)</f>
        <v>77732</v>
      </c>
      <c r="E31" s="332">
        <f>IF('Historical DATA'!BX17="","",'Historical DATA'!BX17)</f>
        <v>94870.270000000019</v>
      </c>
      <c r="F31" s="333">
        <f>IF('Historical DATA'!BY17="","",'Historical DATA'!BY17)</f>
        <v>45775</v>
      </c>
      <c r="G31" s="333">
        <f>IF('Historical DATA'!BZ17="","",'Historical DATA'!BZ17)</f>
        <v>45804</v>
      </c>
      <c r="H31" s="334">
        <f>IF('Historical DATA'!CA17="","",'Historical DATA'!CA17)</f>
        <v>29</v>
      </c>
      <c r="I31" s="1365">
        <f>IF('Historical DATA'!CB17="","",'Historical DATA'!CB17)</f>
        <v>6.0000000000000001E-3</v>
      </c>
      <c r="J31" s="1364">
        <f>IF('Historical DATA'!CC17="","",'Historical DATA'!CC17)</f>
        <v>45.22</v>
      </c>
      <c r="K31" s="335">
        <f>IF('Historical DATA'!CD17="","",'Historical DATA'!CD17)</f>
        <v>3515041.04</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94850.739999999991</v>
      </c>
      <c r="X31" s="333">
        <f>IF('Historical DATA'!CO17="","",'Historical DATA'!CO17)</f>
        <v>45775</v>
      </c>
      <c r="Y31" s="333">
        <f>IF('Historical DATA'!CP17="","",'Historical DATA'!CP17)</f>
        <v>45804</v>
      </c>
      <c r="Z31" s="334">
        <f>IF('Historical DATA'!CQ17="","",'Historical DATA'!CQ17)</f>
        <v>29</v>
      </c>
      <c r="AA31" s="1365">
        <f>IF('Historical DATA'!CR17="","",'Historical DATA'!CR17)</f>
        <v>1.4999999999999999E-2</v>
      </c>
      <c r="AB31" s="1364">
        <f>IF('Historical DATA'!CS17="","",'Historical DATA'!CS17)</f>
        <v>113.04</v>
      </c>
      <c r="AC31" s="335">
        <f>IF('Historical DATA'!CT17="","",'Historical DATA'!CT17)</f>
        <v>462559.68000000005</v>
      </c>
    </row>
    <row r="32" spans="2:71">
      <c r="B32" s="137">
        <f>IF('Historical DATA'!B18="","",'Historical DATA'!B18)</f>
        <v>45775</v>
      </c>
      <c r="C32" s="1457"/>
      <c r="D32" s="331">
        <f>IF('Historical DATA'!BW18="","",'Historical DATA'!BW18)</f>
        <v>77732</v>
      </c>
      <c r="E32" s="332">
        <f>IF('Historical DATA'!BX18="","",'Historical DATA'!BX18)</f>
        <v>95594.470000000016</v>
      </c>
      <c r="F32" s="333">
        <f>IF('Historical DATA'!BY18="","",'Historical DATA'!BY18)</f>
        <v>45743</v>
      </c>
      <c r="G32" s="333">
        <f>IF('Historical DATA'!BZ18="","",'Historical DATA'!BZ18)</f>
        <v>45775</v>
      </c>
      <c r="H32" s="334">
        <f>IF('Historical DATA'!CA18="","",'Historical DATA'!CA18)</f>
        <v>32</v>
      </c>
      <c r="I32" s="1365">
        <f>IF('Historical DATA'!CB18="","",'Historical DATA'!CB18)</f>
        <v>6.0000000000000001E-3</v>
      </c>
      <c r="J32" s="1364">
        <f>IF('Historical DATA'!CC18="","",'Historical DATA'!CC18)</f>
        <v>50.29</v>
      </c>
      <c r="K32" s="335">
        <f>IF('Historical DATA'!CD18="","",'Historical DATA'!CD18)</f>
        <v>3909142.28</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f>IF('Historical DATA'!CM18="","",'Historical DATA'!CM18)</f>
        <v>4092</v>
      </c>
      <c r="W32" s="332">
        <f>IF('Historical DATA'!CN18="","",'Historical DATA'!CN18)</f>
        <v>95574.790000000008</v>
      </c>
      <c r="X32" s="333">
        <f>IF('Historical DATA'!CO18="","",'Historical DATA'!CO18)</f>
        <v>45743</v>
      </c>
      <c r="Y32" s="333">
        <f>IF('Historical DATA'!CP18="","",'Historical DATA'!CP18)</f>
        <v>45775</v>
      </c>
      <c r="Z32" s="334">
        <f>IF('Historical DATA'!CQ18="","",'Historical DATA'!CQ18)</f>
        <v>32</v>
      </c>
      <c r="AA32" s="1365">
        <f>IF('Historical DATA'!CR18="","",'Historical DATA'!CR18)</f>
        <v>1.4999999999999999E-2</v>
      </c>
      <c r="AB32" s="1364">
        <f>IF('Historical DATA'!CS18="","",'Historical DATA'!CS18)</f>
        <v>125.69</v>
      </c>
      <c r="AC32" s="335">
        <f>IF('Historical DATA'!CT18="","",'Historical DATA'!CT18)</f>
        <v>514323.48</v>
      </c>
    </row>
    <row r="33" spans="2:29">
      <c r="B33" s="137">
        <f>IF('Historical DATA'!B19="","",'Historical DATA'!B19)</f>
        <v>45743</v>
      </c>
      <c r="C33" s="1457"/>
      <c r="D33" s="331">
        <f>IF('Historical DATA'!BW19="","",'Historical DATA'!BW19)</f>
        <v>77732</v>
      </c>
      <c r="E33" s="332">
        <f>IF('Historical DATA'!BX19="","",'Historical DATA'!BX19)</f>
        <v>96330.900000000009</v>
      </c>
      <c r="F33" s="333">
        <f>IF('Historical DATA'!BY19="","",'Historical DATA'!BY19)</f>
        <v>45715</v>
      </c>
      <c r="G33" s="333">
        <f>IF('Historical DATA'!BZ19="","",'Historical DATA'!BZ19)</f>
        <v>45743</v>
      </c>
      <c r="H33" s="334">
        <f>IF('Historical DATA'!CA19="","",'Historical DATA'!CA19)</f>
        <v>28</v>
      </c>
      <c r="I33" s="1365">
        <f>IF('Historical DATA'!CB19="","",'Historical DATA'!CB19)</f>
        <v>6.0000000000000001E-3</v>
      </c>
      <c r="J33" s="1364">
        <f>IF('Historical DATA'!CC19="","",'Historical DATA'!CC19)</f>
        <v>44.34</v>
      </c>
      <c r="K33" s="335">
        <f>IF('Historical DATA'!CD19="","",'Historical DATA'!CD19)</f>
        <v>3446636.8800000004</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f>IF('Historical DATA'!CM19="","",'Historical DATA'!CM19)</f>
        <v>4092</v>
      </c>
      <c r="W33" s="332">
        <f>IF('Historical DATA'!CN19="","",'Historical DATA'!CN19)</f>
        <v>96311.069999999992</v>
      </c>
      <c r="X33" s="333">
        <f>IF('Historical DATA'!CO19="","",'Historical DATA'!CO19)</f>
        <v>45715</v>
      </c>
      <c r="Y33" s="333">
        <f>IF('Historical DATA'!CP19="","",'Historical DATA'!CP19)</f>
        <v>45743</v>
      </c>
      <c r="Z33" s="334">
        <f>IF('Historical DATA'!CQ19="","",'Historical DATA'!CQ19)</f>
        <v>28</v>
      </c>
      <c r="AA33" s="1365">
        <f>IF('Historical DATA'!CR19="","",'Historical DATA'!CR19)</f>
        <v>1.4999999999999999E-2</v>
      </c>
      <c r="AB33" s="1364">
        <f>IF('Historical DATA'!CS19="","",'Historical DATA'!CS19)</f>
        <v>110.82</v>
      </c>
      <c r="AC33" s="335">
        <f>IF('Historical DATA'!CT19="","",'Historical DATA'!CT19)</f>
        <v>453475.43999999994</v>
      </c>
    </row>
    <row r="34" spans="2:29">
      <c r="B34" s="137">
        <f>IF('Historical DATA'!B20="","",'Historical DATA'!B20)</f>
        <v>45715</v>
      </c>
      <c r="C34" s="1457"/>
      <c r="D34" s="331">
        <f>IF('Historical DATA'!BW20="","",'Historical DATA'!BW20)</f>
        <v>77732</v>
      </c>
      <c r="E34" s="332">
        <f>IF('Historical DATA'!BX20="","",'Historical DATA'!BX20)</f>
        <v>97065.82</v>
      </c>
      <c r="F34" s="333">
        <f>IF('Historical DATA'!BY20="","",'Historical DATA'!BY20)</f>
        <v>45684</v>
      </c>
      <c r="G34" s="333">
        <f>IF('Historical DATA'!BZ20="","",'Historical DATA'!BZ20)</f>
        <v>45715</v>
      </c>
      <c r="H34" s="334">
        <f>IF('Historical DATA'!CA20="","",'Historical DATA'!CA20)</f>
        <v>31</v>
      </c>
      <c r="I34" s="1365">
        <f>IF('Historical DATA'!CB20="","",'Historical DATA'!CB20)</f>
        <v>6.0000000000000001E-3</v>
      </c>
      <c r="J34" s="1364">
        <f>IF('Historical DATA'!CC20="","",'Historical DATA'!CC20)</f>
        <v>49.46</v>
      </c>
      <c r="K34" s="335">
        <f>IF('Historical DATA'!CD20="","",'Historical DATA'!CD20)</f>
        <v>3844624.72</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f>IF('Historical DATA'!CM20="","",'Historical DATA'!CM20)</f>
        <v>4092</v>
      </c>
      <c r="W34" s="332">
        <f>IF('Historical DATA'!CN20="","",'Historical DATA'!CN20)</f>
        <v>97045.849999999991</v>
      </c>
      <c r="X34" s="333">
        <f>IF('Historical DATA'!CO20="","",'Historical DATA'!CO20)</f>
        <v>45684</v>
      </c>
      <c r="Y34" s="333">
        <f>IF('Historical DATA'!CP20="","",'Historical DATA'!CP20)</f>
        <v>45715</v>
      </c>
      <c r="Z34" s="334">
        <f>IF('Historical DATA'!CQ20="","",'Historical DATA'!CQ20)</f>
        <v>31</v>
      </c>
      <c r="AA34" s="1365">
        <f>IF('Historical DATA'!CR20="","",'Historical DATA'!CR20)</f>
        <v>1.4999999999999999E-2</v>
      </c>
      <c r="AB34" s="1364">
        <f>IF('Historical DATA'!CS20="","",'Historical DATA'!CS20)</f>
        <v>123.63</v>
      </c>
      <c r="AC34" s="335">
        <f>IF('Historical DATA'!CT20="","",'Historical DATA'!CT20)</f>
        <v>505893.95999999996</v>
      </c>
    </row>
    <row r="35" spans="2:29">
      <c r="B35" s="137">
        <f>IF('Historical DATA'!B21="","",'Historical DATA'!B21)</f>
        <v>45684</v>
      </c>
      <c r="C35" s="1457"/>
      <c r="D35" s="331">
        <f>IF('Historical DATA'!BW21="","",'Historical DATA'!BW21)</f>
        <v>77732</v>
      </c>
      <c r="E35" s="332">
        <f>IF('Historical DATA'!BX21="","",'Historical DATA'!BX21)</f>
        <v>98537.86</v>
      </c>
      <c r="F35" s="333">
        <f>IF('Historical DATA'!BY21="","",'Historical DATA'!BY21)</f>
        <v>45653</v>
      </c>
      <c r="G35" s="333">
        <f>IF('Historical DATA'!BZ21="","",'Historical DATA'!BZ21)</f>
        <v>45684</v>
      </c>
      <c r="H35" s="334">
        <f>IF('Historical DATA'!CA21="","",'Historical DATA'!CA21)</f>
        <v>31</v>
      </c>
      <c r="I35" s="1365">
        <f>IF('Historical DATA'!CB21="","",'Historical DATA'!CB21)</f>
        <v>6.0000000000000001E-3</v>
      </c>
      <c r="J35" s="1364">
        <f>IF('Historical DATA'!CC21="","",'Historical DATA'!CC21)</f>
        <v>50.21</v>
      </c>
      <c r="K35" s="335">
        <f>IF('Historical DATA'!CD21="","",'Historical DATA'!CD21)</f>
        <v>3902923.72</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f>IF('Historical DATA'!CM21="","",'Historical DATA'!CM21)</f>
        <v>4092</v>
      </c>
      <c r="W35" s="332">
        <f>IF('Historical DATA'!CN21="","",'Historical DATA'!CN21)</f>
        <v>98517.58</v>
      </c>
      <c r="X35" s="333">
        <f>IF('Historical DATA'!CO21="","",'Historical DATA'!CO21)</f>
        <v>45653</v>
      </c>
      <c r="Y35" s="333">
        <f>IF('Historical DATA'!CP21="","",'Historical DATA'!CP21)</f>
        <v>45684</v>
      </c>
      <c r="Z35" s="334">
        <f>IF('Historical DATA'!CQ21="","",'Historical DATA'!CQ21)</f>
        <v>31</v>
      </c>
      <c r="AA35" s="1365">
        <f>IF('Historical DATA'!CR21="","",'Historical DATA'!CR21)</f>
        <v>1.4999999999999999E-2</v>
      </c>
      <c r="AB35" s="1364">
        <f>IF('Historical DATA'!CS21="","",'Historical DATA'!CS21)</f>
        <v>125.51</v>
      </c>
      <c r="AC35" s="335">
        <f>IF('Historical DATA'!CT21="","",'Historical DATA'!CT21)</f>
        <v>513586.92000000004</v>
      </c>
    </row>
    <row r="36" spans="2:29">
      <c r="B36" s="137">
        <f>IF('Historical DATA'!B22="","",'Historical DATA'!B22)</f>
        <v>45653</v>
      </c>
      <c r="C36" s="1457"/>
      <c r="D36" s="331">
        <f>IF('Historical DATA'!BW22="","",'Historical DATA'!BW22)</f>
        <v>77732</v>
      </c>
      <c r="E36" s="332">
        <f>IF('Historical DATA'!BX22="","",'Historical DATA'!BX22)</f>
        <v>99248.180000000008</v>
      </c>
      <c r="F36" s="333">
        <f>IF('Historical DATA'!BY22="","",'Historical DATA'!BY22)</f>
        <v>45623</v>
      </c>
      <c r="G36" s="333">
        <f>IF('Historical DATA'!BZ22="","",'Historical DATA'!BZ22)</f>
        <v>45653</v>
      </c>
      <c r="H36" s="334">
        <f>IF('Historical DATA'!CA22="","",'Historical DATA'!CA22)</f>
        <v>30</v>
      </c>
      <c r="I36" s="1365">
        <f>IF('Historical DATA'!CB22="","",'Historical DATA'!CB22)</f>
        <v>6.0000000000000001E-3</v>
      </c>
      <c r="J36" s="1364">
        <f>IF('Historical DATA'!CC22="","",'Historical DATA'!CC22)</f>
        <v>48.94</v>
      </c>
      <c r="K36" s="335">
        <f>IF('Historical DATA'!CD22="","",'Historical DATA'!CD22)</f>
        <v>3804204.0799999996</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f>IF('Historical DATA'!CM22="","",'Historical DATA'!CM22)</f>
        <v>4092</v>
      </c>
      <c r="W36" s="332">
        <f>IF('Historical DATA'!CN22="","",'Historical DATA'!CN22)</f>
        <v>99227.75</v>
      </c>
      <c r="X36" s="333">
        <f>IF('Historical DATA'!CO22="","",'Historical DATA'!CO22)</f>
        <v>45623</v>
      </c>
      <c r="Y36" s="333">
        <f>IF('Historical DATA'!CP22="","",'Historical DATA'!CP22)</f>
        <v>45653</v>
      </c>
      <c r="Z36" s="334">
        <f>IF('Historical DATA'!CQ22="","",'Historical DATA'!CQ22)</f>
        <v>30</v>
      </c>
      <c r="AA36" s="1365">
        <f>IF('Historical DATA'!CR22="","",'Historical DATA'!CR22)</f>
        <v>1.4999999999999999E-2</v>
      </c>
      <c r="AB36" s="1364">
        <f>IF('Historical DATA'!CS22="","",'Historical DATA'!CS22)</f>
        <v>122.34</v>
      </c>
      <c r="AC36" s="335">
        <f>IF('Historical DATA'!CT22="","",'Historical DATA'!CT22)</f>
        <v>500615.28</v>
      </c>
    </row>
    <row r="37" spans="2:29">
      <c r="B37" s="137">
        <f>IF('Historical DATA'!B23="","",'Historical DATA'!B23)</f>
        <v>45623</v>
      </c>
      <c r="C37" s="1457"/>
      <c r="D37" s="331">
        <f>IF('Historical DATA'!BW23="","",'Historical DATA'!BW23)</f>
        <v>77732</v>
      </c>
      <c r="E37" s="332">
        <f>IF('Historical DATA'!BX23="","",'Historical DATA'!BX23)</f>
        <v>100000</v>
      </c>
      <c r="F37" s="333">
        <f>IF('Historical DATA'!BY23="","",'Historical DATA'!BY23)</f>
        <v>45588</v>
      </c>
      <c r="G37" s="333">
        <f>IF('Historical DATA'!BZ23="","",'Historical DATA'!BZ23)</f>
        <v>45623</v>
      </c>
      <c r="H37" s="334">
        <f>IF('Historical DATA'!CA23="","",'Historical DATA'!CA23)</f>
        <v>35</v>
      </c>
      <c r="I37" s="1365">
        <f>IF('Historical DATA'!CB23="","",'Historical DATA'!CB23)</f>
        <v>6.0000000000000001E-3</v>
      </c>
      <c r="J37" s="1364">
        <f>IF('Historical DATA'!CC23="","",'Historical DATA'!CC23)</f>
        <v>57.53</v>
      </c>
      <c r="K37" s="335">
        <f>IF('Historical DATA'!CD23="","",'Historical DATA'!CD23)</f>
        <v>4471921.96</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f>IF('Historical DATA'!CM23="","",'Historical DATA'!CM23)</f>
        <v>4092</v>
      </c>
      <c r="W37" s="332">
        <f>IF('Historical DATA'!CN23="","",'Historical DATA'!CN23)</f>
        <v>100000</v>
      </c>
      <c r="X37" s="333">
        <f>IF('Historical DATA'!CO23="","",'Historical DATA'!CO23)</f>
        <v>45588</v>
      </c>
      <c r="Y37" s="333">
        <f>IF('Historical DATA'!CP23="","",'Historical DATA'!CP23)</f>
        <v>45623</v>
      </c>
      <c r="Z37" s="334">
        <f>IF('Historical DATA'!CQ23="","",'Historical DATA'!CQ23)</f>
        <v>35</v>
      </c>
      <c r="AA37" s="1365">
        <f>IF('Historical DATA'!CR23="","",'Historical DATA'!CR23)</f>
        <v>1.4999999999999999E-2</v>
      </c>
      <c r="AB37" s="1364">
        <f>IF('Historical DATA'!CS23="","",'Historical DATA'!CS23)</f>
        <v>143.84</v>
      </c>
      <c r="AC37" s="335">
        <f>IF('Historical DATA'!CT23="","",'Historical DATA'!CT23)</f>
        <v>588593.28</v>
      </c>
    </row>
    <row r="38" spans="2:29">
      <c r="B38" s="137">
        <f>IF('Historical DATA'!B24="","",'Historical DATA'!B24)</f>
        <v>45588</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 ref="T15:T16"/>
    <mergeCell ref="M15:M16"/>
    <mergeCell ref="N15:N16"/>
    <mergeCell ref="O15:Q15"/>
    <mergeCell ref="R15:R16"/>
    <mergeCell ref="S15:S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heetViews>
  <sheetFormatPr defaultColWidth="9.1796875" defaultRowHeight="12.5"/>
  <cols>
    <col min="1" max="1" width="9.1796875" style="234"/>
    <col min="2" max="2" width="1.81640625" style="234" customWidth="1"/>
    <col min="3" max="3" width="5.81640625" style="234" customWidth="1"/>
    <col min="4" max="4" width="9.1796875" style="234"/>
    <col min="5" max="5" width="21.453125" style="234" customWidth="1"/>
    <col min="6" max="7" width="33.26953125" style="234" customWidth="1"/>
    <col min="8" max="8" width="17.7265625" style="234" bestFit="1" customWidth="1"/>
    <col min="9" max="9" width="21" style="234" bestFit="1" customWidth="1"/>
    <col min="10" max="10" width="19.1796875" style="234" customWidth="1"/>
    <col min="11" max="11" width="118.453125" style="234" bestFit="1" customWidth="1"/>
    <col min="12" max="12" width="20" style="234" customWidth="1"/>
    <col min="13" max="13" width="18.453125" style="234" customWidth="1"/>
    <col min="14" max="16384" width="9.1796875" style="234"/>
  </cols>
  <sheetData>
    <row r="2" spans="2:11" ht="13">
      <c r="H2" s="82"/>
      <c r="I2" s="1213" t="s">
        <v>99</v>
      </c>
      <c r="J2" s="1213">
        <f>'00 - Cover'!$F$17</f>
        <v>46203</v>
      </c>
    </row>
    <row r="3" spans="2:11" ht="13" hidden="1">
      <c r="H3" s="82"/>
      <c r="I3" s="1213" t="s">
        <v>4</v>
      </c>
      <c r="J3" s="1213">
        <f>'00 - Cover'!$F$19</f>
        <v>46223</v>
      </c>
    </row>
    <row r="4" spans="2:11" ht="13" hidden="1">
      <c r="H4" s="82"/>
      <c r="I4" s="1213" t="s">
        <v>5</v>
      </c>
      <c r="J4" s="1213">
        <f>'00 - Cover'!$F$20</f>
        <v>46230</v>
      </c>
    </row>
    <row r="5" spans="2:11" ht="13">
      <c r="H5" s="82"/>
      <c r="I5" s="341"/>
    </row>
    <row r="7" spans="2:11" ht="15.5">
      <c r="B7" s="342"/>
      <c r="C7" s="343" t="s">
        <v>640</v>
      </c>
      <c r="D7" s="343"/>
      <c r="E7" s="343"/>
      <c r="F7" s="343"/>
      <c r="G7" s="343"/>
      <c r="H7" s="343"/>
      <c r="I7" s="343"/>
      <c r="J7" s="343"/>
      <c r="K7" s="343"/>
    </row>
    <row r="9" spans="2:11">
      <c r="K9" s="338"/>
    </row>
    <row r="10" spans="2:11" ht="15.5">
      <c r="B10" s="241"/>
      <c r="C10" s="2005" t="s">
        <v>405</v>
      </c>
      <c r="D10" s="2005"/>
      <c r="E10" s="2005"/>
      <c r="F10" s="2005"/>
      <c r="G10" s="2005"/>
      <c r="H10" s="1344"/>
      <c r="I10" s="1344"/>
      <c r="J10" s="1344"/>
      <c r="K10" s="353"/>
    </row>
    <row r="11" spans="2:11" ht="14.5">
      <c r="B11" s="418"/>
      <c r="C11" s="2005"/>
      <c r="D11" s="2005"/>
      <c r="E11" s="2005"/>
      <c r="F11" s="2005"/>
      <c r="G11" s="2005"/>
      <c r="H11" s="345" t="s">
        <v>156</v>
      </c>
      <c r="I11" s="346" t="s">
        <v>157</v>
      </c>
      <c r="J11" s="1346"/>
      <c r="K11" s="353"/>
    </row>
    <row r="12" spans="2:11" ht="14.5">
      <c r="B12" s="241"/>
      <c r="C12" s="35"/>
      <c r="D12" s="2002" t="s">
        <v>158</v>
      </c>
      <c r="E12" s="2003"/>
      <c r="F12" s="2003"/>
      <c r="G12" s="2004"/>
      <c r="H12" s="347"/>
      <c r="I12" s="1735">
        <f>'Historical DATA'!DD4</f>
        <v>97729.300014212728</v>
      </c>
      <c r="J12" s="1821"/>
      <c r="K12" s="353"/>
    </row>
    <row r="13" spans="2:11" ht="56.25" customHeight="1">
      <c r="B13" s="241"/>
      <c r="C13" s="35"/>
      <c r="D13" s="350" t="s">
        <v>159</v>
      </c>
      <c r="E13" s="2023" t="s">
        <v>1019</v>
      </c>
      <c r="F13" s="2025" t="s">
        <v>1015</v>
      </c>
      <c r="G13" s="2026"/>
      <c r="H13" s="351">
        <f>('11 - Notes Follow-up'!E25+'11 - Notes Follow-up'!U25+'11 - Notes Follow-up'!AB25+'11 - Notes Follow-up'!M25)</f>
        <v>0</v>
      </c>
      <c r="I13" s="352">
        <f>I12+H13</f>
        <v>97729.300014212728</v>
      </c>
      <c r="J13" s="1821"/>
      <c r="K13" s="1738"/>
    </row>
    <row r="14" spans="2:11" ht="35.15" customHeight="1">
      <c r="B14" s="241"/>
      <c r="C14" s="35"/>
      <c r="D14" s="2021" t="s">
        <v>159</v>
      </c>
      <c r="E14" s="2024"/>
      <c r="F14" s="2025" t="s">
        <v>1016</v>
      </c>
      <c r="G14" s="2026"/>
      <c r="H14" s="351">
        <v>0</v>
      </c>
      <c r="I14" s="352">
        <f t="shared" ref="I14:I23" si="0">I13+H14</f>
        <v>97729.300014212728</v>
      </c>
      <c r="J14" s="1822"/>
      <c r="K14" s="353"/>
    </row>
    <row r="15" spans="2:11" ht="35.15" customHeight="1">
      <c r="B15" s="241"/>
      <c r="C15" s="35"/>
      <c r="D15" s="2022"/>
      <c r="E15" s="2009" t="s">
        <v>1017</v>
      </c>
      <c r="F15" s="2010"/>
      <c r="G15" s="2011"/>
      <c r="H15" s="351">
        <f>'15 - Priority of Payments'!J11+'15 - Priority of Payments'!J19</f>
        <v>94781986.410001457</v>
      </c>
      <c r="I15" s="352">
        <f t="shared" si="0"/>
        <v>94879715.710015669</v>
      </c>
      <c r="J15" s="1821"/>
      <c r="K15" s="353"/>
    </row>
    <row r="16" spans="2:11" ht="26.15" customHeight="1">
      <c r="B16" s="241"/>
      <c r="C16" s="35"/>
      <c r="D16" s="350" t="s">
        <v>159</v>
      </c>
      <c r="E16" s="2018" t="s">
        <v>1018</v>
      </c>
      <c r="F16" s="2019"/>
      <c r="G16" s="2020"/>
      <c r="H16" s="351">
        <v>0</v>
      </c>
      <c r="I16" s="352">
        <f t="shared" si="0"/>
        <v>94879715.710015669</v>
      </c>
      <c r="J16" s="1821"/>
      <c r="K16" s="338"/>
    </row>
    <row r="17" spans="2:11" ht="54" customHeight="1">
      <c r="B17" s="241"/>
      <c r="C17" s="35"/>
      <c r="D17" s="350" t="s">
        <v>159</v>
      </c>
      <c r="E17" s="2009" t="s">
        <v>1022</v>
      </c>
      <c r="F17" s="2010"/>
      <c r="G17" s="2011"/>
      <c r="H17" s="351">
        <f>'15 - Priority of Payments'!J15</f>
        <v>7753809.8311999999</v>
      </c>
      <c r="I17" s="352">
        <f t="shared" si="0"/>
        <v>102633525.54121567</v>
      </c>
      <c r="J17" s="1821"/>
      <c r="K17" s="338"/>
    </row>
    <row r="18" spans="2:11" ht="57.75" customHeight="1">
      <c r="B18" s="241"/>
      <c r="C18" s="35"/>
      <c r="D18" s="350" t="s">
        <v>159</v>
      </c>
      <c r="E18" s="2009" t="s">
        <v>1021</v>
      </c>
      <c r="F18" s="2010"/>
      <c r="G18" s="2011"/>
      <c r="H18" s="351">
        <f>'15 - Priority of Payments'!J16</f>
        <v>7382652.8500000006</v>
      </c>
      <c r="I18" s="352">
        <f t="shared" si="0"/>
        <v>110016178.39121567</v>
      </c>
      <c r="J18" s="1821"/>
      <c r="K18" s="338"/>
    </row>
    <row r="19" spans="2:11" ht="26.15" customHeight="1">
      <c r="B19" s="241"/>
      <c r="C19" s="35"/>
      <c r="D19" s="350" t="s">
        <v>159</v>
      </c>
      <c r="E19" s="2009" t="s">
        <v>1020</v>
      </c>
      <c r="F19" s="2010"/>
      <c r="G19" s="2011"/>
      <c r="H19" s="351">
        <f>H38</f>
        <v>0</v>
      </c>
      <c r="I19" s="352">
        <f>I18+H19</f>
        <v>110016178.39121567</v>
      </c>
      <c r="J19" s="1821"/>
      <c r="K19" s="338"/>
    </row>
    <row r="20" spans="2:11" ht="26.15" customHeight="1">
      <c r="B20" s="241"/>
      <c r="C20" s="35"/>
      <c r="D20" s="350" t="s">
        <v>159</v>
      </c>
      <c r="E20" s="2009" t="s">
        <v>1023</v>
      </c>
      <c r="F20" s="2010"/>
      <c r="G20" s="2011"/>
      <c r="H20" s="351">
        <f>H39</f>
        <v>450000</v>
      </c>
      <c r="I20" s="352">
        <f t="shared" si="0"/>
        <v>110466178.39121567</v>
      </c>
      <c r="J20" s="1821"/>
      <c r="K20" s="338"/>
    </row>
    <row r="21" spans="2:11" ht="40.5" customHeight="1">
      <c r="B21" s="241"/>
      <c r="C21" s="35"/>
      <c r="D21" s="350" t="s">
        <v>159</v>
      </c>
      <c r="E21" s="2009" t="s">
        <v>1024</v>
      </c>
      <c r="F21" s="2010"/>
      <c r="G21" s="2011"/>
      <c r="H21" s="351">
        <f>H40</f>
        <v>0</v>
      </c>
      <c r="I21" s="352">
        <f t="shared" si="0"/>
        <v>110466178.39121567</v>
      </c>
      <c r="J21" s="1821"/>
      <c r="K21" s="353"/>
    </row>
    <row r="22" spans="2:11" ht="40.5" customHeight="1">
      <c r="B22" s="241"/>
      <c r="C22" s="35"/>
      <c r="D22" s="350" t="s">
        <v>159</v>
      </c>
      <c r="E22" s="2009" t="s">
        <v>1025</v>
      </c>
      <c r="F22" s="2010"/>
      <c r="G22" s="2011"/>
      <c r="H22" s="351">
        <f>H48</f>
        <v>0</v>
      </c>
      <c r="I22" s="352">
        <f t="shared" si="0"/>
        <v>110466178.39121567</v>
      </c>
      <c r="J22" s="1821"/>
      <c r="K22" s="344"/>
    </row>
    <row r="23" spans="2:11" ht="48.75" customHeight="1">
      <c r="B23" s="241"/>
      <c r="C23" s="35"/>
      <c r="D23" s="350" t="s">
        <v>159</v>
      </c>
      <c r="E23" s="2009" t="s">
        <v>1026</v>
      </c>
      <c r="F23" s="2010"/>
      <c r="G23" s="2011"/>
      <c r="H23" s="351">
        <v>0</v>
      </c>
      <c r="I23" s="352">
        <f t="shared" si="0"/>
        <v>110466178.39121567</v>
      </c>
      <c r="J23" s="1821"/>
      <c r="K23" s="354"/>
    </row>
    <row r="24" spans="2:11" ht="53.25" customHeight="1">
      <c r="B24" s="241"/>
      <c r="C24" s="35"/>
      <c r="D24" s="355" t="s">
        <v>160</v>
      </c>
      <c r="E24" s="2015" t="s">
        <v>1027</v>
      </c>
      <c r="F24" s="2016"/>
      <c r="G24" s="2017"/>
      <c r="H24" s="356">
        <f>'02 - Monthly Asset Follow up'!D17</f>
        <v>0</v>
      </c>
      <c r="I24" s="352">
        <f>I23-H24</f>
        <v>110466178.39121567</v>
      </c>
      <c r="J24" s="1823"/>
      <c r="K24" s="357"/>
    </row>
    <row r="25" spans="2:11" ht="30.75" customHeight="1">
      <c r="B25" s="241"/>
      <c r="C25" s="35"/>
      <c r="D25" s="355" t="s">
        <v>160</v>
      </c>
      <c r="E25" s="2015" t="s">
        <v>1028</v>
      </c>
      <c r="F25" s="2016"/>
      <c r="G25" s="2017"/>
      <c r="H25" s="356">
        <f>IF('00 - Cover'!F30="Yes",0,SUM('15 - Priority of Payments'!J28:J35))</f>
        <v>110368034.14120084</v>
      </c>
      <c r="I25" s="352">
        <f>I24-H25</f>
        <v>98144.250014826655</v>
      </c>
      <c r="J25" s="1824"/>
      <c r="K25" s="358"/>
    </row>
    <row r="26" spans="2:11" ht="51" customHeight="1">
      <c r="B26" s="241"/>
      <c r="C26" s="35"/>
      <c r="D26" s="355" t="s">
        <v>160</v>
      </c>
      <c r="E26" s="2015" t="s">
        <v>1029</v>
      </c>
      <c r="F26" s="2016"/>
      <c r="G26" s="2017"/>
      <c r="H26" s="356">
        <v>0</v>
      </c>
      <c r="I26" s="352">
        <f>I25-H26</f>
        <v>98144.250014826655</v>
      </c>
      <c r="J26" s="1848"/>
      <c r="K26" s="359"/>
    </row>
    <row r="27" spans="2:11" ht="58.5" customHeight="1">
      <c r="B27" s="241"/>
      <c r="C27" s="35"/>
      <c r="D27" s="355" t="s">
        <v>160</v>
      </c>
      <c r="E27" s="2012" t="s">
        <v>1030</v>
      </c>
      <c r="F27" s="2013"/>
      <c r="G27" s="2014"/>
      <c r="H27" s="356">
        <v>0</v>
      </c>
      <c r="I27" s="352">
        <f>I26-H27</f>
        <v>98144.250014826655</v>
      </c>
      <c r="J27" s="1829"/>
      <c r="K27" s="358"/>
    </row>
    <row r="28" spans="2:11" ht="47.15" customHeight="1">
      <c r="B28" s="241"/>
      <c r="C28" s="35"/>
      <c r="D28" s="355" t="s">
        <v>160</v>
      </c>
      <c r="E28" s="2012" t="s">
        <v>1031</v>
      </c>
      <c r="F28" s="2013"/>
      <c r="G28" s="2014"/>
      <c r="H28" s="356">
        <v>0</v>
      </c>
      <c r="I28" s="352">
        <f>I27-H28</f>
        <v>98144.250014826655</v>
      </c>
      <c r="J28" s="1823"/>
      <c r="K28" s="338"/>
    </row>
    <row r="29" spans="2:11" ht="14.5">
      <c r="B29" s="241"/>
      <c r="C29" s="35"/>
      <c r="D29" s="2002"/>
      <c r="E29" s="2003"/>
      <c r="F29" s="2003"/>
      <c r="G29" s="2004"/>
      <c r="H29" s="347"/>
      <c r="I29" s="1735">
        <f>I28</f>
        <v>98144.250014826655</v>
      </c>
      <c r="J29" s="1823"/>
      <c r="K29" s="360"/>
    </row>
    <row r="30" spans="2:11" ht="14.5">
      <c r="B30" s="241"/>
      <c r="C30" s="35"/>
      <c r="D30" s="35"/>
      <c r="E30" s="35"/>
      <c r="F30" s="35"/>
      <c r="G30" s="35"/>
      <c r="H30" s="35"/>
      <c r="I30" s="1345"/>
      <c r="J30" s="241"/>
      <c r="K30" s="344"/>
    </row>
    <row r="31" spans="2:11" ht="14.5">
      <c r="K31" s="353"/>
    </row>
    <row r="32" spans="2:11" ht="14.5">
      <c r="K32" s="353"/>
    </row>
    <row r="33" spans="2:13" ht="15.5">
      <c r="B33" s="241"/>
      <c r="C33" s="2005" t="s">
        <v>1014</v>
      </c>
      <c r="D33" s="2005"/>
      <c r="E33" s="2005"/>
      <c r="F33" s="2005"/>
      <c r="G33" s="2005"/>
      <c r="H33" s="1344"/>
      <c r="I33" s="1344"/>
      <c r="J33" s="1344"/>
      <c r="K33" s="344"/>
    </row>
    <row r="34" spans="2:13" ht="14.5">
      <c r="B34" s="418"/>
      <c r="C34" s="2005"/>
      <c r="D34" s="2005"/>
      <c r="E34" s="2005"/>
      <c r="F34" s="2005"/>
      <c r="G34" s="2005"/>
      <c r="H34" s="345" t="s">
        <v>156</v>
      </c>
      <c r="I34" s="346" t="s">
        <v>157</v>
      </c>
      <c r="J34" s="1346"/>
      <c r="K34" s="344"/>
    </row>
    <row r="35" spans="2:13" ht="14.5">
      <c r="B35" s="241"/>
      <c r="C35" s="35"/>
      <c r="D35" s="2002" t="s">
        <v>158</v>
      </c>
      <c r="E35" s="2003"/>
      <c r="F35" s="2003"/>
      <c r="G35" s="2004"/>
      <c r="H35" s="347"/>
      <c r="I35" s="348">
        <f>'Historical DATA'!DE4</f>
        <v>51430000</v>
      </c>
      <c r="J35" s="1821"/>
      <c r="K35" s="344"/>
    </row>
    <row r="36" spans="2:13" ht="33.65" customHeight="1">
      <c r="B36" s="241"/>
      <c r="C36" s="35"/>
      <c r="D36" s="350" t="s">
        <v>159</v>
      </c>
      <c r="E36" s="2006" t="s">
        <v>1033</v>
      </c>
      <c r="F36" s="2007"/>
      <c r="G36" s="2008"/>
      <c r="H36" s="351">
        <v>0</v>
      </c>
      <c r="I36" s="352">
        <f>I35+H36</f>
        <v>51430000</v>
      </c>
      <c r="J36" s="1821"/>
    </row>
    <row r="37" spans="2:13" ht="37.5" customHeight="1">
      <c r="B37" s="241"/>
      <c r="C37" s="35"/>
      <c r="D37" s="350" t="s">
        <v>159</v>
      </c>
      <c r="E37" s="2006" t="s">
        <v>1032</v>
      </c>
      <c r="F37" s="2007"/>
      <c r="G37" s="2008"/>
      <c r="H37" s="351">
        <f>ABS(MAX(0,'10 - Reserve calculation'!K12))</f>
        <v>0</v>
      </c>
      <c r="I37" s="352">
        <f>I36+H37</f>
        <v>51430000</v>
      </c>
      <c r="J37" s="1828"/>
      <c r="K37" s="1396" t="s">
        <v>1108</v>
      </c>
      <c r="M37" s="1397">
        <v>0</v>
      </c>
    </row>
    <row r="38" spans="2:13" ht="53.25" customHeight="1">
      <c r="B38" s="241"/>
      <c r="C38" s="35"/>
      <c r="D38" s="355" t="s">
        <v>160</v>
      </c>
      <c r="E38" s="2012" t="s">
        <v>1034</v>
      </c>
      <c r="F38" s="2013"/>
      <c r="G38" s="2014"/>
      <c r="H38" s="356">
        <v>0</v>
      </c>
      <c r="I38" s="352">
        <f>I37-H38</f>
        <v>51430000</v>
      </c>
      <c r="J38" s="1828"/>
      <c r="K38" s="1398" t="s">
        <v>1109</v>
      </c>
      <c r="M38" s="1397">
        <v>0</v>
      </c>
    </row>
    <row r="39" spans="2:13" ht="27" customHeight="1">
      <c r="B39" s="241"/>
      <c r="C39" s="35"/>
      <c r="D39" s="355" t="s">
        <v>160</v>
      </c>
      <c r="E39" s="2012" t="s">
        <v>1035</v>
      </c>
      <c r="F39" s="2013"/>
      <c r="G39" s="2014"/>
      <c r="H39" s="356">
        <f>ABS(MIN(0,'10 - Reserve calculation'!K12))</f>
        <v>450000</v>
      </c>
      <c r="I39" s="352">
        <f>I38-H39</f>
        <v>50980000</v>
      </c>
      <c r="J39" s="1828"/>
      <c r="K39" s="1400" t="s">
        <v>1110</v>
      </c>
      <c r="M39" s="1397">
        <v>0</v>
      </c>
    </row>
    <row r="40" spans="2:13" ht="44.25" customHeight="1">
      <c r="B40" s="241"/>
      <c r="C40" s="35"/>
      <c r="D40" s="355" t="s">
        <v>160</v>
      </c>
      <c r="E40" s="2027" t="s">
        <v>1036</v>
      </c>
      <c r="F40" s="2028"/>
      <c r="G40" s="2029"/>
      <c r="H40" s="356">
        <f>IF('00 - Cover'!F27="Yes",'13 - Issuer Account'!I39,0)</f>
        <v>0</v>
      </c>
      <c r="I40" s="352">
        <f>I39-H40</f>
        <v>50980000</v>
      </c>
      <c r="J40" s="1828"/>
      <c r="K40" s="1395" t="s">
        <v>1111</v>
      </c>
      <c r="M40" s="1399">
        <v>0</v>
      </c>
    </row>
    <row r="41" spans="2:13" ht="14.5">
      <c r="B41" s="241"/>
      <c r="C41" s="35"/>
      <c r="D41" s="2002"/>
      <c r="E41" s="2003"/>
      <c r="F41" s="2003"/>
      <c r="G41" s="2004"/>
      <c r="H41" s="347"/>
      <c r="I41" s="348">
        <f>I40</f>
        <v>50980000</v>
      </c>
      <c r="J41" s="1823"/>
      <c r="K41" s="360"/>
    </row>
    <row r="42" spans="2:13" ht="14.5">
      <c r="B42" s="241"/>
      <c r="C42" s="35"/>
      <c r="D42" s="35"/>
      <c r="E42" s="35"/>
      <c r="F42" s="35"/>
      <c r="G42" s="35"/>
      <c r="H42" s="35"/>
      <c r="I42" s="1345"/>
      <c r="J42" s="241"/>
      <c r="K42" s="344"/>
    </row>
    <row r="43" spans="2:13" ht="14.5">
      <c r="K43" s="344"/>
    </row>
    <row r="44" spans="2:13" ht="15.5">
      <c r="B44" s="241"/>
      <c r="C44" s="2005" t="s">
        <v>1013</v>
      </c>
      <c r="D44" s="2005"/>
      <c r="E44" s="2005"/>
      <c r="F44" s="2005"/>
      <c r="G44" s="2005"/>
      <c r="H44" s="1344"/>
      <c r="I44" s="1344"/>
      <c r="J44" s="1344"/>
      <c r="K44" s="344"/>
    </row>
    <row r="45" spans="2:13" ht="14.5">
      <c r="B45" s="418"/>
      <c r="C45" s="2005"/>
      <c r="D45" s="2005"/>
      <c r="E45" s="2005"/>
      <c r="F45" s="2005"/>
      <c r="G45" s="2005"/>
      <c r="H45" s="345" t="s">
        <v>156</v>
      </c>
      <c r="I45" s="346" t="s">
        <v>157</v>
      </c>
      <c r="J45" s="1346"/>
      <c r="K45" s="344"/>
    </row>
    <row r="46" spans="2:13" ht="14.5">
      <c r="B46" s="241"/>
      <c r="C46" s="35"/>
      <c r="D46" s="2002" t="s">
        <v>158</v>
      </c>
      <c r="E46" s="2003"/>
      <c r="F46" s="2003"/>
      <c r="G46" s="2004"/>
      <c r="H46" s="347"/>
      <c r="I46" s="348">
        <f>Output!CG4</f>
        <v>0</v>
      </c>
      <c r="J46" s="1821"/>
      <c r="K46" s="344"/>
    </row>
    <row r="47" spans="2:13" ht="43.5" customHeight="1">
      <c r="B47" s="241"/>
      <c r="C47" s="35"/>
      <c r="D47" s="350" t="s">
        <v>159</v>
      </c>
      <c r="E47" s="2006" t="s">
        <v>1037</v>
      </c>
      <c r="F47" s="2007"/>
      <c r="G47" s="2008"/>
      <c r="H47" s="351">
        <v>0</v>
      </c>
      <c r="I47" s="352">
        <f>I46+H47</f>
        <v>0</v>
      </c>
      <c r="J47" s="1821"/>
    </row>
    <row r="48" spans="2:13" ht="56.25" customHeight="1">
      <c r="B48" s="241"/>
      <c r="C48" s="35"/>
      <c r="D48" s="355" t="s">
        <v>160</v>
      </c>
      <c r="E48" s="2015" t="s">
        <v>1038</v>
      </c>
      <c r="F48" s="2016"/>
      <c r="G48" s="2017"/>
      <c r="H48" s="356">
        <v>0</v>
      </c>
      <c r="I48" s="352">
        <f>I47-H48</f>
        <v>0</v>
      </c>
      <c r="J48" s="1823"/>
      <c r="K48" s="357"/>
    </row>
    <row r="49" spans="1:11" ht="56.25" customHeight="1">
      <c r="B49" s="241"/>
      <c r="C49" s="35"/>
      <c r="D49" s="355" t="s">
        <v>160</v>
      </c>
      <c r="E49" s="2015" t="s">
        <v>1039</v>
      </c>
      <c r="F49" s="2016"/>
      <c r="G49" s="2017"/>
      <c r="H49" s="356">
        <v>0</v>
      </c>
      <c r="I49" s="352">
        <f>I48-H49</f>
        <v>0</v>
      </c>
      <c r="J49" s="1824"/>
      <c r="K49" s="358"/>
    </row>
    <row r="50" spans="1:11" ht="56.25" customHeight="1">
      <c r="B50" s="241"/>
      <c r="C50" s="35"/>
      <c r="D50" s="355" t="s">
        <v>160</v>
      </c>
      <c r="E50" s="2015" t="s">
        <v>1040</v>
      </c>
      <c r="F50" s="2016"/>
      <c r="G50" s="2017"/>
      <c r="H50" s="356">
        <v>0</v>
      </c>
      <c r="I50" s="352">
        <f>I49-H50</f>
        <v>0</v>
      </c>
      <c r="J50" s="1823"/>
      <c r="K50" s="359"/>
    </row>
    <row r="51" spans="1:11" ht="56.25" customHeight="1">
      <c r="B51" s="241"/>
      <c r="C51" s="35"/>
      <c r="D51" s="355" t="s">
        <v>160</v>
      </c>
      <c r="E51" s="2012" t="s">
        <v>1041</v>
      </c>
      <c r="F51" s="2013"/>
      <c r="G51" s="2014"/>
      <c r="H51" s="356">
        <v>0</v>
      </c>
      <c r="I51" s="352">
        <f>I50-H51</f>
        <v>0</v>
      </c>
      <c r="J51" s="1823"/>
      <c r="K51" s="338"/>
    </row>
    <row r="52" spans="1:11" ht="14.5">
      <c r="B52" s="241"/>
      <c r="C52" s="35"/>
      <c r="D52" s="2002"/>
      <c r="E52" s="2003"/>
      <c r="F52" s="2003"/>
      <c r="G52" s="2004"/>
      <c r="H52" s="347"/>
      <c r="I52" s="348">
        <f>I51</f>
        <v>0</v>
      </c>
      <c r="J52" s="1823"/>
      <c r="K52" s="360"/>
    </row>
    <row r="53" spans="1:11" ht="14.5">
      <c r="A53" s="344"/>
      <c r="B53" s="344"/>
      <c r="C53" s="344"/>
      <c r="D53" s="344"/>
      <c r="E53" s="344"/>
      <c r="F53" s="344"/>
      <c r="G53" s="344"/>
      <c r="H53" s="344"/>
      <c r="I53" s="344"/>
      <c r="J53" s="344"/>
      <c r="K53" s="344"/>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topLeftCell="A19" zoomScale="85" zoomScaleNormal="80" zoomScaleSheetLayoutView="85" workbookViewId="0">
      <selection activeCell="J39" sqref="J39"/>
    </sheetView>
  </sheetViews>
  <sheetFormatPr defaultColWidth="11.54296875" defaultRowHeight="12.5"/>
  <cols>
    <col min="1" max="1" width="3" style="234" customWidth="1"/>
    <col min="2" max="2" width="2.54296875" style="234" customWidth="1"/>
    <col min="3" max="3" width="55.54296875" style="234" bestFit="1" customWidth="1"/>
    <col min="4" max="4" width="15.54296875" style="361" bestFit="1" customWidth="1"/>
    <col min="5" max="6" width="28.1796875" style="361" customWidth="1"/>
    <col min="7" max="7" width="19.81640625" style="361" bestFit="1" customWidth="1"/>
    <col min="8" max="8" width="19.81640625" style="234" customWidth="1"/>
    <col min="9" max="9" width="39.1796875" style="361" customWidth="1"/>
    <col min="10" max="10" width="24.54296875" style="349" bestFit="1" customWidth="1"/>
    <col min="11" max="11" width="12.453125" style="234" customWidth="1"/>
    <col min="12" max="12" width="2.54296875" style="234" customWidth="1"/>
    <col min="13" max="13" width="31.453125" style="234" customWidth="1"/>
    <col min="14" max="14" width="12.81640625" style="234" bestFit="1" customWidth="1"/>
    <col min="15" max="16384" width="11.54296875" style="234"/>
  </cols>
  <sheetData>
    <row r="2" spans="3:16">
      <c r="J2" s="362"/>
      <c r="K2" s="361"/>
      <c r="L2" s="361"/>
      <c r="M2" s="361"/>
    </row>
    <row r="3" spans="3:16" ht="14.5">
      <c r="I3" s="234"/>
      <c r="J3" s="363"/>
      <c r="K3" s="82"/>
    </row>
    <row r="4" spans="3:16" ht="13" hidden="1">
      <c r="I4" s="1213" t="s">
        <v>99</v>
      </c>
      <c r="J4" s="1213">
        <f>'00 - Cover'!$F$17</f>
        <v>46203</v>
      </c>
      <c r="K4" s="82"/>
      <c r="P4" s="365"/>
    </row>
    <row r="5" spans="3:16" ht="13" hidden="1">
      <c r="I5" s="1213" t="s">
        <v>4</v>
      </c>
      <c r="J5" s="1213">
        <f>'00 - Cover'!$F$19</f>
        <v>46223</v>
      </c>
      <c r="K5" s="82"/>
      <c r="P5" s="365"/>
    </row>
    <row r="6" spans="3:16" ht="13" hidden="1">
      <c r="I6" s="1213" t="s">
        <v>5</v>
      </c>
      <c r="J6" s="1213">
        <f>'00 - Cover'!$F$20</f>
        <v>46230</v>
      </c>
      <c r="K6" s="361"/>
      <c r="L6" s="361"/>
      <c r="M6" s="361"/>
      <c r="P6" s="365"/>
    </row>
    <row r="7" spans="3:16" hidden="1">
      <c r="D7" s="366"/>
      <c r="K7" s="361"/>
      <c r="L7" s="361"/>
      <c r="M7" s="361"/>
      <c r="P7" s="365"/>
    </row>
    <row r="8" spans="3:16" ht="13" hidden="1">
      <c r="I8" s="2033" t="s">
        <v>161</v>
      </c>
      <c r="J8" s="2034"/>
      <c r="P8" s="365"/>
    </row>
    <row r="9" spans="3:16" ht="13" hidden="1">
      <c r="I9" s="340" t="s">
        <v>162</v>
      </c>
      <c r="J9" s="364"/>
      <c r="P9" s="365"/>
    </row>
    <row r="10" spans="3:16" ht="13" hidden="1">
      <c r="I10" s="340" t="s">
        <v>5</v>
      </c>
      <c r="J10" s="364"/>
      <c r="P10" s="365"/>
    </row>
    <row r="11" spans="3:16" ht="13" hidden="1">
      <c r="I11" s="340" t="s">
        <v>153</v>
      </c>
      <c r="J11" s="364"/>
      <c r="P11" s="365"/>
    </row>
    <row r="12" spans="3:16" ht="18" customHeight="1">
      <c r="I12" s="367"/>
      <c r="J12" s="368"/>
      <c r="P12" s="365"/>
    </row>
    <row r="13" spans="3:16" ht="15.5">
      <c r="C13" s="2035" t="s">
        <v>2008</v>
      </c>
      <c r="D13" s="2036"/>
      <c r="E13" s="2036"/>
      <c r="F13" s="2036"/>
      <c r="G13" s="2036"/>
      <c r="H13" s="2036"/>
      <c r="I13" s="2036"/>
      <c r="J13" s="2036"/>
      <c r="K13" s="2036"/>
      <c r="P13" s="365"/>
    </row>
    <row r="14" spans="3:16" ht="13">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ht="13">
      <c r="C17" s="378" t="s">
        <v>172</v>
      </c>
      <c r="D17" s="2037" t="s">
        <v>173</v>
      </c>
      <c r="E17" s="379"/>
      <c r="F17" s="380"/>
      <c r="G17" s="381"/>
      <c r="H17" s="382"/>
      <c r="I17" s="383"/>
      <c r="J17" s="384"/>
      <c r="K17" s="384"/>
      <c r="P17" s="365"/>
    </row>
    <row r="18" spans="3:16" ht="13">
      <c r="C18" s="385" t="s">
        <v>1142</v>
      </c>
      <c r="D18" s="2038"/>
      <c r="E18" s="386">
        <v>65000</v>
      </c>
      <c r="F18" s="387">
        <v>1</v>
      </c>
      <c r="G18" s="388">
        <f>(E18*(1+H18))-E18</f>
        <v>0</v>
      </c>
      <c r="H18" s="389">
        <v>0</v>
      </c>
      <c r="I18" s="1605" t="s">
        <v>1886</v>
      </c>
      <c r="J18" s="390">
        <f>ROUND((E18+G18)/12,2)</f>
        <v>5416.67</v>
      </c>
      <c r="K18" s="390"/>
      <c r="M18" s="339"/>
      <c r="P18" s="365"/>
    </row>
    <row r="19" spans="3:16" ht="13">
      <c r="C19" s="391" t="s">
        <v>175</v>
      </c>
      <c r="D19" s="2038"/>
      <c r="E19" s="379"/>
      <c r="F19" s="380"/>
      <c r="G19" s="381"/>
      <c r="H19" s="382"/>
      <c r="I19" s="1606"/>
      <c r="J19" s="384"/>
      <c r="K19" s="384"/>
      <c r="M19" s="339"/>
      <c r="P19" s="365"/>
    </row>
    <row r="20" spans="3:16" ht="13">
      <c r="C20" s="392" t="s">
        <v>1150</v>
      </c>
      <c r="D20" s="2038"/>
      <c r="E20" s="393">
        <v>500</v>
      </c>
      <c r="F20" s="387">
        <v>1</v>
      </c>
      <c r="G20" s="388">
        <f t="shared" ref="G20:G28" si="0">(E20*(1+H20))-E20</f>
        <v>0</v>
      </c>
      <c r="H20" s="389">
        <v>0</v>
      </c>
      <c r="I20" s="1605" t="s">
        <v>179</v>
      </c>
      <c r="J20" s="390">
        <f>ROUND((E20+G20),2)*0</f>
        <v>0</v>
      </c>
      <c r="K20" s="390"/>
      <c r="M20" s="339"/>
      <c r="P20" s="365"/>
    </row>
    <row r="21" spans="3:16" ht="13">
      <c r="C21" s="392" t="s">
        <v>1151</v>
      </c>
      <c r="D21" s="2038"/>
      <c r="E21" s="393">
        <v>300</v>
      </c>
      <c r="F21" s="387">
        <v>1</v>
      </c>
      <c r="G21" s="388">
        <f t="shared" si="0"/>
        <v>0</v>
      </c>
      <c r="H21" s="389">
        <v>0</v>
      </c>
      <c r="I21" s="1605" t="s">
        <v>179</v>
      </c>
      <c r="J21" s="390">
        <f t="shared" ref="J21:J27" si="1">ROUND((E21+G21),2)*0</f>
        <v>0</v>
      </c>
      <c r="K21" s="390"/>
      <c r="M21" s="339"/>
      <c r="P21" s="365"/>
    </row>
    <row r="22" spans="3:16" ht="13">
      <c r="C22" s="392" t="s">
        <v>1152</v>
      </c>
      <c r="D22" s="2038"/>
      <c r="E22" s="393">
        <v>500</v>
      </c>
      <c r="F22" s="387">
        <v>1</v>
      </c>
      <c r="G22" s="388">
        <f t="shared" si="0"/>
        <v>0</v>
      </c>
      <c r="H22" s="389">
        <v>0</v>
      </c>
      <c r="I22" s="1605" t="s">
        <v>179</v>
      </c>
      <c r="J22" s="390">
        <f t="shared" si="1"/>
        <v>0</v>
      </c>
      <c r="K22" s="390"/>
      <c r="M22" s="339"/>
      <c r="P22" s="365"/>
    </row>
    <row r="23" spans="3:16" ht="13">
      <c r="C23" s="392" t="s">
        <v>1153</v>
      </c>
      <c r="D23" s="2038"/>
      <c r="E23" s="393">
        <v>7500</v>
      </c>
      <c r="F23" s="387">
        <v>1</v>
      </c>
      <c r="G23" s="388">
        <f t="shared" si="0"/>
        <v>0</v>
      </c>
      <c r="H23" s="389">
        <v>0</v>
      </c>
      <c r="I23" s="1605" t="s">
        <v>176</v>
      </c>
      <c r="J23" s="390">
        <f t="shared" si="1"/>
        <v>0</v>
      </c>
      <c r="K23" s="390"/>
      <c r="P23" s="365"/>
    </row>
    <row r="24" spans="3:16" ht="13">
      <c r="C24" s="392" t="s">
        <v>1155</v>
      </c>
      <c r="D24" s="2038"/>
      <c r="E24" s="393">
        <v>0</v>
      </c>
      <c r="F24" s="387">
        <v>1</v>
      </c>
      <c r="G24" s="388">
        <f t="shared" si="0"/>
        <v>0</v>
      </c>
      <c r="H24" s="389">
        <v>0</v>
      </c>
      <c r="I24" s="1605" t="s">
        <v>179</v>
      </c>
      <c r="J24" s="390">
        <f t="shared" si="1"/>
        <v>0</v>
      </c>
      <c r="K24" s="390"/>
      <c r="P24" s="365"/>
    </row>
    <row r="25" spans="3:16" ht="13">
      <c r="C25" s="392" t="s">
        <v>1156</v>
      </c>
      <c r="D25" s="2038"/>
      <c r="E25" s="393">
        <v>0</v>
      </c>
      <c r="F25" s="387">
        <v>1</v>
      </c>
      <c r="G25" s="388">
        <f t="shared" si="0"/>
        <v>0</v>
      </c>
      <c r="H25" s="389">
        <v>0</v>
      </c>
      <c r="I25" s="1605" t="s">
        <v>179</v>
      </c>
      <c r="J25" s="390">
        <f t="shared" si="1"/>
        <v>0</v>
      </c>
      <c r="K25" s="390"/>
      <c r="P25" s="365"/>
    </row>
    <row r="26" spans="3:16" ht="13">
      <c r="C26" s="392" t="s">
        <v>1157</v>
      </c>
      <c r="D26" s="2038"/>
      <c r="E26" s="393">
        <v>0</v>
      </c>
      <c r="F26" s="387">
        <v>1</v>
      </c>
      <c r="G26" s="388">
        <f t="shared" si="0"/>
        <v>0</v>
      </c>
      <c r="H26" s="389">
        <v>0</v>
      </c>
      <c r="I26" s="1605" t="s">
        <v>179</v>
      </c>
      <c r="J26" s="390">
        <f t="shared" si="1"/>
        <v>0</v>
      </c>
      <c r="K26" s="390"/>
      <c r="P26" s="365"/>
    </row>
    <row r="27" spans="3:16" ht="13">
      <c r="C27" s="392" t="s">
        <v>1154</v>
      </c>
      <c r="D27" s="2038"/>
      <c r="E27" s="393">
        <v>0</v>
      </c>
      <c r="F27" s="387">
        <v>1</v>
      </c>
      <c r="G27" s="388">
        <f t="shared" si="0"/>
        <v>0</v>
      </c>
      <c r="H27" s="389">
        <v>0</v>
      </c>
      <c r="I27" s="1605" t="s">
        <v>179</v>
      </c>
      <c r="J27" s="390">
        <f t="shared" si="1"/>
        <v>0</v>
      </c>
      <c r="K27" s="390"/>
      <c r="P27" s="365"/>
    </row>
    <row r="28" spans="3:16" ht="13">
      <c r="C28" s="392" t="s">
        <v>2074</v>
      </c>
      <c r="D28" s="2038"/>
      <c r="E28" s="393">
        <v>10000</v>
      </c>
      <c r="F28" s="387">
        <v>1</v>
      </c>
      <c r="G28" s="388">
        <f t="shared" si="0"/>
        <v>0</v>
      </c>
      <c r="H28" s="389">
        <v>0</v>
      </c>
      <c r="I28" s="1605" t="s">
        <v>179</v>
      </c>
      <c r="J28" s="390">
        <f>ROUND((E28+G28),2)*0</f>
        <v>0</v>
      </c>
      <c r="K28" s="390"/>
      <c r="P28" s="365"/>
    </row>
    <row r="29" spans="3:16" ht="13">
      <c r="C29" s="391" t="s">
        <v>177</v>
      </c>
      <c r="D29" s="2038"/>
      <c r="E29" s="379"/>
      <c r="F29" s="380"/>
      <c r="G29" s="381"/>
      <c r="H29" s="382"/>
      <c r="I29" s="1607"/>
      <c r="J29" s="384"/>
      <c r="K29" s="384"/>
      <c r="P29" s="365"/>
    </row>
    <row r="30" spans="3:16" ht="13">
      <c r="C30" s="394" t="s">
        <v>1149</v>
      </c>
      <c r="D30" s="2038"/>
      <c r="E30" s="393">
        <v>-50</v>
      </c>
      <c r="F30" s="395">
        <v>1</v>
      </c>
      <c r="G30" s="388">
        <v>0</v>
      </c>
      <c r="H30" s="389">
        <v>0</v>
      </c>
      <c r="I30" s="1605" t="s">
        <v>1158</v>
      </c>
      <c r="J30" s="390">
        <v>0</v>
      </c>
      <c r="K30" s="390"/>
      <c r="P30" s="365"/>
    </row>
    <row r="31" spans="3:16" ht="13">
      <c r="C31" s="396" t="s">
        <v>178</v>
      </c>
      <c r="D31" s="2030" t="s">
        <v>408</v>
      </c>
      <c r="E31" s="379"/>
      <c r="F31" s="380"/>
      <c r="G31" s="381"/>
      <c r="H31" s="382"/>
      <c r="I31" s="1607"/>
      <c r="J31" s="384"/>
      <c r="K31" s="384"/>
      <c r="P31" s="365"/>
    </row>
    <row r="32" spans="3:16" ht="12.75" customHeight="1">
      <c r="C32" s="397" t="s">
        <v>1142</v>
      </c>
      <c r="D32" s="2032"/>
      <c r="E32" s="398">
        <v>26000</v>
      </c>
      <c r="F32" s="387">
        <v>1</v>
      </c>
      <c r="G32" s="388">
        <f>(E32*(1+H32))-E32</f>
        <v>5200</v>
      </c>
      <c r="H32" s="389">
        <v>0.2</v>
      </c>
      <c r="I32" s="1605" t="s">
        <v>1886</v>
      </c>
      <c r="J32" s="390">
        <f>ROUND((E32+G32)/12,2)</f>
        <v>2600</v>
      </c>
      <c r="K32" s="390"/>
      <c r="M32" s="338"/>
      <c r="P32" s="365"/>
    </row>
    <row r="33" spans="3:16" ht="13">
      <c r="C33" s="397" t="s">
        <v>1143</v>
      </c>
      <c r="D33" s="2032"/>
      <c r="E33" s="398">
        <f>IF('02 - Monthly Asset Follow up'!C17&lt;100000000,0.005%*('02 - Monthly Asset Follow up'!C17),0.005%*(100000000)+0.004%*('02 - Monthly Asset Follow up'!C17-100000000))</f>
        <v>434052.5678428</v>
      </c>
      <c r="F33" s="387">
        <v>1</v>
      </c>
      <c r="G33" s="388">
        <f>(E33*(1+H33))-E33</f>
        <v>86810.513568559953</v>
      </c>
      <c r="H33" s="387">
        <v>0.2</v>
      </c>
      <c r="I33" s="1605" t="s">
        <v>1886</v>
      </c>
      <c r="J33" s="390">
        <f>ROUND((E33+G33)/12,2)</f>
        <v>43405.26</v>
      </c>
      <c r="K33" s="390"/>
      <c r="M33" s="338"/>
      <c r="P33" s="365"/>
    </row>
    <row r="34" spans="3:16" ht="13">
      <c r="C34" s="1627" t="s">
        <v>96</v>
      </c>
      <c r="D34" s="1609"/>
      <c r="E34" s="1628">
        <f>E32+E33</f>
        <v>460052.5678428</v>
      </c>
      <c r="F34" s="1629">
        <v>1</v>
      </c>
      <c r="G34" s="1630">
        <f>(E34*(1+H34))-E34</f>
        <v>92010.513568559953</v>
      </c>
      <c r="H34" s="1629">
        <v>0.2</v>
      </c>
      <c r="I34" s="1631" t="s">
        <v>1886</v>
      </c>
      <c r="J34" s="1632">
        <f>MIN(E34+G34,150000)/12</f>
        <v>12500</v>
      </c>
      <c r="K34" s="390"/>
      <c r="M34" s="338"/>
      <c r="P34" s="365"/>
    </row>
    <row r="35" spans="3:16" ht="13">
      <c r="C35" s="391" t="s">
        <v>180</v>
      </c>
      <c r="D35" s="2032" t="s">
        <v>408</v>
      </c>
      <c r="E35" s="379"/>
      <c r="F35" s="380"/>
      <c r="G35" s="381" t="s">
        <v>1132</v>
      </c>
      <c r="H35" s="382"/>
      <c r="I35" s="1606"/>
      <c r="J35" s="384"/>
      <c r="K35" s="384"/>
      <c r="M35" s="339"/>
    </row>
    <row r="36" spans="3:16" ht="13">
      <c r="C36" s="399" t="s">
        <v>1142</v>
      </c>
      <c r="D36" s="2032"/>
      <c r="E36" s="393">
        <v>10500</v>
      </c>
      <c r="F36" s="387">
        <v>1</v>
      </c>
      <c r="G36" s="388">
        <f>(E36*(1+H36))-E36</f>
        <v>2100</v>
      </c>
      <c r="H36" s="387">
        <v>0.2</v>
      </c>
      <c r="I36" s="1605" t="s">
        <v>1886</v>
      </c>
      <c r="J36" s="390">
        <f>ROUND((E36+G36)/12,2)</f>
        <v>1050</v>
      </c>
      <c r="K36" s="390"/>
    </row>
    <row r="37" spans="3:16" ht="13">
      <c r="C37" s="399" t="s">
        <v>1159</v>
      </c>
      <c r="D37" s="2032"/>
      <c r="E37" s="393">
        <v>15</v>
      </c>
      <c r="F37" s="387">
        <v>1</v>
      </c>
      <c r="G37" s="388">
        <f>(E37*(1+H37))-E37</f>
        <v>3</v>
      </c>
      <c r="H37" s="387">
        <v>0.2</v>
      </c>
      <c r="I37" s="1605" t="s">
        <v>179</v>
      </c>
      <c r="J37" s="390">
        <f>ROUND((E37+G37)*J12/365,2)</f>
        <v>0</v>
      </c>
      <c r="K37" s="390"/>
      <c r="M37" s="339"/>
    </row>
    <row r="38" spans="3:16" ht="13">
      <c r="C38" s="391" t="s">
        <v>181</v>
      </c>
      <c r="D38" s="2032" t="s">
        <v>408</v>
      </c>
      <c r="E38" s="379"/>
      <c r="F38" s="380"/>
      <c r="G38" s="381"/>
      <c r="H38" s="382"/>
      <c r="I38" s="1606"/>
      <c r="J38" s="384"/>
      <c r="K38" s="384"/>
    </row>
    <row r="39" spans="3:16" ht="13">
      <c r="C39" s="399" t="s">
        <v>2079</v>
      </c>
      <c r="D39" s="2032"/>
      <c r="E39" s="398">
        <f>4000*0</f>
        <v>0</v>
      </c>
      <c r="F39" s="387">
        <v>1</v>
      </c>
      <c r="G39" s="388">
        <f t="shared" ref="G39:G45" si="2">(E39*(1+H39))-E39</f>
        <v>0</v>
      </c>
      <c r="H39" s="387">
        <v>0.2</v>
      </c>
      <c r="I39" s="1605" t="s">
        <v>174</v>
      </c>
      <c r="J39" s="390">
        <f>ROUND((E39+G39),2)*1</f>
        <v>0</v>
      </c>
      <c r="K39" s="390"/>
    </row>
    <row r="40" spans="3:16" ht="13">
      <c r="C40" s="399" t="s">
        <v>1144</v>
      </c>
      <c r="D40" s="2032"/>
      <c r="E40" s="398">
        <v>200</v>
      </c>
      <c r="F40" s="387">
        <v>1</v>
      </c>
      <c r="G40" s="388">
        <f t="shared" si="2"/>
        <v>40</v>
      </c>
      <c r="H40" s="387">
        <v>0.2</v>
      </c>
      <c r="I40" s="1605" t="s">
        <v>1886</v>
      </c>
      <c r="J40" s="390">
        <f>ROUND((E40+G40),2)</f>
        <v>240</v>
      </c>
      <c r="K40" s="390"/>
    </row>
    <row r="41" spans="3:16" ht="13">
      <c r="C41" s="399" t="s">
        <v>1145</v>
      </c>
      <c r="D41" s="2032"/>
      <c r="E41" s="398">
        <v>200</v>
      </c>
      <c r="F41" s="387">
        <v>1</v>
      </c>
      <c r="G41" s="388">
        <f t="shared" si="2"/>
        <v>40</v>
      </c>
      <c r="H41" s="387">
        <v>0.2</v>
      </c>
      <c r="I41" s="1605" t="s">
        <v>1886</v>
      </c>
      <c r="J41" s="390">
        <f>ROUND((E41+G41),2)</f>
        <v>240</v>
      </c>
      <c r="K41" s="390"/>
    </row>
    <row r="42" spans="3:16" ht="13">
      <c r="C42" s="399" t="s">
        <v>2080</v>
      </c>
      <c r="D42" s="2032"/>
      <c r="E42" s="398">
        <f>2000*0</f>
        <v>0</v>
      </c>
      <c r="F42" s="387">
        <v>1</v>
      </c>
      <c r="G42" s="388">
        <f t="shared" si="2"/>
        <v>0</v>
      </c>
      <c r="H42" s="387">
        <v>0.2</v>
      </c>
      <c r="I42" s="1605" t="s">
        <v>174</v>
      </c>
      <c r="J42" s="390">
        <f>ROUND((E42+G42),2)*1</f>
        <v>0</v>
      </c>
      <c r="K42" s="390"/>
    </row>
    <row r="43" spans="3:16" ht="13">
      <c r="C43" s="399" t="s">
        <v>1146</v>
      </c>
      <c r="D43" s="2032"/>
      <c r="E43" s="398">
        <v>250</v>
      </c>
      <c r="F43" s="387">
        <v>1</v>
      </c>
      <c r="G43" s="388">
        <f t="shared" si="2"/>
        <v>50</v>
      </c>
      <c r="H43" s="387">
        <v>0.2</v>
      </c>
      <c r="I43" s="1605" t="s">
        <v>179</v>
      </c>
      <c r="J43" s="390">
        <f>ROUND((E43+G43),2)*0</f>
        <v>0</v>
      </c>
      <c r="K43" s="390"/>
    </row>
    <row r="44" spans="3:16" ht="13">
      <c r="C44" s="399" t="s">
        <v>1147</v>
      </c>
      <c r="D44" s="2032"/>
      <c r="E44" s="398">
        <v>500</v>
      </c>
      <c r="F44" s="387">
        <v>1</v>
      </c>
      <c r="G44" s="388">
        <f t="shared" si="2"/>
        <v>100</v>
      </c>
      <c r="H44" s="387">
        <v>0.2</v>
      </c>
      <c r="I44" s="1605" t="s">
        <v>179</v>
      </c>
      <c r="J44" s="390">
        <f>ROUND((E44+G44),2)*0</f>
        <v>0</v>
      </c>
      <c r="K44" s="390"/>
    </row>
    <row r="45" spans="3:16" ht="13">
      <c r="C45" s="399" t="s">
        <v>1148</v>
      </c>
      <c r="D45" s="2032"/>
      <c r="E45" s="398">
        <v>100</v>
      </c>
      <c r="F45" s="387">
        <v>1</v>
      </c>
      <c r="G45" s="388">
        <f t="shared" si="2"/>
        <v>20</v>
      </c>
      <c r="H45" s="387">
        <v>0.2</v>
      </c>
      <c r="I45" s="1605" t="s">
        <v>179</v>
      </c>
      <c r="J45" s="390">
        <f>ROUND((E45+G45),2)*0</f>
        <v>0</v>
      </c>
      <c r="K45" s="390"/>
    </row>
    <row r="46" spans="3:16" ht="13">
      <c r="C46" s="391" t="s">
        <v>182</v>
      </c>
      <c r="D46" s="2032" t="s">
        <v>408</v>
      </c>
      <c r="E46" s="379"/>
      <c r="F46" s="380"/>
      <c r="G46" s="381"/>
      <c r="H46" s="382"/>
      <c r="I46" s="1606"/>
      <c r="J46" s="384"/>
      <c r="K46" s="384"/>
    </row>
    <row r="47" spans="3:16" ht="13">
      <c r="C47" s="399" t="s">
        <v>1193</v>
      </c>
      <c r="D47" s="2041"/>
      <c r="E47" s="398">
        <v>2500</v>
      </c>
      <c r="F47" s="387">
        <v>1</v>
      </c>
      <c r="G47" s="388">
        <f>(E47*(1+H47))-E47</f>
        <v>500</v>
      </c>
      <c r="H47" s="387">
        <v>0.2</v>
      </c>
      <c r="I47" s="1605" t="s">
        <v>1194</v>
      </c>
      <c r="J47" s="390">
        <f>ROUND((E47+G47),2)*0</f>
        <v>0</v>
      </c>
      <c r="K47" s="390"/>
    </row>
    <row r="48" spans="3:16" ht="13">
      <c r="C48" s="391" t="s">
        <v>1195</v>
      </c>
      <c r="D48" s="2039" t="s">
        <v>384</v>
      </c>
      <c r="E48" s="379"/>
      <c r="F48" s="380"/>
      <c r="G48" s="381"/>
      <c r="H48" s="382"/>
      <c r="I48" s="1606"/>
      <c r="J48" s="384"/>
      <c r="K48" s="384"/>
    </row>
    <row r="49" spans="3:16" ht="13">
      <c r="C49" s="394" t="s">
        <v>1193</v>
      </c>
      <c r="D49" s="2040"/>
      <c r="E49" s="398">
        <v>11410540964.6</v>
      </c>
      <c r="F49" s="1784">
        <v>7.9999999999999996E-6</v>
      </c>
      <c r="G49" s="388"/>
      <c r="H49" s="389"/>
      <c r="I49" s="1605" t="s">
        <v>1197</v>
      </c>
      <c r="J49" s="390">
        <f>IF('00 - Cover'!F20=DATE(2026,5,27),ROUND((E49*F49),2),0)</f>
        <v>0</v>
      </c>
      <c r="K49" s="390"/>
    </row>
    <row r="50" spans="3:16" ht="13">
      <c r="C50" s="391" t="s">
        <v>183</v>
      </c>
      <c r="D50" s="2039" t="s">
        <v>408</v>
      </c>
      <c r="E50" s="379"/>
      <c r="F50" s="380"/>
      <c r="G50" s="381"/>
      <c r="H50" s="382"/>
      <c r="I50" s="1606"/>
      <c r="J50" s="384"/>
      <c r="K50" s="384"/>
      <c r="P50" s="365"/>
    </row>
    <row r="51" spans="3:16" ht="13">
      <c r="C51" s="394" t="s">
        <v>1193</v>
      </c>
      <c r="D51" s="2040"/>
      <c r="E51" s="398">
        <v>2500</v>
      </c>
      <c r="F51" s="387">
        <v>1</v>
      </c>
      <c r="G51" s="388">
        <f>(E51*(1+H51))-E51</f>
        <v>500</v>
      </c>
      <c r="H51" s="389">
        <v>0.2</v>
      </c>
      <c r="I51" s="1605" t="s">
        <v>1194</v>
      </c>
      <c r="J51" s="390">
        <f>ROUND((E51+G51),2)*0</f>
        <v>0</v>
      </c>
      <c r="K51" s="390"/>
      <c r="P51" s="365"/>
    </row>
    <row r="52" spans="3:16" ht="13">
      <c r="C52" s="396" t="s">
        <v>12</v>
      </c>
      <c r="D52" s="2030" t="s">
        <v>1351</v>
      </c>
      <c r="E52" s="379"/>
      <c r="F52" s="380"/>
      <c r="G52" s="381"/>
      <c r="H52" s="382"/>
      <c r="I52" s="1606"/>
      <c r="J52" s="384"/>
      <c r="K52" s="384"/>
    </row>
    <row r="53" spans="3:16" ht="41.5" customHeight="1">
      <c r="C53" s="399" t="s">
        <v>370</v>
      </c>
      <c r="D53" s="2032"/>
      <c r="E53" s="398">
        <f>(0.25%*'02 - Monthly Asset Follow up'!C17)/12</f>
        <v>2255482.1241812501</v>
      </c>
      <c r="F53" s="387">
        <v>1</v>
      </c>
      <c r="G53" s="388">
        <f>IFERROR(E53*F53/12*H53,0)</f>
        <v>0</v>
      </c>
      <c r="H53" s="389">
        <v>0</v>
      </c>
      <c r="I53" s="1605" t="s">
        <v>1886</v>
      </c>
      <c r="J53" s="1604">
        <f>IFERROR(ROUND((E53+G53),2),0)</f>
        <v>2255482.12</v>
      </c>
      <c r="K53" s="390"/>
    </row>
    <row r="54" spans="3:16" ht="41.5" customHeight="1">
      <c r="C54" s="399" t="s">
        <v>371</v>
      </c>
      <c r="D54" s="2032"/>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17429.433355833331</v>
      </c>
      <c r="F54" s="387">
        <v>1</v>
      </c>
      <c r="G54" s="388">
        <f>IFERROR(E54*F54/12*H54,0)</f>
        <v>0</v>
      </c>
      <c r="H54" s="389">
        <v>0</v>
      </c>
      <c r="I54" s="1605" t="s">
        <v>1886</v>
      </c>
      <c r="J54" s="1604">
        <f>IFERROR(ROUND((E54+G54),2),0)</f>
        <v>17429.43</v>
      </c>
      <c r="K54" s="390"/>
    </row>
    <row r="55" spans="3:16" ht="13">
      <c r="C55" s="396" t="s">
        <v>185</v>
      </c>
      <c r="D55" s="2030" t="s">
        <v>1352</v>
      </c>
      <c r="E55" s="379"/>
      <c r="F55" s="380"/>
      <c r="G55" s="381"/>
      <c r="H55" s="382"/>
      <c r="I55" s="1606"/>
      <c r="J55" s="384"/>
      <c r="K55" s="384"/>
    </row>
    <row r="56" spans="3:16" ht="13">
      <c r="C56" s="397" t="s">
        <v>1196</v>
      </c>
      <c r="D56" s="2031"/>
      <c r="E56" s="398"/>
      <c r="F56" s="389">
        <v>0</v>
      </c>
      <c r="G56" s="388">
        <f>E56*F56*H56</f>
        <v>0</v>
      </c>
      <c r="H56" s="387">
        <v>0.2</v>
      </c>
      <c r="I56" s="1605" t="s">
        <v>184</v>
      </c>
      <c r="J56" s="390">
        <f>ROUND((E56+G56),2)*0</f>
        <v>0</v>
      </c>
      <c r="K56" s="390"/>
    </row>
    <row r="57" spans="3:16" ht="13">
      <c r="C57" s="396" t="s">
        <v>186</v>
      </c>
      <c r="D57" s="2030" t="s">
        <v>275</v>
      </c>
      <c r="E57" s="379"/>
      <c r="F57" s="380"/>
      <c r="G57" s="381"/>
      <c r="H57" s="382"/>
      <c r="I57" s="1606"/>
      <c r="J57" s="384"/>
      <c r="K57" s="384"/>
    </row>
    <row r="58" spans="3:16" ht="13">
      <c r="C58" s="397" t="s">
        <v>2073</v>
      </c>
      <c r="D58" s="2032"/>
      <c r="E58" s="398">
        <v>0</v>
      </c>
      <c r="F58" s="387">
        <v>1</v>
      </c>
      <c r="G58" s="388">
        <f>E58*F58*H58</f>
        <v>0</v>
      </c>
      <c r="H58" s="387">
        <v>0.19</v>
      </c>
      <c r="I58" s="1605" t="s">
        <v>184</v>
      </c>
      <c r="J58" s="390">
        <f>ROUND((E58+G58),2)</f>
        <v>0</v>
      </c>
      <c r="K58" s="390"/>
    </row>
    <row r="59" spans="3:16" ht="12.65" customHeight="1">
      <c r="C59" s="400" t="s">
        <v>187</v>
      </c>
      <c r="D59" s="2030"/>
      <c r="E59" s="379"/>
      <c r="F59" s="380"/>
      <c r="G59" s="401"/>
      <c r="H59" s="382"/>
      <c r="I59" s="1606"/>
      <c r="J59" s="384"/>
      <c r="K59" s="384"/>
    </row>
    <row r="60" spans="3:16" ht="13.5" thickBot="1">
      <c r="C60" s="392" t="s">
        <v>1142</v>
      </c>
      <c r="D60" s="2032"/>
      <c r="E60" s="402">
        <v>0</v>
      </c>
      <c r="F60" s="387">
        <v>1</v>
      </c>
      <c r="G60" s="388">
        <f>(E60*(1+H60))-E60</f>
        <v>0</v>
      </c>
      <c r="H60" s="387">
        <v>0.2</v>
      </c>
      <c r="I60" s="1605" t="s">
        <v>184</v>
      </c>
      <c r="J60" s="390">
        <f>ROUND((E60+G60),2)</f>
        <v>0</v>
      </c>
      <c r="K60" s="390"/>
    </row>
    <row r="61" spans="3:16" ht="14.5" thickBot="1">
      <c r="C61" s="403" t="s">
        <v>1372</v>
      </c>
      <c r="D61" s="404"/>
      <c r="E61" s="405"/>
      <c r="F61" s="406"/>
      <c r="G61" s="406"/>
      <c r="H61" s="406"/>
      <c r="I61" s="406"/>
      <c r="J61" s="407">
        <f>SUM(J18:J60)-J32-J33</f>
        <v>2292358.2200000007</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85" zoomScaleNormal="80" zoomScaleSheetLayoutView="85" workbookViewId="0"/>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932"/>
      <c r="G3" s="1932"/>
      <c r="H3" s="1932"/>
      <c r="I3" s="37"/>
      <c r="J3" s="12"/>
      <c r="K3" s="1213" t="s">
        <v>99</v>
      </c>
      <c r="L3" s="1213">
        <f>'00 - Cover'!$F$17</f>
        <v>46203</v>
      </c>
    </row>
    <row r="4" spans="1:13">
      <c r="A4" s="37"/>
      <c r="B4" s="35"/>
      <c r="C4" s="37"/>
      <c r="D4" s="37"/>
      <c r="E4" s="37"/>
      <c r="F4" s="1932"/>
      <c r="G4" s="1932"/>
      <c r="H4" s="1932"/>
      <c r="I4" s="37"/>
      <c r="J4" s="12"/>
      <c r="K4" s="1213" t="s">
        <v>4</v>
      </c>
      <c r="L4" s="1213">
        <f>'00 - Cover'!$F$19</f>
        <v>46223</v>
      </c>
    </row>
    <row r="5" spans="1:13">
      <c r="A5" s="37"/>
      <c r="B5" s="35"/>
      <c r="C5" s="37"/>
      <c r="D5" s="37"/>
      <c r="E5" s="37"/>
      <c r="F5" s="1932"/>
      <c r="G5" s="1932"/>
      <c r="H5" s="1932"/>
      <c r="I5" s="37"/>
      <c r="J5" s="12"/>
      <c r="K5" s="1213" t="s">
        <v>5</v>
      </c>
      <c r="L5" s="1213">
        <f>'00 - Cover'!$F$20</f>
        <v>46230</v>
      </c>
    </row>
    <row r="6" spans="1:13">
      <c r="A6" s="37"/>
      <c r="B6" s="35"/>
      <c r="C6" s="37"/>
      <c r="D6" s="37"/>
      <c r="E6" s="37"/>
      <c r="F6" s="1932"/>
      <c r="G6" s="1932"/>
      <c r="H6" s="1932"/>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52" t="s">
        <v>995</v>
      </c>
      <c r="G11" s="2052"/>
      <c r="H11" s="2052"/>
      <c r="I11" s="2052"/>
      <c r="J11" s="412">
        <f>'03 - Monthly Collection'!AR13</f>
        <v>94781347.560000002</v>
      </c>
      <c r="K11" s="1825"/>
      <c r="L11" s="1763"/>
      <c r="M11" s="37"/>
    </row>
    <row r="12" spans="1:13" ht="26.25" customHeight="1">
      <c r="A12" s="37"/>
      <c r="B12" s="37"/>
      <c r="C12" s="37"/>
      <c r="D12" s="37"/>
      <c r="E12" s="37"/>
      <c r="F12" s="2052" t="s">
        <v>996</v>
      </c>
      <c r="G12" s="2052"/>
      <c r="H12" s="2052"/>
      <c r="I12" s="2052"/>
      <c r="J12" s="412">
        <f>+'13 - Issuer Account'!H19+'13 - Issuer Account'!H20+'13 - Issuer Account'!H21</f>
        <v>450000</v>
      </c>
      <c r="K12" s="1826"/>
      <c r="L12" s="41"/>
      <c r="M12" s="37"/>
    </row>
    <row r="13" spans="1:13" ht="31.5" customHeight="1">
      <c r="A13" s="37"/>
      <c r="B13" s="37"/>
      <c r="C13" s="37"/>
      <c r="D13" s="37"/>
      <c r="E13" s="37"/>
      <c r="F13" s="2052" t="s">
        <v>997</v>
      </c>
      <c r="G13" s="2052"/>
      <c r="H13" s="2052"/>
      <c r="I13" s="2052"/>
      <c r="J13" s="412">
        <f>'13 - Issuer Account'!H22</f>
        <v>0</v>
      </c>
      <c r="K13" s="1826"/>
      <c r="L13" s="41"/>
      <c r="M13" s="37"/>
    </row>
    <row r="14" spans="1:13">
      <c r="A14" s="37"/>
      <c r="B14" s="37"/>
      <c r="C14" s="37"/>
      <c r="D14" s="37"/>
      <c r="E14" s="37"/>
      <c r="F14" s="2052" t="s">
        <v>998</v>
      </c>
      <c r="G14" s="2052"/>
      <c r="H14" s="2052"/>
      <c r="I14" s="2052"/>
      <c r="J14" s="412">
        <v>0</v>
      </c>
      <c r="K14" s="1826"/>
      <c r="L14" s="41"/>
      <c r="M14" s="37"/>
    </row>
    <row r="15" spans="1:13" ht="32.25" customHeight="1">
      <c r="A15" s="37"/>
      <c r="B15" s="37"/>
      <c r="C15" s="37"/>
      <c r="D15" s="37"/>
      <c r="E15" s="37"/>
      <c r="F15" s="2052" t="s">
        <v>999</v>
      </c>
      <c r="G15" s="2052"/>
      <c r="H15" s="2052"/>
      <c r="I15" s="2052"/>
      <c r="J15" s="1392">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7753809.8311999999</v>
      </c>
      <c r="K15" s="1826"/>
      <c r="L15" s="1763"/>
      <c r="M15" s="37"/>
    </row>
    <row r="16" spans="1:13" ht="36" customHeight="1">
      <c r="A16" s="37"/>
      <c r="B16" s="37"/>
      <c r="C16" s="37"/>
      <c r="D16" s="37"/>
      <c r="E16" s="37"/>
      <c r="F16" s="2052" t="s">
        <v>1000</v>
      </c>
      <c r="G16" s="2052"/>
      <c r="H16" s="2052"/>
      <c r="I16" s="2052"/>
      <c r="J16" s="1392">
        <f>'02 - Monthly Asset Follow up'!N17+'02 - Monthly Asset Follow up'!BK17+INPUT_DATA!BO4+INPUT_DATA!BO5+'02 - Monthly Asset Follow up'!AN17+'02 - Monthly Asset Follow up'!AO17</f>
        <v>7382652.8500000006</v>
      </c>
      <c r="K16" s="1826"/>
      <c r="L16" s="41"/>
      <c r="M16" s="37"/>
    </row>
    <row r="17" spans="1:15" ht="29.25" customHeight="1">
      <c r="A17" s="37"/>
      <c r="B17" s="37"/>
      <c r="C17" s="37"/>
      <c r="D17" s="37"/>
      <c r="E17" s="37"/>
      <c r="F17" s="2052" t="s">
        <v>1001</v>
      </c>
      <c r="G17" s="2052"/>
      <c r="H17" s="2052"/>
      <c r="I17" s="2052"/>
      <c r="J17" s="412">
        <v>0</v>
      </c>
      <c r="K17" s="1826"/>
      <c r="L17" s="41"/>
      <c r="M17" s="37"/>
    </row>
    <row r="18" spans="1:15" ht="44.25" customHeight="1">
      <c r="A18" s="37"/>
      <c r="B18" s="37"/>
      <c r="C18" s="37"/>
      <c r="D18" s="37"/>
      <c r="E18" s="37"/>
      <c r="F18" s="2052" t="s">
        <v>1002</v>
      </c>
      <c r="G18" s="2052"/>
      <c r="H18" s="2052"/>
      <c r="I18" s="2052"/>
      <c r="J18" s="412">
        <v>0</v>
      </c>
      <c r="K18" s="1826"/>
      <c r="L18" s="41"/>
      <c r="M18" s="1677"/>
    </row>
    <row r="19" spans="1:15" ht="33" customHeight="1">
      <c r="A19" s="37"/>
      <c r="B19" s="37"/>
      <c r="C19" s="37"/>
      <c r="D19" s="37"/>
      <c r="E19" s="37"/>
      <c r="F19" s="2052" t="s">
        <v>1003</v>
      </c>
      <c r="G19" s="2052"/>
      <c r="H19" s="2052"/>
      <c r="I19" s="2052"/>
      <c r="J19" s="412">
        <f>'11bis - Notes Calculation'!AE18+'11bis - Notes Calculation'!AR18+'11bis - Notes Calculation'!AI18</f>
        <v>638.85000146087259</v>
      </c>
      <c r="K19" s="1826"/>
      <c r="L19" s="41"/>
      <c r="M19" s="37"/>
    </row>
    <row r="20" spans="1:15" ht="30.75" customHeight="1">
      <c r="A20" s="37"/>
      <c r="B20" s="37"/>
      <c r="C20" s="37"/>
      <c r="D20" s="37"/>
      <c r="E20" s="37"/>
      <c r="F20" s="2052" t="s">
        <v>1004</v>
      </c>
      <c r="G20" s="2052"/>
      <c r="H20" s="2052"/>
      <c r="I20" s="2052"/>
      <c r="J20" s="412">
        <v>0</v>
      </c>
      <c r="K20" s="1826"/>
      <c r="L20" s="41"/>
      <c r="M20" s="37"/>
    </row>
    <row r="21" spans="1:15">
      <c r="A21" s="37"/>
      <c r="B21" s="37"/>
      <c r="C21" s="37"/>
      <c r="D21" s="37"/>
      <c r="E21" s="37"/>
      <c r="F21" s="2053" t="s">
        <v>988</v>
      </c>
      <c r="G21" s="2053"/>
      <c r="H21" s="2053"/>
      <c r="I21" s="2053"/>
      <c r="J21" s="413">
        <f>SUM(J11:J20)</f>
        <v>110368449.09120145</v>
      </c>
      <c r="K21" s="1827"/>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14"/>
      <c r="M23" s="35"/>
    </row>
    <row r="24" spans="1:15" ht="15.75" customHeight="1">
      <c r="A24" s="35"/>
      <c r="B24" s="415"/>
      <c r="C24" s="2045" t="s">
        <v>986</v>
      </c>
      <c r="D24" s="2045"/>
      <c r="E24" s="2045"/>
      <c r="F24" s="2045"/>
      <c r="G24" s="2045"/>
      <c r="H24" s="2045"/>
      <c r="I24" s="2046"/>
      <c r="J24" s="416"/>
      <c r="K24" s="416"/>
      <c r="L24" s="416"/>
      <c r="M24" s="417"/>
    </row>
    <row r="25" spans="1:15">
      <c r="A25" s="418"/>
      <c r="B25" s="419"/>
      <c r="C25" s="2047"/>
      <c r="D25" s="2047"/>
      <c r="E25" s="2047"/>
      <c r="F25" s="2047"/>
      <c r="G25" s="2047"/>
      <c r="H25" s="2047"/>
      <c r="I25" s="2048"/>
      <c r="J25" s="420" t="s">
        <v>156</v>
      </c>
      <c r="K25" s="420"/>
      <c r="L25" s="420" t="s">
        <v>157</v>
      </c>
      <c r="M25" s="421"/>
    </row>
    <row r="26" spans="1:15">
      <c r="A26" s="35"/>
      <c r="B26" s="422"/>
      <c r="C26" s="423"/>
      <c r="D26" s="2049" t="s">
        <v>188</v>
      </c>
      <c r="E26" s="2050"/>
      <c r="F26" s="2050"/>
      <c r="G26" s="2050"/>
      <c r="H26" s="2051"/>
      <c r="I26" s="424" t="s">
        <v>189</v>
      </c>
      <c r="J26" s="424" t="s">
        <v>190</v>
      </c>
      <c r="K26" s="424" t="s">
        <v>171</v>
      </c>
      <c r="L26" s="1736">
        <v>300</v>
      </c>
      <c r="M26" s="426"/>
    </row>
    <row r="27" spans="1:15">
      <c r="A27" s="35"/>
      <c r="B27" s="422"/>
      <c r="C27" s="423"/>
      <c r="D27" s="427"/>
      <c r="E27" s="428" t="s">
        <v>159</v>
      </c>
      <c r="F27" s="2006" t="s">
        <v>988</v>
      </c>
      <c r="G27" s="2007"/>
      <c r="H27" s="2008"/>
      <c r="I27" s="429">
        <f>J21</f>
        <v>110368449.09120145</v>
      </c>
      <c r="J27" s="429">
        <f>I27</f>
        <v>110368449.09120145</v>
      </c>
      <c r="K27" s="430"/>
      <c r="L27" s="431">
        <f>L26+J27</f>
        <v>110368749.09120145</v>
      </c>
      <c r="M27" s="426"/>
      <c r="N27" s="432"/>
    </row>
    <row r="28" spans="1:15" ht="45.75" customHeight="1">
      <c r="A28" s="35"/>
      <c r="B28" s="422"/>
      <c r="C28" s="423"/>
      <c r="D28" s="433" t="s">
        <v>191</v>
      </c>
      <c r="E28" s="434" t="s">
        <v>160</v>
      </c>
      <c r="F28" s="2015" t="s">
        <v>1005</v>
      </c>
      <c r="G28" s="2016"/>
      <c r="H28" s="2017"/>
      <c r="I28" s="356">
        <f>'14 - Fees'!J61</f>
        <v>2292358.2200000007</v>
      </c>
      <c r="J28" s="356">
        <f>IF(I28=0,0,MIN(I28,L27))</f>
        <v>2292358.2200000007</v>
      </c>
      <c r="K28" s="356">
        <f t="shared" ref="K28:K34" si="0">MAX(I28-J28,0)</f>
        <v>0</v>
      </c>
      <c r="L28" s="431">
        <f>L27-J28</f>
        <v>108076390.87120146</v>
      </c>
      <c r="M28" s="426"/>
      <c r="O28" s="449"/>
    </row>
    <row r="29" spans="1:15" ht="20.25" customHeight="1">
      <c r="A29" s="35"/>
      <c r="B29" s="422"/>
      <c r="C29" s="423"/>
      <c r="D29" s="433" t="s">
        <v>192</v>
      </c>
      <c r="E29" s="434" t="s">
        <v>160</v>
      </c>
      <c r="F29" s="2015" t="s">
        <v>1006</v>
      </c>
      <c r="G29" s="2016"/>
      <c r="H29" s="2017"/>
      <c r="I29" s="356">
        <f>'12 - Notes Interest'!K17+'12 - Notes Interest'!T17</f>
        <v>4733776.5600000005</v>
      </c>
      <c r="J29" s="356">
        <f t="shared" ref="J29:J34" si="1">IF(I29=0,0,MIN(I29,L28))</f>
        <v>4733776.5600000005</v>
      </c>
      <c r="K29" s="356">
        <f t="shared" si="0"/>
        <v>0</v>
      </c>
      <c r="L29" s="431">
        <f t="shared" ref="L29:L35" si="2">L28-J29</f>
        <v>103342614.31120145</v>
      </c>
      <c r="M29" s="426"/>
    </row>
    <row r="30" spans="1:15" ht="30.75" customHeight="1">
      <c r="A30" s="35"/>
      <c r="B30" s="422"/>
      <c r="C30" s="423"/>
      <c r="D30" s="433" t="s">
        <v>193</v>
      </c>
      <c r="E30" s="434" t="s">
        <v>160</v>
      </c>
      <c r="F30" s="2015" t="s">
        <v>1007</v>
      </c>
      <c r="G30" s="2016"/>
      <c r="H30" s="2017"/>
      <c r="I30" s="356">
        <v>0</v>
      </c>
      <c r="J30" s="356">
        <f t="shared" si="1"/>
        <v>0</v>
      </c>
      <c r="K30" s="356">
        <f t="shared" si="0"/>
        <v>0</v>
      </c>
      <c r="L30" s="431">
        <f t="shared" si="2"/>
        <v>103342614.31120145</v>
      </c>
      <c r="M30" s="426"/>
    </row>
    <row r="31" spans="1:15" ht="33.75" customHeight="1">
      <c r="A31" s="35"/>
      <c r="B31" s="422"/>
      <c r="C31" s="423"/>
      <c r="D31" s="433" t="s">
        <v>194</v>
      </c>
      <c r="E31" s="434" t="s">
        <v>160</v>
      </c>
      <c r="F31" s="2015" t="s">
        <v>1008</v>
      </c>
      <c r="G31" s="2016"/>
      <c r="H31" s="2017"/>
      <c r="I31" s="356">
        <f>'11 - Notes Follow-up'!F25+'11 - Notes Follow-up'!N25</f>
        <v>90159440</v>
      </c>
      <c r="J31" s="356">
        <f t="shared" si="1"/>
        <v>90159440</v>
      </c>
      <c r="K31" s="356">
        <f>MAX(I31-J31,0)</f>
        <v>0</v>
      </c>
      <c r="L31" s="431">
        <f t="shared" si="2"/>
        <v>13183174.311201453</v>
      </c>
      <c r="M31" s="426"/>
    </row>
    <row r="32" spans="1:15" ht="54" customHeight="1">
      <c r="A32" s="35"/>
      <c r="B32" s="422"/>
      <c r="C32" s="423"/>
      <c r="D32" s="433" t="s">
        <v>195</v>
      </c>
      <c r="E32" s="434" t="s">
        <v>160</v>
      </c>
      <c r="F32" s="2015" t="s">
        <v>1009</v>
      </c>
      <c r="G32" s="2016"/>
      <c r="H32" s="2017"/>
      <c r="I32" s="356">
        <f>'12 - Notes Interest'!AC17</f>
        <v>622908</v>
      </c>
      <c r="J32" s="356">
        <f t="shared" si="1"/>
        <v>622908</v>
      </c>
      <c r="K32" s="356">
        <f>MAX(I32-J32,0)</f>
        <v>0</v>
      </c>
      <c r="L32" s="431">
        <f t="shared" si="2"/>
        <v>12560266.311201453</v>
      </c>
      <c r="M32" s="426"/>
    </row>
    <row r="33" spans="1:13" ht="31.5" customHeight="1">
      <c r="A33" s="35"/>
      <c r="B33" s="422"/>
      <c r="C33" s="423"/>
      <c r="D33" s="433" t="s">
        <v>196</v>
      </c>
      <c r="E33" s="434" t="s">
        <v>160</v>
      </c>
      <c r="F33" s="2015" t="s">
        <v>1010</v>
      </c>
      <c r="G33" s="2016"/>
      <c r="H33" s="2017"/>
      <c r="I33" s="356">
        <f>'11 - Notes Follow-up'!V25</f>
        <v>4745252.16</v>
      </c>
      <c r="J33" s="356">
        <f t="shared" si="1"/>
        <v>4745252.16</v>
      </c>
      <c r="K33" s="356">
        <f t="shared" si="0"/>
        <v>0</v>
      </c>
      <c r="L33" s="431">
        <f t="shared" si="2"/>
        <v>7815014.1512014531</v>
      </c>
      <c r="M33" s="426"/>
    </row>
    <row r="34" spans="1:13" ht="45.75" customHeight="1">
      <c r="A34" s="35"/>
      <c r="B34" s="422"/>
      <c r="C34" s="423"/>
      <c r="D34" s="433" t="s">
        <v>197</v>
      </c>
      <c r="E34" s="434" t="s">
        <v>160</v>
      </c>
      <c r="F34" s="2012" t="s">
        <v>1011</v>
      </c>
      <c r="G34" s="2013"/>
      <c r="H34" s="2014"/>
      <c r="I34" s="356">
        <f>IF('10 - Reserve calculation'!K12&lt;0,-'10 - Reserve calculation'!K12,0)</f>
        <v>450000</v>
      </c>
      <c r="J34" s="356">
        <f t="shared" si="1"/>
        <v>450000</v>
      </c>
      <c r="K34" s="356">
        <f t="shared" si="0"/>
        <v>0</v>
      </c>
      <c r="L34" s="431">
        <f>L33-J34</f>
        <v>7365014.1512014531</v>
      </c>
      <c r="M34" s="426"/>
    </row>
    <row r="35" spans="1:13" ht="20.25" customHeight="1">
      <c r="A35" s="35"/>
      <c r="B35" s="422"/>
      <c r="C35" s="423"/>
      <c r="D35" s="433" t="s">
        <v>198</v>
      </c>
      <c r="E35" s="434" t="s">
        <v>160</v>
      </c>
      <c r="F35" s="2012" t="s">
        <v>1012</v>
      </c>
      <c r="G35" s="2013"/>
      <c r="H35" s="2014"/>
      <c r="I35" s="356">
        <f>L34-'11bis - Notes Calculation'!AR17-'11bis - Notes Calculation'!AE17-'11bis - Notes Calculation'!AI17</f>
        <v>7364599.2012008429</v>
      </c>
      <c r="J35" s="356">
        <f>IF(I35=0,0,MIN(I35-300,L34-300))</f>
        <v>7364299.2012008429</v>
      </c>
      <c r="K35" s="356">
        <f>MAX(I35-J35-300,0)</f>
        <v>0</v>
      </c>
      <c r="L35" s="431">
        <f t="shared" si="2"/>
        <v>714.95000061020255</v>
      </c>
      <c r="M35" s="435"/>
    </row>
    <row r="36" spans="1:13">
      <c r="A36" s="436"/>
      <c r="B36" s="437"/>
      <c r="C36" s="438"/>
      <c r="D36" s="2042"/>
      <c r="E36" s="2043"/>
      <c r="F36" s="2043"/>
      <c r="G36" s="2043"/>
      <c r="H36" s="2043"/>
      <c r="I36" s="2043"/>
      <c r="J36" s="2044"/>
      <c r="K36" s="439"/>
      <c r="L36" s="440">
        <f>L35</f>
        <v>714.95000061020255</v>
      </c>
      <c r="M36" s="441" t="s">
        <v>1990</v>
      </c>
    </row>
    <row r="37" spans="1:13" ht="1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 hidden="1" outlineLevel="1" thickBot="1">
      <c r="L42" s="432"/>
    </row>
    <row r="43" spans="1:13" ht="15.5" hidden="1" outlineLevel="1">
      <c r="B43" s="415"/>
      <c r="C43" s="2045" t="s">
        <v>987</v>
      </c>
      <c r="D43" s="2045"/>
      <c r="E43" s="2045"/>
      <c r="F43" s="2045"/>
      <c r="G43" s="2045"/>
      <c r="H43" s="2045"/>
      <c r="I43" s="2046"/>
      <c r="J43" s="416"/>
      <c r="K43" s="416"/>
      <c r="L43" s="416"/>
      <c r="M43" s="417"/>
    </row>
    <row r="44" spans="1:13" hidden="1" outlineLevel="1">
      <c r="B44" s="419"/>
      <c r="C44" s="2047"/>
      <c r="D44" s="2047"/>
      <c r="E44" s="2047"/>
      <c r="F44" s="2047"/>
      <c r="G44" s="2047"/>
      <c r="H44" s="2047"/>
      <c r="I44" s="2048"/>
      <c r="J44" s="420" t="s">
        <v>156</v>
      </c>
      <c r="K44" s="420"/>
      <c r="L44" s="420" t="s">
        <v>157</v>
      </c>
      <c r="M44" s="421"/>
    </row>
    <row r="45" spans="1:13" hidden="1" outlineLevel="1">
      <c r="B45" s="422"/>
      <c r="C45" s="423"/>
      <c r="D45" s="2049" t="s">
        <v>188</v>
      </c>
      <c r="E45" s="2050"/>
      <c r="F45" s="2050"/>
      <c r="G45" s="2050"/>
      <c r="H45" s="2051"/>
      <c r="I45" s="424" t="s">
        <v>189</v>
      </c>
      <c r="J45" s="424" t="s">
        <v>190</v>
      </c>
      <c r="K45" s="424" t="s">
        <v>171</v>
      </c>
      <c r="L45" s="425">
        <v>0</v>
      </c>
      <c r="M45" s="426"/>
    </row>
    <row r="46" spans="1:13" hidden="1" outlineLevel="1">
      <c r="B46" s="422"/>
      <c r="C46" s="423"/>
      <c r="D46" s="427"/>
      <c r="E46" s="428" t="s">
        <v>159</v>
      </c>
      <c r="F46" s="2006" t="s">
        <v>988</v>
      </c>
      <c r="G46" s="2007"/>
      <c r="H46" s="2008"/>
      <c r="I46" s="429"/>
      <c r="J46" s="429">
        <f>I46</f>
        <v>0</v>
      </c>
      <c r="K46" s="430"/>
      <c r="L46" s="431">
        <f>J46+L45</f>
        <v>0</v>
      </c>
      <c r="M46" s="426"/>
    </row>
    <row r="47" spans="1:13" ht="48" hidden="1" customHeight="1" outlineLevel="1">
      <c r="B47" s="422"/>
      <c r="C47" s="423"/>
      <c r="D47" s="433" t="s">
        <v>191</v>
      </c>
      <c r="E47" s="434" t="s">
        <v>160</v>
      </c>
      <c r="F47" s="2015" t="s">
        <v>985</v>
      </c>
      <c r="G47" s="2016"/>
      <c r="H47" s="2017"/>
      <c r="I47" s="356"/>
      <c r="J47" s="356">
        <f>IF(I47=0,0,MIN(I47,L46))</f>
        <v>0</v>
      </c>
      <c r="K47" s="356">
        <f>MAX(I47-J47,0)</f>
        <v>0</v>
      </c>
      <c r="L47" s="431">
        <f>L46-J47</f>
        <v>0</v>
      </c>
      <c r="M47" s="435"/>
    </row>
    <row r="48" spans="1:13" ht="48" hidden="1" customHeight="1" outlineLevel="1">
      <c r="B48" s="422"/>
      <c r="C48" s="423"/>
      <c r="D48" s="433" t="s">
        <v>192</v>
      </c>
      <c r="E48" s="434" t="s">
        <v>160</v>
      </c>
      <c r="F48" s="2012" t="s">
        <v>989</v>
      </c>
      <c r="G48" s="2013"/>
      <c r="H48" s="2014"/>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15" t="s">
        <v>990</v>
      </c>
      <c r="G49" s="2016"/>
      <c r="H49" s="2017"/>
      <c r="I49" s="356"/>
      <c r="J49" s="356">
        <f t="shared" si="3"/>
        <v>0</v>
      </c>
      <c r="K49" s="356">
        <f t="shared" si="4"/>
        <v>0</v>
      </c>
      <c r="L49" s="431">
        <f t="shared" si="5"/>
        <v>0</v>
      </c>
      <c r="M49" s="435"/>
    </row>
    <row r="50" spans="2:13" ht="48" hidden="1" customHeight="1" outlineLevel="1">
      <c r="B50" s="422"/>
      <c r="C50" s="423"/>
      <c r="D50" s="433" t="s">
        <v>194</v>
      </c>
      <c r="E50" s="434" t="s">
        <v>160</v>
      </c>
      <c r="F50" s="2015" t="s">
        <v>991</v>
      </c>
      <c r="G50" s="2016"/>
      <c r="H50" s="2017"/>
      <c r="I50" s="356"/>
      <c r="J50" s="356">
        <f t="shared" si="3"/>
        <v>0</v>
      </c>
      <c r="K50" s="356">
        <f t="shared" si="4"/>
        <v>0</v>
      </c>
      <c r="L50" s="431">
        <f t="shared" si="5"/>
        <v>0</v>
      </c>
      <c r="M50" s="435"/>
    </row>
    <row r="51" spans="2:13" ht="48" hidden="1" customHeight="1" outlineLevel="1">
      <c r="B51" s="422"/>
      <c r="C51" s="423"/>
      <c r="D51" s="433" t="s">
        <v>195</v>
      </c>
      <c r="E51" s="434" t="s">
        <v>160</v>
      </c>
      <c r="F51" s="2015" t="s">
        <v>992</v>
      </c>
      <c r="G51" s="2016"/>
      <c r="H51" s="2017"/>
      <c r="I51" s="356"/>
      <c r="J51" s="356">
        <f t="shared" si="3"/>
        <v>0</v>
      </c>
      <c r="K51" s="356">
        <f t="shared" si="4"/>
        <v>0</v>
      </c>
      <c r="L51" s="431">
        <f t="shared" si="5"/>
        <v>0</v>
      </c>
      <c r="M51" s="435"/>
    </row>
    <row r="52" spans="2:13" ht="48" hidden="1" customHeight="1" outlineLevel="1">
      <c r="B52" s="422"/>
      <c r="C52" s="423"/>
      <c r="D52" s="433" t="s">
        <v>196</v>
      </c>
      <c r="E52" s="434" t="s">
        <v>160</v>
      </c>
      <c r="F52" s="2015" t="s">
        <v>993</v>
      </c>
      <c r="G52" s="2016"/>
      <c r="H52" s="2017"/>
      <c r="I52" s="356"/>
      <c r="J52" s="356">
        <f t="shared" si="3"/>
        <v>0</v>
      </c>
      <c r="K52" s="356">
        <f t="shared" si="4"/>
        <v>0</v>
      </c>
      <c r="L52" s="431">
        <f t="shared" si="5"/>
        <v>0</v>
      </c>
      <c r="M52" s="435"/>
    </row>
    <row r="53" spans="2:13" ht="48" hidden="1" customHeight="1" outlineLevel="1">
      <c r="B53" s="422"/>
      <c r="C53" s="423"/>
      <c r="D53" s="433" t="s">
        <v>197</v>
      </c>
      <c r="E53" s="434" t="s">
        <v>160</v>
      </c>
      <c r="F53" s="2015" t="s">
        <v>994</v>
      </c>
      <c r="G53" s="2016"/>
      <c r="H53" s="2017"/>
      <c r="I53" s="356"/>
      <c r="J53" s="356">
        <f t="shared" si="3"/>
        <v>0</v>
      </c>
      <c r="K53" s="356">
        <f t="shared" si="4"/>
        <v>0</v>
      </c>
      <c r="L53" s="431">
        <f t="shared" si="5"/>
        <v>0</v>
      </c>
      <c r="M53" s="435"/>
    </row>
    <row r="54" spans="2:13" hidden="1" outlineLevel="1">
      <c r="B54" s="437"/>
      <c r="C54" s="438"/>
      <c r="D54" s="2042"/>
      <c r="E54" s="2043"/>
      <c r="F54" s="2043"/>
      <c r="G54" s="2043"/>
      <c r="H54" s="2043"/>
      <c r="I54" s="2043"/>
      <c r="J54" s="2044"/>
      <c r="K54" s="439"/>
      <c r="L54" s="440">
        <f>L53</f>
        <v>0</v>
      </c>
      <c r="M54" s="441"/>
    </row>
    <row r="55" spans="2:13" ht="1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topLeftCell="A8" zoomScale="85" zoomScaleNormal="100" zoomScaleSheetLayoutView="85" workbookViewId="0">
      <selection activeCell="K1" sqref="K1"/>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910" t="s">
        <v>1133</v>
      </c>
      <c r="D8" s="1910"/>
      <c r="E8" s="1910"/>
      <c r="F8" s="1910"/>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0.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46174</v>
      </c>
      <c r="G15" s="1357"/>
    </row>
    <row r="16" spans="1:8" s="1355" customFormat="1" ht="12.75" customHeight="1">
      <c r="C16" s="6" t="s">
        <v>2</v>
      </c>
      <c r="D16" s="1356"/>
      <c r="E16" s="1356"/>
      <c r="F16" s="1354">
        <f>INPUT_DATA!A4</f>
        <v>46203</v>
      </c>
      <c r="G16" s="1357"/>
    </row>
    <row r="17" spans="1:8" s="1355" customFormat="1" ht="12.75" customHeight="1">
      <c r="C17" s="6" t="s">
        <v>99</v>
      </c>
      <c r="D17" s="1356"/>
      <c r="E17" s="1356"/>
      <c r="F17" s="1354">
        <f>INPUT_DATA!A4</f>
        <v>46203</v>
      </c>
      <c r="G17" s="1357"/>
    </row>
    <row r="18" spans="1:8" s="1355" customFormat="1" ht="12.75" customHeight="1">
      <c r="C18" s="6" t="s">
        <v>3</v>
      </c>
      <c r="D18" s="1356"/>
      <c r="E18" s="1356"/>
      <c r="F18" s="1354">
        <f>_xlfn.XLOOKUP(F16,Calendar!$E$23:$E$478,Calendar!$G$23:$G$478)</f>
        <v>46218</v>
      </c>
      <c r="G18" s="1357"/>
    </row>
    <row r="19" spans="1:8" s="1355" customFormat="1" ht="12.75" customHeight="1">
      <c r="C19" s="6" t="s">
        <v>4</v>
      </c>
      <c r="D19" s="1356"/>
      <c r="E19" s="1356"/>
      <c r="F19" s="1354">
        <f>_xlfn.XLOOKUP(F16,Calendar!$E$23:$E$478,Calendar!$H$23:$H$478)</f>
        <v>46223</v>
      </c>
      <c r="G19" s="1357"/>
    </row>
    <row r="20" spans="1:8" s="1355" customFormat="1" ht="12.75" customHeight="1">
      <c r="C20" s="6" t="s">
        <v>5</v>
      </c>
      <c r="D20" s="1356"/>
      <c r="E20" s="1356"/>
      <c r="F20" s="1354">
        <f>_xlfn.XLOOKUP(F16,Calendar!$E$23:$E$478,Calendar!$J$23:$J$478)</f>
        <v>46230</v>
      </c>
      <c r="G20" s="1357"/>
    </row>
    <row r="21" spans="1:8" s="1355" customFormat="1" ht="12.75" customHeight="1">
      <c r="C21" s="1734" t="s">
        <v>1994</v>
      </c>
      <c r="D21" s="1356"/>
      <c r="E21" s="1356"/>
      <c r="F21" s="1354">
        <f>_xlfn.XLOOKUP(EOMONTH($F$15,1),Calendar!$E$23:$E$478,Calendar!$J$23:$J$478)</f>
        <v>46261</v>
      </c>
      <c r="G21" s="1357"/>
    </row>
    <row r="22" spans="1:8" s="1355" customFormat="1" ht="12.75" customHeight="1">
      <c r="C22" s="6" t="s">
        <v>1138</v>
      </c>
      <c r="D22" s="1356"/>
      <c r="E22" s="1356"/>
      <c r="F22" s="1354">
        <f>_xlfn.XLOOKUP(F15-1,Calendar!$E$23:$E$478,Calendar!$J$23:$J$478)</f>
        <v>46202</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21</v>
      </c>
      <c r="G29" s="11"/>
      <c r="H29" s="11"/>
    </row>
    <row r="30" spans="1:8" ht="13.5" customHeight="1">
      <c r="C30" s="6" t="s">
        <v>6</v>
      </c>
      <c r="D30" s="1356"/>
      <c r="E30" s="1356"/>
      <c r="F30" s="1393" t="s">
        <v>1072</v>
      </c>
      <c r="G30" s="11"/>
      <c r="H30" s="11"/>
    </row>
    <row r="31" spans="1:8" ht="15.5">
      <c r="C31" s="17"/>
      <c r="D31" s="17"/>
      <c r="E31" s="17"/>
      <c r="F31" s="17"/>
      <c r="G31" s="11"/>
      <c r="H31" s="11"/>
    </row>
    <row r="32" spans="1:8" ht="15.5">
      <c r="C32" s="6" t="s">
        <v>1061</v>
      </c>
      <c r="D32" s="17"/>
      <c r="E32" s="17"/>
      <c r="F32" s="1588" t="s">
        <v>1073</v>
      </c>
      <c r="G32" s="11"/>
      <c r="H32" s="11"/>
    </row>
    <row r="33" spans="3:8" ht="15.5">
      <c r="C33" s="6" t="s">
        <v>1060</v>
      </c>
      <c r="D33" s="17"/>
      <c r="E33" s="17"/>
      <c r="F33" s="1588" t="s">
        <v>1072</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216</v>
      </c>
      <c r="D48" s="11"/>
      <c r="E48" s="20"/>
      <c r="F48" s="21" t="s">
        <v>12</v>
      </c>
      <c r="G48" s="18"/>
      <c r="H48" s="11"/>
    </row>
    <row r="49" spans="3:12" ht="15.5">
      <c r="C49" s="22" t="s">
        <v>373</v>
      </c>
      <c r="D49" s="11"/>
      <c r="E49" s="20"/>
      <c r="F49" s="21" t="s">
        <v>1066</v>
      </c>
      <c r="G49" s="18"/>
      <c r="H49" s="11"/>
    </row>
    <row r="50" spans="3:12" ht="15.5">
      <c r="C50" s="22" t="s">
        <v>373</v>
      </c>
      <c r="D50" s="11"/>
      <c r="E50" s="24"/>
      <c r="F50" s="25" t="s">
        <v>377</v>
      </c>
      <c r="G50" s="18"/>
      <c r="H50" s="11"/>
    </row>
    <row r="51" spans="3:12" ht="15.5">
      <c r="C51" s="23" t="s">
        <v>216</v>
      </c>
      <c r="D51" s="11"/>
      <c r="E51" s="24"/>
      <c r="F51" s="25" t="s">
        <v>1067</v>
      </c>
      <c r="G51" s="18"/>
      <c r="H51" s="11"/>
    </row>
    <row r="52" spans="3:12" ht="15.5">
      <c r="C52" s="23" t="s">
        <v>373</v>
      </c>
      <c r="D52" s="11"/>
      <c r="E52" s="24"/>
      <c r="F52" s="25" t="s">
        <v>183</v>
      </c>
      <c r="G52" s="18"/>
      <c r="H52" s="11"/>
    </row>
    <row r="53" spans="3:12" ht="15.5">
      <c r="C53" s="26" t="s">
        <v>216</v>
      </c>
      <c r="D53" s="11"/>
      <c r="E53" s="24"/>
      <c r="F53" s="25" t="s">
        <v>1063</v>
      </c>
      <c r="G53" s="18"/>
      <c r="H53" s="11"/>
    </row>
    <row r="54" spans="3:12" ht="15.5">
      <c r="C54" s="26" t="s">
        <v>216</v>
      </c>
      <c r="D54" s="11"/>
      <c r="E54" s="24"/>
      <c r="F54" s="25" t="s">
        <v>1064</v>
      </c>
      <c r="G54" s="18"/>
      <c r="H54" s="11"/>
    </row>
    <row r="55" spans="3:12" ht="15.75" customHeight="1">
      <c r="C55" s="23" t="s">
        <v>216</v>
      </c>
      <c r="D55" s="11"/>
      <c r="E55" s="27"/>
      <c r="F55" s="28" t="s">
        <v>1065</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1995</v>
      </c>
      <c r="G59" s="33"/>
      <c r="H59" s="11"/>
    </row>
    <row r="60" spans="3:12" ht="17.25" customHeight="1">
      <c r="C60" s="30" t="s">
        <v>13</v>
      </c>
      <c r="D60" s="31" t="s">
        <v>15</v>
      </c>
      <c r="E60" s="1909" t="s">
        <v>1993</v>
      </c>
      <c r="F60" s="1909"/>
      <c r="G60" s="1909"/>
      <c r="H60" s="1909"/>
      <c r="I60" s="1909"/>
      <c r="J60" s="1909"/>
      <c r="K60" s="1909"/>
      <c r="L60" s="1909"/>
    </row>
    <row r="61" spans="3:12" ht="15.75" customHeight="1">
      <c r="C61" s="11"/>
      <c r="D61" s="34"/>
      <c r="E61" s="1907" t="s">
        <v>16</v>
      </c>
      <c r="F61" s="1908"/>
      <c r="G61" s="1908"/>
      <c r="H61" s="11"/>
    </row>
    <row r="62" spans="3:12" ht="15.75" customHeight="1">
      <c r="C62" s="11"/>
      <c r="D62" s="34"/>
      <c r="E62" s="1909" t="s">
        <v>2075</v>
      </c>
      <c r="F62" s="1909"/>
      <c r="G62" s="1909"/>
      <c r="H62" s="11"/>
    </row>
    <row r="63" spans="3:12" ht="15.5">
      <c r="C63" s="11"/>
      <c r="D63" s="34"/>
      <c r="E63" s="1907" t="s">
        <v>2076</v>
      </c>
      <c r="F63" s="1908"/>
      <c r="H63" s="11"/>
    </row>
    <row r="64" spans="3:12">
      <c r="E64" s="1909" t="s">
        <v>2077</v>
      </c>
      <c r="F64" s="1909" t="s">
        <v>2077</v>
      </c>
      <c r="G64" s="1909"/>
    </row>
    <row r="65" spans="5:6">
      <c r="E65" s="1907" t="s">
        <v>2078</v>
      </c>
      <c r="F65" s="1908" t="s">
        <v>2078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election activeCell="I40" sqref="I40"/>
    </sheetView>
  </sheetViews>
  <sheetFormatPr defaultColWidth="9.1796875" defaultRowHeight="12.5"/>
  <cols>
    <col min="1" max="1" width="3.453125" style="234" customWidth="1"/>
    <col min="2" max="2" width="1.54296875" style="234" customWidth="1"/>
    <col min="3" max="3" width="18.1796875" style="234" customWidth="1"/>
    <col min="4" max="4" width="41.453125" style="234" customWidth="1"/>
    <col min="5" max="5" width="22.54296875" style="234" customWidth="1"/>
    <col min="6" max="6" width="12.1796875" style="234" bestFit="1" customWidth="1"/>
    <col min="7" max="7" width="3.81640625" style="234" customWidth="1"/>
    <col min="8" max="8" width="27.54296875" style="234" customWidth="1"/>
    <col min="9" max="9" width="18.54296875" style="234" customWidth="1"/>
    <col min="10" max="10" width="22.54296875" style="234" customWidth="1"/>
    <col min="11" max="11" width="20.7265625" style="234" bestFit="1" customWidth="1"/>
    <col min="12" max="12" width="16.453125" style="234" bestFit="1" customWidth="1"/>
    <col min="13" max="13" width="19.26953125" style="234" customWidth="1"/>
    <col min="14" max="14" width="9.1796875" style="234"/>
    <col min="15" max="15" width="17.81640625" style="234" bestFit="1" customWidth="1"/>
    <col min="16" max="16" width="16.7265625" style="234" bestFit="1" customWidth="1"/>
    <col min="17" max="16384" width="9.179687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4">
      <c r="B12" s="2054" t="s">
        <v>200</v>
      </c>
      <c r="C12" s="2055"/>
      <c r="D12" s="2055"/>
      <c r="E12" s="2056"/>
      <c r="F12" s="453"/>
      <c r="G12" s="2057" t="s">
        <v>201</v>
      </c>
      <c r="H12" s="2058" t="s">
        <v>202</v>
      </c>
      <c r="I12" s="2058"/>
      <c r="J12" s="2059" t="s">
        <v>203</v>
      </c>
    </row>
    <row r="13" spans="1:16" ht="14">
      <c r="B13" s="454"/>
      <c r="C13" s="455"/>
      <c r="D13" s="456"/>
      <c r="E13" s="457"/>
      <c r="F13" s="458"/>
      <c r="G13" s="459"/>
      <c r="H13" s="460" t="s">
        <v>118</v>
      </c>
      <c r="I13" s="461"/>
      <c r="J13" s="462">
        <f>'11 - Notes Follow-up'!G25</f>
        <v>6467392569.1199999</v>
      </c>
      <c r="K13" s="339"/>
      <c r="L13" s="339"/>
      <c r="M13" s="339"/>
    </row>
    <row r="14" spans="1:16" ht="14">
      <c r="B14" s="463"/>
      <c r="C14" s="464" t="s">
        <v>1349</v>
      </c>
      <c r="D14" s="465"/>
      <c r="E14" s="1387">
        <f>'02 - Monthly Asset Follow up'!P17</f>
        <v>10731409727.809999</v>
      </c>
      <c r="F14" s="458"/>
      <c r="G14" s="467"/>
      <c r="H14" s="468" t="s">
        <v>2053</v>
      </c>
      <c r="I14" s="469"/>
      <c r="J14" s="473">
        <f>+'11 - Notes Follow-up'!O25</f>
        <v>3727447061.8000002</v>
      </c>
      <c r="L14" s="339"/>
      <c r="M14" s="339"/>
    </row>
    <row r="15" spans="1:16" ht="14.5">
      <c r="B15" s="463"/>
      <c r="C15" s="1343"/>
      <c r="D15" s="471"/>
      <c r="E15" s="466"/>
      <c r="F15" s="472"/>
      <c r="G15" s="467"/>
      <c r="H15" s="468" t="s">
        <v>119</v>
      </c>
      <c r="I15" s="469"/>
      <c r="J15" s="473">
        <f>'11 - Notes Follow-up'!W25</f>
        <v>536570511.84000009</v>
      </c>
      <c r="L15" s="339"/>
      <c r="M15" s="1593"/>
      <c r="O15" s="349"/>
      <c r="P15" s="339"/>
    </row>
    <row r="16" spans="1:16" ht="14.5">
      <c r="B16" s="474"/>
      <c r="C16" s="1343" t="s">
        <v>420</v>
      </c>
      <c r="D16" s="465"/>
      <c r="E16" s="466">
        <f>'02 - Monthly Asset Follow up'!BL17+'02 - Monthly Asset Follow up'!CS17</f>
        <v>918196.36</v>
      </c>
      <c r="F16" s="472"/>
      <c r="G16" s="467"/>
      <c r="H16" s="468"/>
      <c r="I16" s="469"/>
      <c r="J16" s="475"/>
      <c r="L16" s="339"/>
    </row>
    <row r="17" spans="2:12" ht="14">
      <c r="B17" s="474"/>
      <c r="C17" s="464"/>
      <c r="D17" s="465"/>
      <c r="E17" s="466"/>
      <c r="F17" s="472"/>
      <c r="G17" s="467"/>
      <c r="H17" s="468"/>
      <c r="I17" s="469"/>
      <c r="J17" s="473"/>
      <c r="L17" s="339"/>
    </row>
    <row r="18" spans="2:12" ht="14">
      <c r="B18" s="474"/>
      <c r="C18" s="464"/>
      <c r="D18" s="465"/>
      <c r="E18" s="466"/>
      <c r="F18" s="458"/>
      <c r="G18" s="467"/>
      <c r="H18" s="468"/>
      <c r="I18" s="469"/>
      <c r="J18" s="473"/>
    </row>
    <row r="19" spans="2:12" ht="14">
      <c r="B19" s="474"/>
      <c r="C19" s="464" t="s">
        <v>405</v>
      </c>
      <c r="D19" s="465"/>
      <c r="E19" s="466">
        <f>+'13 - Issuer Account'!I29-'13 - Issuer Account'!I12+300</f>
        <v>714.95000061392784</v>
      </c>
      <c r="F19" s="458"/>
      <c r="G19" s="1335"/>
      <c r="H19" s="468"/>
      <c r="I19" s="1336"/>
      <c r="J19" s="473"/>
    </row>
    <row r="20" spans="2:12" ht="14">
      <c r="B20" s="474"/>
      <c r="C20" s="476"/>
      <c r="D20" s="465"/>
      <c r="E20" s="466"/>
      <c r="F20" s="458"/>
      <c r="G20" s="477"/>
      <c r="H20" s="468" t="s">
        <v>130</v>
      </c>
      <c r="I20" s="478"/>
      <c r="J20" s="473">
        <f>'11 - Notes Follow-up'!AD25</f>
        <v>300</v>
      </c>
    </row>
    <row r="21" spans="2:12" ht="14">
      <c r="B21" s="479"/>
      <c r="C21" s="464" t="s">
        <v>1014</v>
      </c>
      <c r="D21" s="480"/>
      <c r="E21" s="466">
        <f>'13 - Issuer Account'!I41</f>
        <v>50980000</v>
      </c>
      <c r="F21" s="481"/>
      <c r="G21" s="477"/>
      <c r="H21" s="468"/>
      <c r="I21" s="478"/>
      <c r="J21" s="473"/>
    </row>
    <row r="22" spans="2:12" ht="14">
      <c r="B22" s="479"/>
      <c r="C22" s="464"/>
      <c r="D22" s="480"/>
      <c r="E22" s="466"/>
      <c r="F22" s="481"/>
      <c r="G22" s="477"/>
      <c r="H22" s="468" t="s">
        <v>1014</v>
      </c>
      <c r="I22" s="478"/>
      <c r="J22" s="473">
        <f>'13 - Issuer Account'!I41</f>
        <v>50980000</v>
      </c>
    </row>
    <row r="23" spans="2:12" ht="14">
      <c r="B23" s="479"/>
      <c r="C23" s="464" t="s">
        <v>1013</v>
      </c>
      <c r="D23" s="480"/>
      <c r="E23" s="466">
        <f>'13 - Issuer Account'!I52</f>
        <v>0</v>
      </c>
      <c r="F23" s="481"/>
      <c r="G23" s="477"/>
      <c r="I23" s="470"/>
      <c r="J23" s="473"/>
    </row>
    <row r="24" spans="2:12" ht="14">
      <c r="B24" s="479"/>
      <c r="C24" s="464"/>
      <c r="D24" s="480"/>
      <c r="E24" s="466"/>
      <c r="F24" s="481"/>
      <c r="G24" s="477"/>
      <c r="H24" s="468" t="s">
        <v>1013</v>
      </c>
      <c r="I24" s="478"/>
      <c r="J24" s="473">
        <f>'13 - Issuer Account'!I52</f>
        <v>0</v>
      </c>
    </row>
    <row r="25" spans="2:12" ht="15.5">
      <c r="B25" s="1733"/>
      <c r="C25" s="482"/>
      <c r="D25" s="483"/>
      <c r="E25" s="484"/>
      <c r="F25" s="485"/>
      <c r="G25" s="486"/>
      <c r="H25" s="487"/>
      <c r="I25" s="488"/>
      <c r="J25" s="489"/>
    </row>
    <row r="26" spans="2:12" ht="15.5">
      <c r="B26" s="492"/>
      <c r="C26" s="490" t="s">
        <v>96</v>
      </c>
      <c r="D26" s="490"/>
      <c r="E26" s="491">
        <f>E14+E19+E21+E23</f>
        <v>10782390442.76</v>
      </c>
      <c r="F26" s="322"/>
      <c r="G26" s="492"/>
      <c r="H26" s="493" t="s">
        <v>96</v>
      </c>
      <c r="I26" s="493"/>
      <c r="J26" s="494">
        <f>J13+J15+J20+J24+J22+J14+J17</f>
        <v>10782390442.76</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heetViews>
  <sheetFormatPr defaultColWidth="11.453125" defaultRowHeight="12.5"/>
  <cols>
    <col min="1" max="1" width="3.54296875" style="1215" customWidth="1"/>
    <col min="2" max="2" width="2.453125" style="1215" customWidth="1"/>
    <col min="3" max="3" width="99.81640625" style="1215" bestFit="1" customWidth="1"/>
    <col min="4" max="4" width="30.453125" style="1215" customWidth="1"/>
    <col min="5" max="5" width="1.453125" style="1215" customWidth="1"/>
    <col min="6" max="6" width="29.453125" style="1215" customWidth="1"/>
    <col min="7" max="7" width="12.453125" style="1215" bestFit="1" customWidth="1"/>
    <col min="8" max="8" width="4.54296875" style="1215" customWidth="1"/>
    <col min="9" max="9" width="12.453125" style="1215" bestFit="1" customWidth="1"/>
    <col min="10" max="10" width="13.453125" style="1215" customWidth="1"/>
    <col min="11" max="11" width="7.453125" style="1215" bestFit="1" customWidth="1"/>
    <col min="12" max="12" width="19.81640625" style="1215" bestFit="1" customWidth="1"/>
    <col min="13" max="247" width="11.453125" style="1215"/>
    <col min="248" max="248" width="2.453125" style="1215" customWidth="1"/>
    <col min="249" max="249" width="49" style="1215" customWidth="1"/>
    <col min="250" max="250" width="16.81640625" style="1215" customWidth="1"/>
    <col min="251" max="251" width="1.1796875" style="1215" customWidth="1"/>
    <col min="252" max="252" width="20.54296875" style="1215" customWidth="1"/>
    <col min="253" max="253" width="17.54296875" style="1215" customWidth="1"/>
    <col min="254" max="254" width="18.1796875" style="1215" customWidth="1"/>
    <col min="255" max="255" width="17.1796875" style="1215" customWidth="1"/>
    <col min="256" max="256" width="22.453125" style="1215" bestFit="1" customWidth="1"/>
    <col min="257" max="257" width="22.1796875" style="1215" customWidth="1"/>
    <col min="258" max="258" width="17.81640625" style="1215" customWidth="1"/>
    <col min="259" max="259" width="22.453125" style="1215" customWidth="1"/>
    <col min="260" max="260" width="10.1796875" style="1215" bestFit="1" customWidth="1"/>
    <col min="261" max="261" width="13.453125" style="1215" customWidth="1"/>
    <col min="262" max="262" width="7.453125" style="1215" bestFit="1" customWidth="1"/>
    <col min="263" max="263" width="15.453125" style="1215" bestFit="1" customWidth="1"/>
    <col min="264" max="264" width="7.453125" style="1215" bestFit="1" customWidth="1"/>
    <col min="265" max="265" width="19.54296875" style="1215" bestFit="1" customWidth="1"/>
    <col min="266" max="266" width="7.453125" style="1215" bestFit="1" customWidth="1"/>
    <col min="267" max="267" width="26.81640625" style="1215" bestFit="1" customWidth="1"/>
    <col min="268" max="268" width="19.81640625" style="1215" bestFit="1" customWidth="1"/>
    <col min="269" max="503" width="11.453125" style="1215"/>
    <col min="504" max="504" width="2.453125" style="1215" customWidth="1"/>
    <col min="505" max="505" width="49" style="1215" customWidth="1"/>
    <col min="506" max="506" width="16.81640625" style="1215" customWidth="1"/>
    <col min="507" max="507" width="1.1796875" style="1215" customWidth="1"/>
    <col min="508" max="508" width="20.54296875" style="1215" customWidth="1"/>
    <col min="509" max="509" width="17.54296875" style="1215" customWidth="1"/>
    <col min="510" max="510" width="18.1796875" style="1215" customWidth="1"/>
    <col min="511" max="511" width="17.1796875" style="1215" customWidth="1"/>
    <col min="512" max="512" width="22.453125" style="1215" bestFit="1" customWidth="1"/>
    <col min="513" max="513" width="22.1796875" style="1215" customWidth="1"/>
    <col min="514" max="514" width="17.81640625" style="1215" customWidth="1"/>
    <col min="515" max="515" width="22.453125" style="1215" customWidth="1"/>
    <col min="516" max="516" width="10.1796875" style="1215" bestFit="1" customWidth="1"/>
    <col min="517" max="517" width="13.453125" style="1215" customWidth="1"/>
    <col min="518" max="518" width="7.453125" style="1215" bestFit="1" customWidth="1"/>
    <col min="519" max="519" width="15.453125" style="1215" bestFit="1" customWidth="1"/>
    <col min="520" max="520" width="7.453125" style="1215" bestFit="1" customWidth="1"/>
    <col min="521" max="521" width="19.54296875" style="1215" bestFit="1" customWidth="1"/>
    <col min="522" max="522" width="7.453125" style="1215" bestFit="1" customWidth="1"/>
    <col min="523" max="523" width="26.81640625" style="1215" bestFit="1" customWidth="1"/>
    <col min="524" max="524" width="19.81640625" style="1215" bestFit="1" customWidth="1"/>
    <col min="525" max="759" width="11.453125" style="1215"/>
    <col min="760" max="760" width="2.453125" style="1215" customWidth="1"/>
    <col min="761" max="761" width="49" style="1215" customWidth="1"/>
    <col min="762" max="762" width="16.81640625" style="1215" customWidth="1"/>
    <col min="763" max="763" width="1.1796875" style="1215" customWidth="1"/>
    <col min="764" max="764" width="20.54296875" style="1215" customWidth="1"/>
    <col min="765" max="765" width="17.54296875" style="1215" customWidth="1"/>
    <col min="766" max="766" width="18.1796875" style="1215" customWidth="1"/>
    <col min="767" max="767" width="17.1796875" style="1215" customWidth="1"/>
    <col min="768" max="768" width="22.453125" style="1215" bestFit="1" customWidth="1"/>
    <col min="769" max="769" width="22.1796875" style="1215" customWidth="1"/>
    <col min="770" max="770" width="17.81640625" style="1215" customWidth="1"/>
    <col min="771" max="771" width="22.453125" style="1215" customWidth="1"/>
    <col min="772" max="772" width="10.1796875" style="1215" bestFit="1" customWidth="1"/>
    <col min="773" max="773" width="13.453125" style="1215" customWidth="1"/>
    <col min="774" max="774" width="7.453125" style="1215" bestFit="1" customWidth="1"/>
    <col min="775" max="775" width="15.453125" style="1215" bestFit="1" customWidth="1"/>
    <col min="776" max="776" width="7.453125" style="1215" bestFit="1" customWidth="1"/>
    <col min="777" max="777" width="19.54296875" style="1215" bestFit="1" customWidth="1"/>
    <col min="778" max="778" width="7.453125" style="1215" bestFit="1" customWidth="1"/>
    <col min="779" max="779" width="26.81640625" style="1215" bestFit="1" customWidth="1"/>
    <col min="780" max="780" width="19.81640625" style="1215" bestFit="1" customWidth="1"/>
    <col min="781" max="1015" width="11.453125" style="1215"/>
    <col min="1016" max="1016" width="2.453125" style="1215" customWidth="1"/>
    <col min="1017" max="1017" width="49" style="1215" customWidth="1"/>
    <col min="1018" max="1018" width="16.81640625" style="1215" customWidth="1"/>
    <col min="1019" max="1019" width="1.1796875" style="1215" customWidth="1"/>
    <col min="1020" max="1020" width="20.54296875" style="1215" customWidth="1"/>
    <col min="1021" max="1021" width="17.54296875" style="1215" customWidth="1"/>
    <col min="1022" max="1022" width="18.1796875" style="1215" customWidth="1"/>
    <col min="1023" max="1023" width="17.1796875" style="1215" customWidth="1"/>
    <col min="1024" max="1024" width="22.453125" style="1215" bestFit="1" customWidth="1"/>
    <col min="1025" max="1025" width="22.1796875" style="1215" customWidth="1"/>
    <col min="1026" max="1026" width="17.81640625" style="1215" customWidth="1"/>
    <col min="1027" max="1027" width="22.453125" style="1215" customWidth="1"/>
    <col min="1028" max="1028" width="10.1796875" style="1215" bestFit="1" customWidth="1"/>
    <col min="1029" max="1029" width="13.453125" style="1215" customWidth="1"/>
    <col min="1030" max="1030" width="7.453125" style="1215" bestFit="1" customWidth="1"/>
    <col min="1031" max="1031" width="15.453125" style="1215" bestFit="1" customWidth="1"/>
    <col min="1032" max="1032" width="7.453125" style="1215" bestFit="1" customWidth="1"/>
    <col min="1033" max="1033" width="19.54296875" style="1215" bestFit="1" customWidth="1"/>
    <col min="1034" max="1034" width="7.453125" style="1215" bestFit="1" customWidth="1"/>
    <col min="1035" max="1035" width="26.81640625" style="1215" bestFit="1" customWidth="1"/>
    <col min="1036" max="1036" width="19.81640625" style="1215" bestFit="1" customWidth="1"/>
    <col min="1037" max="1271" width="11.453125" style="1215"/>
    <col min="1272" max="1272" width="2.453125" style="1215" customWidth="1"/>
    <col min="1273" max="1273" width="49" style="1215" customWidth="1"/>
    <col min="1274" max="1274" width="16.81640625" style="1215" customWidth="1"/>
    <col min="1275" max="1275" width="1.1796875" style="1215" customWidth="1"/>
    <col min="1276" max="1276" width="20.54296875" style="1215" customWidth="1"/>
    <col min="1277" max="1277" width="17.54296875" style="1215" customWidth="1"/>
    <col min="1278" max="1278" width="18.1796875" style="1215" customWidth="1"/>
    <col min="1279" max="1279" width="17.1796875" style="1215" customWidth="1"/>
    <col min="1280" max="1280" width="22.453125" style="1215" bestFit="1" customWidth="1"/>
    <col min="1281" max="1281" width="22.1796875" style="1215" customWidth="1"/>
    <col min="1282" max="1282" width="17.81640625" style="1215" customWidth="1"/>
    <col min="1283" max="1283" width="22.453125" style="1215" customWidth="1"/>
    <col min="1284" max="1284" width="10.1796875" style="1215" bestFit="1" customWidth="1"/>
    <col min="1285" max="1285" width="13.453125" style="1215" customWidth="1"/>
    <col min="1286" max="1286" width="7.453125" style="1215" bestFit="1" customWidth="1"/>
    <col min="1287" max="1287" width="15.453125" style="1215" bestFit="1" customWidth="1"/>
    <col min="1288" max="1288" width="7.453125" style="1215" bestFit="1" customWidth="1"/>
    <col min="1289" max="1289" width="19.54296875" style="1215" bestFit="1" customWidth="1"/>
    <col min="1290" max="1290" width="7.453125" style="1215" bestFit="1" customWidth="1"/>
    <col min="1291" max="1291" width="26.81640625" style="1215" bestFit="1" customWidth="1"/>
    <col min="1292" max="1292" width="19.81640625" style="1215" bestFit="1" customWidth="1"/>
    <col min="1293" max="1527" width="11.453125" style="1215"/>
    <col min="1528" max="1528" width="2.453125" style="1215" customWidth="1"/>
    <col min="1529" max="1529" width="49" style="1215" customWidth="1"/>
    <col min="1530" max="1530" width="16.81640625" style="1215" customWidth="1"/>
    <col min="1531" max="1531" width="1.1796875" style="1215" customWidth="1"/>
    <col min="1532" max="1532" width="20.54296875" style="1215" customWidth="1"/>
    <col min="1533" max="1533" width="17.54296875" style="1215" customWidth="1"/>
    <col min="1534" max="1534" width="18.1796875" style="1215" customWidth="1"/>
    <col min="1535" max="1535" width="17.1796875" style="1215" customWidth="1"/>
    <col min="1536" max="1536" width="22.453125" style="1215" bestFit="1" customWidth="1"/>
    <col min="1537" max="1537" width="22.1796875" style="1215" customWidth="1"/>
    <col min="1538" max="1538" width="17.81640625" style="1215" customWidth="1"/>
    <col min="1539" max="1539" width="22.453125" style="1215" customWidth="1"/>
    <col min="1540" max="1540" width="10.1796875" style="1215" bestFit="1" customWidth="1"/>
    <col min="1541" max="1541" width="13.453125" style="1215" customWidth="1"/>
    <col min="1542" max="1542" width="7.453125" style="1215" bestFit="1" customWidth="1"/>
    <col min="1543" max="1543" width="15.453125" style="1215" bestFit="1" customWidth="1"/>
    <col min="1544" max="1544" width="7.453125" style="1215" bestFit="1" customWidth="1"/>
    <col min="1545" max="1545" width="19.54296875" style="1215" bestFit="1" customWidth="1"/>
    <col min="1546" max="1546" width="7.453125" style="1215" bestFit="1" customWidth="1"/>
    <col min="1547" max="1547" width="26.81640625" style="1215" bestFit="1" customWidth="1"/>
    <col min="1548" max="1548" width="19.81640625" style="1215" bestFit="1" customWidth="1"/>
    <col min="1549" max="1783" width="11.453125" style="1215"/>
    <col min="1784" max="1784" width="2.453125" style="1215" customWidth="1"/>
    <col min="1785" max="1785" width="49" style="1215" customWidth="1"/>
    <col min="1786" max="1786" width="16.81640625" style="1215" customWidth="1"/>
    <col min="1787" max="1787" width="1.1796875" style="1215" customWidth="1"/>
    <col min="1788" max="1788" width="20.54296875" style="1215" customWidth="1"/>
    <col min="1789" max="1789" width="17.54296875" style="1215" customWidth="1"/>
    <col min="1790" max="1790" width="18.1796875" style="1215" customWidth="1"/>
    <col min="1791" max="1791" width="17.1796875" style="1215" customWidth="1"/>
    <col min="1792" max="1792" width="22.453125" style="1215" bestFit="1" customWidth="1"/>
    <col min="1793" max="1793" width="22.1796875" style="1215" customWidth="1"/>
    <col min="1794" max="1794" width="17.81640625" style="1215" customWidth="1"/>
    <col min="1795" max="1795" width="22.453125" style="1215" customWidth="1"/>
    <col min="1796" max="1796" width="10.1796875" style="1215" bestFit="1" customWidth="1"/>
    <col min="1797" max="1797" width="13.453125" style="1215" customWidth="1"/>
    <col min="1798" max="1798" width="7.453125" style="1215" bestFit="1" customWidth="1"/>
    <col min="1799" max="1799" width="15.453125" style="1215" bestFit="1" customWidth="1"/>
    <col min="1800" max="1800" width="7.453125" style="1215" bestFit="1" customWidth="1"/>
    <col min="1801" max="1801" width="19.54296875" style="1215" bestFit="1" customWidth="1"/>
    <col min="1802" max="1802" width="7.453125" style="1215" bestFit="1" customWidth="1"/>
    <col min="1803" max="1803" width="26.81640625" style="1215" bestFit="1" customWidth="1"/>
    <col min="1804" max="1804" width="19.81640625" style="1215" bestFit="1" customWidth="1"/>
    <col min="1805" max="2039" width="11.453125" style="1215"/>
    <col min="2040" max="2040" width="2.453125" style="1215" customWidth="1"/>
    <col min="2041" max="2041" width="49" style="1215" customWidth="1"/>
    <col min="2042" max="2042" width="16.81640625" style="1215" customWidth="1"/>
    <col min="2043" max="2043" width="1.1796875" style="1215" customWidth="1"/>
    <col min="2044" max="2044" width="20.54296875" style="1215" customWidth="1"/>
    <col min="2045" max="2045" width="17.54296875" style="1215" customWidth="1"/>
    <col min="2046" max="2046" width="18.1796875" style="1215" customWidth="1"/>
    <col min="2047" max="2047" width="17.1796875" style="1215" customWidth="1"/>
    <col min="2048" max="2048" width="22.453125" style="1215" bestFit="1" customWidth="1"/>
    <col min="2049" max="2049" width="22.1796875" style="1215" customWidth="1"/>
    <col min="2050" max="2050" width="17.81640625" style="1215" customWidth="1"/>
    <col min="2051" max="2051" width="22.453125" style="1215" customWidth="1"/>
    <col min="2052" max="2052" width="10.1796875" style="1215" bestFit="1" customWidth="1"/>
    <col min="2053" max="2053" width="13.453125" style="1215" customWidth="1"/>
    <col min="2054" max="2054" width="7.453125" style="1215" bestFit="1" customWidth="1"/>
    <col min="2055" max="2055" width="15.453125" style="1215" bestFit="1" customWidth="1"/>
    <col min="2056" max="2056" width="7.453125" style="1215" bestFit="1" customWidth="1"/>
    <col min="2057" max="2057" width="19.54296875" style="1215" bestFit="1" customWidth="1"/>
    <col min="2058" max="2058" width="7.453125" style="1215" bestFit="1" customWidth="1"/>
    <col min="2059" max="2059" width="26.81640625" style="1215" bestFit="1" customWidth="1"/>
    <col min="2060" max="2060" width="19.81640625" style="1215" bestFit="1" customWidth="1"/>
    <col min="2061" max="2295" width="11.453125" style="1215"/>
    <col min="2296" max="2296" width="2.453125" style="1215" customWidth="1"/>
    <col min="2297" max="2297" width="49" style="1215" customWidth="1"/>
    <col min="2298" max="2298" width="16.81640625" style="1215" customWidth="1"/>
    <col min="2299" max="2299" width="1.1796875" style="1215" customWidth="1"/>
    <col min="2300" max="2300" width="20.54296875" style="1215" customWidth="1"/>
    <col min="2301" max="2301" width="17.54296875" style="1215" customWidth="1"/>
    <col min="2302" max="2302" width="18.1796875" style="1215" customWidth="1"/>
    <col min="2303" max="2303" width="17.1796875" style="1215" customWidth="1"/>
    <col min="2304" max="2304" width="22.453125" style="1215" bestFit="1" customWidth="1"/>
    <col min="2305" max="2305" width="22.1796875" style="1215" customWidth="1"/>
    <col min="2306" max="2306" width="17.81640625" style="1215" customWidth="1"/>
    <col min="2307" max="2307" width="22.453125" style="1215" customWidth="1"/>
    <col min="2308" max="2308" width="10.1796875" style="1215" bestFit="1" customWidth="1"/>
    <col min="2309" max="2309" width="13.453125" style="1215" customWidth="1"/>
    <col min="2310" max="2310" width="7.453125" style="1215" bestFit="1" customWidth="1"/>
    <col min="2311" max="2311" width="15.453125" style="1215" bestFit="1" customWidth="1"/>
    <col min="2312" max="2312" width="7.453125" style="1215" bestFit="1" customWidth="1"/>
    <col min="2313" max="2313" width="19.54296875" style="1215" bestFit="1" customWidth="1"/>
    <col min="2314" max="2314" width="7.453125" style="1215" bestFit="1" customWidth="1"/>
    <col min="2315" max="2315" width="26.81640625" style="1215" bestFit="1" customWidth="1"/>
    <col min="2316" max="2316" width="19.81640625" style="1215" bestFit="1" customWidth="1"/>
    <col min="2317" max="2551" width="11.453125" style="1215"/>
    <col min="2552" max="2552" width="2.453125" style="1215" customWidth="1"/>
    <col min="2553" max="2553" width="49" style="1215" customWidth="1"/>
    <col min="2554" max="2554" width="16.81640625" style="1215" customWidth="1"/>
    <col min="2555" max="2555" width="1.1796875" style="1215" customWidth="1"/>
    <col min="2556" max="2556" width="20.54296875" style="1215" customWidth="1"/>
    <col min="2557" max="2557" width="17.54296875" style="1215" customWidth="1"/>
    <col min="2558" max="2558" width="18.1796875" style="1215" customWidth="1"/>
    <col min="2559" max="2559" width="17.1796875" style="1215" customWidth="1"/>
    <col min="2560" max="2560" width="22.453125" style="1215" bestFit="1" customWidth="1"/>
    <col min="2561" max="2561" width="22.1796875" style="1215" customWidth="1"/>
    <col min="2562" max="2562" width="17.81640625" style="1215" customWidth="1"/>
    <col min="2563" max="2563" width="22.453125" style="1215" customWidth="1"/>
    <col min="2564" max="2564" width="10.1796875" style="1215" bestFit="1" customWidth="1"/>
    <col min="2565" max="2565" width="13.453125" style="1215" customWidth="1"/>
    <col min="2566" max="2566" width="7.453125" style="1215" bestFit="1" customWidth="1"/>
    <col min="2567" max="2567" width="15.453125" style="1215" bestFit="1" customWidth="1"/>
    <col min="2568" max="2568" width="7.453125" style="1215" bestFit="1" customWidth="1"/>
    <col min="2569" max="2569" width="19.54296875" style="1215" bestFit="1" customWidth="1"/>
    <col min="2570" max="2570" width="7.453125" style="1215" bestFit="1" customWidth="1"/>
    <col min="2571" max="2571" width="26.81640625" style="1215" bestFit="1" customWidth="1"/>
    <col min="2572" max="2572" width="19.81640625" style="1215" bestFit="1" customWidth="1"/>
    <col min="2573" max="2807" width="11.453125" style="1215"/>
    <col min="2808" max="2808" width="2.453125" style="1215" customWidth="1"/>
    <col min="2809" max="2809" width="49" style="1215" customWidth="1"/>
    <col min="2810" max="2810" width="16.81640625" style="1215" customWidth="1"/>
    <col min="2811" max="2811" width="1.1796875" style="1215" customWidth="1"/>
    <col min="2812" max="2812" width="20.54296875" style="1215" customWidth="1"/>
    <col min="2813" max="2813" width="17.54296875" style="1215" customWidth="1"/>
    <col min="2814" max="2814" width="18.1796875" style="1215" customWidth="1"/>
    <col min="2815" max="2815" width="17.1796875" style="1215" customWidth="1"/>
    <col min="2816" max="2816" width="22.453125" style="1215" bestFit="1" customWidth="1"/>
    <col min="2817" max="2817" width="22.1796875" style="1215" customWidth="1"/>
    <col min="2818" max="2818" width="17.81640625" style="1215" customWidth="1"/>
    <col min="2819" max="2819" width="22.453125" style="1215" customWidth="1"/>
    <col min="2820" max="2820" width="10.1796875" style="1215" bestFit="1" customWidth="1"/>
    <col min="2821" max="2821" width="13.453125" style="1215" customWidth="1"/>
    <col min="2822" max="2822" width="7.453125" style="1215" bestFit="1" customWidth="1"/>
    <col min="2823" max="2823" width="15.453125" style="1215" bestFit="1" customWidth="1"/>
    <col min="2824" max="2824" width="7.453125" style="1215" bestFit="1" customWidth="1"/>
    <col min="2825" max="2825" width="19.54296875" style="1215" bestFit="1" customWidth="1"/>
    <col min="2826" max="2826" width="7.453125" style="1215" bestFit="1" customWidth="1"/>
    <col min="2827" max="2827" width="26.81640625" style="1215" bestFit="1" customWidth="1"/>
    <col min="2828" max="2828" width="19.81640625" style="1215" bestFit="1" customWidth="1"/>
    <col min="2829" max="3063" width="11.453125" style="1215"/>
    <col min="3064" max="3064" width="2.453125" style="1215" customWidth="1"/>
    <col min="3065" max="3065" width="49" style="1215" customWidth="1"/>
    <col min="3066" max="3066" width="16.81640625" style="1215" customWidth="1"/>
    <col min="3067" max="3067" width="1.1796875" style="1215" customWidth="1"/>
    <col min="3068" max="3068" width="20.54296875" style="1215" customWidth="1"/>
    <col min="3069" max="3069" width="17.54296875" style="1215" customWidth="1"/>
    <col min="3070" max="3070" width="18.1796875" style="1215" customWidth="1"/>
    <col min="3071" max="3071" width="17.1796875" style="1215" customWidth="1"/>
    <col min="3072" max="3072" width="22.453125" style="1215" bestFit="1" customWidth="1"/>
    <col min="3073" max="3073" width="22.1796875" style="1215" customWidth="1"/>
    <col min="3074" max="3074" width="17.81640625" style="1215" customWidth="1"/>
    <col min="3075" max="3075" width="22.453125" style="1215" customWidth="1"/>
    <col min="3076" max="3076" width="10.1796875" style="1215" bestFit="1" customWidth="1"/>
    <col min="3077" max="3077" width="13.453125" style="1215" customWidth="1"/>
    <col min="3078" max="3078" width="7.453125" style="1215" bestFit="1" customWidth="1"/>
    <col min="3079" max="3079" width="15.453125" style="1215" bestFit="1" customWidth="1"/>
    <col min="3080" max="3080" width="7.453125" style="1215" bestFit="1" customWidth="1"/>
    <col min="3081" max="3081" width="19.54296875" style="1215" bestFit="1" customWidth="1"/>
    <col min="3082" max="3082" width="7.453125" style="1215" bestFit="1" customWidth="1"/>
    <col min="3083" max="3083" width="26.81640625" style="1215" bestFit="1" customWidth="1"/>
    <col min="3084" max="3084" width="19.81640625" style="1215" bestFit="1" customWidth="1"/>
    <col min="3085" max="3319" width="11.453125" style="1215"/>
    <col min="3320" max="3320" width="2.453125" style="1215" customWidth="1"/>
    <col min="3321" max="3321" width="49" style="1215" customWidth="1"/>
    <col min="3322" max="3322" width="16.81640625" style="1215" customWidth="1"/>
    <col min="3323" max="3323" width="1.1796875" style="1215" customWidth="1"/>
    <col min="3324" max="3324" width="20.54296875" style="1215" customWidth="1"/>
    <col min="3325" max="3325" width="17.54296875" style="1215" customWidth="1"/>
    <col min="3326" max="3326" width="18.1796875" style="1215" customWidth="1"/>
    <col min="3327" max="3327" width="17.1796875" style="1215" customWidth="1"/>
    <col min="3328" max="3328" width="22.453125" style="1215" bestFit="1" customWidth="1"/>
    <col min="3329" max="3329" width="22.1796875" style="1215" customWidth="1"/>
    <col min="3330" max="3330" width="17.81640625" style="1215" customWidth="1"/>
    <col min="3331" max="3331" width="22.453125" style="1215" customWidth="1"/>
    <col min="3332" max="3332" width="10.1796875" style="1215" bestFit="1" customWidth="1"/>
    <col min="3333" max="3333" width="13.453125" style="1215" customWidth="1"/>
    <col min="3334" max="3334" width="7.453125" style="1215" bestFit="1" customWidth="1"/>
    <col min="3335" max="3335" width="15.453125" style="1215" bestFit="1" customWidth="1"/>
    <col min="3336" max="3336" width="7.453125" style="1215" bestFit="1" customWidth="1"/>
    <col min="3337" max="3337" width="19.54296875" style="1215" bestFit="1" customWidth="1"/>
    <col min="3338" max="3338" width="7.453125" style="1215" bestFit="1" customWidth="1"/>
    <col min="3339" max="3339" width="26.81640625" style="1215" bestFit="1" customWidth="1"/>
    <col min="3340" max="3340" width="19.81640625" style="1215" bestFit="1" customWidth="1"/>
    <col min="3341" max="3575" width="11.453125" style="1215"/>
    <col min="3576" max="3576" width="2.453125" style="1215" customWidth="1"/>
    <col min="3577" max="3577" width="49" style="1215" customWidth="1"/>
    <col min="3578" max="3578" width="16.81640625" style="1215" customWidth="1"/>
    <col min="3579" max="3579" width="1.1796875" style="1215" customWidth="1"/>
    <col min="3580" max="3580" width="20.54296875" style="1215" customWidth="1"/>
    <col min="3581" max="3581" width="17.54296875" style="1215" customWidth="1"/>
    <col min="3582" max="3582" width="18.1796875" style="1215" customWidth="1"/>
    <col min="3583" max="3583" width="17.1796875" style="1215" customWidth="1"/>
    <col min="3584" max="3584" width="22.453125" style="1215" bestFit="1" customWidth="1"/>
    <col min="3585" max="3585" width="22.1796875" style="1215" customWidth="1"/>
    <col min="3586" max="3586" width="17.81640625" style="1215" customWidth="1"/>
    <col min="3587" max="3587" width="22.453125" style="1215" customWidth="1"/>
    <col min="3588" max="3588" width="10.1796875" style="1215" bestFit="1" customWidth="1"/>
    <col min="3589" max="3589" width="13.453125" style="1215" customWidth="1"/>
    <col min="3590" max="3590" width="7.453125" style="1215" bestFit="1" customWidth="1"/>
    <col min="3591" max="3591" width="15.453125" style="1215" bestFit="1" customWidth="1"/>
    <col min="3592" max="3592" width="7.453125" style="1215" bestFit="1" customWidth="1"/>
    <col min="3593" max="3593" width="19.54296875" style="1215" bestFit="1" customWidth="1"/>
    <col min="3594" max="3594" width="7.453125" style="1215" bestFit="1" customWidth="1"/>
    <col min="3595" max="3595" width="26.81640625" style="1215" bestFit="1" customWidth="1"/>
    <col min="3596" max="3596" width="19.81640625" style="1215" bestFit="1" customWidth="1"/>
    <col min="3597" max="3831" width="11.453125" style="1215"/>
    <col min="3832" max="3832" width="2.453125" style="1215" customWidth="1"/>
    <col min="3833" max="3833" width="49" style="1215" customWidth="1"/>
    <col min="3834" max="3834" width="16.81640625" style="1215" customWidth="1"/>
    <col min="3835" max="3835" width="1.1796875" style="1215" customWidth="1"/>
    <col min="3836" max="3836" width="20.54296875" style="1215" customWidth="1"/>
    <col min="3837" max="3837" width="17.54296875" style="1215" customWidth="1"/>
    <col min="3838" max="3838" width="18.1796875" style="1215" customWidth="1"/>
    <col min="3839" max="3839" width="17.1796875" style="1215" customWidth="1"/>
    <col min="3840" max="3840" width="22.453125" style="1215" bestFit="1" customWidth="1"/>
    <col min="3841" max="3841" width="22.1796875" style="1215" customWidth="1"/>
    <col min="3842" max="3842" width="17.81640625" style="1215" customWidth="1"/>
    <col min="3843" max="3843" width="22.453125" style="1215" customWidth="1"/>
    <col min="3844" max="3844" width="10.1796875" style="1215" bestFit="1" customWidth="1"/>
    <col min="3845" max="3845" width="13.453125" style="1215" customWidth="1"/>
    <col min="3846" max="3846" width="7.453125" style="1215" bestFit="1" customWidth="1"/>
    <col min="3847" max="3847" width="15.453125" style="1215" bestFit="1" customWidth="1"/>
    <col min="3848" max="3848" width="7.453125" style="1215" bestFit="1" customWidth="1"/>
    <col min="3849" max="3849" width="19.54296875" style="1215" bestFit="1" customWidth="1"/>
    <col min="3850" max="3850" width="7.453125" style="1215" bestFit="1" customWidth="1"/>
    <col min="3851" max="3851" width="26.81640625" style="1215" bestFit="1" customWidth="1"/>
    <col min="3852" max="3852" width="19.81640625" style="1215" bestFit="1" customWidth="1"/>
    <col min="3853" max="4087" width="11.453125" style="1215"/>
    <col min="4088" max="4088" width="2.453125" style="1215" customWidth="1"/>
    <col min="4089" max="4089" width="49" style="1215" customWidth="1"/>
    <col min="4090" max="4090" width="16.81640625" style="1215" customWidth="1"/>
    <col min="4091" max="4091" width="1.1796875" style="1215" customWidth="1"/>
    <col min="4092" max="4092" width="20.54296875" style="1215" customWidth="1"/>
    <col min="4093" max="4093" width="17.54296875" style="1215" customWidth="1"/>
    <col min="4094" max="4094" width="18.1796875" style="1215" customWidth="1"/>
    <col min="4095" max="4095" width="17.1796875" style="1215" customWidth="1"/>
    <col min="4096" max="4096" width="22.453125" style="1215" bestFit="1" customWidth="1"/>
    <col min="4097" max="4097" width="22.1796875" style="1215" customWidth="1"/>
    <col min="4098" max="4098" width="17.81640625" style="1215" customWidth="1"/>
    <col min="4099" max="4099" width="22.453125" style="1215" customWidth="1"/>
    <col min="4100" max="4100" width="10.1796875" style="1215" bestFit="1" customWidth="1"/>
    <col min="4101" max="4101" width="13.453125" style="1215" customWidth="1"/>
    <col min="4102" max="4102" width="7.453125" style="1215" bestFit="1" customWidth="1"/>
    <col min="4103" max="4103" width="15.453125" style="1215" bestFit="1" customWidth="1"/>
    <col min="4104" max="4104" width="7.453125" style="1215" bestFit="1" customWidth="1"/>
    <col min="4105" max="4105" width="19.54296875" style="1215" bestFit="1" customWidth="1"/>
    <col min="4106" max="4106" width="7.453125" style="1215" bestFit="1" customWidth="1"/>
    <col min="4107" max="4107" width="26.81640625" style="1215" bestFit="1" customWidth="1"/>
    <col min="4108" max="4108" width="19.81640625" style="1215" bestFit="1" customWidth="1"/>
    <col min="4109" max="4343" width="11.453125" style="1215"/>
    <col min="4344" max="4344" width="2.453125" style="1215" customWidth="1"/>
    <col min="4345" max="4345" width="49" style="1215" customWidth="1"/>
    <col min="4346" max="4346" width="16.81640625" style="1215" customWidth="1"/>
    <col min="4347" max="4347" width="1.1796875" style="1215" customWidth="1"/>
    <col min="4348" max="4348" width="20.54296875" style="1215" customWidth="1"/>
    <col min="4349" max="4349" width="17.54296875" style="1215" customWidth="1"/>
    <col min="4350" max="4350" width="18.1796875" style="1215" customWidth="1"/>
    <col min="4351" max="4351" width="17.1796875" style="1215" customWidth="1"/>
    <col min="4352" max="4352" width="22.453125" style="1215" bestFit="1" customWidth="1"/>
    <col min="4353" max="4353" width="22.1796875" style="1215" customWidth="1"/>
    <col min="4354" max="4354" width="17.81640625" style="1215" customWidth="1"/>
    <col min="4355" max="4355" width="22.453125" style="1215" customWidth="1"/>
    <col min="4356" max="4356" width="10.1796875" style="1215" bestFit="1" customWidth="1"/>
    <col min="4357" max="4357" width="13.453125" style="1215" customWidth="1"/>
    <col min="4358" max="4358" width="7.453125" style="1215" bestFit="1" customWidth="1"/>
    <col min="4359" max="4359" width="15.453125" style="1215" bestFit="1" customWidth="1"/>
    <col min="4360" max="4360" width="7.453125" style="1215" bestFit="1" customWidth="1"/>
    <col min="4361" max="4361" width="19.54296875" style="1215" bestFit="1" customWidth="1"/>
    <col min="4362" max="4362" width="7.453125" style="1215" bestFit="1" customWidth="1"/>
    <col min="4363" max="4363" width="26.81640625" style="1215" bestFit="1" customWidth="1"/>
    <col min="4364" max="4364" width="19.81640625" style="1215" bestFit="1" customWidth="1"/>
    <col min="4365" max="4599" width="11.453125" style="1215"/>
    <col min="4600" max="4600" width="2.453125" style="1215" customWidth="1"/>
    <col min="4601" max="4601" width="49" style="1215" customWidth="1"/>
    <col min="4602" max="4602" width="16.81640625" style="1215" customWidth="1"/>
    <col min="4603" max="4603" width="1.1796875" style="1215" customWidth="1"/>
    <col min="4604" max="4604" width="20.54296875" style="1215" customWidth="1"/>
    <col min="4605" max="4605" width="17.54296875" style="1215" customWidth="1"/>
    <col min="4606" max="4606" width="18.1796875" style="1215" customWidth="1"/>
    <col min="4607" max="4607" width="17.1796875" style="1215" customWidth="1"/>
    <col min="4608" max="4608" width="22.453125" style="1215" bestFit="1" customWidth="1"/>
    <col min="4609" max="4609" width="22.1796875" style="1215" customWidth="1"/>
    <col min="4610" max="4610" width="17.81640625" style="1215" customWidth="1"/>
    <col min="4611" max="4611" width="22.453125" style="1215" customWidth="1"/>
    <col min="4612" max="4612" width="10.1796875" style="1215" bestFit="1" customWidth="1"/>
    <col min="4613" max="4613" width="13.453125" style="1215" customWidth="1"/>
    <col min="4614" max="4614" width="7.453125" style="1215" bestFit="1" customWidth="1"/>
    <col min="4615" max="4615" width="15.453125" style="1215" bestFit="1" customWidth="1"/>
    <col min="4616" max="4616" width="7.453125" style="1215" bestFit="1" customWidth="1"/>
    <col min="4617" max="4617" width="19.54296875" style="1215" bestFit="1" customWidth="1"/>
    <col min="4618" max="4618" width="7.453125" style="1215" bestFit="1" customWidth="1"/>
    <col min="4619" max="4619" width="26.81640625" style="1215" bestFit="1" customWidth="1"/>
    <col min="4620" max="4620" width="19.81640625" style="1215" bestFit="1" customWidth="1"/>
    <col min="4621" max="4855" width="11.453125" style="1215"/>
    <col min="4856" max="4856" width="2.453125" style="1215" customWidth="1"/>
    <col min="4857" max="4857" width="49" style="1215" customWidth="1"/>
    <col min="4858" max="4858" width="16.81640625" style="1215" customWidth="1"/>
    <col min="4859" max="4859" width="1.1796875" style="1215" customWidth="1"/>
    <col min="4860" max="4860" width="20.54296875" style="1215" customWidth="1"/>
    <col min="4861" max="4861" width="17.54296875" style="1215" customWidth="1"/>
    <col min="4862" max="4862" width="18.1796875" style="1215" customWidth="1"/>
    <col min="4863" max="4863" width="17.1796875" style="1215" customWidth="1"/>
    <col min="4864" max="4864" width="22.453125" style="1215" bestFit="1" customWidth="1"/>
    <col min="4865" max="4865" width="22.1796875" style="1215" customWidth="1"/>
    <col min="4866" max="4866" width="17.81640625" style="1215" customWidth="1"/>
    <col min="4867" max="4867" width="22.453125" style="1215" customWidth="1"/>
    <col min="4868" max="4868" width="10.1796875" style="1215" bestFit="1" customWidth="1"/>
    <col min="4869" max="4869" width="13.453125" style="1215" customWidth="1"/>
    <col min="4870" max="4870" width="7.453125" style="1215" bestFit="1" customWidth="1"/>
    <col min="4871" max="4871" width="15.453125" style="1215" bestFit="1" customWidth="1"/>
    <col min="4872" max="4872" width="7.453125" style="1215" bestFit="1" customWidth="1"/>
    <col min="4873" max="4873" width="19.54296875" style="1215" bestFit="1" customWidth="1"/>
    <col min="4874" max="4874" width="7.453125" style="1215" bestFit="1" customWidth="1"/>
    <col min="4875" max="4875" width="26.81640625" style="1215" bestFit="1" customWidth="1"/>
    <col min="4876" max="4876" width="19.81640625" style="1215" bestFit="1" customWidth="1"/>
    <col min="4877" max="5111" width="11.453125" style="1215"/>
    <col min="5112" max="5112" width="2.453125" style="1215" customWidth="1"/>
    <col min="5113" max="5113" width="49" style="1215" customWidth="1"/>
    <col min="5114" max="5114" width="16.81640625" style="1215" customWidth="1"/>
    <col min="5115" max="5115" width="1.1796875" style="1215" customWidth="1"/>
    <col min="5116" max="5116" width="20.54296875" style="1215" customWidth="1"/>
    <col min="5117" max="5117" width="17.54296875" style="1215" customWidth="1"/>
    <col min="5118" max="5118" width="18.1796875" style="1215" customWidth="1"/>
    <col min="5119" max="5119" width="17.1796875" style="1215" customWidth="1"/>
    <col min="5120" max="5120" width="22.453125" style="1215" bestFit="1" customWidth="1"/>
    <col min="5121" max="5121" width="22.1796875" style="1215" customWidth="1"/>
    <col min="5122" max="5122" width="17.81640625" style="1215" customWidth="1"/>
    <col min="5123" max="5123" width="22.453125" style="1215" customWidth="1"/>
    <col min="5124" max="5124" width="10.1796875" style="1215" bestFit="1" customWidth="1"/>
    <col min="5125" max="5125" width="13.453125" style="1215" customWidth="1"/>
    <col min="5126" max="5126" width="7.453125" style="1215" bestFit="1" customWidth="1"/>
    <col min="5127" max="5127" width="15.453125" style="1215" bestFit="1" customWidth="1"/>
    <col min="5128" max="5128" width="7.453125" style="1215" bestFit="1" customWidth="1"/>
    <col min="5129" max="5129" width="19.54296875" style="1215" bestFit="1" customWidth="1"/>
    <col min="5130" max="5130" width="7.453125" style="1215" bestFit="1" customWidth="1"/>
    <col min="5131" max="5131" width="26.81640625" style="1215" bestFit="1" customWidth="1"/>
    <col min="5132" max="5132" width="19.81640625" style="1215" bestFit="1" customWidth="1"/>
    <col min="5133" max="5367" width="11.453125" style="1215"/>
    <col min="5368" max="5368" width="2.453125" style="1215" customWidth="1"/>
    <col min="5369" max="5369" width="49" style="1215" customWidth="1"/>
    <col min="5370" max="5370" width="16.81640625" style="1215" customWidth="1"/>
    <col min="5371" max="5371" width="1.1796875" style="1215" customWidth="1"/>
    <col min="5372" max="5372" width="20.54296875" style="1215" customWidth="1"/>
    <col min="5373" max="5373" width="17.54296875" style="1215" customWidth="1"/>
    <col min="5374" max="5374" width="18.1796875" style="1215" customWidth="1"/>
    <col min="5375" max="5375" width="17.1796875" style="1215" customWidth="1"/>
    <col min="5376" max="5376" width="22.453125" style="1215" bestFit="1" customWidth="1"/>
    <col min="5377" max="5377" width="22.1796875" style="1215" customWidth="1"/>
    <col min="5378" max="5378" width="17.81640625" style="1215" customWidth="1"/>
    <col min="5379" max="5379" width="22.453125" style="1215" customWidth="1"/>
    <col min="5380" max="5380" width="10.1796875" style="1215" bestFit="1" customWidth="1"/>
    <col min="5381" max="5381" width="13.453125" style="1215" customWidth="1"/>
    <col min="5382" max="5382" width="7.453125" style="1215" bestFit="1" customWidth="1"/>
    <col min="5383" max="5383" width="15.453125" style="1215" bestFit="1" customWidth="1"/>
    <col min="5384" max="5384" width="7.453125" style="1215" bestFit="1" customWidth="1"/>
    <col min="5385" max="5385" width="19.54296875" style="1215" bestFit="1" customWidth="1"/>
    <col min="5386" max="5386" width="7.453125" style="1215" bestFit="1" customWidth="1"/>
    <col min="5387" max="5387" width="26.81640625" style="1215" bestFit="1" customWidth="1"/>
    <col min="5388" max="5388" width="19.81640625" style="1215" bestFit="1" customWidth="1"/>
    <col min="5389" max="5623" width="11.453125" style="1215"/>
    <col min="5624" max="5624" width="2.453125" style="1215" customWidth="1"/>
    <col min="5625" max="5625" width="49" style="1215" customWidth="1"/>
    <col min="5626" max="5626" width="16.81640625" style="1215" customWidth="1"/>
    <col min="5627" max="5627" width="1.1796875" style="1215" customWidth="1"/>
    <col min="5628" max="5628" width="20.54296875" style="1215" customWidth="1"/>
    <col min="5629" max="5629" width="17.54296875" style="1215" customWidth="1"/>
    <col min="5630" max="5630" width="18.1796875" style="1215" customWidth="1"/>
    <col min="5631" max="5631" width="17.1796875" style="1215" customWidth="1"/>
    <col min="5632" max="5632" width="22.453125" style="1215" bestFit="1" customWidth="1"/>
    <col min="5633" max="5633" width="22.1796875" style="1215" customWidth="1"/>
    <col min="5634" max="5634" width="17.81640625" style="1215" customWidth="1"/>
    <col min="5635" max="5635" width="22.453125" style="1215" customWidth="1"/>
    <col min="5636" max="5636" width="10.1796875" style="1215" bestFit="1" customWidth="1"/>
    <col min="5637" max="5637" width="13.453125" style="1215" customWidth="1"/>
    <col min="5638" max="5638" width="7.453125" style="1215" bestFit="1" customWidth="1"/>
    <col min="5639" max="5639" width="15.453125" style="1215" bestFit="1" customWidth="1"/>
    <col min="5640" max="5640" width="7.453125" style="1215" bestFit="1" customWidth="1"/>
    <col min="5641" max="5641" width="19.54296875" style="1215" bestFit="1" customWidth="1"/>
    <col min="5642" max="5642" width="7.453125" style="1215" bestFit="1" customWidth="1"/>
    <col min="5643" max="5643" width="26.81640625" style="1215" bestFit="1" customWidth="1"/>
    <col min="5644" max="5644" width="19.81640625" style="1215" bestFit="1" customWidth="1"/>
    <col min="5645" max="5879" width="11.453125" style="1215"/>
    <col min="5880" max="5880" width="2.453125" style="1215" customWidth="1"/>
    <col min="5881" max="5881" width="49" style="1215" customWidth="1"/>
    <col min="5882" max="5882" width="16.81640625" style="1215" customWidth="1"/>
    <col min="5883" max="5883" width="1.1796875" style="1215" customWidth="1"/>
    <col min="5884" max="5884" width="20.54296875" style="1215" customWidth="1"/>
    <col min="5885" max="5885" width="17.54296875" style="1215" customWidth="1"/>
    <col min="5886" max="5886" width="18.1796875" style="1215" customWidth="1"/>
    <col min="5887" max="5887" width="17.1796875" style="1215" customWidth="1"/>
    <col min="5888" max="5888" width="22.453125" style="1215" bestFit="1" customWidth="1"/>
    <col min="5889" max="5889" width="22.1796875" style="1215" customWidth="1"/>
    <col min="5890" max="5890" width="17.81640625" style="1215" customWidth="1"/>
    <col min="5891" max="5891" width="22.453125" style="1215" customWidth="1"/>
    <col min="5892" max="5892" width="10.1796875" style="1215" bestFit="1" customWidth="1"/>
    <col min="5893" max="5893" width="13.453125" style="1215" customWidth="1"/>
    <col min="5894" max="5894" width="7.453125" style="1215" bestFit="1" customWidth="1"/>
    <col min="5895" max="5895" width="15.453125" style="1215" bestFit="1" customWidth="1"/>
    <col min="5896" max="5896" width="7.453125" style="1215" bestFit="1" customWidth="1"/>
    <col min="5897" max="5897" width="19.54296875" style="1215" bestFit="1" customWidth="1"/>
    <col min="5898" max="5898" width="7.453125" style="1215" bestFit="1" customWidth="1"/>
    <col min="5899" max="5899" width="26.81640625" style="1215" bestFit="1" customWidth="1"/>
    <col min="5900" max="5900" width="19.81640625" style="1215" bestFit="1" customWidth="1"/>
    <col min="5901" max="6135" width="11.453125" style="1215"/>
    <col min="6136" max="6136" width="2.453125" style="1215" customWidth="1"/>
    <col min="6137" max="6137" width="49" style="1215" customWidth="1"/>
    <col min="6138" max="6138" width="16.81640625" style="1215" customWidth="1"/>
    <col min="6139" max="6139" width="1.1796875" style="1215" customWidth="1"/>
    <col min="6140" max="6140" width="20.54296875" style="1215" customWidth="1"/>
    <col min="6141" max="6141" width="17.54296875" style="1215" customWidth="1"/>
    <col min="6142" max="6142" width="18.1796875" style="1215" customWidth="1"/>
    <col min="6143" max="6143" width="17.1796875" style="1215" customWidth="1"/>
    <col min="6144" max="6144" width="22.453125" style="1215" bestFit="1" customWidth="1"/>
    <col min="6145" max="6145" width="22.1796875" style="1215" customWidth="1"/>
    <col min="6146" max="6146" width="17.81640625" style="1215" customWidth="1"/>
    <col min="6147" max="6147" width="22.453125" style="1215" customWidth="1"/>
    <col min="6148" max="6148" width="10.1796875" style="1215" bestFit="1" customWidth="1"/>
    <col min="6149" max="6149" width="13.453125" style="1215" customWidth="1"/>
    <col min="6150" max="6150" width="7.453125" style="1215" bestFit="1" customWidth="1"/>
    <col min="6151" max="6151" width="15.453125" style="1215" bestFit="1" customWidth="1"/>
    <col min="6152" max="6152" width="7.453125" style="1215" bestFit="1" customWidth="1"/>
    <col min="6153" max="6153" width="19.54296875" style="1215" bestFit="1" customWidth="1"/>
    <col min="6154" max="6154" width="7.453125" style="1215" bestFit="1" customWidth="1"/>
    <col min="6155" max="6155" width="26.81640625" style="1215" bestFit="1" customWidth="1"/>
    <col min="6156" max="6156" width="19.81640625" style="1215" bestFit="1" customWidth="1"/>
    <col min="6157" max="6391" width="11.453125" style="1215"/>
    <col min="6392" max="6392" width="2.453125" style="1215" customWidth="1"/>
    <col min="6393" max="6393" width="49" style="1215" customWidth="1"/>
    <col min="6394" max="6394" width="16.81640625" style="1215" customWidth="1"/>
    <col min="6395" max="6395" width="1.1796875" style="1215" customWidth="1"/>
    <col min="6396" max="6396" width="20.54296875" style="1215" customWidth="1"/>
    <col min="6397" max="6397" width="17.54296875" style="1215" customWidth="1"/>
    <col min="6398" max="6398" width="18.1796875" style="1215" customWidth="1"/>
    <col min="6399" max="6399" width="17.1796875" style="1215" customWidth="1"/>
    <col min="6400" max="6400" width="22.453125" style="1215" bestFit="1" customWidth="1"/>
    <col min="6401" max="6401" width="22.1796875" style="1215" customWidth="1"/>
    <col min="6402" max="6402" width="17.81640625" style="1215" customWidth="1"/>
    <col min="6403" max="6403" width="22.453125" style="1215" customWidth="1"/>
    <col min="6404" max="6404" width="10.1796875" style="1215" bestFit="1" customWidth="1"/>
    <col min="6405" max="6405" width="13.453125" style="1215" customWidth="1"/>
    <col min="6406" max="6406" width="7.453125" style="1215" bestFit="1" customWidth="1"/>
    <col min="6407" max="6407" width="15.453125" style="1215" bestFit="1" customWidth="1"/>
    <col min="6408" max="6408" width="7.453125" style="1215" bestFit="1" customWidth="1"/>
    <col min="6409" max="6409" width="19.54296875" style="1215" bestFit="1" customWidth="1"/>
    <col min="6410" max="6410" width="7.453125" style="1215" bestFit="1" customWidth="1"/>
    <col min="6411" max="6411" width="26.81640625" style="1215" bestFit="1" customWidth="1"/>
    <col min="6412" max="6412" width="19.81640625" style="1215" bestFit="1" customWidth="1"/>
    <col min="6413" max="6647" width="11.453125" style="1215"/>
    <col min="6648" max="6648" width="2.453125" style="1215" customWidth="1"/>
    <col min="6649" max="6649" width="49" style="1215" customWidth="1"/>
    <col min="6650" max="6650" width="16.81640625" style="1215" customWidth="1"/>
    <col min="6651" max="6651" width="1.1796875" style="1215" customWidth="1"/>
    <col min="6652" max="6652" width="20.54296875" style="1215" customWidth="1"/>
    <col min="6653" max="6653" width="17.54296875" style="1215" customWidth="1"/>
    <col min="6654" max="6654" width="18.1796875" style="1215" customWidth="1"/>
    <col min="6655" max="6655" width="17.1796875" style="1215" customWidth="1"/>
    <col min="6656" max="6656" width="22.453125" style="1215" bestFit="1" customWidth="1"/>
    <col min="6657" max="6657" width="22.1796875" style="1215" customWidth="1"/>
    <col min="6658" max="6658" width="17.81640625" style="1215" customWidth="1"/>
    <col min="6659" max="6659" width="22.453125" style="1215" customWidth="1"/>
    <col min="6660" max="6660" width="10.1796875" style="1215" bestFit="1" customWidth="1"/>
    <col min="6661" max="6661" width="13.453125" style="1215" customWidth="1"/>
    <col min="6662" max="6662" width="7.453125" style="1215" bestFit="1" customWidth="1"/>
    <col min="6663" max="6663" width="15.453125" style="1215" bestFit="1" customWidth="1"/>
    <col min="6664" max="6664" width="7.453125" style="1215" bestFit="1" customWidth="1"/>
    <col min="6665" max="6665" width="19.54296875" style="1215" bestFit="1" customWidth="1"/>
    <col min="6666" max="6666" width="7.453125" style="1215" bestFit="1" customWidth="1"/>
    <col min="6667" max="6667" width="26.81640625" style="1215" bestFit="1" customWidth="1"/>
    <col min="6668" max="6668" width="19.81640625" style="1215" bestFit="1" customWidth="1"/>
    <col min="6669" max="6903" width="11.453125" style="1215"/>
    <col min="6904" max="6904" width="2.453125" style="1215" customWidth="1"/>
    <col min="6905" max="6905" width="49" style="1215" customWidth="1"/>
    <col min="6906" max="6906" width="16.81640625" style="1215" customWidth="1"/>
    <col min="6907" max="6907" width="1.1796875" style="1215" customWidth="1"/>
    <col min="6908" max="6908" width="20.54296875" style="1215" customWidth="1"/>
    <col min="6909" max="6909" width="17.54296875" style="1215" customWidth="1"/>
    <col min="6910" max="6910" width="18.1796875" style="1215" customWidth="1"/>
    <col min="6911" max="6911" width="17.1796875" style="1215" customWidth="1"/>
    <col min="6912" max="6912" width="22.453125" style="1215" bestFit="1" customWidth="1"/>
    <col min="6913" max="6913" width="22.1796875" style="1215" customWidth="1"/>
    <col min="6914" max="6914" width="17.81640625" style="1215" customWidth="1"/>
    <col min="6915" max="6915" width="22.453125" style="1215" customWidth="1"/>
    <col min="6916" max="6916" width="10.1796875" style="1215" bestFit="1" customWidth="1"/>
    <col min="6917" max="6917" width="13.453125" style="1215" customWidth="1"/>
    <col min="6918" max="6918" width="7.453125" style="1215" bestFit="1" customWidth="1"/>
    <col min="6919" max="6919" width="15.453125" style="1215" bestFit="1" customWidth="1"/>
    <col min="6920" max="6920" width="7.453125" style="1215" bestFit="1" customWidth="1"/>
    <col min="6921" max="6921" width="19.54296875" style="1215" bestFit="1" customWidth="1"/>
    <col min="6922" max="6922" width="7.453125" style="1215" bestFit="1" customWidth="1"/>
    <col min="6923" max="6923" width="26.81640625" style="1215" bestFit="1" customWidth="1"/>
    <col min="6924" max="6924" width="19.81640625" style="1215" bestFit="1" customWidth="1"/>
    <col min="6925" max="7159" width="11.453125" style="1215"/>
    <col min="7160" max="7160" width="2.453125" style="1215" customWidth="1"/>
    <col min="7161" max="7161" width="49" style="1215" customWidth="1"/>
    <col min="7162" max="7162" width="16.81640625" style="1215" customWidth="1"/>
    <col min="7163" max="7163" width="1.1796875" style="1215" customWidth="1"/>
    <col min="7164" max="7164" width="20.54296875" style="1215" customWidth="1"/>
    <col min="7165" max="7165" width="17.54296875" style="1215" customWidth="1"/>
    <col min="7166" max="7166" width="18.1796875" style="1215" customWidth="1"/>
    <col min="7167" max="7167" width="17.1796875" style="1215" customWidth="1"/>
    <col min="7168" max="7168" width="22.453125" style="1215" bestFit="1" customWidth="1"/>
    <col min="7169" max="7169" width="22.1796875" style="1215" customWidth="1"/>
    <col min="7170" max="7170" width="17.81640625" style="1215" customWidth="1"/>
    <col min="7171" max="7171" width="22.453125" style="1215" customWidth="1"/>
    <col min="7172" max="7172" width="10.1796875" style="1215" bestFit="1" customWidth="1"/>
    <col min="7173" max="7173" width="13.453125" style="1215" customWidth="1"/>
    <col min="7174" max="7174" width="7.453125" style="1215" bestFit="1" customWidth="1"/>
    <col min="7175" max="7175" width="15.453125" style="1215" bestFit="1" customWidth="1"/>
    <col min="7176" max="7176" width="7.453125" style="1215" bestFit="1" customWidth="1"/>
    <col min="7177" max="7177" width="19.54296875" style="1215" bestFit="1" customWidth="1"/>
    <col min="7178" max="7178" width="7.453125" style="1215" bestFit="1" customWidth="1"/>
    <col min="7179" max="7179" width="26.81640625" style="1215" bestFit="1" customWidth="1"/>
    <col min="7180" max="7180" width="19.81640625" style="1215" bestFit="1" customWidth="1"/>
    <col min="7181" max="7415" width="11.453125" style="1215"/>
    <col min="7416" max="7416" width="2.453125" style="1215" customWidth="1"/>
    <col min="7417" max="7417" width="49" style="1215" customWidth="1"/>
    <col min="7418" max="7418" width="16.81640625" style="1215" customWidth="1"/>
    <col min="7419" max="7419" width="1.1796875" style="1215" customWidth="1"/>
    <col min="7420" max="7420" width="20.54296875" style="1215" customWidth="1"/>
    <col min="7421" max="7421" width="17.54296875" style="1215" customWidth="1"/>
    <col min="7422" max="7422" width="18.1796875" style="1215" customWidth="1"/>
    <col min="7423" max="7423" width="17.1796875" style="1215" customWidth="1"/>
    <col min="7424" max="7424" width="22.453125" style="1215" bestFit="1" customWidth="1"/>
    <col min="7425" max="7425" width="22.1796875" style="1215" customWidth="1"/>
    <col min="7426" max="7426" width="17.81640625" style="1215" customWidth="1"/>
    <col min="7427" max="7427" width="22.453125" style="1215" customWidth="1"/>
    <col min="7428" max="7428" width="10.1796875" style="1215" bestFit="1" customWidth="1"/>
    <col min="7429" max="7429" width="13.453125" style="1215" customWidth="1"/>
    <col min="7430" max="7430" width="7.453125" style="1215" bestFit="1" customWidth="1"/>
    <col min="7431" max="7431" width="15.453125" style="1215" bestFit="1" customWidth="1"/>
    <col min="7432" max="7432" width="7.453125" style="1215" bestFit="1" customWidth="1"/>
    <col min="7433" max="7433" width="19.54296875" style="1215" bestFit="1" customWidth="1"/>
    <col min="7434" max="7434" width="7.453125" style="1215" bestFit="1" customWidth="1"/>
    <col min="7435" max="7435" width="26.81640625" style="1215" bestFit="1" customWidth="1"/>
    <col min="7436" max="7436" width="19.81640625" style="1215" bestFit="1" customWidth="1"/>
    <col min="7437" max="7671" width="11.453125" style="1215"/>
    <col min="7672" max="7672" width="2.453125" style="1215" customWidth="1"/>
    <col min="7673" max="7673" width="49" style="1215" customWidth="1"/>
    <col min="7674" max="7674" width="16.81640625" style="1215" customWidth="1"/>
    <col min="7675" max="7675" width="1.1796875" style="1215" customWidth="1"/>
    <col min="7676" max="7676" width="20.54296875" style="1215" customWidth="1"/>
    <col min="7677" max="7677" width="17.54296875" style="1215" customWidth="1"/>
    <col min="7678" max="7678" width="18.1796875" style="1215" customWidth="1"/>
    <col min="7679" max="7679" width="17.1796875" style="1215" customWidth="1"/>
    <col min="7680" max="7680" width="22.453125" style="1215" bestFit="1" customWidth="1"/>
    <col min="7681" max="7681" width="22.1796875" style="1215" customWidth="1"/>
    <col min="7682" max="7682" width="17.81640625" style="1215" customWidth="1"/>
    <col min="7683" max="7683" width="22.453125" style="1215" customWidth="1"/>
    <col min="7684" max="7684" width="10.1796875" style="1215" bestFit="1" customWidth="1"/>
    <col min="7685" max="7685" width="13.453125" style="1215" customWidth="1"/>
    <col min="7686" max="7686" width="7.453125" style="1215" bestFit="1" customWidth="1"/>
    <col min="7687" max="7687" width="15.453125" style="1215" bestFit="1" customWidth="1"/>
    <col min="7688" max="7688" width="7.453125" style="1215" bestFit="1" customWidth="1"/>
    <col min="7689" max="7689" width="19.54296875" style="1215" bestFit="1" customWidth="1"/>
    <col min="7690" max="7690" width="7.453125" style="1215" bestFit="1" customWidth="1"/>
    <col min="7691" max="7691" width="26.81640625" style="1215" bestFit="1" customWidth="1"/>
    <col min="7692" max="7692" width="19.81640625" style="1215" bestFit="1" customWidth="1"/>
    <col min="7693" max="7927" width="11.453125" style="1215"/>
    <col min="7928" max="7928" width="2.453125" style="1215" customWidth="1"/>
    <col min="7929" max="7929" width="49" style="1215" customWidth="1"/>
    <col min="7930" max="7930" width="16.81640625" style="1215" customWidth="1"/>
    <col min="7931" max="7931" width="1.1796875" style="1215" customWidth="1"/>
    <col min="7932" max="7932" width="20.54296875" style="1215" customWidth="1"/>
    <col min="7933" max="7933" width="17.54296875" style="1215" customWidth="1"/>
    <col min="7934" max="7934" width="18.1796875" style="1215" customWidth="1"/>
    <col min="7935" max="7935" width="17.1796875" style="1215" customWidth="1"/>
    <col min="7936" max="7936" width="22.453125" style="1215" bestFit="1" customWidth="1"/>
    <col min="7937" max="7937" width="22.1796875" style="1215" customWidth="1"/>
    <col min="7938" max="7938" width="17.81640625" style="1215" customWidth="1"/>
    <col min="7939" max="7939" width="22.453125" style="1215" customWidth="1"/>
    <col min="7940" max="7940" width="10.1796875" style="1215" bestFit="1" customWidth="1"/>
    <col min="7941" max="7941" width="13.453125" style="1215" customWidth="1"/>
    <col min="7942" max="7942" width="7.453125" style="1215" bestFit="1" customWidth="1"/>
    <col min="7943" max="7943" width="15.453125" style="1215" bestFit="1" customWidth="1"/>
    <col min="7944" max="7944" width="7.453125" style="1215" bestFit="1" customWidth="1"/>
    <col min="7945" max="7945" width="19.54296875" style="1215" bestFit="1" customWidth="1"/>
    <col min="7946" max="7946" width="7.453125" style="1215" bestFit="1" customWidth="1"/>
    <col min="7947" max="7947" width="26.81640625" style="1215" bestFit="1" customWidth="1"/>
    <col min="7948" max="7948" width="19.81640625" style="1215" bestFit="1" customWidth="1"/>
    <col min="7949" max="8183" width="11.453125" style="1215"/>
    <col min="8184" max="8184" width="2.453125" style="1215" customWidth="1"/>
    <col min="8185" max="8185" width="49" style="1215" customWidth="1"/>
    <col min="8186" max="8186" width="16.81640625" style="1215" customWidth="1"/>
    <col min="8187" max="8187" width="1.1796875" style="1215" customWidth="1"/>
    <col min="8188" max="8188" width="20.54296875" style="1215" customWidth="1"/>
    <col min="8189" max="8189" width="17.54296875" style="1215" customWidth="1"/>
    <col min="8190" max="8190" width="18.1796875" style="1215" customWidth="1"/>
    <col min="8191" max="8191" width="17.1796875" style="1215" customWidth="1"/>
    <col min="8192" max="8192" width="22.453125" style="1215" bestFit="1" customWidth="1"/>
    <col min="8193" max="8193" width="22.1796875" style="1215" customWidth="1"/>
    <col min="8194" max="8194" width="17.81640625" style="1215" customWidth="1"/>
    <col min="8195" max="8195" width="22.453125" style="1215" customWidth="1"/>
    <col min="8196" max="8196" width="10.1796875" style="1215" bestFit="1" customWidth="1"/>
    <col min="8197" max="8197" width="13.453125" style="1215" customWidth="1"/>
    <col min="8198" max="8198" width="7.453125" style="1215" bestFit="1" customWidth="1"/>
    <col min="8199" max="8199" width="15.453125" style="1215" bestFit="1" customWidth="1"/>
    <col min="8200" max="8200" width="7.453125" style="1215" bestFit="1" customWidth="1"/>
    <col min="8201" max="8201" width="19.54296875" style="1215" bestFit="1" customWidth="1"/>
    <col min="8202" max="8202" width="7.453125" style="1215" bestFit="1" customWidth="1"/>
    <col min="8203" max="8203" width="26.81640625" style="1215" bestFit="1" customWidth="1"/>
    <col min="8204" max="8204" width="19.81640625" style="1215" bestFit="1" customWidth="1"/>
    <col min="8205" max="8439" width="11.453125" style="1215"/>
    <col min="8440" max="8440" width="2.453125" style="1215" customWidth="1"/>
    <col min="8441" max="8441" width="49" style="1215" customWidth="1"/>
    <col min="8442" max="8442" width="16.81640625" style="1215" customWidth="1"/>
    <col min="8443" max="8443" width="1.1796875" style="1215" customWidth="1"/>
    <col min="8444" max="8444" width="20.54296875" style="1215" customWidth="1"/>
    <col min="8445" max="8445" width="17.54296875" style="1215" customWidth="1"/>
    <col min="8446" max="8446" width="18.1796875" style="1215" customWidth="1"/>
    <col min="8447" max="8447" width="17.1796875" style="1215" customWidth="1"/>
    <col min="8448" max="8448" width="22.453125" style="1215" bestFit="1" customWidth="1"/>
    <col min="8449" max="8449" width="22.1796875" style="1215" customWidth="1"/>
    <col min="8450" max="8450" width="17.81640625" style="1215" customWidth="1"/>
    <col min="8451" max="8451" width="22.453125" style="1215" customWidth="1"/>
    <col min="8452" max="8452" width="10.1796875" style="1215" bestFit="1" customWidth="1"/>
    <col min="8453" max="8453" width="13.453125" style="1215" customWidth="1"/>
    <col min="8454" max="8454" width="7.453125" style="1215" bestFit="1" customWidth="1"/>
    <col min="8455" max="8455" width="15.453125" style="1215" bestFit="1" customWidth="1"/>
    <col min="8456" max="8456" width="7.453125" style="1215" bestFit="1" customWidth="1"/>
    <col min="8457" max="8457" width="19.54296875" style="1215" bestFit="1" customWidth="1"/>
    <col min="8458" max="8458" width="7.453125" style="1215" bestFit="1" customWidth="1"/>
    <col min="8459" max="8459" width="26.81640625" style="1215" bestFit="1" customWidth="1"/>
    <col min="8460" max="8460" width="19.81640625" style="1215" bestFit="1" customWidth="1"/>
    <col min="8461" max="8695" width="11.453125" style="1215"/>
    <col min="8696" max="8696" width="2.453125" style="1215" customWidth="1"/>
    <col min="8697" max="8697" width="49" style="1215" customWidth="1"/>
    <col min="8698" max="8698" width="16.81640625" style="1215" customWidth="1"/>
    <col min="8699" max="8699" width="1.1796875" style="1215" customWidth="1"/>
    <col min="8700" max="8700" width="20.54296875" style="1215" customWidth="1"/>
    <col min="8701" max="8701" width="17.54296875" style="1215" customWidth="1"/>
    <col min="8702" max="8702" width="18.1796875" style="1215" customWidth="1"/>
    <col min="8703" max="8703" width="17.1796875" style="1215" customWidth="1"/>
    <col min="8704" max="8704" width="22.453125" style="1215" bestFit="1" customWidth="1"/>
    <col min="8705" max="8705" width="22.1796875" style="1215" customWidth="1"/>
    <col min="8706" max="8706" width="17.81640625" style="1215" customWidth="1"/>
    <col min="8707" max="8707" width="22.453125" style="1215" customWidth="1"/>
    <col min="8708" max="8708" width="10.1796875" style="1215" bestFit="1" customWidth="1"/>
    <col min="8709" max="8709" width="13.453125" style="1215" customWidth="1"/>
    <col min="8710" max="8710" width="7.453125" style="1215" bestFit="1" customWidth="1"/>
    <col min="8711" max="8711" width="15.453125" style="1215" bestFit="1" customWidth="1"/>
    <col min="8712" max="8712" width="7.453125" style="1215" bestFit="1" customWidth="1"/>
    <col min="8713" max="8713" width="19.54296875" style="1215" bestFit="1" customWidth="1"/>
    <col min="8714" max="8714" width="7.453125" style="1215" bestFit="1" customWidth="1"/>
    <col min="8715" max="8715" width="26.81640625" style="1215" bestFit="1" customWidth="1"/>
    <col min="8716" max="8716" width="19.81640625" style="1215" bestFit="1" customWidth="1"/>
    <col min="8717" max="8951" width="11.453125" style="1215"/>
    <col min="8952" max="8952" width="2.453125" style="1215" customWidth="1"/>
    <col min="8953" max="8953" width="49" style="1215" customWidth="1"/>
    <col min="8954" max="8954" width="16.81640625" style="1215" customWidth="1"/>
    <col min="8955" max="8955" width="1.1796875" style="1215" customWidth="1"/>
    <col min="8956" max="8956" width="20.54296875" style="1215" customWidth="1"/>
    <col min="8957" max="8957" width="17.54296875" style="1215" customWidth="1"/>
    <col min="8958" max="8958" width="18.1796875" style="1215" customWidth="1"/>
    <col min="8959" max="8959" width="17.1796875" style="1215" customWidth="1"/>
    <col min="8960" max="8960" width="22.453125" style="1215" bestFit="1" customWidth="1"/>
    <col min="8961" max="8961" width="22.1796875" style="1215" customWidth="1"/>
    <col min="8962" max="8962" width="17.81640625" style="1215" customWidth="1"/>
    <col min="8963" max="8963" width="22.453125" style="1215" customWidth="1"/>
    <col min="8964" max="8964" width="10.1796875" style="1215" bestFit="1" customWidth="1"/>
    <col min="8965" max="8965" width="13.453125" style="1215" customWidth="1"/>
    <col min="8966" max="8966" width="7.453125" style="1215" bestFit="1" customWidth="1"/>
    <col min="8967" max="8967" width="15.453125" style="1215" bestFit="1" customWidth="1"/>
    <col min="8968" max="8968" width="7.453125" style="1215" bestFit="1" customWidth="1"/>
    <col min="8969" max="8969" width="19.54296875" style="1215" bestFit="1" customWidth="1"/>
    <col min="8970" max="8970" width="7.453125" style="1215" bestFit="1" customWidth="1"/>
    <col min="8971" max="8971" width="26.81640625" style="1215" bestFit="1" customWidth="1"/>
    <col min="8972" max="8972" width="19.81640625" style="1215" bestFit="1" customWidth="1"/>
    <col min="8973" max="9207" width="11.453125" style="1215"/>
    <col min="9208" max="9208" width="2.453125" style="1215" customWidth="1"/>
    <col min="9209" max="9209" width="49" style="1215" customWidth="1"/>
    <col min="9210" max="9210" width="16.81640625" style="1215" customWidth="1"/>
    <col min="9211" max="9211" width="1.1796875" style="1215" customWidth="1"/>
    <col min="9212" max="9212" width="20.54296875" style="1215" customWidth="1"/>
    <col min="9213" max="9213" width="17.54296875" style="1215" customWidth="1"/>
    <col min="9214" max="9214" width="18.1796875" style="1215" customWidth="1"/>
    <col min="9215" max="9215" width="17.1796875" style="1215" customWidth="1"/>
    <col min="9216" max="9216" width="22.453125" style="1215" bestFit="1" customWidth="1"/>
    <col min="9217" max="9217" width="22.1796875" style="1215" customWidth="1"/>
    <col min="9218" max="9218" width="17.81640625" style="1215" customWidth="1"/>
    <col min="9219" max="9219" width="22.453125" style="1215" customWidth="1"/>
    <col min="9220" max="9220" width="10.1796875" style="1215" bestFit="1" customWidth="1"/>
    <col min="9221" max="9221" width="13.453125" style="1215" customWidth="1"/>
    <col min="9222" max="9222" width="7.453125" style="1215" bestFit="1" customWidth="1"/>
    <col min="9223" max="9223" width="15.453125" style="1215" bestFit="1" customWidth="1"/>
    <col min="9224" max="9224" width="7.453125" style="1215" bestFit="1" customWidth="1"/>
    <col min="9225" max="9225" width="19.54296875" style="1215" bestFit="1" customWidth="1"/>
    <col min="9226" max="9226" width="7.453125" style="1215" bestFit="1" customWidth="1"/>
    <col min="9227" max="9227" width="26.81640625" style="1215" bestFit="1" customWidth="1"/>
    <col min="9228" max="9228" width="19.81640625" style="1215" bestFit="1" customWidth="1"/>
    <col min="9229" max="9463" width="11.453125" style="1215"/>
    <col min="9464" max="9464" width="2.453125" style="1215" customWidth="1"/>
    <col min="9465" max="9465" width="49" style="1215" customWidth="1"/>
    <col min="9466" max="9466" width="16.81640625" style="1215" customWidth="1"/>
    <col min="9467" max="9467" width="1.1796875" style="1215" customWidth="1"/>
    <col min="9468" max="9468" width="20.54296875" style="1215" customWidth="1"/>
    <col min="9469" max="9469" width="17.54296875" style="1215" customWidth="1"/>
    <col min="9470" max="9470" width="18.1796875" style="1215" customWidth="1"/>
    <col min="9471" max="9471" width="17.1796875" style="1215" customWidth="1"/>
    <col min="9472" max="9472" width="22.453125" style="1215" bestFit="1" customWidth="1"/>
    <col min="9473" max="9473" width="22.1796875" style="1215" customWidth="1"/>
    <col min="9474" max="9474" width="17.81640625" style="1215" customWidth="1"/>
    <col min="9475" max="9475" width="22.453125" style="1215" customWidth="1"/>
    <col min="9476" max="9476" width="10.1796875" style="1215" bestFit="1" customWidth="1"/>
    <col min="9477" max="9477" width="13.453125" style="1215" customWidth="1"/>
    <col min="9478" max="9478" width="7.453125" style="1215" bestFit="1" customWidth="1"/>
    <col min="9479" max="9479" width="15.453125" style="1215" bestFit="1" customWidth="1"/>
    <col min="9480" max="9480" width="7.453125" style="1215" bestFit="1" customWidth="1"/>
    <col min="9481" max="9481" width="19.54296875" style="1215" bestFit="1" customWidth="1"/>
    <col min="9482" max="9482" width="7.453125" style="1215" bestFit="1" customWidth="1"/>
    <col min="9483" max="9483" width="26.81640625" style="1215" bestFit="1" customWidth="1"/>
    <col min="9484" max="9484" width="19.81640625" style="1215" bestFit="1" customWidth="1"/>
    <col min="9485" max="9719" width="11.453125" style="1215"/>
    <col min="9720" max="9720" width="2.453125" style="1215" customWidth="1"/>
    <col min="9721" max="9721" width="49" style="1215" customWidth="1"/>
    <col min="9722" max="9722" width="16.81640625" style="1215" customWidth="1"/>
    <col min="9723" max="9723" width="1.1796875" style="1215" customWidth="1"/>
    <col min="9724" max="9724" width="20.54296875" style="1215" customWidth="1"/>
    <col min="9725" max="9725" width="17.54296875" style="1215" customWidth="1"/>
    <col min="9726" max="9726" width="18.1796875" style="1215" customWidth="1"/>
    <col min="9727" max="9727" width="17.1796875" style="1215" customWidth="1"/>
    <col min="9728" max="9728" width="22.453125" style="1215" bestFit="1" customWidth="1"/>
    <col min="9729" max="9729" width="22.1796875" style="1215" customWidth="1"/>
    <col min="9730" max="9730" width="17.81640625" style="1215" customWidth="1"/>
    <col min="9731" max="9731" width="22.453125" style="1215" customWidth="1"/>
    <col min="9732" max="9732" width="10.1796875" style="1215" bestFit="1" customWidth="1"/>
    <col min="9733" max="9733" width="13.453125" style="1215" customWidth="1"/>
    <col min="9734" max="9734" width="7.453125" style="1215" bestFit="1" customWidth="1"/>
    <col min="9735" max="9735" width="15.453125" style="1215" bestFit="1" customWidth="1"/>
    <col min="9736" max="9736" width="7.453125" style="1215" bestFit="1" customWidth="1"/>
    <col min="9737" max="9737" width="19.54296875" style="1215" bestFit="1" customWidth="1"/>
    <col min="9738" max="9738" width="7.453125" style="1215" bestFit="1" customWidth="1"/>
    <col min="9739" max="9739" width="26.81640625" style="1215" bestFit="1" customWidth="1"/>
    <col min="9740" max="9740" width="19.81640625" style="1215" bestFit="1" customWidth="1"/>
    <col min="9741" max="9975" width="11.453125" style="1215"/>
    <col min="9976" max="9976" width="2.453125" style="1215" customWidth="1"/>
    <col min="9977" max="9977" width="49" style="1215" customWidth="1"/>
    <col min="9978" max="9978" width="16.81640625" style="1215" customWidth="1"/>
    <col min="9979" max="9979" width="1.1796875" style="1215" customWidth="1"/>
    <col min="9980" max="9980" width="20.54296875" style="1215" customWidth="1"/>
    <col min="9981" max="9981" width="17.54296875" style="1215" customWidth="1"/>
    <col min="9982" max="9982" width="18.1796875" style="1215" customWidth="1"/>
    <col min="9983" max="9983" width="17.1796875" style="1215" customWidth="1"/>
    <col min="9984" max="9984" width="22.453125" style="1215" bestFit="1" customWidth="1"/>
    <col min="9985" max="9985" width="22.1796875" style="1215" customWidth="1"/>
    <col min="9986" max="9986" width="17.81640625" style="1215" customWidth="1"/>
    <col min="9987" max="9987" width="22.453125" style="1215" customWidth="1"/>
    <col min="9988" max="9988" width="10.1796875" style="1215" bestFit="1" customWidth="1"/>
    <col min="9989" max="9989" width="13.453125" style="1215" customWidth="1"/>
    <col min="9990" max="9990" width="7.453125" style="1215" bestFit="1" customWidth="1"/>
    <col min="9991" max="9991" width="15.453125" style="1215" bestFit="1" customWidth="1"/>
    <col min="9992" max="9992" width="7.453125" style="1215" bestFit="1" customWidth="1"/>
    <col min="9993" max="9993" width="19.54296875" style="1215" bestFit="1" customWidth="1"/>
    <col min="9994" max="9994" width="7.453125" style="1215" bestFit="1" customWidth="1"/>
    <col min="9995" max="9995" width="26.81640625" style="1215" bestFit="1" customWidth="1"/>
    <col min="9996" max="9996" width="19.81640625" style="1215" bestFit="1" customWidth="1"/>
    <col min="9997" max="10231" width="11.453125" style="1215"/>
    <col min="10232" max="10232" width="2.453125" style="1215" customWidth="1"/>
    <col min="10233" max="10233" width="49" style="1215" customWidth="1"/>
    <col min="10234" max="10234" width="16.81640625" style="1215" customWidth="1"/>
    <col min="10235" max="10235" width="1.1796875" style="1215" customWidth="1"/>
    <col min="10236" max="10236" width="20.54296875" style="1215" customWidth="1"/>
    <col min="10237" max="10237" width="17.54296875" style="1215" customWidth="1"/>
    <col min="10238" max="10238" width="18.1796875" style="1215" customWidth="1"/>
    <col min="10239" max="10239" width="17.1796875" style="1215" customWidth="1"/>
    <col min="10240" max="10240" width="22.453125" style="1215" bestFit="1" customWidth="1"/>
    <col min="10241" max="10241" width="22.1796875" style="1215" customWidth="1"/>
    <col min="10242" max="10242" width="17.81640625" style="1215" customWidth="1"/>
    <col min="10243" max="10243" width="22.453125" style="1215" customWidth="1"/>
    <col min="10244" max="10244" width="10.1796875" style="1215" bestFit="1" customWidth="1"/>
    <col min="10245" max="10245" width="13.453125" style="1215" customWidth="1"/>
    <col min="10246" max="10246" width="7.453125" style="1215" bestFit="1" customWidth="1"/>
    <col min="10247" max="10247" width="15.453125" style="1215" bestFit="1" customWidth="1"/>
    <col min="10248" max="10248" width="7.453125" style="1215" bestFit="1" customWidth="1"/>
    <col min="10249" max="10249" width="19.54296875" style="1215" bestFit="1" customWidth="1"/>
    <col min="10250" max="10250" width="7.453125" style="1215" bestFit="1" customWidth="1"/>
    <col min="10251" max="10251" width="26.81640625" style="1215" bestFit="1" customWidth="1"/>
    <col min="10252" max="10252" width="19.81640625" style="1215" bestFit="1" customWidth="1"/>
    <col min="10253" max="10487" width="11.453125" style="1215"/>
    <col min="10488" max="10488" width="2.453125" style="1215" customWidth="1"/>
    <col min="10489" max="10489" width="49" style="1215" customWidth="1"/>
    <col min="10490" max="10490" width="16.81640625" style="1215" customWidth="1"/>
    <col min="10491" max="10491" width="1.1796875" style="1215" customWidth="1"/>
    <col min="10492" max="10492" width="20.54296875" style="1215" customWidth="1"/>
    <col min="10493" max="10493" width="17.54296875" style="1215" customWidth="1"/>
    <col min="10494" max="10494" width="18.1796875" style="1215" customWidth="1"/>
    <col min="10495" max="10495" width="17.1796875" style="1215" customWidth="1"/>
    <col min="10496" max="10496" width="22.453125" style="1215" bestFit="1" customWidth="1"/>
    <col min="10497" max="10497" width="22.1796875" style="1215" customWidth="1"/>
    <col min="10498" max="10498" width="17.81640625" style="1215" customWidth="1"/>
    <col min="10499" max="10499" width="22.453125" style="1215" customWidth="1"/>
    <col min="10500" max="10500" width="10.1796875" style="1215" bestFit="1" customWidth="1"/>
    <col min="10501" max="10501" width="13.453125" style="1215" customWidth="1"/>
    <col min="10502" max="10502" width="7.453125" style="1215" bestFit="1" customWidth="1"/>
    <col min="10503" max="10503" width="15.453125" style="1215" bestFit="1" customWidth="1"/>
    <col min="10504" max="10504" width="7.453125" style="1215" bestFit="1" customWidth="1"/>
    <col min="10505" max="10505" width="19.54296875" style="1215" bestFit="1" customWidth="1"/>
    <col min="10506" max="10506" width="7.453125" style="1215" bestFit="1" customWidth="1"/>
    <col min="10507" max="10507" width="26.81640625" style="1215" bestFit="1" customWidth="1"/>
    <col min="10508" max="10508" width="19.81640625" style="1215" bestFit="1" customWidth="1"/>
    <col min="10509" max="10743" width="11.453125" style="1215"/>
    <col min="10744" max="10744" width="2.453125" style="1215" customWidth="1"/>
    <col min="10745" max="10745" width="49" style="1215" customWidth="1"/>
    <col min="10746" max="10746" width="16.81640625" style="1215" customWidth="1"/>
    <col min="10747" max="10747" width="1.1796875" style="1215" customWidth="1"/>
    <col min="10748" max="10748" width="20.54296875" style="1215" customWidth="1"/>
    <col min="10749" max="10749" width="17.54296875" style="1215" customWidth="1"/>
    <col min="10750" max="10750" width="18.1796875" style="1215" customWidth="1"/>
    <col min="10751" max="10751" width="17.1796875" style="1215" customWidth="1"/>
    <col min="10752" max="10752" width="22.453125" style="1215" bestFit="1" customWidth="1"/>
    <col min="10753" max="10753" width="22.1796875" style="1215" customWidth="1"/>
    <col min="10754" max="10754" width="17.81640625" style="1215" customWidth="1"/>
    <col min="10755" max="10755" width="22.453125" style="1215" customWidth="1"/>
    <col min="10756" max="10756" width="10.1796875" style="1215" bestFit="1" customWidth="1"/>
    <col min="10757" max="10757" width="13.453125" style="1215" customWidth="1"/>
    <col min="10758" max="10758" width="7.453125" style="1215" bestFit="1" customWidth="1"/>
    <col min="10759" max="10759" width="15.453125" style="1215" bestFit="1" customWidth="1"/>
    <col min="10760" max="10760" width="7.453125" style="1215" bestFit="1" customWidth="1"/>
    <col min="10761" max="10761" width="19.54296875" style="1215" bestFit="1" customWidth="1"/>
    <col min="10762" max="10762" width="7.453125" style="1215" bestFit="1" customWidth="1"/>
    <col min="10763" max="10763" width="26.81640625" style="1215" bestFit="1" customWidth="1"/>
    <col min="10764" max="10764" width="19.81640625" style="1215" bestFit="1" customWidth="1"/>
    <col min="10765" max="10999" width="11.453125" style="1215"/>
    <col min="11000" max="11000" width="2.453125" style="1215" customWidth="1"/>
    <col min="11001" max="11001" width="49" style="1215" customWidth="1"/>
    <col min="11002" max="11002" width="16.81640625" style="1215" customWidth="1"/>
    <col min="11003" max="11003" width="1.1796875" style="1215" customWidth="1"/>
    <col min="11004" max="11004" width="20.54296875" style="1215" customWidth="1"/>
    <col min="11005" max="11005" width="17.54296875" style="1215" customWidth="1"/>
    <col min="11006" max="11006" width="18.1796875" style="1215" customWidth="1"/>
    <col min="11007" max="11007" width="17.1796875" style="1215" customWidth="1"/>
    <col min="11008" max="11008" width="22.453125" style="1215" bestFit="1" customWidth="1"/>
    <col min="11009" max="11009" width="22.1796875" style="1215" customWidth="1"/>
    <col min="11010" max="11010" width="17.81640625" style="1215" customWidth="1"/>
    <col min="11011" max="11011" width="22.453125" style="1215" customWidth="1"/>
    <col min="11012" max="11012" width="10.1796875" style="1215" bestFit="1" customWidth="1"/>
    <col min="11013" max="11013" width="13.453125" style="1215" customWidth="1"/>
    <col min="11014" max="11014" width="7.453125" style="1215" bestFit="1" customWidth="1"/>
    <col min="11015" max="11015" width="15.453125" style="1215" bestFit="1" customWidth="1"/>
    <col min="11016" max="11016" width="7.453125" style="1215" bestFit="1" customWidth="1"/>
    <col min="11017" max="11017" width="19.54296875" style="1215" bestFit="1" customWidth="1"/>
    <col min="11018" max="11018" width="7.453125" style="1215" bestFit="1" customWidth="1"/>
    <col min="11019" max="11019" width="26.81640625" style="1215" bestFit="1" customWidth="1"/>
    <col min="11020" max="11020" width="19.81640625" style="1215" bestFit="1" customWidth="1"/>
    <col min="11021" max="11255" width="11.453125" style="1215"/>
    <col min="11256" max="11256" width="2.453125" style="1215" customWidth="1"/>
    <col min="11257" max="11257" width="49" style="1215" customWidth="1"/>
    <col min="11258" max="11258" width="16.81640625" style="1215" customWidth="1"/>
    <col min="11259" max="11259" width="1.1796875" style="1215" customWidth="1"/>
    <col min="11260" max="11260" width="20.54296875" style="1215" customWidth="1"/>
    <col min="11261" max="11261" width="17.54296875" style="1215" customWidth="1"/>
    <col min="11262" max="11262" width="18.1796875" style="1215" customWidth="1"/>
    <col min="11263" max="11263" width="17.1796875" style="1215" customWidth="1"/>
    <col min="11264" max="11264" width="22.453125" style="1215" bestFit="1" customWidth="1"/>
    <col min="11265" max="11265" width="22.1796875" style="1215" customWidth="1"/>
    <col min="11266" max="11266" width="17.81640625" style="1215" customWidth="1"/>
    <col min="11267" max="11267" width="22.453125" style="1215" customWidth="1"/>
    <col min="11268" max="11268" width="10.1796875" style="1215" bestFit="1" customWidth="1"/>
    <col min="11269" max="11269" width="13.453125" style="1215" customWidth="1"/>
    <col min="11270" max="11270" width="7.453125" style="1215" bestFit="1" customWidth="1"/>
    <col min="11271" max="11271" width="15.453125" style="1215" bestFit="1" customWidth="1"/>
    <col min="11272" max="11272" width="7.453125" style="1215" bestFit="1" customWidth="1"/>
    <col min="11273" max="11273" width="19.54296875" style="1215" bestFit="1" customWidth="1"/>
    <col min="11274" max="11274" width="7.453125" style="1215" bestFit="1" customWidth="1"/>
    <col min="11275" max="11275" width="26.81640625" style="1215" bestFit="1" customWidth="1"/>
    <col min="11276" max="11276" width="19.81640625" style="1215" bestFit="1" customWidth="1"/>
    <col min="11277" max="11511" width="11.453125" style="1215"/>
    <col min="11512" max="11512" width="2.453125" style="1215" customWidth="1"/>
    <col min="11513" max="11513" width="49" style="1215" customWidth="1"/>
    <col min="11514" max="11514" width="16.81640625" style="1215" customWidth="1"/>
    <col min="11515" max="11515" width="1.1796875" style="1215" customWidth="1"/>
    <col min="11516" max="11516" width="20.54296875" style="1215" customWidth="1"/>
    <col min="11517" max="11517" width="17.54296875" style="1215" customWidth="1"/>
    <col min="11518" max="11518" width="18.1796875" style="1215" customWidth="1"/>
    <col min="11519" max="11519" width="17.1796875" style="1215" customWidth="1"/>
    <col min="11520" max="11520" width="22.453125" style="1215" bestFit="1" customWidth="1"/>
    <col min="11521" max="11521" width="22.1796875" style="1215" customWidth="1"/>
    <col min="11522" max="11522" width="17.81640625" style="1215" customWidth="1"/>
    <col min="11523" max="11523" width="22.453125" style="1215" customWidth="1"/>
    <col min="11524" max="11524" width="10.1796875" style="1215" bestFit="1" customWidth="1"/>
    <col min="11525" max="11525" width="13.453125" style="1215" customWidth="1"/>
    <col min="11526" max="11526" width="7.453125" style="1215" bestFit="1" customWidth="1"/>
    <col min="11527" max="11527" width="15.453125" style="1215" bestFit="1" customWidth="1"/>
    <col min="11528" max="11528" width="7.453125" style="1215" bestFit="1" customWidth="1"/>
    <col min="11529" max="11529" width="19.54296875" style="1215" bestFit="1" customWidth="1"/>
    <col min="11530" max="11530" width="7.453125" style="1215" bestFit="1" customWidth="1"/>
    <col min="11531" max="11531" width="26.81640625" style="1215" bestFit="1" customWidth="1"/>
    <col min="11532" max="11532" width="19.81640625" style="1215" bestFit="1" customWidth="1"/>
    <col min="11533" max="11767" width="11.453125" style="1215"/>
    <col min="11768" max="11768" width="2.453125" style="1215" customWidth="1"/>
    <col min="11769" max="11769" width="49" style="1215" customWidth="1"/>
    <col min="11770" max="11770" width="16.81640625" style="1215" customWidth="1"/>
    <col min="11771" max="11771" width="1.1796875" style="1215" customWidth="1"/>
    <col min="11772" max="11772" width="20.54296875" style="1215" customWidth="1"/>
    <col min="11773" max="11773" width="17.54296875" style="1215" customWidth="1"/>
    <col min="11774" max="11774" width="18.1796875" style="1215" customWidth="1"/>
    <col min="11775" max="11775" width="17.1796875" style="1215" customWidth="1"/>
    <col min="11776" max="11776" width="22.453125" style="1215" bestFit="1" customWidth="1"/>
    <col min="11777" max="11777" width="22.1796875" style="1215" customWidth="1"/>
    <col min="11778" max="11778" width="17.81640625" style="1215" customWidth="1"/>
    <col min="11779" max="11779" width="22.453125" style="1215" customWidth="1"/>
    <col min="11780" max="11780" width="10.1796875" style="1215" bestFit="1" customWidth="1"/>
    <col min="11781" max="11781" width="13.453125" style="1215" customWidth="1"/>
    <col min="11782" max="11782" width="7.453125" style="1215" bestFit="1" customWidth="1"/>
    <col min="11783" max="11783" width="15.453125" style="1215" bestFit="1" customWidth="1"/>
    <col min="11784" max="11784" width="7.453125" style="1215" bestFit="1" customWidth="1"/>
    <col min="11785" max="11785" width="19.54296875" style="1215" bestFit="1" customWidth="1"/>
    <col min="11786" max="11786" width="7.453125" style="1215" bestFit="1" customWidth="1"/>
    <col min="11787" max="11787" width="26.81640625" style="1215" bestFit="1" customWidth="1"/>
    <col min="11788" max="11788" width="19.81640625" style="1215" bestFit="1" customWidth="1"/>
    <col min="11789" max="12023" width="11.453125" style="1215"/>
    <col min="12024" max="12024" width="2.453125" style="1215" customWidth="1"/>
    <col min="12025" max="12025" width="49" style="1215" customWidth="1"/>
    <col min="12026" max="12026" width="16.81640625" style="1215" customWidth="1"/>
    <col min="12027" max="12027" width="1.1796875" style="1215" customWidth="1"/>
    <col min="12028" max="12028" width="20.54296875" style="1215" customWidth="1"/>
    <col min="12029" max="12029" width="17.54296875" style="1215" customWidth="1"/>
    <col min="12030" max="12030" width="18.1796875" style="1215" customWidth="1"/>
    <col min="12031" max="12031" width="17.1796875" style="1215" customWidth="1"/>
    <col min="12032" max="12032" width="22.453125" style="1215" bestFit="1" customWidth="1"/>
    <col min="12033" max="12033" width="22.1796875" style="1215" customWidth="1"/>
    <col min="12034" max="12034" width="17.81640625" style="1215" customWidth="1"/>
    <col min="12035" max="12035" width="22.453125" style="1215" customWidth="1"/>
    <col min="12036" max="12036" width="10.1796875" style="1215" bestFit="1" customWidth="1"/>
    <col min="12037" max="12037" width="13.453125" style="1215" customWidth="1"/>
    <col min="12038" max="12038" width="7.453125" style="1215" bestFit="1" customWidth="1"/>
    <col min="12039" max="12039" width="15.453125" style="1215" bestFit="1" customWidth="1"/>
    <col min="12040" max="12040" width="7.453125" style="1215" bestFit="1" customWidth="1"/>
    <col min="12041" max="12041" width="19.54296875" style="1215" bestFit="1" customWidth="1"/>
    <col min="12042" max="12042" width="7.453125" style="1215" bestFit="1" customWidth="1"/>
    <col min="12043" max="12043" width="26.81640625" style="1215" bestFit="1" customWidth="1"/>
    <col min="12044" max="12044" width="19.81640625" style="1215" bestFit="1" customWidth="1"/>
    <col min="12045" max="12279" width="11.453125" style="1215"/>
    <col min="12280" max="12280" width="2.453125" style="1215" customWidth="1"/>
    <col min="12281" max="12281" width="49" style="1215" customWidth="1"/>
    <col min="12282" max="12282" width="16.81640625" style="1215" customWidth="1"/>
    <col min="12283" max="12283" width="1.1796875" style="1215" customWidth="1"/>
    <col min="12284" max="12284" width="20.54296875" style="1215" customWidth="1"/>
    <col min="12285" max="12285" width="17.54296875" style="1215" customWidth="1"/>
    <col min="12286" max="12286" width="18.1796875" style="1215" customWidth="1"/>
    <col min="12287" max="12287" width="17.1796875" style="1215" customWidth="1"/>
    <col min="12288" max="12288" width="22.453125" style="1215" bestFit="1" customWidth="1"/>
    <col min="12289" max="12289" width="22.1796875" style="1215" customWidth="1"/>
    <col min="12290" max="12290" width="17.81640625" style="1215" customWidth="1"/>
    <col min="12291" max="12291" width="22.453125" style="1215" customWidth="1"/>
    <col min="12292" max="12292" width="10.1796875" style="1215" bestFit="1" customWidth="1"/>
    <col min="12293" max="12293" width="13.453125" style="1215" customWidth="1"/>
    <col min="12294" max="12294" width="7.453125" style="1215" bestFit="1" customWidth="1"/>
    <col min="12295" max="12295" width="15.453125" style="1215" bestFit="1" customWidth="1"/>
    <col min="12296" max="12296" width="7.453125" style="1215" bestFit="1" customWidth="1"/>
    <col min="12297" max="12297" width="19.54296875" style="1215" bestFit="1" customWidth="1"/>
    <col min="12298" max="12298" width="7.453125" style="1215" bestFit="1" customWidth="1"/>
    <col min="12299" max="12299" width="26.81640625" style="1215" bestFit="1" customWidth="1"/>
    <col min="12300" max="12300" width="19.81640625" style="1215" bestFit="1" customWidth="1"/>
    <col min="12301" max="12535" width="11.453125" style="1215"/>
    <col min="12536" max="12536" width="2.453125" style="1215" customWidth="1"/>
    <col min="12537" max="12537" width="49" style="1215" customWidth="1"/>
    <col min="12538" max="12538" width="16.81640625" style="1215" customWidth="1"/>
    <col min="12539" max="12539" width="1.1796875" style="1215" customWidth="1"/>
    <col min="12540" max="12540" width="20.54296875" style="1215" customWidth="1"/>
    <col min="12541" max="12541" width="17.54296875" style="1215" customWidth="1"/>
    <col min="12542" max="12542" width="18.1796875" style="1215" customWidth="1"/>
    <col min="12543" max="12543" width="17.1796875" style="1215" customWidth="1"/>
    <col min="12544" max="12544" width="22.453125" style="1215" bestFit="1" customWidth="1"/>
    <col min="12545" max="12545" width="22.1796875" style="1215" customWidth="1"/>
    <col min="12546" max="12546" width="17.81640625" style="1215" customWidth="1"/>
    <col min="12547" max="12547" width="22.453125" style="1215" customWidth="1"/>
    <col min="12548" max="12548" width="10.1796875" style="1215" bestFit="1" customWidth="1"/>
    <col min="12549" max="12549" width="13.453125" style="1215" customWidth="1"/>
    <col min="12550" max="12550" width="7.453125" style="1215" bestFit="1" customWidth="1"/>
    <col min="12551" max="12551" width="15.453125" style="1215" bestFit="1" customWidth="1"/>
    <col min="12552" max="12552" width="7.453125" style="1215" bestFit="1" customWidth="1"/>
    <col min="12553" max="12553" width="19.54296875" style="1215" bestFit="1" customWidth="1"/>
    <col min="12554" max="12554" width="7.453125" style="1215" bestFit="1" customWidth="1"/>
    <col min="12555" max="12555" width="26.81640625" style="1215" bestFit="1" customWidth="1"/>
    <col min="12556" max="12556" width="19.81640625" style="1215" bestFit="1" customWidth="1"/>
    <col min="12557" max="12791" width="11.453125" style="1215"/>
    <col min="12792" max="12792" width="2.453125" style="1215" customWidth="1"/>
    <col min="12793" max="12793" width="49" style="1215" customWidth="1"/>
    <col min="12794" max="12794" width="16.81640625" style="1215" customWidth="1"/>
    <col min="12795" max="12795" width="1.1796875" style="1215" customWidth="1"/>
    <col min="12796" max="12796" width="20.54296875" style="1215" customWidth="1"/>
    <col min="12797" max="12797" width="17.54296875" style="1215" customWidth="1"/>
    <col min="12798" max="12798" width="18.1796875" style="1215" customWidth="1"/>
    <col min="12799" max="12799" width="17.1796875" style="1215" customWidth="1"/>
    <col min="12800" max="12800" width="22.453125" style="1215" bestFit="1" customWidth="1"/>
    <col min="12801" max="12801" width="22.1796875" style="1215" customWidth="1"/>
    <col min="12802" max="12802" width="17.81640625" style="1215" customWidth="1"/>
    <col min="12803" max="12803" width="22.453125" style="1215" customWidth="1"/>
    <col min="12804" max="12804" width="10.1796875" style="1215" bestFit="1" customWidth="1"/>
    <col min="12805" max="12805" width="13.453125" style="1215" customWidth="1"/>
    <col min="12806" max="12806" width="7.453125" style="1215" bestFit="1" customWidth="1"/>
    <col min="12807" max="12807" width="15.453125" style="1215" bestFit="1" customWidth="1"/>
    <col min="12808" max="12808" width="7.453125" style="1215" bestFit="1" customWidth="1"/>
    <col min="12809" max="12809" width="19.54296875" style="1215" bestFit="1" customWidth="1"/>
    <col min="12810" max="12810" width="7.453125" style="1215" bestFit="1" customWidth="1"/>
    <col min="12811" max="12811" width="26.81640625" style="1215" bestFit="1" customWidth="1"/>
    <col min="12812" max="12812" width="19.81640625" style="1215" bestFit="1" customWidth="1"/>
    <col min="12813" max="13047" width="11.453125" style="1215"/>
    <col min="13048" max="13048" width="2.453125" style="1215" customWidth="1"/>
    <col min="13049" max="13049" width="49" style="1215" customWidth="1"/>
    <col min="13050" max="13050" width="16.81640625" style="1215" customWidth="1"/>
    <col min="13051" max="13051" width="1.1796875" style="1215" customWidth="1"/>
    <col min="13052" max="13052" width="20.54296875" style="1215" customWidth="1"/>
    <col min="13053" max="13053" width="17.54296875" style="1215" customWidth="1"/>
    <col min="13054" max="13054" width="18.1796875" style="1215" customWidth="1"/>
    <col min="13055" max="13055" width="17.1796875" style="1215" customWidth="1"/>
    <col min="13056" max="13056" width="22.453125" style="1215" bestFit="1" customWidth="1"/>
    <col min="13057" max="13057" width="22.1796875" style="1215" customWidth="1"/>
    <col min="13058" max="13058" width="17.81640625" style="1215" customWidth="1"/>
    <col min="13059" max="13059" width="22.453125" style="1215" customWidth="1"/>
    <col min="13060" max="13060" width="10.1796875" style="1215" bestFit="1" customWidth="1"/>
    <col min="13061" max="13061" width="13.453125" style="1215" customWidth="1"/>
    <col min="13062" max="13062" width="7.453125" style="1215" bestFit="1" customWidth="1"/>
    <col min="13063" max="13063" width="15.453125" style="1215" bestFit="1" customWidth="1"/>
    <col min="13064" max="13064" width="7.453125" style="1215" bestFit="1" customWidth="1"/>
    <col min="13065" max="13065" width="19.54296875" style="1215" bestFit="1" customWidth="1"/>
    <col min="13066" max="13066" width="7.453125" style="1215" bestFit="1" customWidth="1"/>
    <col min="13067" max="13067" width="26.81640625" style="1215" bestFit="1" customWidth="1"/>
    <col min="13068" max="13068" width="19.81640625" style="1215" bestFit="1" customWidth="1"/>
    <col min="13069" max="13303" width="11.453125" style="1215"/>
    <col min="13304" max="13304" width="2.453125" style="1215" customWidth="1"/>
    <col min="13305" max="13305" width="49" style="1215" customWidth="1"/>
    <col min="13306" max="13306" width="16.81640625" style="1215" customWidth="1"/>
    <col min="13307" max="13307" width="1.1796875" style="1215" customWidth="1"/>
    <col min="13308" max="13308" width="20.54296875" style="1215" customWidth="1"/>
    <col min="13309" max="13309" width="17.54296875" style="1215" customWidth="1"/>
    <col min="13310" max="13310" width="18.1796875" style="1215" customWidth="1"/>
    <col min="13311" max="13311" width="17.1796875" style="1215" customWidth="1"/>
    <col min="13312" max="13312" width="22.453125" style="1215" bestFit="1" customWidth="1"/>
    <col min="13313" max="13313" width="22.1796875" style="1215" customWidth="1"/>
    <col min="13314" max="13314" width="17.81640625" style="1215" customWidth="1"/>
    <col min="13315" max="13315" width="22.453125" style="1215" customWidth="1"/>
    <col min="13316" max="13316" width="10.1796875" style="1215" bestFit="1" customWidth="1"/>
    <col min="13317" max="13317" width="13.453125" style="1215" customWidth="1"/>
    <col min="13318" max="13318" width="7.453125" style="1215" bestFit="1" customWidth="1"/>
    <col min="13319" max="13319" width="15.453125" style="1215" bestFit="1" customWidth="1"/>
    <col min="13320" max="13320" width="7.453125" style="1215" bestFit="1" customWidth="1"/>
    <col min="13321" max="13321" width="19.54296875" style="1215" bestFit="1" customWidth="1"/>
    <col min="13322" max="13322" width="7.453125" style="1215" bestFit="1" customWidth="1"/>
    <col min="13323" max="13323" width="26.81640625" style="1215" bestFit="1" customWidth="1"/>
    <col min="13324" max="13324" width="19.81640625" style="1215" bestFit="1" customWidth="1"/>
    <col min="13325" max="13559" width="11.453125" style="1215"/>
    <col min="13560" max="13560" width="2.453125" style="1215" customWidth="1"/>
    <col min="13561" max="13561" width="49" style="1215" customWidth="1"/>
    <col min="13562" max="13562" width="16.81640625" style="1215" customWidth="1"/>
    <col min="13563" max="13563" width="1.1796875" style="1215" customWidth="1"/>
    <col min="13564" max="13564" width="20.54296875" style="1215" customWidth="1"/>
    <col min="13565" max="13565" width="17.54296875" style="1215" customWidth="1"/>
    <col min="13566" max="13566" width="18.1796875" style="1215" customWidth="1"/>
    <col min="13567" max="13567" width="17.1796875" style="1215" customWidth="1"/>
    <col min="13568" max="13568" width="22.453125" style="1215" bestFit="1" customWidth="1"/>
    <col min="13569" max="13569" width="22.1796875" style="1215" customWidth="1"/>
    <col min="13570" max="13570" width="17.81640625" style="1215" customWidth="1"/>
    <col min="13571" max="13571" width="22.453125" style="1215" customWidth="1"/>
    <col min="13572" max="13572" width="10.1796875" style="1215" bestFit="1" customWidth="1"/>
    <col min="13573" max="13573" width="13.453125" style="1215" customWidth="1"/>
    <col min="13574" max="13574" width="7.453125" style="1215" bestFit="1" customWidth="1"/>
    <col min="13575" max="13575" width="15.453125" style="1215" bestFit="1" customWidth="1"/>
    <col min="13576" max="13576" width="7.453125" style="1215" bestFit="1" customWidth="1"/>
    <col min="13577" max="13577" width="19.54296875" style="1215" bestFit="1" customWidth="1"/>
    <col min="13578" max="13578" width="7.453125" style="1215" bestFit="1" customWidth="1"/>
    <col min="13579" max="13579" width="26.81640625" style="1215" bestFit="1" customWidth="1"/>
    <col min="13580" max="13580" width="19.81640625" style="1215" bestFit="1" customWidth="1"/>
    <col min="13581" max="13815" width="11.453125" style="1215"/>
    <col min="13816" max="13816" width="2.453125" style="1215" customWidth="1"/>
    <col min="13817" max="13817" width="49" style="1215" customWidth="1"/>
    <col min="13818" max="13818" width="16.81640625" style="1215" customWidth="1"/>
    <col min="13819" max="13819" width="1.1796875" style="1215" customWidth="1"/>
    <col min="13820" max="13820" width="20.54296875" style="1215" customWidth="1"/>
    <col min="13821" max="13821" width="17.54296875" style="1215" customWidth="1"/>
    <col min="13822" max="13822" width="18.1796875" style="1215" customWidth="1"/>
    <col min="13823" max="13823" width="17.1796875" style="1215" customWidth="1"/>
    <col min="13824" max="13824" width="22.453125" style="1215" bestFit="1" customWidth="1"/>
    <col min="13825" max="13825" width="22.1796875" style="1215" customWidth="1"/>
    <col min="13826" max="13826" width="17.81640625" style="1215" customWidth="1"/>
    <col min="13827" max="13827" width="22.453125" style="1215" customWidth="1"/>
    <col min="13828" max="13828" width="10.1796875" style="1215" bestFit="1" customWidth="1"/>
    <col min="13829" max="13829" width="13.453125" style="1215" customWidth="1"/>
    <col min="13830" max="13830" width="7.453125" style="1215" bestFit="1" customWidth="1"/>
    <col min="13831" max="13831" width="15.453125" style="1215" bestFit="1" customWidth="1"/>
    <col min="13832" max="13832" width="7.453125" style="1215" bestFit="1" customWidth="1"/>
    <col min="13833" max="13833" width="19.54296875" style="1215" bestFit="1" customWidth="1"/>
    <col min="13834" max="13834" width="7.453125" style="1215" bestFit="1" customWidth="1"/>
    <col min="13835" max="13835" width="26.81640625" style="1215" bestFit="1" customWidth="1"/>
    <col min="13836" max="13836" width="19.81640625" style="1215" bestFit="1" customWidth="1"/>
    <col min="13837" max="14071" width="11.453125" style="1215"/>
    <col min="14072" max="14072" width="2.453125" style="1215" customWidth="1"/>
    <col min="14073" max="14073" width="49" style="1215" customWidth="1"/>
    <col min="14074" max="14074" width="16.81640625" style="1215" customWidth="1"/>
    <col min="14075" max="14075" width="1.1796875" style="1215" customWidth="1"/>
    <col min="14076" max="14076" width="20.54296875" style="1215" customWidth="1"/>
    <col min="14077" max="14077" width="17.54296875" style="1215" customWidth="1"/>
    <col min="14078" max="14078" width="18.1796875" style="1215" customWidth="1"/>
    <col min="14079" max="14079" width="17.1796875" style="1215" customWidth="1"/>
    <col min="14080" max="14080" width="22.453125" style="1215" bestFit="1" customWidth="1"/>
    <col min="14081" max="14081" width="22.1796875" style="1215" customWidth="1"/>
    <col min="14082" max="14082" width="17.81640625" style="1215" customWidth="1"/>
    <col min="14083" max="14083" width="22.453125" style="1215" customWidth="1"/>
    <col min="14084" max="14084" width="10.1796875" style="1215" bestFit="1" customWidth="1"/>
    <col min="14085" max="14085" width="13.453125" style="1215" customWidth="1"/>
    <col min="14086" max="14086" width="7.453125" style="1215" bestFit="1" customWidth="1"/>
    <col min="14087" max="14087" width="15.453125" style="1215" bestFit="1" customWidth="1"/>
    <col min="14088" max="14088" width="7.453125" style="1215" bestFit="1" customWidth="1"/>
    <col min="14089" max="14089" width="19.54296875" style="1215" bestFit="1" customWidth="1"/>
    <col min="14090" max="14090" width="7.453125" style="1215" bestFit="1" customWidth="1"/>
    <col min="14091" max="14091" width="26.81640625" style="1215" bestFit="1" customWidth="1"/>
    <col min="14092" max="14092" width="19.81640625" style="1215" bestFit="1" customWidth="1"/>
    <col min="14093" max="14327" width="11.453125" style="1215"/>
    <col min="14328" max="14328" width="2.453125" style="1215" customWidth="1"/>
    <col min="14329" max="14329" width="49" style="1215" customWidth="1"/>
    <col min="14330" max="14330" width="16.81640625" style="1215" customWidth="1"/>
    <col min="14331" max="14331" width="1.1796875" style="1215" customWidth="1"/>
    <col min="14332" max="14332" width="20.54296875" style="1215" customWidth="1"/>
    <col min="14333" max="14333" width="17.54296875" style="1215" customWidth="1"/>
    <col min="14334" max="14334" width="18.1796875" style="1215" customWidth="1"/>
    <col min="14335" max="14335" width="17.1796875" style="1215" customWidth="1"/>
    <col min="14336" max="14336" width="22.453125" style="1215" bestFit="1" customWidth="1"/>
    <col min="14337" max="14337" width="22.1796875" style="1215" customWidth="1"/>
    <col min="14338" max="14338" width="17.81640625" style="1215" customWidth="1"/>
    <col min="14339" max="14339" width="22.453125" style="1215" customWidth="1"/>
    <col min="14340" max="14340" width="10.1796875" style="1215" bestFit="1" customWidth="1"/>
    <col min="14341" max="14341" width="13.453125" style="1215" customWidth="1"/>
    <col min="14342" max="14342" width="7.453125" style="1215" bestFit="1" customWidth="1"/>
    <col min="14343" max="14343" width="15.453125" style="1215" bestFit="1" customWidth="1"/>
    <col min="14344" max="14344" width="7.453125" style="1215" bestFit="1" customWidth="1"/>
    <col min="14345" max="14345" width="19.54296875" style="1215" bestFit="1" customWidth="1"/>
    <col min="14346" max="14346" width="7.453125" style="1215" bestFit="1" customWidth="1"/>
    <col min="14347" max="14347" width="26.81640625" style="1215" bestFit="1" customWidth="1"/>
    <col min="14348" max="14348" width="19.81640625" style="1215" bestFit="1" customWidth="1"/>
    <col min="14349" max="14583" width="11.453125" style="1215"/>
    <col min="14584" max="14584" width="2.453125" style="1215" customWidth="1"/>
    <col min="14585" max="14585" width="49" style="1215" customWidth="1"/>
    <col min="14586" max="14586" width="16.81640625" style="1215" customWidth="1"/>
    <col min="14587" max="14587" width="1.1796875" style="1215" customWidth="1"/>
    <col min="14588" max="14588" width="20.54296875" style="1215" customWidth="1"/>
    <col min="14589" max="14589" width="17.54296875" style="1215" customWidth="1"/>
    <col min="14590" max="14590" width="18.1796875" style="1215" customWidth="1"/>
    <col min="14591" max="14591" width="17.1796875" style="1215" customWidth="1"/>
    <col min="14592" max="14592" width="22.453125" style="1215" bestFit="1" customWidth="1"/>
    <col min="14593" max="14593" width="22.1796875" style="1215" customWidth="1"/>
    <col min="14594" max="14594" width="17.81640625" style="1215" customWidth="1"/>
    <col min="14595" max="14595" width="22.453125" style="1215" customWidth="1"/>
    <col min="14596" max="14596" width="10.1796875" style="1215" bestFit="1" customWidth="1"/>
    <col min="14597" max="14597" width="13.453125" style="1215" customWidth="1"/>
    <col min="14598" max="14598" width="7.453125" style="1215" bestFit="1" customWidth="1"/>
    <col min="14599" max="14599" width="15.453125" style="1215" bestFit="1" customWidth="1"/>
    <col min="14600" max="14600" width="7.453125" style="1215" bestFit="1" customWidth="1"/>
    <col min="14601" max="14601" width="19.54296875" style="1215" bestFit="1" customWidth="1"/>
    <col min="14602" max="14602" width="7.453125" style="1215" bestFit="1" customWidth="1"/>
    <col min="14603" max="14603" width="26.81640625" style="1215" bestFit="1" customWidth="1"/>
    <col min="14604" max="14604" width="19.81640625" style="1215" bestFit="1" customWidth="1"/>
    <col min="14605" max="14839" width="11.453125" style="1215"/>
    <col min="14840" max="14840" width="2.453125" style="1215" customWidth="1"/>
    <col min="14841" max="14841" width="49" style="1215" customWidth="1"/>
    <col min="14842" max="14842" width="16.81640625" style="1215" customWidth="1"/>
    <col min="14843" max="14843" width="1.1796875" style="1215" customWidth="1"/>
    <col min="14844" max="14844" width="20.54296875" style="1215" customWidth="1"/>
    <col min="14845" max="14845" width="17.54296875" style="1215" customWidth="1"/>
    <col min="14846" max="14846" width="18.1796875" style="1215" customWidth="1"/>
    <col min="14847" max="14847" width="17.1796875" style="1215" customWidth="1"/>
    <col min="14848" max="14848" width="22.453125" style="1215" bestFit="1" customWidth="1"/>
    <col min="14849" max="14849" width="22.1796875" style="1215" customWidth="1"/>
    <col min="14850" max="14850" width="17.81640625" style="1215" customWidth="1"/>
    <col min="14851" max="14851" width="22.453125" style="1215" customWidth="1"/>
    <col min="14852" max="14852" width="10.1796875" style="1215" bestFit="1" customWidth="1"/>
    <col min="14853" max="14853" width="13.453125" style="1215" customWidth="1"/>
    <col min="14854" max="14854" width="7.453125" style="1215" bestFit="1" customWidth="1"/>
    <col min="14855" max="14855" width="15.453125" style="1215" bestFit="1" customWidth="1"/>
    <col min="14856" max="14856" width="7.453125" style="1215" bestFit="1" customWidth="1"/>
    <col min="14857" max="14857" width="19.54296875" style="1215" bestFit="1" customWidth="1"/>
    <col min="14858" max="14858" width="7.453125" style="1215" bestFit="1" customWidth="1"/>
    <col min="14859" max="14859" width="26.81640625" style="1215" bestFit="1" customWidth="1"/>
    <col min="14860" max="14860" width="19.81640625" style="1215" bestFit="1" customWidth="1"/>
    <col min="14861" max="15095" width="11.453125" style="1215"/>
    <col min="15096" max="15096" width="2.453125" style="1215" customWidth="1"/>
    <col min="15097" max="15097" width="49" style="1215" customWidth="1"/>
    <col min="15098" max="15098" width="16.81640625" style="1215" customWidth="1"/>
    <col min="15099" max="15099" width="1.1796875" style="1215" customWidth="1"/>
    <col min="15100" max="15100" width="20.54296875" style="1215" customWidth="1"/>
    <col min="15101" max="15101" width="17.54296875" style="1215" customWidth="1"/>
    <col min="15102" max="15102" width="18.1796875" style="1215" customWidth="1"/>
    <col min="15103" max="15103" width="17.1796875" style="1215" customWidth="1"/>
    <col min="15104" max="15104" width="22.453125" style="1215" bestFit="1" customWidth="1"/>
    <col min="15105" max="15105" width="22.1796875" style="1215" customWidth="1"/>
    <col min="15106" max="15106" width="17.81640625" style="1215" customWidth="1"/>
    <col min="15107" max="15107" width="22.453125" style="1215" customWidth="1"/>
    <col min="15108" max="15108" width="10.1796875" style="1215" bestFit="1" customWidth="1"/>
    <col min="15109" max="15109" width="13.453125" style="1215" customWidth="1"/>
    <col min="15110" max="15110" width="7.453125" style="1215" bestFit="1" customWidth="1"/>
    <col min="15111" max="15111" width="15.453125" style="1215" bestFit="1" customWidth="1"/>
    <col min="15112" max="15112" width="7.453125" style="1215" bestFit="1" customWidth="1"/>
    <col min="15113" max="15113" width="19.54296875" style="1215" bestFit="1" customWidth="1"/>
    <col min="15114" max="15114" width="7.453125" style="1215" bestFit="1" customWidth="1"/>
    <col min="15115" max="15115" width="26.81640625" style="1215" bestFit="1" customWidth="1"/>
    <col min="15116" max="15116" width="19.81640625" style="1215" bestFit="1" customWidth="1"/>
    <col min="15117" max="15351" width="11.453125" style="1215"/>
    <col min="15352" max="15352" width="2.453125" style="1215" customWidth="1"/>
    <col min="15353" max="15353" width="49" style="1215" customWidth="1"/>
    <col min="15354" max="15354" width="16.81640625" style="1215" customWidth="1"/>
    <col min="15355" max="15355" width="1.1796875" style="1215" customWidth="1"/>
    <col min="15356" max="15356" width="20.54296875" style="1215" customWidth="1"/>
    <col min="15357" max="15357" width="17.54296875" style="1215" customWidth="1"/>
    <col min="15358" max="15358" width="18.1796875" style="1215" customWidth="1"/>
    <col min="15359" max="15359" width="17.1796875" style="1215" customWidth="1"/>
    <col min="15360" max="15360" width="22.453125" style="1215" bestFit="1" customWidth="1"/>
    <col min="15361" max="15361" width="22.1796875" style="1215" customWidth="1"/>
    <col min="15362" max="15362" width="17.81640625" style="1215" customWidth="1"/>
    <col min="15363" max="15363" width="22.453125" style="1215" customWidth="1"/>
    <col min="15364" max="15364" width="10.1796875" style="1215" bestFit="1" customWidth="1"/>
    <col min="15365" max="15365" width="13.453125" style="1215" customWidth="1"/>
    <col min="15366" max="15366" width="7.453125" style="1215" bestFit="1" customWidth="1"/>
    <col min="15367" max="15367" width="15.453125" style="1215" bestFit="1" customWidth="1"/>
    <col min="15368" max="15368" width="7.453125" style="1215" bestFit="1" customWidth="1"/>
    <col min="15369" max="15369" width="19.54296875" style="1215" bestFit="1" customWidth="1"/>
    <col min="15370" max="15370" width="7.453125" style="1215" bestFit="1" customWidth="1"/>
    <col min="15371" max="15371" width="26.81640625" style="1215" bestFit="1" customWidth="1"/>
    <col min="15372" max="15372" width="19.81640625" style="1215" bestFit="1" customWidth="1"/>
    <col min="15373" max="15607" width="11.453125" style="1215"/>
    <col min="15608" max="15608" width="2.453125" style="1215" customWidth="1"/>
    <col min="15609" max="15609" width="49" style="1215" customWidth="1"/>
    <col min="15610" max="15610" width="16.81640625" style="1215" customWidth="1"/>
    <col min="15611" max="15611" width="1.1796875" style="1215" customWidth="1"/>
    <col min="15612" max="15612" width="20.54296875" style="1215" customWidth="1"/>
    <col min="15613" max="15613" width="17.54296875" style="1215" customWidth="1"/>
    <col min="15614" max="15614" width="18.1796875" style="1215" customWidth="1"/>
    <col min="15615" max="15615" width="17.1796875" style="1215" customWidth="1"/>
    <col min="15616" max="15616" width="22.453125" style="1215" bestFit="1" customWidth="1"/>
    <col min="15617" max="15617" width="22.1796875" style="1215" customWidth="1"/>
    <col min="15618" max="15618" width="17.81640625" style="1215" customWidth="1"/>
    <col min="15619" max="15619" width="22.453125" style="1215" customWidth="1"/>
    <col min="15620" max="15620" width="10.1796875" style="1215" bestFit="1" customWidth="1"/>
    <col min="15621" max="15621" width="13.453125" style="1215" customWidth="1"/>
    <col min="15622" max="15622" width="7.453125" style="1215" bestFit="1" customWidth="1"/>
    <col min="15623" max="15623" width="15.453125" style="1215" bestFit="1" customWidth="1"/>
    <col min="15624" max="15624" width="7.453125" style="1215" bestFit="1" customWidth="1"/>
    <col min="15625" max="15625" width="19.54296875" style="1215" bestFit="1" customWidth="1"/>
    <col min="15626" max="15626" width="7.453125" style="1215" bestFit="1" customWidth="1"/>
    <col min="15627" max="15627" width="26.81640625" style="1215" bestFit="1" customWidth="1"/>
    <col min="15628" max="15628" width="19.81640625" style="1215" bestFit="1" customWidth="1"/>
    <col min="15629" max="15863" width="11.453125" style="1215"/>
    <col min="15864" max="15864" width="2.453125" style="1215" customWidth="1"/>
    <col min="15865" max="15865" width="49" style="1215" customWidth="1"/>
    <col min="15866" max="15866" width="16.81640625" style="1215" customWidth="1"/>
    <col min="15867" max="15867" width="1.1796875" style="1215" customWidth="1"/>
    <col min="15868" max="15868" width="20.54296875" style="1215" customWidth="1"/>
    <col min="15869" max="15869" width="17.54296875" style="1215" customWidth="1"/>
    <col min="15870" max="15870" width="18.1796875" style="1215" customWidth="1"/>
    <col min="15871" max="15871" width="17.1796875" style="1215" customWidth="1"/>
    <col min="15872" max="15872" width="22.453125" style="1215" bestFit="1" customWidth="1"/>
    <col min="15873" max="15873" width="22.1796875" style="1215" customWidth="1"/>
    <col min="15874" max="15874" width="17.81640625" style="1215" customWidth="1"/>
    <col min="15875" max="15875" width="22.453125" style="1215" customWidth="1"/>
    <col min="15876" max="15876" width="10.1796875" style="1215" bestFit="1" customWidth="1"/>
    <col min="15877" max="15877" width="13.453125" style="1215" customWidth="1"/>
    <col min="15878" max="15878" width="7.453125" style="1215" bestFit="1" customWidth="1"/>
    <col min="15879" max="15879" width="15.453125" style="1215" bestFit="1" customWidth="1"/>
    <col min="15880" max="15880" width="7.453125" style="1215" bestFit="1" customWidth="1"/>
    <col min="15881" max="15881" width="19.54296875" style="1215" bestFit="1" customWidth="1"/>
    <col min="15882" max="15882" width="7.453125" style="1215" bestFit="1" customWidth="1"/>
    <col min="15883" max="15883" width="26.81640625" style="1215" bestFit="1" customWidth="1"/>
    <col min="15884" max="15884" width="19.81640625" style="1215" bestFit="1" customWidth="1"/>
    <col min="15885" max="16119" width="11.453125" style="1215"/>
    <col min="16120" max="16120" width="2.453125" style="1215" customWidth="1"/>
    <col min="16121" max="16121" width="49" style="1215" customWidth="1"/>
    <col min="16122" max="16122" width="16.81640625" style="1215" customWidth="1"/>
    <col min="16123" max="16123" width="1.1796875" style="1215" customWidth="1"/>
    <col min="16124" max="16124" width="20.54296875" style="1215" customWidth="1"/>
    <col min="16125" max="16125" width="17.54296875" style="1215" customWidth="1"/>
    <col min="16126" max="16126" width="18.1796875" style="1215" customWidth="1"/>
    <col min="16127" max="16127" width="17.1796875" style="1215" customWidth="1"/>
    <col min="16128" max="16128" width="22.453125" style="1215" bestFit="1" customWidth="1"/>
    <col min="16129" max="16129" width="22.1796875" style="1215" customWidth="1"/>
    <col min="16130" max="16130" width="17.81640625" style="1215" customWidth="1"/>
    <col min="16131" max="16131" width="22.453125" style="1215" customWidth="1"/>
    <col min="16132" max="16132" width="10.1796875" style="1215" bestFit="1" customWidth="1"/>
    <col min="16133" max="16133" width="13.453125" style="1215" customWidth="1"/>
    <col min="16134" max="16134" width="7.453125" style="1215" bestFit="1" customWidth="1"/>
    <col min="16135" max="16135" width="15.453125" style="1215" bestFit="1" customWidth="1"/>
    <col min="16136" max="16136" width="7.453125" style="1215" bestFit="1" customWidth="1"/>
    <col min="16137" max="16137" width="19.54296875" style="1215" bestFit="1" customWidth="1"/>
    <col min="16138" max="16138" width="7.453125" style="1215" bestFit="1" customWidth="1"/>
    <col min="16139" max="16139" width="26.81640625" style="1215" bestFit="1" customWidth="1"/>
    <col min="16140" max="16140" width="19.81640625" style="1215" bestFit="1" customWidth="1"/>
    <col min="16141" max="16384" width="11.453125" style="1215"/>
  </cols>
  <sheetData>
    <row r="3" spans="3:14" s="80" customFormat="1" ht="13.5" customHeight="1">
      <c r="C3" s="78"/>
      <c r="D3" s="78"/>
      <c r="E3" s="78"/>
      <c r="N3" s="1497" t="s">
        <v>1073</v>
      </c>
    </row>
    <row r="4" spans="3:14" s="80" customFormat="1" ht="14.5">
      <c r="D4" s="12"/>
      <c r="N4" s="1497" t="s">
        <v>1072</v>
      </c>
    </row>
    <row r="5" spans="3:14" s="80" customFormat="1" ht="14.5">
      <c r="D5" s="12"/>
    </row>
    <row r="6" spans="3:14" s="80" customFormat="1" ht="14.5">
      <c r="D6" s="12"/>
    </row>
    <row r="7" spans="3:14" s="80" customFormat="1" ht="13.5" customHeight="1"/>
    <row r="8" spans="3:14" ht="15.5">
      <c r="C8" s="1954" t="s">
        <v>2009</v>
      </c>
      <c r="D8" s="1955"/>
      <c r="E8" s="1955"/>
      <c r="F8" s="1955"/>
      <c r="G8" s="1955"/>
      <c r="H8" s="1498"/>
    </row>
    <row r="9" spans="3:14" ht="9.75" customHeight="1">
      <c r="E9" s="80"/>
      <c r="L9" s="1499"/>
    </row>
    <row r="10" spans="3:14" s="1216" customFormat="1" ht="13">
      <c r="C10" s="2060" t="s">
        <v>266</v>
      </c>
      <c r="D10" s="2061"/>
      <c r="E10" s="80"/>
      <c r="F10" s="1500" t="str">
        <f>IFERROR(VLOOKUP("Yes",$F$12:$F$20,1,FALSE),"No")</f>
        <v>No</v>
      </c>
    </row>
    <row r="11" spans="3:14" s="1216" customFormat="1" ht="13">
      <c r="E11" s="80"/>
      <c r="F11" s="1217"/>
    </row>
    <row r="12" spans="3:14" ht="244" customHeight="1">
      <c r="C12" s="2062" t="s">
        <v>1163</v>
      </c>
      <c r="D12" s="2063"/>
      <c r="E12" s="80"/>
      <c r="F12" s="1501" t="s">
        <v>1072</v>
      </c>
      <c r="H12" s="1218"/>
    </row>
    <row r="13" spans="3:14" ht="7.5" customHeight="1"/>
    <row r="14" spans="3:14" ht="157" customHeight="1">
      <c r="C14" s="2062" t="s">
        <v>1164</v>
      </c>
      <c r="D14" s="2063"/>
      <c r="E14" s="80"/>
      <c r="F14" s="1501" t="s">
        <v>1072</v>
      </c>
      <c r="H14" s="1218"/>
    </row>
    <row r="15" spans="3:14" ht="7.5" customHeight="1"/>
    <row r="16" spans="3:14" ht="62.15" customHeight="1">
      <c r="C16" s="2062" t="s">
        <v>1165</v>
      </c>
      <c r="D16" s="2063"/>
      <c r="E16" s="80"/>
      <c r="F16" s="1501" t="s">
        <v>1072</v>
      </c>
      <c r="H16" s="1218"/>
    </row>
    <row r="17" spans="3:13" ht="7.5" customHeight="1"/>
    <row r="18" spans="3:13" ht="197.5" customHeight="1">
      <c r="C18" s="2062" t="s">
        <v>1166</v>
      </c>
      <c r="D18" s="2063"/>
      <c r="E18" s="80"/>
      <c r="F18" s="1501" t="s">
        <v>1072</v>
      </c>
      <c r="H18" s="1218"/>
    </row>
    <row r="19" spans="3:13" ht="7.5" customHeight="1"/>
    <row r="20" spans="3:13" ht="67" customHeight="1">
      <c r="C20" s="2062" t="s">
        <v>1167</v>
      </c>
      <c r="D20" s="2063"/>
      <c r="E20" s="80"/>
      <c r="F20" s="1501" t="s">
        <v>1072</v>
      </c>
      <c r="H20" s="1218"/>
    </row>
    <row r="21" spans="3:13" ht="7.5" customHeight="1"/>
    <row r="22" spans="3:13" s="1216" customFormat="1" ht="13">
      <c r="C22" s="2060" t="s">
        <v>263</v>
      </c>
      <c r="D22" s="2061"/>
      <c r="E22" s="80"/>
      <c r="F22" s="1500" t="str">
        <f>IFERROR(VLOOKUP("Yes",$F$24:$F$26,1,FALSE),"No")</f>
        <v>No</v>
      </c>
    </row>
    <row r="23" spans="3:13" ht="7.5" customHeight="1"/>
    <row r="24" spans="3:13" ht="77.150000000000006" customHeight="1">
      <c r="C24" s="2062" t="s">
        <v>1168</v>
      </c>
      <c r="D24" s="2063"/>
      <c r="E24" s="80"/>
      <c r="F24" s="1501" t="s">
        <v>1072</v>
      </c>
      <c r="H24" s="1218"/>
    </row>
    <row r="25" spans="3:13" ht="7.5" customHeight="1"/>
    <row r="26" spans="3:13" ht="45" customHeight="1">
      <c r="C26" s="2062" t="s">
        <v>1169</v>
      </c>
      <c r="D26" s="2063"/>
      <c r="E26" s="80"/>
      <c r="F26" s="1501" t="s">
        <v>1072</v>
      </c>
      <c r="H26" s="1218"/>
    </row>
    <row r="27" spans="3:13" ht="7.5" customHeight="1"/>
    <row r="28" spans="3:13" ht="13">
      <c r="C28" s="2060" t="s">
        <v>1170</v>
      </c>
      <c r="D28" s="2061"/>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62" t="s">
        <v>1171</v>
      </c>
      <c r="D30" s="2063"/>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62" t="s">
        <v>1172</v>
      </c>
      <c r="D32" s="2063"/>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62" t="s">
        <v>1173</v>
      </c>
      <c r="D34" s="2063"/>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ht="13">
      <c r="C37" s="2060" t="s">
        <v>268</v>
      </c>
      <c r="D37" s="2061"/>
      <c r="E37" s="80"/>
      <c r="F37" s="1500" t="str">
        <f>IFERROR(VLOOKUP("Yes",$F$39:$F$45,1,FALSE),"No")</f>
        <v>No</v>
      </c>
    </row>
    <row r="38" spans="3:13" ht="7.5" customHeight="1"/>
    <row r="39" spans="3:13" ht="38.15" customHeight="1">
      <c r="C39" s="2062" t="s">
        <v>1174</v>
      </c>
      <c r="D39" s="2063"/>
      <c r="E39" s="80"/>
      <c r="F39" s="1501" t="s">
        <v>1072</v>
      </c>
      <c r="H39" s="1218"/>
    </row>
    <row r="40" spans="3:13" ht="5.25" customHeight="1">
      <c r="G40" s="1502"/>
      <c r="I40" s="1502"/>
      <c r="J40" s="1503"/>
      <c r="K40" s="1503"/>
      <c r="L40" s="1504"/>
      <c r="M40" s="1505"/>
    </row>
    <row r="41" spans="3:13" ht="56.5" customHeight="1">
      <c r="C41" s="2062" t="s">
        <v>1175</v>
      </c>
      <c r="D41" s="2063"/>
      <c r="E41" s="80"/>
      <c r="F41" s="1501" t="s">
        <v>1072</v>
      </c>
      <c r="H41" s="1218"/>
    </row>
    <row r="42" spans="3:13" ht="5.25" customHeight="1">
      <c r="G42" s="1502"/>
      <c r="I42" s="1502"/>
      <c r="J42" s="1503"/>
      <c r="K42" s="1503"/>
      <c r="L42" s="1504"/>
      <c r="M42" s="1505"/>
    </row>
    <row r="43" spans="3:13" ht="29.15" customHeight="1">
      <c r="C43" s="2062" t="s">
        <v>1176</v>
      </c>
      <c r="D43" s="2063"/>
      <c r="E43" s="80"/>
      <c r="F43" s="1501" t="s">
        <v>1072</v>
      </c>
      <c r="H43" s="1218"/>
    </row>
    <row r="44" spans="3:13" ht="5.25" customHeight="1">
      <c r="G44" s="1502"/>
      <c r="I44" s="1502"/>
      <c r="J44" s="1503"/>
      <c r="K44" s="1503"/>
      <c r="L44" s="1504"/>
      <c r="M44" s="1505"/>
    </row>
    <row r="45" spans="3:13" ht="27.75" customHeight="1">
      <c r="C45" s="2062" t="s">
        <v>1177</v>
      </c>
      <c r="D45" s="2063"/>
      <c r="E45" s="80"/>
      <c r="F45" s="1501" t="s">
        <v>1072</v>
      </c>
      <c r="H45" s="1218"/>
    </row>
    <row r="46" spans="3:13" ht="5.25" customHeight="1">
      <c r="G46" s="1502"/>
      <c r="I46" s="1502"/>
      <c r="J46" s="1503"/>
      <c r="K46" s="1503"/>
      <c r="L46" s="1504"/>
      <c r="M46" s="1505"/>
    </row>
    <row r="47" spans="3:13" s="1216" customFormat="1" ht="13" collapsed="1">
      <c r="C47" s="2060" t="s">
        <v>267</v>
      </c>
      <c r="D47" s="2061"/>
      <c r="E47" s="80"/>
      <c r="F47" s="1500" t="str">
        <f>F49</f>
        <v>No</v>
      </c>
    </row>
    <row r="48" spans="3:13" ht="7.5" customHeight="1"/>
    <row r="49" spans="3:13" ht="27.75" customHeight="1">
      <c r="C49" s="2062" t="s">
        <v>1178</v>
      </c>
      <c r="D49" s="2063"/>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ht="13">
      <c r="C52" s="2060" t="s">
        <v>1179</v>
      </c>
      <c r="D52" s="2061"/>
      <c r="E52" s="80"/>
      <c r="F52" s="1500" t="str">
        <f>IFERROR(VLOOKUP("Yes",$F$53:$F$56,1,FALSE),"No")</f>
        <v>No</v>
      </c>
    </row>
    <row r="53" spans="3:13" ht="7.5" customHeight="1"/>
    <row r="54" spans="3:13" ht="63" customHeight="1">
      <c r="C54" s="2062" t="s">
        <v>1180</v>
      </c>
      <c r="D54" s="2063"/>
      <c r="E54" s="80"/>
      <c r="F54" s="1501" t="s">
        <v>1072</v>
      </c>
      <c r="H54" s="1218"/>
    </row>
    <row r="55" spans="3:13" ht="5.25" customHeight="1">
      <c r="G55" s="1502"/>
      <c r="I55" s="1502"/>
      <c r="J55" s="1503"/>
      <c r="K55" s="1503"/>
      <c r="L55" s="1504"/>
      <c r="M55" s="1505"/>
    </row>
    <row r="56" spans="3:13" ht="27.65" customHeight="1">
      <c r="C56" s="2062" t="s">
        <v>1181</v>
      </c>
      <c r="D56" s="2063"/>
      <c r="E56" s="80"/>
      <c r="F56" s="1501" t="s">
        <v>1072</v>
      </c>
      <c r="H56" s="1218"/>
    </row>
    <row r="57" spans="3:13" ht="7.5" customHeight="1"/>
    <row r="58" spans="3:13" s="1216" customFormat="1" ht="13">
      <c r="C58" s="2060" t="s">
        <v>1182</v>
      </c>
      <c r="D58" s="2061"/>
      <c r="E58" s="80"/>
      <c r="F58" s="1500" t="str">
        <f>F60</f>
        <v>No</v>
      </c>
    </row>
    <row r="59" spans="3:13" ht="5.25" customHeight="1">
      <c r="G59" s="1502"/>
      <c r="I59" s="1502"/>
      <c r="J59" s="1503"/>
      <c r="K59" s="1503"/>
      <c r="L59" s="1504"/>
      <c r="M59" s="1505"/>
    </row>
    <row r="60" spans="3:13" ht="29.5" customHeight="1">
      <c r="C60" s="2062" t="s">
        <v>1183</v>
      </c>
      <c r="D60" s="2063"/>
      <c r="E60" s="80"/>
      <c r="F60" s="1501" t="s">
        <v>1072</v>
      </c>
    </row>
    <row r="61" spans="3:13" ht="7.5" customHeight="1"/>
    <row r="62" spans="3:13" s="1216" customFormat="1" ht="13">
      <c r="C62" s="2060" t="s">
        <v>1184</v>
      </c>
      <c r="D62" s="2060"/>
      <c r="E62" s="80"/>
      <c r="F62" s="1500" t="str">
        <f>F64</f>
        <v>No</v>
      </c>
    </row>
    <row r="63" spans="3:13" ht="5.25" customHeight="1">
      <c r="G63" s="1502"/>
      <c r="I63" s="1502"/>
      <c r="J63" s="1503"/>
      <c r="K63" s="1503"/>
      <c r="L63" s="1504"/>
      <c r="M63" s="1505"/>
    </row>
    <row r="64" spans="3:13" ht="55" customHeight="1">
      <c r="C64" s="2062" t="s">
        <v>1185</v>
      </c>
      <c r="D64" s="2063"/>
      <c r="E64" s="80"/>
      <c r="F64" s="1501" t="s">
        <v>1072</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topLeftCell="P1" zoomScale="85" zoomScaleNormal="85" zoomScaleSheetLayoutView="80" workbookViewId="0">
      <selection activeCell="X21" sqref="X21"/>
    </sheetView>
  </sheetViews>
  <sheetFormatPr defaultColWidth="11.54296875" defaultRowHeight="12.5"/>
  <cols>
    <col min="1" max="1" width="12.54296875" style="1685" bestFit="1" customWidth="1"/>
    <col min="2" max="2" width="31.1796875" style="1685" customWidth="1"/>
    <col min="3" max="4" width="6.54296875" style="1685" customWidth="1"/>
    <col min="5" max="5" width="16.54296875" style="1685" bestFit="1" customWidth="1"/>
    <col min="6" max="6" width="18" style="1685" bestFit="1" customWidth="1"/>
    <col min="7" max="7" width="65.54296875" style="1685" customWidth="1"/>
    <col min="8" max="8" width="41.453125" style="1685" bestFit="1" customWidth="1"/>
    <col min="9" max="9" width="15.453125" style="1685" customWidth="1"/>
    <col min="10" max="10" width="11.453125" style="1685" bestFit="1" customWidth="1"/>
    <col min="11" max="11" width="14.453125" style="1685" customWidth="1"/>
    <col min="12" max="12" width="35.453125" style="1685" customWidth="1"/>
    <col min="13" max="14" width="27.453125" style="1685" customWidth="1"/>
    <col min="15" max="15" width="34.453125" style="1685" bestFit="1" customWidth="1"/>
    <col min="16" max="16" width="36.54296875" style="1685" customWidth="1"/>
    <col min="17" max="17" width="20.54296875" style="1685" customWidth="1"/>
    <col min="18" max="18" width="30.54296875" style="1685" customWidth="1"/>
    <col min="19" max="20" width="19.54296875" style="1685" customWidth="1"/>
    <col min="21" max="22" width="36.54296875" style="1685" bestFit="1" customWidth="1"/>
    <col min="23" max="23" width="28" style="1685" bestFit="1" customWidth="1"/>
    <col min="24" max="24" width="34.453125" style="1685" bestFit="1" customWidth="1"/>
    <col min="25" max="28" width="11.54296875" style="1685"/>
    <col min="29" max="33" width="36.81640625" style="1685" bestFit="1" customWidth="1"/>
    <col min="34" max="257" width="11.54296875" style="1685"/>
    <col min="258" max="258" width="18.453125" style="1685" customWidth="1"/>
    <col min="259" max="259" width="47.453125" style="1685" customWidth="1"/>
    <col min="260" max="260" width="15.54296875" style="1685" customWidth="1"/>
    <col min="261" max="261" width="17" style="1685" customWidth="1"/>
    <col min="262" max="262" width="22.453125" style="1685" customWidth="1"/>
    <col min="263" max="264" width="15.54296875" style="1685" customWidth="1"/>
    <col min="265" max="265" width="25.54296875" style="1685" customWidth="1"/>
    <col min="266" max="513" width="11.54296875" style="1685"/>
    <col min="514" max="514" width="18.453125" style="1685" customWidth="1"/>
    <col min="515" max="515" width="47.453125" style="1685" customWidth="1"/>
    <col min="516" max="516" width="15.54296875" style="1685" customWidth="1"/>
    <col min="517" max="517" width="17" style="1685" customWidth="1"/>
    <col min="518" max="518" width="22.453125" style="1685" customWidth="1"/>
    <col min="519" max="520" width="15.54296875" style="1685" customWidth="1"/>
    <col min="521" max="521" width="25.54296875" style="1685" customWidth="1"/>
    <col min="522" max="769" width="11.54296875" style="1685"/>
    <col min="770" max="770" width="18.453125" style="1685" customWidth="1"/>
    <col min="771" max="771" width="47.453125" style="1685" customWidth="1"/>
    <col min="772" max="772" width="15.54296875" style="1685" customWidth="1"/>
    <col min="773" max="773" width="17" style="1685" customWidth="1"/>
    <col min="774" max="774" width="22.453125" style="1685" customWidth="1"/>
    <col min="775" max="776" width="15.54296875" style="1685" customWidth="1"/>
    <col min="777" max="777" width="25.54296875" style="1685" customWidth="1"/>
    <col min="778" max="1025" width="11.54296875" style="1685"/>
    <col min="1026" max="1026" width="18.453125" style="1685" customWidth="1"/>
    <col min="1027" max="1027" width="47.453125" style="1685" customWidth="1"/>
    <col min="1028" max="1028" width="15.54296875" style="1685" customWidth="1"/>
    <col min="1029" max="1029" width="17" style="1685" customWidth="1"/>
    <col min="1030" max="1030" width="22.453125" style="1685" customWidth="1"/>
    <col min="1031" max="1032" width="15.54296875" style="1685" customWidth="1"/>
    <col min="1033" max="1033" width="25.54296875" style="1685" customWidth="1"/>
    <col min="1034" max="1281" width="11.54296875" style="1685"/>
    <col min="1282" max="1282" width="18.453125" style="1685" customWidth="1"/>
    <col min="1283" max="1283" width="47.453125" style="1685" customWidth="1"/>
    <col min="1284" max="1284" width="15.54296875" style="1685" customWidth="1"/>
    <col min="1285" max="1285" width="17" style="1685" customWidth="1"/>
    <col min="1286" max="1286" width="22.453125" style="1685" customWidth="1"/>
    <col min="1287" max="1288" width="15.54296875" style="1685" customWidth="1"/>
    <col min="1289" max="1289" width="25.54296875" style="1685" customWidth="1"/>
    <col min="1290" max="1537" width="11.54296875" style="1685"/>
    <col min="1538" max="1538" width="18.453125" style="1685" customWidth="1"/>
    <col min="1539" max="1539" width="47.453125" style="1685" customWidth="1"/>
    <col min="1540" max="1540" width="15.54296875" style="1685" customWidth="1"/>
    <col min="1541" max="1541" width="17" style="1685" customWidth="1"/>
    <col min="1542" max="1542" width="22.453125" style="1685" customWidth="1"/>
    <col min="1543" max="1544" width="15.54296875" style="1685" customWidth="1"/>
    <col min="1545" max="1545" width="25.54296875" style="1685" customWidth="1"/>
    <col min="1546" max="1793" width="11.54296875" style="1685"/>
    <col min="1794" max="1794" width="18.453125" style="1685" customWidth="1"/>
    <col min="1795" max="1795" width="47.453125" style="1685" customWidth="1"/>
    <col min="1796" max="1796" width="15.54296875" style="1685" customWidth="1"/>
    <col min="1797" max="1797" width="17" style="1685" customWidth="1"/>
    <col min="1798" max="1798" width="22.453125" style="1685" customWidth="1"/>
    <col min="1799" max="1800" width="15.54296875" style="1685" customWidth="1"/>
    <col min="1801" max="1801" width="25.54296875" style="1685" customWidth="1"/>
    <col min="1802" max="2049" width="11.54296875" style="1685"/>
    <col min="2050" max="2050" width="18.453125" style="1685" customWidth="1"/>
    <col min="2051" max="2051" width="47.453125" style="1685" customWidth="1"/>
    <col min="2052" max="2052" width="15.54296875" style="1685" customWidth="1"/>
    <col min="2053" max="2053" width="17" style="1685" customWidth="1"/>
    <col min="2054" max="2054" width="22.453125" style="1685" customWidth="1"/>
    <col min="2055" max="2056" width="15.54296875" style="1685" customWidth="1"/>
    <col min="2057" max="2057" width="25.54296875" style="1685" customWidth="1"/>
    <col min="2058" max="2305" width="11.54296875" style="1685"/>
    <col min="2306" max="2306" width="18.453125" style="1685" customWidth="1"/>
    <col min="2307" max="2307" width="47.453125" style="1685" customWidth="1"/>
    <col min="2308" max="2308" width="15.54296875" style="1685" customWidth="1"/>
    <col min="2309" max="2309" width="17" style="1685" customWidth="1"/>
    <col min="2310" max="2310" width="22.453125" style="1685" customWidth="1"/>
    <col min="2311" max="2312" width="15.54296875" style="1685" customWidth="1"/>
    <col min="2313" max="2313" width="25.54296875" style="1685" customWidth="1"/>
    <col min="2314" max="2561" width="11.54296875" style="1685"/>
    <col min="2562" max="2562" width="18.453125" style="1685" customWidth="1"/>
    <col min="2563" max="2563" width="47.453125" style="1685" customWidth="1"/>
    <col min="2564" max="2564" width="15.54296875" style="1685" customWidth="1"/>
    <col min="2565" max="2565" width="17" style="1685" customWidth="1"/>
    <col min="2566" max="2566" width="22.453125" style="1685" customWidth="1"/>
    <col min="2567" max="2568" width="15.54296875" style="1685" customWidth="1"/>
    <col min="2569" max="2569" width="25.54296875" style="1685" customWidth="1"/>
    <col min="2570" max="2817" width="11.54296875" style="1685"/>
    <col min="2818" max="2818" width="18.453125" style="1685" customWidth="1"/>
    <col min="2819" max="2819" width="47.453125" style="1685" customWidth="1"/>
    <col min="2820" max="2820" width="15.54296875" style="1685" customWidth="1"/>
    <col min="2821" max="2821" width="17" style="1685" customWidth="1"/>
    <col min="2822" max="2822" width="22.453125" style="1685" customWidth="1"/>
    <col min="2823" max="2824" width="15.54296875" style="1685" customWidth="1"/>
    <col min="2825" max="2825" width="25.54296875" style="1685" customWidth="1"/>
    <col min="2826" max="3073" width="11.54296875" style="1685"/>
    <col min="3074" max="3074" width="18.453125" style="1685" customWidth="1"/>
    <col min="3075" max="3075" width="47.453125" style="1685" customWidth="1"/>
    <col min="3076" max="3076" width="15.54296875" style="1685" customWidth="1"/>
    <col min="3077" max="3077" width="17" style="1685" customWidth="1"/>
    <col min="3078" max="3078" width="22.453125" style="1685" customWidth="1"/>
    <col min="3079" max="3080" width="15.54296875" style="1685" customWidth="1"/>
    <col min="3081" max="3081" width="25.54296875" style="1685" customWidth="1"/>
    <col min="3082" max="3329" width="11.54296875" style="1685"/>
    <col min="3330" max="3330" width="18.453125" style="1685" customWidth="1"/>
    <col min="3331" max="3331" width="47.453125" style="1685" customWidth="1"/>
    <col min="3332" max="3332" width="15.54296875" style="1685" customWidth="1"/>
    <col min="3333" max="3333" width="17" style="1685" customWidth="1"/>
    <col min="3334" max="3334" width="22.453125" style="1685" customWidth="1"/>
    <col min="3335" max="3336" width="15.54296875" style="1685" customWidth="1"/>
    <col min="3337" max="3337" width="25.54296875" style="1685" customWidth="1"/>
    <col min="3338" max="3585" width="11.54296875" style="1685"/>
    <col min="3586" max="3586" width="18.453125" style="1685" customWidth="1"/>
    <col min="3587" max="3587" width="47.453125" style="1685" customWidth="1"/>
    <col min="3588" max="3588" width="15.54296875" style="1685" customWidth="1"/>
    <col min="3589" max="3589" width="17" style="1685" customWidth="1"/>
    <col min="3590" max="3590" width="22.453125" style="1685" customWidth="1"/>
    <col min="3591" max="3592" width="15.54296875" style="1685" customWidth="1"/>
    <col min="3593" max="3593" width="25.54296875" style="1685" customWidth="1"/>
    <col min="3594" max="3841" width="11.54296875" style="1685"/>
    <col min="3842" max="3842" width="18.453125" style="1685" customWidth="1"/>
    <col min="3843" max="3843" width="47.453125" style="1685" customWidth="1"/>
    <col min="3844" max="3844" width="15.54296875" style="1685" customWidth="1"/>
    <col min="3845" max="3845" width="17" style="1685" customWidth="1"/>
    <col min="3846" max="3846" width="22.453125" style="1685" customWidth="1"/>
    <col min="3847" max="3848" width="15.54296875" style="1685" customWidth="1"/>
    <col min="3849" max="3849" width="25.54296875" style="1685" customWidth="1"/>
    <col min="3850" max="4097" width="11.54296875" style="1685"/>
    <col min="4098" max="4098" width="18.453125" style="1685" customWidth="1"/>
    <col min="4099" max="4099" width="47.453125" style="1685" customWidth="1"/>
    <col min="4100" max="4100" width="15.54296875" style="1685" customWidth="1"/>
    <col min="4101" max="4101" width="17" style="1685" customWidth="1"/>
    <col min="4102" max="4102" width="22.453125" style="1685" customWidth="1"/>
    <col min="4103" max="4104" width="15.54296875" style="1685" customWidth="1"/>
    <col min="4105" max="4105" width="25.54296875" style="1685" customWidth="1"/>
    <col min="4106" max="4353" width="11.54296875" style="1685"/>
    <col min="4354" max="4354" width="18.453125" style="1685" customWidth="1"/>
    <col min="4355" max="4355" width="47.453125" style="1685" customWidth="1"/>
    <col min="4356" max="4356" width="15.54296875" style="1685" customWidth="1"/>
    <col min="4357" max="4357" width="17" style="1685" customWidth="1"/>
    <col min="4358" max="4358" width="22.453125" style="1685" customWidth="1"/>
    <col min="4359" max="4360" width="15.54296875" style="1685" customWidth="1"/>
    <col min="4361" max="4361" width="25.54296875" style="1685" customWidth="1"/>
    <col min="4362" max="4609" width="11.54296875" style="1685"/>
    <col min="4610" max="4610" width="18.453125" style="1685" customWidth="1"/>
    <col min="4611" max="4611" width="47.453125" style="1685" customWidth="1"/>
    <col min="4612" max="4612" width="15.54296875" style="1685" customWidth="1"/>
    <col min="4613" max="4613" width="17" style="1685" customWidth="1"/>
    <col min="4614" max="4614" width="22.453125" style="1685" customWidth="1"/>
    <col min="4615" max="4616" width="15.54296875" style="1685" customWidth="1"/>
    <col min="4617" max="4617" width="25.54296875" style="1685" customWidth="1"/>
    <col min="4618" max="4865" width="11.54296875" style="1685"/>
    <col min="4866" max="4866" width="18.453125" style="1685" customWidth="1"/>
    <col min="4867" max="4867" width="47.453125" style="1685" customWidth="1"/>
    <col min="4868" max="4868" width="15.54296875" style="1685" customWidth="1"/>
    <col min="4869" max="4869" width="17" style="1685" customWidth="1"/>
    <col min="4870" max="4870" width="22.453125" style="1685" customWidth="1"/>
    <col min="4871" max="4872" width="15.54296875" style="1685" customWidth="1"/>
    <col min="4873" max="4873" width="25.54296875" style="1685" customWidth="1"/>
    <col min="4874" max="5121" width="11.54296875" style="1685"/>
    <col min="5122" max="5122" width="18.453125" style="1685" customWidth="1"/>
    <col min="5123" max="5123" width="47.453125" style="1685" customWidth="1"/>
    <col min="5124" max="5124" width="15.54296875" style="1685" customWidth="1"/>
    <col min="5125" max="5125" width="17" style="1685" customWidth="1"/>
    <col min="5126" max="5126" width="22.453125" style="1685" customWidth="1"/>
    <col min="5127" max="5128" width="15.54296875" style="1685" customWidth="1"/>
    <col min="5129" max="5129" width="25.54296875" style="1685" customWidth="1"/>
    <col min="5130" max="5377" width="11.54296875" style="1685"/>
    <col min="5378" max="5378" width="18.453125" style="1685" customWidth="1"/>
    <col min="5379" max="5379" width="47.453125" style="1685" customWidth="1"/>
    <col min="5380" max="5380" width="15.54296875" style="1685" customWidth="1"/>
    <col min="5381" max="5381" width="17" style="1685" customWidth="1"/>
    <col min="5382" max="5382" width="22.453125" style="1685" customWidth="1"/>
    <col min="5383" max="5384" width="15.54296875" style="1685" customWidth="1"/>
    <col min="5385" max="5385" width="25.54296875" style="1685" customWidth="1"/>
    <col min="5386" max="5633" width="11.54296875" style="1685"/>
    <col min="5634" max="5634" width="18.453125" style="1685" customWidth="1"/>
    <col min="5635" max="5635" width="47.453125" style="1685" customWidth="1"/>
    <col min="5636" max="5636" width="15.54296875" style="1685" customWidth="1"/>
    <col min="5637" max="5637" width="17" style="1685" customWidth="1"/>
    <col min="5638" max="5638" width="22.453125" style="1685" customWidth="1"/>
    <col min="5639" max="5640" width="15.54296875" style="1685" customWidth="1"/>
    <col min="5641" max="5641" width="25.54296875" style="1685" customWidth="1"/>
    <col min="5642" max="5889" width="11.54296875" style="1685"/>
    <col min="5890" max="5890" width="18.453125" style="1685" customWidth="1"/>
    <col min="5891" max="5891" width="47.453125" style="1685" customWidth="1"/>
    <col min="5892" max="5892" width="15.54296875" style="1685" customWidth="1"/>
    <col min="5893" max="5893" width="17" style="1685" customWidth="1"/>
    <col min="5894" max="5894" width="22.453125" style="1685" customWidth="1"/>
    <col min="5895" max="5896" width="15.54296875" style="1685" customWidth="1"/>
    <col min="5897" max="5897" width="25.54296875" style="1685" customWidth="1"/>
    <col min="5898" max="6145" width="11.54296875" style="1685"/>
    <col min="6146" max="6146" width="18.453125" style="1685" customWidth="1"/>
    <col min="6147" max="6147" width="47.453125" style="1685" customWidth="1"/>
    <col min="6148" max="6148" width="15.54296875" style="1685" customWidth="1"/>
    <col min="6149" max="6149" width="17" style="1685" customWidth="1"/>
    <col min="6150" max="6150" width="22.453125" style="1685" customWidth="1"/>
    <col min="6151" max="6152" width="15.54296875" style="1685" customWidth="1"/>
    <col min="6153" max="6153" width="25.54296875" style="1685" customWidth="1"/>
    <col min="6154" max="6401" width="11.54296875" style="1685"/>
    <col min="6402" max="6402" width="18.453125" style="1685" customWidth="1"/>
    <col min="6403" max="6403" width="47.453125" style="1685" customWidth="1"/>
    <col min="6404" max="6404" width="15.54296875" style="1685" customWidth="1"/>
    <col min="6405" max="6405" width="17" style="1685" customWidth="1"/>
    <col min="6406" max="6406" width="22.453125" style="1685" customWidth="1"/>
    <col min="6407" max="6408" width="15.54296875" style="1685" customWidth="1"/>
    <col min="6409" max="6409" width="25.54296875" style="1685" customWidth="1"/>
    <col min="6410" max="6657" width="11.54296875" style="1685"/>
    <col min="6658" max="6658" width="18.453125" style="1685" customWidth="1"/>
    <col min="6659" max="6659" width="47.453125" style="1685" customWidth="1"/>
    <col min="6660" max="6660" width="15.54296875" style="1685" customWidth="1"/>
    <col min="6661" max="6661" width="17" style="1685" customWidth="1"/>
    <col min="6662" max="6662" width="22.453125" style="1685" customWidth="1"/>
    <col min="6663" max="6664" width="15.54296875" style="1685" customWidth="1"/>
    <col min="6665" max="6665" width="25.54296875" style="1685" customWidth="1"/>
    <col min="6666" max="6913" width="11.54296875" style="1685"/>
    <col min="6914" max="6914" width="18.453125" style="1685" customWidth="1"/>
    <col min="6915" max="6915" width="47.453125" style="1685" customWidth="1"/>
    <col min="6916" max="6916" width="15.54296875" style="1685" customWidth="1"/>
    <col min="6917" max="6917" width="17" style="1685" customWidth="1"/>
    <col min="6918" max="6918" width="22.453125" style="1685" customWidth="1"/>
    <col min="6919" max="6920" width="15.54296875" style="1685" customWidth="1"/>
    <col min="6921" max="6921" width="25.54296875" style="1685" customWidth="1"/>
    <col min="6922" max="7169" width="11.54296875" style="1685"/>
    <col min="7170" max="7170" width="18.453125" style="1685" customWidth="1"/>
    <col min="7171" max="7171" width="47.453125" style="1685" customWidth="1"/>
    <col min="7172" max="7172" width="15.54296875" style="1685" customWidth="1"/>
    <col min="7173" max="7173" width="17" style="1685" customWidth="1"/>
    <col min="7174" max="7174" width="22.453125" style="1685" customWidth="1"/>
    <col min="7175" max="7176" width="15.54296875" style="1685" customWidth="1"/>
    <col min="7177" max="7177" width="25.54296875" style="1685" customWidth="1"/>
    <col min="7178" max="7425" width="11.54296875" style="1685"/>
    <col min="7426" max="7426" width="18.453125" style="1685" customWidth="1"/>
    <col min="7427" max="7427" width="47.453125" style="1685" customWidth="1"/>
    <col min="7428" max="7428" width="15.54296875" style="1685" customWidth="1"/>
    <col min="7429" max="7429" width="17" style="1685" customWidth="1"/>
    <col min="7430" max="7430" width="22.453125" style="1685" customWidth="1"/>
    <col min="7431" max="7432" width="15.54296875" style="1685" customWidth="1"/>
    <col min="7433" max="7433" width="25.54296875" style="1685" customWidth="1"/>
    <col min="7434" max="7681" width="11.54296875" style="1685"/>
    <col min="7682" max="7682" width="18.453125" style="1685" customWidth="1"/>
    <col min="7683" max="7683" width="47.453125" style="1685" customWidth="1"/>
    <col min="7684" max="7684" width="15.54296875" style="1685" customWidth="1"/>
    <col min="7685" max="7685" width="17" style="1685" customWidth="1"/>
    <col min="7686" max="7686" width="22.453125" style="1685" customWidth="1"/>
    <col min="7687" max="7688" width="15.54296875" style="1685" customWidth="1"/>
    <col min="7689" max="7689" width="25.54296875" style="1685" customWidth="1"/>
    <col min="7690" max="7937" width="11.54296875" style="1685"/>
    <col min="7938" max="7938" width="18.453125" style="1685" customWidth="1"/>
    <col min="7939" max="7939" width="47.453125" style="1685" customWidth="1"/>
    <col min="7940" max="7940" width="15.54296875" style="1685" customWidth="1"/>
    <col min="7941" max="7941" width="17" style="1685" customWidth="1"/>
    <col min="7942" max="7942" width="22.453125" style="1685" customWidth="1"/>
    <col min="7943" max="7944" width="15.54296875" style="1685" customWidth="1"/>
    <col min="7945" max="7945" width="25.54296875" style="1685" customWidth="1"/>
    <col min="7946" max="8193" width="11.54296875" style="1685"/>
    <col min="8194" max="8194" width="18.453125" style="1685" customWidth="1"/>
    <col min="8195" max="8195" width="47.453125" style="1685" customWidth="1"/>
    <col min="8196" max="8196" width="15.54296875" style="1685" customWidth="1"/>
    <col min="8197" max="8197" width="17" style="1685" customWidth="1"/>
    <col min="8198" max="8198" width="22.453125" style="1685" customWidth="1"/>
    <col min="8199" max="8200" width="15.54296875" style="1685" customWidth="1"/>
    <col min="8201" max="8201" width="25.54296875" style="1685" customWidth="1"/>
    <col min="8202" max="8449" width="11.54296875" style="1685"/>
    <col min="8450" max="8450" width="18.453125" style="1685" customWidth="1"/>
    <col min="8451" max="8451" width="47.453125" style="1685" customWidth="1"/>
    <col min="8452" max="8452" width="15.54296875" style="1685" customWidth="1"/>
    <col min="8453" max="8453" width="17" style="1685" customWidth="1"/>
    <col min="8454" max="8454" width="22.453125" style="1685" customWidth="1"/>
    <col min="8455" max="8456" width="15.54296875" style="1685" customWidth="1"/>
    <col min="8457" max="8457" width="25.54296875" style="1685" customWidth="1"/>
    <col min="8458" max="8705" width="11.54296875" style="1685"/>
    <col min="8706" max="8706" width="18.453125" style="1685" customWidth="1"/>
    <col min="8707" max="8707" width="47.453125" style="1685" customWidth="1"/>
    <col min="8708" max="8708" width="15.54296875" style="1685" customWidth="1"/>
    <col min="8709" max="8709" width="17" style="1685" customWidth="1"/>
    <col min="8710" max="8710" width="22.453125" style="1685" customWidth="1"/>
    <col min="8711" max="8712" width="15.54296875" style="1685" customWidth="1"/>
    <col min="8713" max="8713" width="25.54296875" style="1685" customWidth="1"/>
    <col min="8714" max="8961" width="11.54296875" style="1685"/>
    <col min="8962" max="8962" width="18.453125" style="1685" customWidth="1"/>
    <col min="8963" max="8963" width="47.453125" style="1685" customWidth="1"/>
    <col min="8964" max="8964" width="15.54296875" style="1685" customWidth="1"/>
    <col min="8965" max="8965" width="17" style="1685" customWidth="1"/>
    <col min="8966" max="8966" width="22.453125" style="1685" customWidth="1"/>
    <col min="8967" max="8968" width="15.54296875" style="1685" customWidth="1"/>
    <col min="8969" max="8969" width="25.54296875" style="1685" customWidth="1"/>
    <col min="8970" max="9217" width="11.54296875" style="1685"/>
    <col min="9218" max="9218" width="18.453125" style="1685" customWidth="1"/>
    <col min="9219" max="9219" width="47.453125" style="1685" customWidth="1"/>
    <col min="9220" max="9220" width="15.54296875" style="1685" customWidth="1"/>
    <col min="9221" max="9221" width="17" style="1685" customWidth="1"/>
    <col min="9222" max="9222" width="22.453125" style="1685" customWidth="1"/>
    <col min="9223" max="9224" width="15.54296875" style="1685" customWidth="1"/>
    <col min="9225" max="9225" width="25.54296875" style="1685" customWidth="1"/>
    <col min="9226" max="9473" width="11.54296875" style="1685"/>
    <col min="9474" max="9474" width="18.453125" style="1685" customWidth="1"/>
    <col min="9475" max="9475" width="47.453125" style="1685" customWidth="1"/>
    <col min="9476" max="9476" width="15.54296875" style="1685" customWidth="1"/>
    <col min="9477" max="9477" width="17" style="1685" customWidth="1"/>
    <col min="9478" max="9478" width="22.453125" style="1685" customWidth="1"/>
    <col min="9479" max="9480" width="15.54296875" style="1685" customWidth="1"/>
    <col min="9481" max="9481" width="25.54296875" style="1685" customWidth="1"/>
    <col min="9482" max="9729" width="11.54296875" style="1685"/>
    <col min="9730" max="9730" width="18.453125" style="1685" customWidth="1"/>
    <col min="9731" max="9731" width="47.453125" style="1685" customWidth="1"/>
    <col min="9732" max="9732" width="15.54296875" style="1685" customWidth="1"/>
    <col min="9733" max="9733" width="17" style="1685" customWidth="1"/>
    <col min="9734" max="9734" width="22.453125" style="1685" customWidth="1"/>
    <col min="9735" max="9736" width="15.54296875" style="1685" customWidth="1"/>
    <col min="9737" max="9737" width="25.54296875" style="1685" customWidth="1"/>
    <col min="9738" max="9985" width="11.54296875" style="1685"/>
    <col min="9986" max="9986" width="18.453125" style="1685" customWidth="1"/>
    <col min="9987" max="9987" width="47.453125" style="1685" customWidth="1"/>
    <col min="9988" max="9988" width="15.54296875" style="1685" customWidth="1"/>
    <col min="9989" max="9989" width="17" style="1685" customWidth="1"/>
    <col min="9990" max="9990" width="22.453125" style="1685" customWidth="1"/>
    <col min="9991" max="9992" width="15.54296875" style="1685" customWidth="1"/>
    <col min="9993" max="9993" width="25.54296875" style="1685" customWidth="1"/>
    <col min="9994" max="10241" width="11.54296875" style="1685"/>
    <col min="10242" max="10242" width="18.453125" style="1685" customWidth="1"/>
    <col min="10243" max="10243" width="47.453125" style="1685" customWidth="1"/>
    <col min="10244" max="10244" width="15.54296875" style="1685" customWidth="1"/>
    <col min="10245" max="10245" width="17" style="1685" customWidth="1"/>
    <col min="10246" max="10246" width="22.453125" style="1685" customWidth="1"/>
    <col min="10247" max="10248" width="15.54296875" style="1685" customWidth="1"/>
    <col min="10249" max="10249" width="25.54296875" style="1685" customWidth="1"/>
    <col min="10250" max="10497" width="11.54296875" style="1685"/>
    <col min="10498" max="10498" width="18.453125" style="1685" customWidth="1"/>
    <col min="10499" max="10499" width="47.453125" style="1685" customWidth="1"/>
    <col min="10500" max="10500" width="15.54296875" style="1685" customWidth="1"/>
    <col min="10501" max="10501" width="17" style="1685" customWidth="1"/>
    <col min="10502" max="10502" width="22.453125" style="1685" customWidth="1"/>
    <col min="10503" max="10504" width="15.54296875" style="1685" customWidth="1"/>
    <col min="10505" max="10505" width="25.54296875" style="1685" customWidth="1"/>
    <col min="10506" max="10753" width="11.54296875" style="1685"/>
    <col min="10754" max="10754" width="18.453125" style="1685" customWidth="1"/>
    <col min="10755" max="10755" width="47.453125" style="1685" customWidth="1"/>
    <col min="10756" max="10756" width="15.54296875" style="1685" customWidth="1"/>
    <col min="10757" max="10757" width="17" style="1685" customWidth="1"/>
    <col min="10758" max="10758" width="22.453125" style="1685" customWidth="1"/>
    <col min="10759" max="10760" width="15.54296875" style="1685" customWidth="1"/>
    <col min="10761" max="10761" width="25.54296875" style="1685" customWidth="1"/>
    <col min="10762" max="11009" width="11.54296875" style="1685"/>
    <col min="11010" max="11010" width="18.453125" style="1685" customWidth="1"/>
    <col min="11011" max="11011" width="47.453125" style="1685" customWidth="1"/>
    <col min="11012" max="11012" width="15.54296875" style="1685" customWidth="1"/>
    <col min="11013" max="11013" width="17" style="1685" customWidth="1"/>
    <col min="11014" max="11014" width="22.453125" style="1685" customWidth="1"/>
    <col min="11015" max="11016" width="15.54296875" style="1685" customWidth="1"/>
    <col min="11017" max="11017" width="25.54296875" style="1685" customWidth="1"/>
    <col min="11018" max="11265" width="11.54296875" style="1685"/>
    <col min="11266" max="11266" width="18.453125" style="1685" customWidth="1"/>
    <col min="11267" max="11267" width="47.453125" style="1685" customWidth="1"/>
    <col min="11268" max="11268" width="15.54296875" style="1685" customWidth="1"/>
    <col min="11269" max="11269" width="17" style="1685" customWidth="1"/>
    <col min="11270" max="11270" width="22.453125" style="1685" customWidth="1"/>
    <col min="11271" max="11272" width="15.54296875" style="1685" customWidth="1"/>
    <col min="11273" max="11273" width="25.54296875" style="1685" customWidth="1"/>
    <col min="11274" max="11521" width="11.54296875" style="1685"/>
    <col min="11522" max="11522" width="18.453125" style="1685" customWidth="1"/>
    <col min="11523" max="11523" width="47.453125" style="1685" customWidth="1"/>
    <col min="11524" max="11524" width="15.54296875" style="1685" customWidth="1"/>
    <col min="11525" max="11525" width="17" style="1685" customWidth="1"/>
    <col min="11526" max="11526" width="22.453125" style="1685" customWidth="1"/>
    <col min="11527" max="11528" width="15.54296875" style="1685" customWidth="1"/>
    <col min="11529" max="11529" width="25.54296875" style="1685" customWidth="1"/>
    <col min="11530" max="11777" width="11.54296875" style="1685"/>
    <col min="11778" max="11778" width="18.453125" style="1685" customWidth="1"/>
    <col min="11779" max="11779" width="47.453125" style="1685" customWidth="1"/>
    <col min="11780" max="11780" width="15.54296875" style="1685" customWidth="1"/>
    <col min="11781" max="11781" width="17" style="1685" customWidth="1"/>
    <col min="11782" max="11782" width="22.453125" style="1685" customWidth="1"/>
    <col min="11783" max="11784" width="15.54296875" style="1685" customWidth="1"/>
    <col min="11785" max="11785" width="25.54296875" style="1685" customWidth="1"/>
    <col min="11786" max="12033" width="11.54296875" style="1685"/>
    <col min="12034" max="12034" width="18.453125" style="1685" customWidth="1"/>
    <col min="12035" max="12035" width="47.453125" style="1685" customWidth="1"/>
    <col min="12036" max="12036" width="15.54296875" style="1685" customWidth="1"/>
    <col min="12037" max="12037" width="17" style="1685" customWidth="1"/>
    <col min="12038" max="12038" width="22.453125" style="1685" customWidth="1"/>
    <col min="12039" max="12040" width="15.54296875" style="1685" customWidth="1"/>
    <col min="12041" max="12041" width="25.54296875" style="1685" customWidth="1"/>
    <col min="12042" max="12289" width="11.54296875" style="1685"/>
    <col min="12290" max="12290" width="18.453125" style="1685" customWidth="1"/>
    <col min="12291" max="12291" width="47.453125" style="1685" customWidth="1"/>
    <col min="12292" max="12292" width="15.54296875" style="1685" customWidth="1"/>
    <col min="12293" max="12293" width="17" style="1685" customWidth="1"/>
    <col min="12294" max="12294" width="22.453125" style="1685" customWidth="1"/>
    <col min="12295" max="12296" width="15.54296875" style="1685" customWidth="1"/>
    <col min="12297" max="12297" width="25.54296875" style="1685" customWidth="1"/>
    <col min="12298" max="12545" width="11.54296875" style="1685"/>
    <col min="12546" max="12546" width="18.453125" style="1685" customWidth="1"/>
    <col min="12547" max="12547" width="47.453125" style="1685" customWidth="1"/>
    <col min="12548" max="12548" width="15.54296875" style="1685" customWidth="1"/>
    <col min="12549" max="12549" width="17" style="1685" customWidth="1"/>
    <col min="12550" max="12550" width="22.453125" style="1685" customWidth="1"/>
    <col min="12551" max="12552" width="15.54296875" style="1685" customWidth="1"/>
    <col min="12553" max="12553" width="25.54296875" style="1685" customWidth="1"/>
    <col min="12554" max="12801" width="11.54296875" style="1685"/>
    <col min="12802" max="12802" width="18.453125" style="1685" customWidth="1"/>
    <col min="12803" max="12803" width="47.453125" style="1685" customWidth="1"/>
    <col min="12804" max="12804" width="15.54296875" style="1685" customWidth="1"/>
    <col min="12805" max="12805" width="17" style="1685" customWidth="1"/>
    <col min="12806" max="12806" width="22.453125" style="1685" customWidth="1"/>
    <col min="12807" max="12808" width="15.54296875" style="1685" customWidth="1"/>
    <col min="12809" max="12809" width="25.54296875" style="1685" customWidth="1"/>
    <col min="12810" max="13057" width="11.54296875" style="1685"/>
    <col min="13058" max="13058" width="18.453125" style="1685" customWidth="1"/>
    <col min="13059" max="13059" width="47.453125" style="1685" customWidth="1"/>
    <col min="13060" max="13060" width="15.54296875" style="1685" customWidth="1"/>
    <col min="13061" max="13061" width="17" style="1685" customWidth="1"/>
    <col min="13062" max="13062" width="22.453125" style="1685" customWidth="1"/>
    <col min="13063" max="13064" width="15.54296875" style="1685" customWidth="1"/>
    <col min="13065" max="13065" width="25.54296875" style="1685" customWidth="1"/>
    <col min="13066" max="13313" width="11.54296875" style="1685"/>
    <col min="13314" max="13314" width="18.453125" style="1685" customWidth="1"/>
    <col min="13315" max="13315" width="47.453125" style="1685" customWidth="1"/>
    <col min="13316" max="13316" width="15.54296875" style="1685" customWidth="1"/>
    <col min="13317" max="13317" width="17" style="1685" customWidth="1"/>
    <col min="13318" max="13318" width="22.453125" style="1685" customWidth="1"/>
    <col min="13319" max="13320" width="15.54296875" style="1685" customWidth="1"/>
    <col min="13321" max="13321" width="25.54296875" style="1685" customWidth="1"/>
    <col min="13322" max="13569" width="11.54296875" style="1685"/>
    <col min="13570" max="13570" width="18.453125" style="1685" customWidth="1"/>
    <col min="13571" max="13571" width="47.453125" style="1685" customWidth="1"/>
    <col min="13572" max="13572" width="15.54296875" style="1685" customWidth="1"/>
    <col min="13573" max="13573" width="17" style="1685" customWidth="1"/>
    <col min="13574" max="13574" width="22.453125" style="1685" customWidth="1"/>
    <col min="13575" max="13576" width="15.54296875" style="1685" customWidth="1"/>
    <col min="13577" max="13577" width="25.54296875" style="1685" customWidth="1"/>
    <col min="13578" max="13825" width="11.54296875" style="1685"/>
    <col min="13826" max="13826" width="18.453125" style="1685" customWidth="1"/>
    <col min="13827" max="13827" width="47.453125" style="1685" customWidth="1"/>
    <col min="13828" max="13828" width="15.54296875" style="1685" customWidth="1"/>
    <col min="13829" max="13829" width="17" style="1685" customWidth="1"/>
    <col min="13830" max="13830" width="22.453125" style="1685" customWidth="1"/>
    <col min="13831" max="13832" width="15.54296875" style="1685" customWidth="1"/>
    <col min="13833" max="13833" width="25.54296875" style="1685" customWidth="1"/>
    <col min="13834" max="14081" width="11.54296875" style="1685"/>
    <col min="14082" max="14082" width="18.453125" style="1685" customWidth="1"/>
    <col min="14083" max="14083" width="47.453125" style="1685" customWidth="1"/>
    <col min="14084" max="14084" width="15.54296875" style="1685" customWidth="1"/>
    <col min="14085" max="14085" width="17" style="1685" customWidth="1"/>
    <col min="14086" max="14086" width="22.453125" style="1685" customWidth="1"/>
    <col min="14087" max="14088" width="15.54296875" style="1685" customWidth="1"/>
    <col min="14089" max="14089" width="25.54296875" style="1685" customWidth="1"/>
    <col min="14090" max="14337" width="11.54296875" style="1685"/>
    <col min="14338" max="14338" width="18.453125" style="1685" customWidth="1"/>
    <col min="14339" max="14339" width="47.453125" style="1685" customWidth="1"/>
    <col min="14340" max="14340" width="15.54296875" style="1685" customWidth="1"/>
    <col min="14341" max="14341" width="17" style="1685" customWidth="1"/>
    <col min="14342" max="14342" width="22.453125" style="1685" customWidth="1"/>
    <col min="14343" max="14344" width="15.54296875" style="1685" customWidth="1"/>
    <col min="14345" max="14345" width="25.54296875" style="1685" customWidth="1"/>
    <col min="14346" max="14593" width="11.54296875" style="1685"/>
    <col min="14594" max="14594" width="18.453125" style="1685" customWidth="1"/>
    <col min="14595" max="14595" width="47.453125" style="1685" customWidth="1"/>
    <col min="14596" max="14596" width="15.54296875" style="1685" customWidth="1"/>
    <col min="14597" max="14597" width="17" style="1685" customWidth="1"/>
    <col min="14598" max="14598" width="22.453125" style="1685" customWidth="1"/>
    <col min="14599" max="14600" width="15.54296875" style="1685" customWidth="1"/>
    <col min="14601" max="14601" width="25.54296875" style="1685" customWidth="1"/>
    <col min="14602" max="14849" width="11.54296875" style="1685"/>
    <col min="14850" max="14850" width="18.453125" style="1685" customWidth="1"/>
    <col min="14851" max="14851" width="47.453125" style="1685" customWidth="1"/>
    <col min="14852" max="14852" width="15.54296875" style="1685" customWidth="1"/>
    <col min="14853" max="14853" width="17" style="1685" customWidth="1"/>
    <col min="14854" max="14854" width="22.453125" style="1685" customWidth="1"/>
    <col min="14855" max="14856" width="15.54296875" style="1685" customWidth="1"/>
    <col min="14857" max="14857" width="25.54296875" style="1685" customWidth="1"/>
    <col min="14858" max="15105" width="11.54296875" style="1685"/>
    <col min="15106" max="15106" width="18.453125" style="1685" customWidth="1"/>
    <col min="15107" max="15107" width="47.453125" style="1685" customWidth="1"/>
    <col min="15108" max="15108" width="15.54296875" style="1685" customWidth="1"/>
    <col min="15109" max="15109" width="17" style="1685" customWidth="1"/>
    <col min="15110" max="15110" width="22.453125" style="1685" customWidth="1"/>
    <col min="15111" max="15112" width="15.54296875" style="1685" customWidth="1"/>
    <col min="15113" max="15113" width="25.54296875" style="1685" customWidth="1"/>
    <col min="15114" max="15361" width="11.54296875" style="1685"/>
    <col min="15362" max="15362" width="18.453125" style="1685" customWidth="1"/>
    <col min="15363" max="15363" width="47.453125" style="1685" customWidth="1"/>
    <col min="15364" max="15364" width="15.54296875" style="1685" customWidth="1"/>
    <col min="15365" max="15365" width="17" style="1685" customWidth="1"/>
    <col min="15366" max="15366" width="22.453125" style="1685" customWidth="1"/>
    <col min="15367" max="15368" width="15.54296875" style="1685" customWidth="1"/>
    <col min="15369" max="15369" width="25.54296875" style="1685" customWidth="1"/>
    <col min="15370" max="15617" width="11.54296875" style="1685"/>
    <col min="15618" max="15618" width="18.453125" style="1685" customWidth="1"/>
    <col min="15619" max="15619" width="47.453125" style="1685" customWidth="1"/>
    <col min="15620" max="15620" width="15.54296875" style="1685" customWidth="1"/>
    <col min="15621" max="15621" width="17" style="1685" customWidth="1"/>
    <col min="15622" max="15622" width="22.453125" style="1685" customWidth="1"/>
    <col min="15623" max="15624" width="15.54296875" style="1685" customWidth="1"/>
    <col min="15625" max="15625" width="25.54296875" style="1685" customWidth="1"/>
    <col min="15626" max="15873" width="11.54296875" style="1685"/>
    <col min="15874" max="15874" width="18.453125" style="1685" customWidth="1"/>
    <col min="15875" max="15875" width="47.453125" style="1685" customWidth="1"/>
    <col min="15876" max="15876" width="15.54296875" style="1685" customWidth="1"/>
    <col min="15877" max="15877" width="17" style="1685" customWidth="1"/>
    <col min="15878" max="15878" width="22.453125" style="1685" customWidth="1"/>
    <col min="15879" max="15880" width="15.54296875" style="1685" customWidth="1"/>
    <col min="15881" max="15881" width="25.54296875" style="1685" customWidth="1"/>
    <col min="15882" max="16129" width="11.54296875" style="1685"/>
    <col min="16130" max="16130" width="18.453125" style="1685" customWidth="1"/>
    <col min="16131" max="16131" width="47.453125" style="1685" customWidth="1"/>
    <col min="16132" max="16132" width="15.54296875" style="1685" customWidth="1"/>
    <col min="16133" max="16133" width="17" style="1685" customWidth="1"/>
    <col min="16134" max="16134" width="22.453125" style="1685" customWidth="1"/>
    <col min="16135" max="16136" width="15.54296875" style="1685" customWidth="1"/>
    <col min="16137" max="16137" width="25.54296875" style="1685" customWidth="1"/>
    <col min="16138" max="16384" width="11.5429687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1_270726</v>
      </c>
      <c r="B2" s="1686" t="s">
        <v>2019</v>
      </c>
      <c r="C2" s="1686" t="s">
        <v>1978</v>
      </c>
      <c r="D2" s="1687" t="s">
        <v>1979</v>
      </c>
      <c r="E2" s="1688">
        <f>'Cashflow Synthesis'!E13</f>
        <v>2255482.12</v>
      </c>
      <c r="F2" s="1689" t="s">
        <v>308</v>
      </c>
      <c r="G2" s="1690" t="str">
        <f>LEFT('Cashflow Synthesis'!D13,34)</f>
        <v>Administration and Management Fee</v>
      </c>
      <c r="H2" s="1690" t="str">
        <f>G2</f>
        <v>Administration and Management Fee</v>
      </c>
      <c r="I2" s="1691">
        <f ca="1">TODAY()</f>
        <v>46248</v>
      </c>
      <c r="J2" s="1691">
        <f>'Cover Page'!$C$15</f>
        <v>46230</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2_270726</v>
      </c>
      <c r="B3" s="1686" t="s">
        <v>2019</v>
      </c>
      <c r="C3" s="1686" t="s">
        <v>1978</v>
      </c>
      <c r="D3" s="1687" t="s">
        <v>1979</v>
      </c>
      <c r="E3" s="1688">
        <f>'Cashflow Synthesis'!E14</f>
        <v>17429.43</v>
      </c>
      <c r="F3" s="1689" t="s">
        <v>308</v>
      </c>
      <c r="G3" s="1690" t="str">
        <f>LEFT('Cashflow Synthesis'!D14,34)</f>
        <v>Servicing and Recovery Fee</v>
      </c>
      <c r="H3" s="1690" t="str">
        <f t="shared" ref="H3:H23" si="1">G3</f>
        <v>Servicing and Recovery Fee</v>
      </c>
      <c r="I3" s="1691">
        <f t="shared" ref="I3:I23" ca="1" si="2">TODAY()</f>
        <v>46248</v>
      </c>
      <c r="J3" s="1691">
        <f>'Cover Page'!$C$15</f>
        <v>46230</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3_270726</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46248</v>
      </c>
      <c r="J4" s="1691">
        <f>'Cover Page'!$C$15</f>
        <v>46230</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4_270726</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46248</v>
      </c>
      <c r="J5" s="1691">
        <f>'Cover Page'!$C$15</f>
        <v>46230</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5_270726</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46248</v>
      </c>
      <c r="J6" s="1691">
        <f>'Cover Page'!$C$15</f>
        <v>46230</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6_270726</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46248</v>
      </c>
      <c r="J7" s="1691">
        <f>'Cover Page'!$C$15</f>
        <v>46230</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7_270726</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46248</v>
      </c>
      <c r="J8" s="1691">
        <f>'Cover Page'!$C$15</f>
        <v>46230</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8_270726</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46248</v>
      </c>
      <c r="J9" s="1691">
        <f>'Cover Page'!$C$15</f>
        <v>46230</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9_270726</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46248</v>
      </c>
      <c r="J10" s="1691">
        <f>'Cover Page'!$C$15</f>
        <v>46230</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10_270726</v>
      </c>
      <c r="B11" s="1686" t="s">
        <v>2019</v>
      </c>
      <c r="C11" s="1686" t="s">
        <v>1978</v>
      </c>
      <c r="D11" s="1687" t="s">
        <v>1979</v>
      </c>
      <c r="E11" s="1688">
        <f>'Cashflow Synthesis'!E22</f>
        <v>0</v>
      </c>
      <c r="F11" s="1689" t="s">
        <v>308</v>
      </c>
      <c r="G11" s="1690" t="str">
        <f>LEFT('Cashflow Synthesis'!D22,34)</f>
        <v>Issuer Statutory Auditor</v>
      </c>
      <c r="H11" s="1690" t="str">
        <f t="shared" si="1"/>
        <v>Issuer Statutory Auditor</v>
      </c>
      <c r="I11" s="1691">
        <f t="shared" ca="1" si="2"/>
        <v>46248</v>
      </c>
      <c r="J11" s="1691">
        <f>'Cover Page'!$C$15</f>
        <v>46230</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11_270726</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46248</v>
      </c>
      <c r="J12" s="1691">
        <f>'Cover Page'!$C$15</f>
        <v>46230</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12_270726</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46248</v>
      </c>
      <c r="J13" s="1691">
        <f>'Cover Page'!$C$15</f>
        <v>46230</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13_270726</v>
      </c>
      <c r="B14" s="1686" t="s">
        <v>2019</v>
      </c>
      <c r="C14" s="1686" t="s">
        <v>1978</v>
      </c>
      <c r="D14" s="1687" t="s">
        <v>1979</v>
      </c>
      <c r="E14" s="1764">
        <f>'Cashflow Synthesis'!E25</f>
        <v>3002787.16</v>
      </c>
      <c r="F14" s="1689" t="s">
        <v>308</v>
      </c>
      <c r="G14" s="1690" t="str">
        <f>LEFT('Cashflow Synthesis'!D25,34)</f>
        <v>Class A Notes Interest Amounts</v>
      </c>
      <c r="H14" s="1690" t="str">
        <f t="shared" si="1"/>
        <v>Class A Notes Interest Amounts</v>
      </c>
      <c r="I14" s="1691">
        <f t="shared" ca="1" si="2"/>
        <v>46248</v>
      </c>
      <c r="J14" s="1691">
        <f>'Cover Page'!$C$15</f>
        <v>46230</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14_270726</v>
      </c>
      <c r="B15" s="1686" t="s">
        <v>2019</v>
      </c>
      <c r="C15" s="1686" t="s">
        <v>1978</v>
      </c>
      <c r="D15" s="1687" t="s">
        <v>1979</v>
      </c>
      <c r="E15" s="1764">
        <f>'Cashflow Synthesis'!E26</f>
        <v>57195205.599999994</v>
      </c>
      <c r="F15" s="1689" t="s">
        <v>308</v>
      </c>
      <c r="G15" s="1690" t="str">
        <f>LEFT('Cashflow Synthesis'!D26,34)</f>
        <v>Class A Notes Amortisation Amount</v>
      </c>
      <c r="H15" s="1690" t="str">
        <f t="shared" si="1"/>
        <v>Class A Notes Amortisation Amount</v>
      </c>
      <c r="I15" s="1691">
        <f t="shared" ca="1" si="2"/>
        <v>46248</v>
      </c>
      <c r="J15" s="1691">
        <f>'Cover Page'!$C$15</f>
        <v>46230</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15_270726</v>
      </c>
      <c r="B16" s="1686" t="s">
        <v>2019</v>
      </c>
      <c r="C16" s="1686" t="s">
        <v>1978</v>
      </c>
      <c r="D16" s="1687" t="s">
        <v>1979</v>
      </c>
      <c r="E16" s="1764">
        <f>'Cashflow Synthesis'!E27</f>
        <v>1730989.4</v>
      </c>
      <c r="F16" s="1689" t="s">
        <v>308</v>
      </c>
      <c r="G16" s="1690" t="str">
        <f>LEFT('Cashflow Synthesis'!D27,34)</f>
        <v>Class A Notes 2025 Interest Amount</v>
      </c>
      <c r="H16" s="1690" t="str">
        <f t="shared" ref="H16" si="5">G16</f>
        <v>Class A Notes 2025 Interest Amount</v>
      </c>
      <c r="I16" s="1691">
        <f t="shared" ca="1" si="2"/>
        <v>46248</v>
      </c>
      <c r="J16" s="1691">
        <f>'Cover Page'!$C$15</f>
        <v>46230</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16_270726</v>
      </c>
      <c r="B17" s="1686" t="s">
        <v>2019</v>
      </c>
      <c r="C17" s="1686" t="s">
        <v>1978</v>
      </c>
      <c r="D17" s="1687" t="s">
        <v>1979</v>
      </c>
      <c r="E17" s="1764">
        <f>'Cashflow Synthesis'!E28</f>
        <v>32964234.399999999</v>
      </c>
      <c r="F17" s="1689" t="s">
        <v>308</v>
      </c>
      <c r="G17" s="1690" t="str">
        <f>LEFT('Cashflow Synthesis'!D28,34)</f>
        <v>Class A Notes 2025 Amortisation Am</v>
      </c>
      <c r="H17" s="1690" t="str">
        <f t="shared" ref="H17" si="8">G17</f>
        <v>Class A Notes 2025 Amortisation Am</v>
      </c>
      <c r="I17" s="1691">
        <f t="shared" ca="1" si="2"/>
        <v>46248</v>
      </c>
      <c r="J17" s="1691">
        <f>'Cover Page'!$C$15</f>
        <v>46230</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17_270726</v>
      </c>
      <c r="B18" s="1686" t="s">
        <v>2019</v>
      </c>
      <c r="C18" s="1686" t="s">
        <v>1978</v>
      </c>
      <c r="D18" s="1687" t="s">
        <v>1979</v>
      </c>
      <c r="E18" s="1688">
        <f>'Cashflow Synthesis'!E29</f>
        <v>622908</v>
      </c>
      <c r="F18" s="1689" t="s">
        <v>308</v>
      </c>
      <c r="G18" s="1690" t="str">
        <f>LEFT('Cashflow Synthesis'!D29,34)</f>
        <v>Class B Notes Interest Amounts</v>
      </c>
      <c r="H18" s="1690" t="str">
        <f t="shared" si="1"/>
        <v>Class B Notes Interest Amounts</v>
      </c>
      <c r="I18" s="1691">
        <f t="shared" ca="1" si="2"/>
        <v>46248</v>
      </c>
      <c r="J18" s="1691">
        <f>'Cover Page'!$C$15</f>
        <v>46230</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18_270726</v>
      </c>
      <c r="B19" s="1686" t="s">
        <v>2019</v>
      </c>
      <c r="C19" s="1686" t="s">
        <v>1978</v>
      </c>
      <c r="D19" s="1687" t="s">
        <v>1979</v>
      </c>
      <c r="E19" s="1688">
        <f>'Cashflow Synthesis'!E30</f>
        <v>4745252.16</v>
      </c>
      <c r="F19" s="1689" t="s">
        <v>308</v>
      </c>
      <c r="G19" s="1690" t="str">
        <f>LEFT('Cashflow Synthesis'!D30,34)</f>
        <v>Class B Notes Amortisation Amount</v>
      </c>
      <c r="H19" s="1690" t="str">
        <f t="shared" si="1"/>
        <v>Class B Notes Amortisation Amount</v>
      </c>
      <c r="I19" s="1691">
        <f t="shared" ca="1" si="2"/>
        <v>46248</v>
      </c>
      <c r="J19" s="1691">
        <f>'Cover Page'!$C$15</f>
        <v>46230</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19_270726</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46248</v>
      </c>
      <c r="J20" s="1691">
        <f>'Cover Page'!$C$15</f>
        <v>46230</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20_270726</v>
      </c>
      <c r="B21" s="1686" t="s">
        <v>2019</v>
      </c>
      <c r="C21" s="1686" t="s">
        <v>1978</v>
      </c>
      <c r="D21" s="1687" t="s">
        <v>1979</v>
      </c>
      <c r="E21" s="1688">
        <f>'Cashflow Synthesis'!E32</f>
        <v>7364299.2012008429</v>
      </c>
      <c r="F21" s="1689" t="s">
        <v>308</v>
      </c>
      <c r="G21" s="1690" t="str">
        <f>LEFT('Cashflow Synthesis'!D32,34)</f>
        <v>Final Excess Spread</v>
      </c>
      <c r="H21" s="1690" t="str">
        <f t="shared" si="1"/>
        <v>Final Excess Spread</v>
      </c>
      <c r="I21" s="1691">
        <f t="shared" ca="1" si="2"/>
        <v>46248</v>
      </c>
      <c r="J21" s="1691">
        <f>'Cover Page'!$C$15</f>
        <v>46230</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21_270726</v>
      </c>
      <c r="B22" s="1770" t="s">
        <v>2019</v>
      </c>
      <c r="C22" s="1770" t="s">
        <v>1978</v>
      </c>
      <c r="D22" s="1771" t="s">
        <v>1979</v>
      </c>
      <c r="E22" s="1772">
        <f>'Cashflow Synthesis'!E33</f>
        <v>450000</v>
      </c>
      <c r="F22" s="1773" t="s">
        <v>308</v>
      </c>
      <c r="G22" s="1774" t="str">
        <f>LEFT('Cashflow Synthesis'!D33,34)</f>
        <v xml:space="preserve">Transfer from the General Reserve </v>
      </c>
      <c r="H22" s="1774" t="str">
        <f t="shared" si="1"/>
        <v xml:space="preserve">Transfer from the General Reserve </v>
      </c>
      <c r="I22" s="1775">
        <f t="shared" ca="1" si="2"/>
        <v>46248</v>
      </c>
      <c r="J22" s="1775">
        <f>'Cover Page'!$C$15</f>
        <v>46230</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22_270726</v>
      </c>
      <c r="B23" s="1686" t="s">
        <v>2019</v>
      </c>
      <c r="C23" s="1686" t="s">
        <v>1978</v>
      </c>
      <c r="D23" s="1687" t="s">
        <v>1979</v>
      </c>
      <c r="E23" s="1688">
        <f>276072.97*0</f>
        <v>0</v>
      </c>
      <c r="F23" s="1689" t="s">
        <v>308</v>
      </c>
      <c r="G23" s="1690" t="s">
        <v>2021</v>
      </c>
      <c r="H23" s="1690" t="str">
        <f t="shared" si="1"/>
        <v>Transfer from operating acc</v>
      </c>
      <c r="I23" s="1691">
        <f t="shared" ca="1" si="2"/>
        <v>46248</v>
      </c>
      <c r="J23" s="1691">
        <f>'Cover Page'!$C$15</f>
        <v>46230</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4.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24"/>
  <sheetViews>
    <sheetView zoomScale="85" zoomScaleNormal="85" workbookViewId="0">
      <selection sqref="A1:C1"/>
    </sheetView>
  </sheetViews>
  <sheetFormatPr defaultColWidth="9.1796875" defaultRowHeight="14.5"/>
  <cols>
    <col min="1" max="1" width="22.81640625" customWidth="1"/>
    <col min="2" max="2" width="21.26953125" customWidth="1"/>
    <col min="3" max="3" width="11" bestFit="1" customWidth="1"/>
    <col min="4" max="4" width="21.26953125" customWidth="1"/>
    <col min="5" max="5" width="23.7265625" customWidth="1"/>
    <col min="6" max="6" width="13.1796875" customWidth="1"/>
    <col min="7" max="7" width="17.1796875" customWidth="1"/>
    <col min="8" max="8" width="15.26953125" customWidth="1"/>
    <col min="9" max="9" width="14.1796875" customWidth="1"/>
    <col min="10" max="10" width="16.453125" customWidth="1"/>
    <col min="11" max="11" width="14.1796875" bestFit="1" customWidth="1"/>
    <col min="12" max="12" width="14.1796875" customWidth="1"/>
    <col min="13" max="13" width="17.26953125" customWidth="1"/>
    <col min="15" max="16" width="15.7265625" bestFit="1" customWidth="1"/>
    <col min="17" max="17" width="14.1796875" bestFit="1" customWidth="1"/>
    <col min="18" max="18" width="15.7265625" bestFit="1" customWidth="1"/>
    <col min="19" max="19" width="9.453125" bestFit="1" customWidth="1"/>
    <col min="20" max="20" width="8.453125" bestFit="1" customWidth="1"/>
    <col min="21" max="21" width="10.453125" bestFit="1" customWidth="1"/>
    <col min="22" max="23" width="15.7265625" bestFit="1" customWidth="1"/>
    <col min="24" max="24" width="13" bestFit="1" customWidth="1"/>
    <col min="25" max="25" width="16.54296875" customWidth="1"/>
    <col min="26" max="26" width="9.54296875" bestFit="1" customWidth="1"/>
    <col min="27" max="27" width="9.26953125" bestFit="1" customWidth="1"/>
    <col min="28" max="28" width="10.453125" bestFit="1" customWidth="1"/>
    <col min="29" max="32" width="14.1796875" bestFit="1" customWidth="1"/>
    <col min="33" max="33" width="8.453125" bestFit="1" customWidth="1"/>
    <col min="34" max="34" width="10.453125" bestFit="1" customWidth="1"/>
    <col min="35" max="35" width="8.81640625" bestFit="1" customWidth="1"/>
    <col min="36" max="36" width="6.453125" bestFit="1" customWidth="1"/>
    <col min="37" max="37" width="9" bestFit="1" customWidth="1"/>
    <col min="38" max="38" width="8.81640625" bestFit="1" customWidth="1"/>
    <col min="39" max="39" width="8.26953125" bestFit="1" customWidth="1"/>
    <col min="41" max="41" width="19.453125" bestFit="1" customWidth="1"/>
    <col min="42" max="42" width="16.81640625" bestFit="1" customWidth="1"/>
    <col min="43" max="43" width="14.1796875" bestFit="1" customWidth="1"/>
    <col min="44" max="44" width="8.453125" bestFit="1" customWidth="1"/>
    <col min="45" max="45" width="19.26953125" bestFit="1" customWidth="1"/>
    <col min="46" max="46" width="12.7265625" bestFit="1" customWidth="1"/>
    <col min="47" max="47" width="19.26953125" bestFit="1" customWidth="1"/>
    <col min="48" max="49" width="8.7265625" bestFit="1" customWidth="1"/>
    <col min="50" max="50" width="19.26953125" bestFit="1" customWidth="1"/>
    <col min="51" max="51" width="17" bestFit="1" customWidth="1"/>
    <col min="52" max="52" width="16.81640625" bestFit="1" customWidth="1"/>
    <col min="53" max="53" width="14.1796875" bestFit="1" customWidth="1"/>
    <col min="54" max="54" width="16.81640625" bestFit="1" customWidth="1"/>
    <col min="55" max="55" width="14.1796875" bestFit="1" customWidth="1"/>
    <col min="56" max="56" width="16.81640625" bestFit="1" customWidth="1"/>
    <col min="57" max="58" width="14.1796875" bestFit="1" customWidth="1"/>
    <col min="59" max="59" width="13" bestFit="1" customWidth="1"/>
    <col min="60" max="60" width="9.453125" bestFit="1" customWidth="1"/>
    <col min="61" max="61" width="8.453125" bestFit="1" customWidth="1"/>
    <col min="62" max="62" width="14.1796875" bestFit="1" customWidth="1"/>
    <col min="63" max="63" width="12.7265625" bestFit="1" customWidth="1"/>
    <col min="64" max="64" width="9.453125" bestFit="1" customWidth="1"/>
    <col min="65" max="65" width="8.453125" bestFit="1" customWidth="1"/>
    <col min="66" max="66" width="13" bestFit="1" customWidth="1"/>
    <col min="67" max="67" width="8.1796875" bestFit="1" customWidth="1"/>
    <col min="68" max="70" width="14.1796875" bestFit="1" customWidth="1"/>
    <col min="71" max="71" width="8.81640625" bestFit="1" customWidth="1"/>
    <col min="72" max="72" width="9.453125" bestFit="1" customWidth="1"/>
    <col min="73" max="73" width="14.1796875" bestFit="1" customWidth="1"/>
    <col min="74" max="74" width="12.7265625" bestFit="1" customWidth="1"/>
    <col min="75" max="75" width="9.81640625" bestFit="1" customWidth="1"/>
    <col min="76" max="76" width="10.453125" bestFit="1" customWidth="1"/>
    <col min="77" max="78" width="9.453125" bestFit="1" customWidth="1"/>
    <col min="79" max="79" width="7.26953125" bestFit="1" customWidth="1"/>
    <col min="80" max="80" width="9.453125" bestFit="1" customWidth="1"/>
    <col min="81" max="81" width="11" bestFit="1" customWidth="1"/>
    <col min="82" max="82" width="12" bestFit="1" customWidth="1"/>
    <col min="83" max="83" width="9.81640625" bestFit="1" customWidth="1"/>
    <col min="84" max="84" width="10.453125" bestFit="1" customWidth="1"/>
    <col min="85" max="86" width="9.453125" bestFit="1" customWidth="1"/>
    <col min="87" max="87" width="7.26953125" bestFit="1" customWidth="1"/>
    <col min="88" max="88" width="9.453125" bestFit="1" customWidth="1"/>
    <col min="89" max="89" width="11" bestFit="1" customWidth="1"/>
    <col min="90" max="90" width="12" bestFit="1" customWidth="1"/>
    <col min="91" max="91" width="9.81640625" bestFit="1" customWidth="1"/>
    <col min="92" max="92" width="10.453125" bestFit="1" customWidth="1"/>
    <col min="93" max="94" width="9.453125" bestFit="1" customWidth="1"/>
    <col min="95" max="95" width="7.26953125" bestFit="1" customWidth="1"/>
    <col min="96" max="96" width="6.26953125" bestFit="1" customWidth="1"/>
    <col min="97" max="97" width="7.453125" bestFit="1" customWidth="1"/>
    <col min="98" max="98" width="10.54296875" bestFit="1" customWidth="1"/>
    <col min="99" max="99" width="16.81640625" bestFit="1" customWidth="1"/>
    <col min="100" max="100" width="10" bestFit="1" customWidth="1"/>
    <col min="101" max="101" width="13.54296875" bestFit="1" customWidth="1"/>
    <col min="102" max="103" width="8.81640625" bestFit="1" customWidth="1"/>
    <col min="104" max="104" width="13.1796875" bestFit="1" customWidth="1"/>
    <col min="105" max="106" width="13" bestFit="1" customWidth="1"/>
    <col min="107" max="107" width="16.453125" customWidth="1"/>
    <col min="108" max="108" width="14.7265625" bestFit="1" customWidth="1"/>
    <col min="109" max="109" width="13" bestFit="1" customWidth="1"/>
    <col min="110" max="110" width="9.1796875" bestFit="1" customWidth="1"/>
    <col min="111" max="111" width="7.54296875" bestFit="1" customWidth="1"/>
    <col min="112" max="112" width="14.1796875" bestFit="1" customWidth="1"/>
  </cols>
  <sheetData>
    <row r="1" spans="1:112" ht="15.75" customHeight="1">
      <c r="A1" s="2065" t="s">
        <v>1991</v>
      </c>
      <c r="B1" s="2065"/>
      <c r="C1" s="2065"/>
      <c r="D1" s="2066" t="s">
        <v>1992</v>
      </c>
      <c r="E1" s="2066"/>
      <c r="F1" s="2066"/>
      <c r="G1" s="2066"/>
      <c r="H1" s="2066"/>
      <c r="I1" s="2066"/>
      <c r="J1" s="2065" t="s">
        <v>269</v>
      </c>
      <c r="K1" s="2065"/>
      <c r="L1" s="2065"/>
      <c r="M1" s="2065"/>
      <c r="N1" s="2065"/>
      <c r="O1" s="2067" t="s">
        <v>118</v>
      </c>
      <c r="P1" s="2067"/>
      <c r="Q1" s="2067"/>
      <c r="R1" s="2067"/>
      <c r="S1" s="2067"/>
      <c r="T1" s="2067"/>
      <c r="U1" s="2067"/>
      <c r="V1" s="2068" t="s">
        <v>2053</v>
      </c>
      <c r="W1" s="2069"/>
      <c r="X1" s="2069"/>
      <c r="Y1" s="2069"/>
      <c r="Z1" s="2069"/>
      <c r="AA1" s="2069"/>
      <c r="AB1" s="2070"/>
      <c r="AC1" s="2067" t="s">
        <v>119</v>
      </c>
      <c r="AD1" s="2067"/>
      <c r="AE1" s="2067"/>
      <c r="AF1" s="2067"/>
      <c r="AG1" s="2067"/>
      <c r="AH1" s="2067"/>
      <c r="AI1" s="2067" t="s">
        <v>130</v>
      </c>
      <c r="AJ1" s="2067"/>
      <c r="AK1" s="2067"/>
      <c r="AL1" s="2067"/>
      <c r="AM1" s="2067"/>
      <c r="AN1" s="2067"/>
      <c r="AO1" s="2064" t="s">
        <v>1050</v>
      </c>
      <c r="AP1" s="2064"/>
      <c r="AQ1" s="2064"/>
      <c r="AR1" s="2064" t="s">
        <v>247</v>
      </c>
      <c r="AS1" s="2064"/>
      <c r="AT1" s="2064"/>
      <c r="AU1" s="2064"/>
      <c r="AV1" s="2064"/>
      <c r="AW1" s="2064" t="s">
        <v>244</v>
      </c>
      <c r="AX1" s="2064"/>
      <c r="AY1" s="2064"/>
      <c r="AZ1" s="2064" t="s">
        <v>1051</v>
      </c>
      <c r="BA1" s="2064"/>
      <c r="BB1" s="2064"/>
      <c r="BC1" s="2064" t="s">
        <v>410</v>
      </c>
      <c r="BD1" s="2064"/>
      <c r="BE1" s="2064"/>
      <c r="BF1" s="2064"/>
      <c r="BG1" s="1833"/>
      <c r="BH1" s="2075" t="s">
        <v>1094</v>
      </c>
      <c r="BI1" s="2075"/>
      <c r="BJ1" s="2075"/>
      <c r="BK1" s="2075"/>
      <c r="BL1" s="2075" t="s">
        <v>1094</v>
      </c>
      <c r="BM1" s="2075"/>
      <c r="BN1" s="2075"/>
      <c r="BO1" s="2075"/>
      <c r="BP1" s="2064" t="s">
        <v>412</v>
      </c>
      <c r="BQ1" s="2064"/>
      <c r="BR1" s="2064"/>
      <c r="BS1" s="2075" t="s">
        <v>1100</v>
      </c>
      <c r="BT1" s="2075"/>
      <c r="BU1" s="2075"/>
      <c r="BV1" s="2075"/>
      <c r="BW1" s="2071" t="s">
        <v>118</v>
      </c>
      <c r="BX1" s="2071"/>
      <c r="BY1" s="2071"/>
      <c r="BZ1" s="2071"/>
      <c r="CA1" s="2071"/>
      <c r="CB1" s="2071"/>
      <c r="CC1" s="2071"/>
      <c r="CD1" s="2071"/>
      <c r="CE1" s="2071" t="s">
        <v>118</v>
      </c>
      <c r="CF1" s="2071"/>
      <c r="CG1" s="2071"/>
      <c r="CH1" s="2071"/>
      <c r="CI1" s="2071"/>
      <c r="CJ1" s="2071"/>
      <c r="CK1" s="2071"/>
      <c r="CL1" s="2071"/>
      <c r="CM1" s="2071" t="s">
        <v>119</v>
      </c>
      <c r="CN1" s="2071"/>
      <c r="CO1" s="2071"/>
      <c r="CP1" s="2071"/>
      <c r="CQ1" s="2071"/>
      <c r="CR1" s="2071"/>
      <c r="CS1" s="2071"/>
      <c r="CT1" s="2071"/>
      <c r="CU1" s="2071" t="s">
        <v>1139</v>
      </c>
      <c r="CV1" s="2071"/>
      <c r="CW1" s="2071"/>
      <c r="CX1" s="2071"/>
      <c r="CY1" s="2071"/>
      <c r="CZ1" s="2071"/>
      <c r="DA1" s="2071"/>
      <c r="DB1" s="2071"/>
      <c r="DC1" s="2071"/>
      <c r="DD1" s="2072"/>
      <c r="DE1" s="2073"/>
      <c r="DF1" s="2073"/>
      <c r="DG1" s="2074"/>
    </row>
    <row r="2" spans="1:112" ht="171.65"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46223</v>
      </c>
      <c r="B3" s="1238">
        <f>'00 - Cover'!F20</f>
        <v>46230</v>
      </c>
      <c r="C3" s="1238">
        <f>'00 - Cover'!F17</f>
        <v>46203</v>
      </c>
      <c r="D3" s="1239">
        <f>'08 - Default &amp; Recovery Stat'!C12</f>
        <v>0</v>
      </c>
      <c r="E3" s="1239">
        <f>'08 - Default &amp; Recovery Stat'!D12</f>
        <v>12428694752.200001</v>
      </c>
      <c r="F3" s="1239">
        <f>'08 - Default &amp; Recovery Stat'!E12</f>
        <v>1114351.0900000001</v>
      </c>
      <c r="G3" s="1239">
        <f>'08 - Default &amp; Recovery Stat'!F12</f>
        <v>13356732.550000003</v>
      </c>
      <c r="H3" s="1239">
        <f>'08 - Default &amp; Recovery Stat'!G12</f>
        <v>57371.880000000005</v>
      </c>
      <c r="I3" s="1239">
        <f>'08 - Default &amp; Recovery Stat'!H12</f>
        <v>1865968.8899999997</v>
      </c>
      <c r="J3" s="1239">
        <f>'09 -Principal Deficiency Amount'!C12</f>
        <v>94905107.11000061</v>
      </c>
      <c r="K3" s="1239">
        <f>'09 -Principal Deficiency Amount'!D12</f>
        <v>102719406.31120145</v>
      </c>
      <c r="L3" s="1239">
        <f>'09 -Principal Deficiency Amount'!E12</f>
        <v>110368449.09120145</v>
      </c>
      <c r="M3" s="1239">
        <f>'09 -Principal Deficiency Amount'!F12</f>
        <v>7649042.7800000012</v>
      </c>
      <c r="N3" s="1239">
        <f>'09 -Principal Deficiency Amount'!G12</f>
        <v>0</v>
      </c>
      <c r="O3" s="1239">
        <f>'11 - Notes Follow-up'!D25</f>
        <v>6524587774.7200003</v>
      </c>
      <c r="P3" s="1239">
        <f>'11 - Notes Follow-up'!E25</f>
        <v>0</v>
      </c>
      <c r="Q3" s="1239">
        <f>'11 - Notes Follow-up'!F25</f>
        <v>57195205.599999994</v>
      </c>
      <c r="R3" s="1239">
        <f>'11 - Notes Follow-up'!G25</f>
        <v>6467392569.1199999</v>
      </c>
      <c r="S3" s="1239">
        <f>'11 - Notes Follow-up'!H25</f>
        <v>77732</v>
      </c>
      <c r="T3" s="1239">
        <f>'11 - Notes Follow-up'!I25</f>
        <v>735.8</v>
      </c>
      <c r="U3" s="1239">
        <f>'11 - Notes Follow-up'!J25</f>
        <v>83201.16</v>
      </c>
      <c r="V3" s="1239">
        <f>'11 - Notes Follow-up'!L25</f>
        <v>3760411296.2000003</v>
      </c>
      <c r="W3" s="1239">
        <f>'11 - Notes Follow-up'!M25</f>
        <v>0</v>
      </c>
      <c r="X3" s="1239">
        <f>'11 - Notes Follow-up'!N25</f>
        <v>32964234.399999999</v>
      </c>
      <c r="Y3" s="1239">
        <f>'11 - Notes Follow-up'!O25</f>
        <v>3727447061.8000002</v>
      </c>
      <c r="Z3" s="1239">
        <f>'11 - Notes Follow-up'!P25</f>
        <v>40340</v>
      </c>
      <c r="AA3" s="1239">
        <f>'11 - Notes Follow-up'!Q25</f>
        <v>817.16</v>
      </c>
      <c r="AB3" s="1239">
        <f>'11 - Notes Follow-up'!R25</f>
        <v>92400.77</v>
      </c>
      <c r="AC3" s="1239">
        <f>'11 - Notes Follow-up'!T25</f>
        <v>541315764.00000012</v>
      </c>
      <c r="AD3" s="1239">
        <f>'11 - Notes Follow-up'!U25</f>
        <v>0</v>
      </c>
      <c r="AE3" s="1239">
        <f>'11 - Notes Follow-up'!V25</f>
        <v>4745252.16</v>
      </c>
      <c r="AF3" s="1239">
        <f>'11 - Notes Follow-up'!W25</f>
        <v>536570511.84000009</v>
      </c>
      <c r="AG3" s="1239">
        <f>'11 - Notes Follow-up'!X25</f>
        <v>5808</v>
      </c>
      <c r="AH3" s="1239">
        <f>'11 - Notes Follow-up'!Y25</f>
        <v>92384.73000000001</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10826314834.92</v>
      </c>
      <c r="AP3" s="1239">
        <f>'11bis - Notes Calculation'!E17</f>
        <v>10731409727.809999</v>
      </c>
      <c r="AQ3" s="1239">
        <f>'11bis - Notes Calculation'!F17</f>
        <v>94905107.11000061</v>
      </c>
      <c r="AR3" s="1298">
        <f>'11bis - Notes Calculation'!H17</f>
        <v>1</v>
      </c>
      <c r="AS3" s="1298">
        <f>'11bis - Notes Calculation'!I17</f>
        <v>10194839630.92</v>
      </c>
      <c r="AT3" s="1298">
        <f>'11bis - Notes Calculation'!J17</f>
        <v>584.653500366956</v>
      </c>
      <c r="AU3" s="1298">
        <f>'11bis - Notes Calculation'!K17</f>
        <v>10731409727.809999</v>
      </c>
      <c r="AV3" s="1298">
        <f>'11bis - Notes Calculation'!L17</f>
        <v>0.05</v>
      </c>
      <c r="AW3" s="1298">
        <f>'11bis - Notes Calculation'!N17</f>
        <v>0.05</v>
      </c>
      <c r="AX3" s="1298">
        <f>'11bis - Notes Calculation'!O17</f>
        <v>10731409727.809999</v>
      </c>
      <c r="AY3" s="1298">
        <f>'11bis - Notes Calculation'!P17</f>
        <v>536570486.39050001</v>
      </c>
      <c r="AZ3" s="1239">
        <f>'11bis - Notes Calculation'!R17</f>
        <v>10731409727.809999</v>
      </c>
      <c r="BA3" s="1239">
        <f>'11bis - Notes Calculation'!S17</f>
        <v>536570486.39050001</v>
      </c>
      <c r="BB3" s="1239">
        <f>'11bis - Notes Calculation'!T17</f>
        <v>10194839241.4195</v>
      </c>
      <c r="BC3" s="1239">
        <f>'11bis - Notes Calculation'!V17</f>
        <v>94905107.11000061</v>
      </c>
      <c r="BD3" s="1239">
        <f>'11bis - Notes Calculation'!W17</f>
        <v>10284999070.92</v>
      </c>
      <c r="BE3" s="1239">
        <f>'11bis - Notes Calculation'!X17</f>
        <v>536570486.39050001</v>
      </c>
      <c r="BF3" s="1239">
        <f>'11bis - Notes Calculation'!Y17</f>
        <v>57195505.539037473</v>
      </c>
      <c r="BG3" s="1239">
        <f>'11bis - Notes Calculation'!Z17</f>
        <v>32964323.961462256</v>
      </c>
      <c r="BH3" s="1239">
        <f>'11bis - Notes Calculation'!AB17</f>
        <v>77732</v>
      </c>
      <c r="BI3" s="1239">
        <f>'11bis - Notes Calculation'!AC17</f>
        <v>735.8</v>
      </c>
      <c r="BJ3" s="1239">
        <f>'11bis - Notes Calculation'!AD17</f>
        <v>57195205.599999994</v>
      </c>
      <c r="BK3" s="1239">
        <f>'11bis - Notes Calculation'!AE17</f>
        <v>299.93903747946024</v>
      </c>
      <c r="BL3" s="1239">
        <f>'11bis - Notes Calculation'!AF17</f>
        <v>40340</v>
      </c>
      <c r="BM3" s="1239">
        <f>'11bis - Notes Calculation'!AG17</f>
        <v>817.16</v>
      </c>
      <c r="BN3" s="1239">
        <f>'11bis - Notes Calculation'!AH17</f>
        <v>32964234.399999999</v>
      </c>
      <c r="BO3" s="1239">
        <f>'11bis - Notes Calculation'!AI17</f>
        <v>89.561462257057428</v>
      </c>
      <c r="BP3" s="1239">
        <f>'11bis - Notes Calculation'!AK17</f>
        <v>94905107.11000061</v>
      </c>
      <c r="BQ3" s="1239">
        <f>'11bis - Notes Calculation'!AL17</f>
        <v>90159440</v>
      </c>
      <c r="BR3" s="1239">
        <f>'11bis - Notes Calculation'!AM17</f>
        <v>4745277.6095008738</v>
      </c>
      <c r="BS3" s="1239">
        <f>'11bis - Notes Calculation'!AO17</f>
        <v>5808</v>
      </c>
      <c r="BT3" s="1239">
        <f>'11bis - Notes Calculation'!AP17</f>
        <v>817.02</v>
      </c>
      <c r="BU3" s="1239">
        <f>'11bis - Notes Calculation'!AQ17</f>
        <v>4745252.16</v>
      </c>
      <c r="BV3" s="1239">
        <f>'11bis - Notes Calculation'!AR17</f>
        <v>25.449500873684883</v>
      </c>
      <c r="BW3">
        <f>'12 - Notes Interest'!D17</f>
        <v>77732</v>
      </c>
      <c r="BX3">
        <f>'12 - Notes Interest'!E17</f>
        <v>83936.960000000006</v>
      </c>
      <c r="BY3">
        <f>'12 - Notes Interest'!F17</f>
        <v>46202</v>
      </c>
      <c r="BZ3">
        <f>'12 - Notes Interest'!G17</f>
        <v>46230</v>
      </c>
      <c r="CA3">
        <f>'12 - Notes Interest'!H17</f>
        <v>28</v>
      </c>
      <c r="CB3">
        <f>'12 - Notes Interest'!I17</f>
        <v>6.0000000000000001E-3</v>
      </c>
      <c r="CC3">
        <f>'12 - Notes Interest'!J17</f>
        <v>38.630000000000003</v>
      </c>
      <c r="CD3">
        <f>'12 - Notes Interest'!K17</f>
        <v>3002787.16</v>
      </c>
      <c r="CE3">
        <f>'12 - Notes Interest'!M17</f>
        <v>40340</v>
      </c>
      <c r="CF3">
        <f>'12 - Notes Interest'!N17</f>
        <v>93217.930000000008</v>
      </c>
      <c r="CG3">
        <f>'12 - Notes Interest'!O17</f>
        <v>46202</v>
      </c>
      <c r="CH3">
        <f>'12 - Notes Interest'!P17</f>
        <v>46230</v>
      </c>
      <c r="CI3">
        <f>'12 - Notes Interest'!Q17</f>
        <v>28</v>
      </c>
      <c r="CJ3">
        <f>'12 - Notes Interest'!R17</f>
        <v>6.0000000000000001E-3</v>
      </c>
      <c r="CK3">
        <f>'12 - Notes Interest'!S17</f>
        <v>42.91</v>
      </c>
      <c r="CL3">
        <f>'12 - Notes Interest'!T17</f>
        <v>1730989.4</v>
      </c>
      <c r="CM3">
        <f>'12 - Notes Interest'!V17</f>
        <v>5808</v>
      </c>
      <c r="CN3">
        <f>'12 - Notes Interest'!W17</f>
        <v>93201.750000000015</v>
      </c>
      <c r="CO3">
        <f>'12 - Notes Interest'!X17</f>
        <v>46202</v>
      </c>
      <c r="CP3">
        <f>'12 - Notes Interest'!Y17</f>
        <v>46230</v>
      </c>
      <c r="CQ3">
        <f>'12 - Notes Interest'!Z17</f>
        <v>28</v>
      </c>
      <c r="CR3">
        <f>'12 - Notes Interest'!AA17</f>
        <v>1.4999999999999999E-2</v>
      </c>
      <c r="CS3">
        <f>'12 - Notes Interest'!AB17</f>
        <v>107.25</v>
      </c>
      <c r="CT3">
        <f>'12 - Notes Interest'!AC17</f>
        <v>622908</v>
      </c>
      <c r="CU3" s="1239">
        <f>'10 - Reserve calculation'!C12</f>
        <v>10194839630.92</v>
      </c>
      <c r="CV3" s="1730">
        <f>'10 - Reserve calculation'!D12</f>
        <v>5.0000000000000001E-3</v>
      </c>
      <c r="CW3" s="1239">
        <f>'10 - Reserve calculation'!E12</f>
        <v>500000</v>
      </c>
      <c r="CX3" s="1239" t="str">
        <f>'10 - Reserve calculation'!F12</f>
        <v>Yes</v>
      </c>
      <c r="CY3" s="1239" t="str">
        <f>'10 - Reserve calculation'!G12</f>
        <v>No</v>
      </c>
      <c r="CZ3" s="1239">
        <f>'10 - Reserve calculation'!H12</f>
        <v>50980000</v>
      </c>
      <c r="DA3" s="1239">
        <f>'10 - Reserve calculation'!I12</f>
        <v>51430000</v>
      </c>
      <c r="DB3" s="1239">
        <f>'10 - Reserve calculation'!J12</f>
        <v>51430000</v>
      </c>
      <c r="DC3" s="1239">
        <f>'10 - Reserve calculation'!K12</f>
        <v>-450000</v>
      </c>
      <c r="DD3" s="1239">
        <f>'13 - Issuer Account'!I29</f>
        <v>98144.250014826655</v>
      </c>
      <c r="DE3" s="1239">
        <f>'13 - Issuer Account'!I41</f>
        <v>50980000</v>
      </c>
      <c r="DF3" s="1239">
        <f>'13 - Issuer Account'!I52</f>
        <v>0</v>
      </c>
      <c r="DG3" s="1239"/>
      <c r="DH3" s="1239">
        <f>'15 - Priority of Payments'!J21</f>
        <v>110368449.09120145</v>
      </c>
    </row>
    <row r="4" spans="1:112">
      <c r="A4" s="1238">
        <v>46195</v>
      </c>
      <c r="B4" s="1238">
        <v>46202</v>
      </c>
      <c r="C4" s="1238">
        <v>46173</v>
      </c>
      <c r="D4" s="1239">
        <v>0</v>
      </c>
      <c r="E4" s="1239">
        <v>12428694752.200001</v>
      </c>
      <c r="F4" s="1239">
        <v>1035980.47</v>
      </c>
      <c r="G4" s="1239">
        <v>12242381.460000003</v>
      </c>
      <c r="H4" s="1239">
        <v>159095.67000000001</v>
      </c>
      <c r="I4" s="1239">
        <v>1808597.0099999998</v>
      </c>
      <c r="J4" s="1239">
        <v>84328666.73000145</v>
      </c>
      <c r="K4" s="1239">
        <v>90883110.105201691</v>
      </c>
      <c r="L4" s="1239">
        <v>99554730.395201683</v>
      </c>
      <c r="M4" s="1239">
        <v>8671620.2899999991</v>
      </c>
      <c r="N4" s="1239">
        <v>0</v>
      </c>
      <c r="O4" s="1239">
        <v>6575408956.3200006</v>
      </c>
      <c r="P4" s="1239">
        <v>0</v>
      </c>
      <c r="Q4" s="1239">
        <v>50821181.599999994</v>
      </c>
      <c r="R4" s="1239">
        <v>6524587774.7200003</v>
      </c>
      <c r="S4" s="1239">
        <v>77732</v>
      </c>
      <c r="T4" s="1239">
        <v>653.79999999999995</v>
      </c>
      <c r="U4" s="1239">
        <v>83936.960000000006</v>
      </c>
      <c r="V4" s="1239">
        <v>3789701766.8000002</v>
      </c>
      <c r="W4" s="1239">
        <v>0</v>
      </c>
      <c r="X4" s="1239">
        <v>29290470.600000001</v>
      </c>
      <c r="Y4" s="1239">
        <v>3760411296.2000003</v>
      </c>
      <c r="Z4" s="1239">
        <v>40340</v>
      </c>
      <c r="AA4" s="1239">
        <v>726.09</v>
      </c>
      <c r="AB4" s="1239">
        <v>93217.930000000008</v>
      </c>
      <c r="AC4" s="1239">
        <v>545532139.68000007</v>
      </c>
      <c r="AD4" s="1239">
        <v>0</v>
      </c>
      <c r="AE4" s="1239">
        <v>4216375.6800000006</v>
      </c>
      <c r="AF4" s="1239">
        <v>541315764.00000012</v>
      </c>
      <c r="AG4" s="1239">
        <v>5808</v>
      </c>
      <c r="AH4" s="1239">
        <v>93201.750000000015</v>
      </c>
      <c r="AI4" s="1239">
        <v>300</v>
      </c>
      <c r="AJ4" s="1239">
        <v>0</v>
      </c>
      <c r="AK4" s="1239">
        <v>0</v>
      </c>
      <c r="AL4" s="1239">
        <v>300</v>
      </c>
      <c r="AM4" s="1239">
        <v>2</v>
      </c>
      <c r="AN4" s="1239">
        <v>150</v>
      </c>
      <c r="AO4" s="1239">
        <v>10910642862.800001</v>
      </c>
      <c r="AP4" s="1239">
        <v>10826314196.07</v>
      </c>
      <c r="AQ4" s="1239">
        <v>84328666.73000145</v>
      </c>
      <c r="AR4" s="1298">
        <v>1</v>
      </c>
      <c r="AS4" s="1298">
        <v>10284999070.92</v>
      </c>
      <c r="AT4" s="1298">
        <v>483.12450263649225</v>
      </c>
      <c r="AU4" s="1298">
        <v>10826314196.07</v>
      </c>
      <c r="AV4" s="1298">
        <v>0.05</v>
      </c>
      <c r="AW4" s="1298">
        <v>0.05</v>
      </c>
      <c r="AX4" s="1298">
        <v>10826314196.07</v>
      </c>
      <c r="AY4" s="1298">
        <v>541315709.80350006</v>
      </c>
      <c r="AZ4" s="1239">
        <v>10826314196.07</v>
      </c>
      <c r="BA4" s="1239">
        <v>541315709.80350006</v>
      </c>
      <c r="BB4" s="1239">
        <v>10284998486.2665</v>
      </c>
      <c r="BC4" s="1239">
        <v>84328666.73000145</v>
      </c>
      <c r="BD4" s="1239">
        <v>10365110723.120001</v>
      </c>
      <c r="BE4" s="1239">
        <v>541315709.80350006</v>
      </c>
      <c r="BF4" s="1239">
        <v>50821523.646857128</v>
      </c>
      <c r="BG4" s="1239">
        <v>29290713.206643235</v>
      </c>
      <c r="BH4" s="1239">
        <v>77732</v>
      </c>
      <c r="BI4" s="1239">
        <v>653.79999999999995</v>
      </c>
      <c r="BJ4" s="1239">
        <v>50821181.599999994</v>
      </c>
      <c r="BK4" s="1239">
        <v>342.04685713350773</v>
      </c>
      <c r="BL4" s="1239">
        <v>40340</v>
      </c>
      <c r="BM4" s="1239">
        <v>726.09</v>
      </c>
      <c r="BN4" s="1239">
        <v>29290470.600000001</v>
      </c>
      <c r="BO4" s="1239">
        <v>242.60664323344827</v>
      </c>
      <c r="BP4" s="1239">
        <v>84328666.73000145</v>
      </c>
      <c r="BQ4" s="1239">
        <v>80111652.199999988</v>
      </c>
      <c r="BR4" s="1239">
        <v>4216429.8765010945</v>
      </c>
      <c r="BS4" s="1239">
        <v>5808</v>
      </c>
      <c r="BT4" s="1239">
        <v>725.96</v>
      </c>
      <c r="BU4" s="1239">
        <v>4216375.6800000006</v>
      </c>
      <c r="BV4" s="1239">
        <v>54.196501093916595</v>
      </c>
      <c r="BW4">
        <v>77732</v>
      </c>
      <c r="BX4">
        <v>84590.760000000009</v>
      </c>
      <c r="BY4">
        <v>46169</v>
      </c>
      <c r="BZ4">
        <v>46202</v>
      </c>
      <c r="CA4">
        <v>33</v>
      </c>
      <c r="CB4">
        <v>6.0000000000000001E-3</v>
      </c>
      <c r="CC4">
        <v>45.89</v>
      </c>
      <c r="CD4">
        <v>3567121.48</v>
      </c>
      <c r="CE4">
        <v>40340</v>
      </c>
      <c r="CF4">
        <v>93944.02</v>
      </c>
      <c r="CG4">
        <v>46169</v>
      </c>
      <c r="CH4">
        <v>46202</v>
      </c>
      <c r="CI4">
        <v>33</v>
      </c>
      <c r="CJ4">
        <v>6.0000000000000001E-3</v>
      </c>
      <c r="CK4">
        <v>50.96</v>
      </c>
      <c r="CL4">
        <v>2055726.4000000001</v>
      </c>
      <c r="CM4">
        <v>5808</v>
      </c>
      <c r="CN4">
        <v>93927.71</v>
      </c>
      <c r="CO4">
        <v>46169</v>
      </c>
      <c r="CP4">
        <v>46202</v>
      </c>
      <c r="CQ4">
        <v>33</v>
      </c>
      <c r="CR4">
        <v>1.4999999999999999E-2</v>
      </c>
      <c r="CS4">
        <v>127.38</v>
      </c>
      <c r="CT4">
        <v>739823.03999999992</v>
      </c>
      <c r="CU4" s="1239">
        <v>10284999070.92</v>
      </c>
      <c r="CV4" s="1730">
        <v>5.0000000000000001E-3</v>
      </c>
      <c r="CW4" s="1239">
        <v>500000</v>
      </c>
      <c r="CX4" s="1239" t="s">
        <v>1073</v>
      </c>
      <c r="CY4" s="1239" t="s">
        <v>1072</v>
      </c>
      <c r="CZ4" s="1239">
        <v>51430000</v>
      </c>
      <c r="DA4" s="1239">
        <v>51830000</v>
      </c>
      <c r="DB4" s="1239">
        <v>51830000</v>
      </c>
      <c r="DC4" s="1239">
        <v>-400000</v>
      </c>
      <c r="DD4" s="1239">
        <v>97729.300014212728</v>
      </c>
      <c r="DE4" s="1239">
        <v>51430000</v>
      </c>
      <c r="DF4" s="1239">
        <v>0</v>
      </c>
      <c r="DG4" s="1239"/>
      <c r="DH4" s="1239">
        <v>99554730.395201683</v>
      </c>
    </row>
    <row r="5" spans="1:112">
      <c r="A5" s="1238">
        <v>46161</v>
      </c>
      <c r="B5" s="1238">
        <v>46169</v>
      </c>
      <c r="C5" s="1238">
        <v>46142</v>
      </c>
      <c r="D5" s="1239">
        <v>0</v>
      </c>
      <c r="E5" s="1239">
        <v>12428694752.200001</v>
      </c>
      <c r="F5" s="1239">
        <v>644714.96</v>
      </c>
      <c r="G5" s="1239">
        <v>11206400.990000002</v>
      </c>
      <c r="H5" s="1239">
        <v>2575.1800000000003</v>
      </c>
      <c r="I5" s="1239">
        <v>1649501.3399999999</v>
      </c>
      <c r="J5" s="1239">
        <v>92791275.990001678</v>
      </c>
      <c r="K5" s="1239">
        <v>100118299.84360091</v>
      </c>
      <c r="L5" s="1239">
        <v>108376160.90360092</v>
      </c>
      <c r="M5" s="1239">
        <v>8257861.0600000005</v>
      </c>
      <c r="N5" s="1239">
        <v>0</v>
      </c>
      <c r="O5" s="1239">
        <v>6631330134.4400005</v>
      </c>
      <c r="P5" s="1239">
        <v>0</v>
      </c>
      <c r="Q5" s="1239">
        <v>55921178.119999997</v>
      </c>
      <c r="R5" s="1239">
        <v>6575408956.3200006</v>
      </c>
      <c r="S5" s="1239">
        <v>77732</v>
      </c>
      <c r="T5" s="1239">
        <v>719.41</v>
      </c>
      <c r="U5" s="1239">
        <v>84590.760000000009</v>
      </c>
      <c r="V5" s="1239">
        <v>3821931813.2000003</v>
      </c>
      <c r="W5" s="1239">
        <v>0</v>
      </c>
      <c r="X5" s="1239">
        <v>32230046.400000002</v>
      </c>
      <c r="Y5" s="1239">
        <v>3789701766.8000002</v>
      </c>
      <c r="Z5" s="1239">
        <v>40340</v>
      </c>
      <c r="AA5" s="1239">
        <v>798.96</v>
      </c>
      <c r="AB5" s="1239">
        <v>93944.02</v>
      </c>
      <c r="AC5" s="1239">
        <v>550171686.24000001</v>
      </c>
      <c r="AD5" s="1239">
        <v>0</v>
      </c>
      <c r="AE5" s="1239">
        <v>4639546.5600000005</v>
      </c>
      <c r="AF5" s="1239">
        <v>545532139.68000007</v>
      </c>
      <c r="AG5" s="1239">
        <v>5808</v>
      </c>
      <c r="AH5" s="1239">
        <v>93927.71</v>
      </c>
      <c r="AI5" s="1239">
        <v>300</v>
      </c>
      <c r="AJ5" s="1239">
        <v>0</v>
      </c>
      <c r="AK5" s="1239">
        <v>0</v>
      </c>
      <c r="AL5" s="1239">
        <v>300</v>
      </c>
      <c r="AM5" s="1239">
        <v>2</v>
      </c>
      <c r="AN5" s="1239">
        <v>150</v>
      </c>
      <c r="AO5" s="1239">
        <v>11003433633.880001</v>
      </c>
      <c r="AP5" s="1239">
        <v>10910642357.889999</v>
      </c>
      <c r="AQ5" s="1239">
        <v>92791275.990001678</v>
      </c>
      <c r="AR5" s="1298">
        <v>1</v>
      </c>
      <c r="AS5" s="1298">
        <v>10365110723.120001</v>
      </c>
      <c r="AT5" s="1298">
        <v>411.46850142627954</v>
      </c>
      <c r="AU5" s="1298">
        <v>10910642357.889999</v>
      </c>
      <c r="AV5" s="1298">
        <v>0.05</v>
      </c>
      <c r="AW5" s="1298">
        <v>0.05</v>
      </c>
      <c r="AX5" s="1298">
        <v>10910642357.889999</v>
      </c>
      <c r="AY5" s="1298">
        <v>545532117.89450002</v>
      </c>
      <c r="AZ5" s="1239">
        <v>10910642357.889999</v>
      </c>
      <c r="BA5" s="1239">
        <v>545532117.89450002</v>
      </c>
      <c r="BB5" s="1239">
        <v>10365110239.995499</v>
      </c>
      <c r="BC5" s="1239">
        <v>92791275.990001678</v>
      </c>
      <c r="BD5" s="1239">
        <v>10453261947.640001</v>
      </c>
      <c r="BE5" s="1239">
        <v>545532117.89450002</v>
      </c>
      <c r="BF5" s="1239">
        <v>55921594.449023649</v>
      </c>
      <c r="BG5" s="1239">
        <v>32230113.195478987</v>
      </c>
      <c r="BH5" s="1239">
        <v>77732</v>
      </c>
      <c r="BI5" s="1239">
        <v>719.41</v>
      </c>
      <c r="BJ5" s="1239">
        <v>55921178.119999997</v>
      </c>
      <c r="BK5" s="1239">
        <v>416.3290236517787</v>
      </c>
      <c r="BL5" s="1239">
        <v>40340</v>
      </c>
      <c r="BM5" s="1239">
        <v>798.96</v>
      </c>
      <c r="BN5" s="1239">
        <v>32230046.400000002</v>
      </c>
      <c r="BO5" s="1239">
        <v>66.795478984713554</v>
      </c>
      <c r="BP5" s="1239">
        <v>92791275.990001678</v>
      </c>
      <c r="BQ5" s="1239">
        <v>88151224.519999996</v>
      </c>
      <c r="BR5" s="1239">
        <v>4639568.3454990461</v>
      </c>
      <c r="BS5" s="1239">
        <v>5808</v>
      </c>
      <c r="BT5" s="1239">
        <v>798.82</v>
      </c>
      <c r="BU5" s="1239">
        <v>4639546.5600000005</v>
      </c>
      <c r="BV5" s="1239">
        <v>21.785499045625329</v>
      </c>
      <c r="BW5">
        <v>77732</v>
      </c>
      <c r="BX5">
        <v>85310.170000000013</v>
      </c>
      <c r="BY5">
        <v>46139</v>
      </c>
      <c r="BZ5">
        <v>46169</v>
      </c>
      <c r="CA5">
        <v>30</v>
      </c>
      <c r="CB5">
        <v>6.0000000000000001E-3</v>
      </c>
      <c r="CC5">
        <v>42.07</v>
      </c>
      <c r="CD5">
        <v>3270185.24</v>
      </c>
      <c r="CE5">
        <v>40340</v>
      </c>
      <c r="CF5">
        <v>94742.98000000001</v>
      </c>
      <c r="CG5">
        <v>46139</v>
      </c>
      <c r="CH5">
        <v>46169</v>
      </c>
      <c r="CI5">
        <v>30</v>
      </c>
      <c r="CJ5">
        <v>6.0000000000000001E-3</v>
      </c>
      <c r="CK5">
        <v>46.72</v>
      </c>
      <c r="CL5">
        <v>1884684.8</v>
      </c>
      <c r="CM5">
        <v>5808</v>
      </c>
      <c r="CN5">
        <v>94726.53</v>
      </c>
      <c r="CO5">
        <v>46139</v>
      </c>
      <c r="CP5">
        <v>46169</v>
      </c>
      <c r="CQ5">
        <v>30</v>
      </c>
      <c r="CR5">
        <v>1.4999999999999999E-2</v>
      </c>
      <c r="CS5">
        <v>116.79</v>
      </c>
      <c r="CT5">
        <v>678316.32000000007</v>
      </c>
      <c r="CU5" s="1239">
        <v>10365110723.120001</v>
      </c>
      <c r="CV5" s="1730">
        <v>5.0000000000000001E-3</v>
      </c>
      <c r="CW5" s="1239">
        <v>500000</v>
      </c>
      <c r="CX5" s="1239" t="s">
        <v>1073</v>
      </c>
      <c r="CY5" s="1239" t="s">
        <v>1072</v>
      </c>
      <c r="CZ5" s="1239">
        <v>51830000</v>
      </c>
      <c r="DA5" s="1239">
        <v>52270000</v>
      </c>
      <c r="DB5" s="1239">
        <v>52270000</v>
      </c>
      <c r="DC5" s="1239">
        <v>-440000</v>
      </c>
      <c r="DD5" s="1239">
        <v>97090.450012758374</v>
      </c>
      <c r="DE5" s="1239">
        <v>51830000</v>
      </c>
      <c r="DF5" s="1239">
        <v>0</v>
      </c>
      <c r="DG5" s="1239"/>
      <c r="DH5" s="1239">
        <v>108376160.90360092</v>
      </c>
    </row>
    <row r="6" spans="1:112">
      <c r="A6" s="1238">
        <v>46132</v>
      </c>
      <c r="B6" s="1238">
        <v>46139</v>
      </c>
      <c r="C6" s="1238">
        <v>46112</v>
      </c>
      <c r="D6" s="1239">
        <v>0</v>
      </c>
      <c r="E6" s="1239">
        <v>12428694752.200001</v>
      </c>
      <c r="F6" s="1239">
        <v>533922.61</v>
      </c>
      <c r="G6" s="1239">
        <v>10561686.030000001</v>
      </c>
      <c r="H6" s="1239">
        <v>101335.99</v>
      </c>
      <c r="I6" s="1239">
        <v>1646926.16</v>
      </c>
      <c r="J6" s="1239">
        <v>121187639.79000092</v>
      </c>
      <c r="K6" s="1239">
        <v>128761346.4332011</v>
      </c>
      <c r="L6" s="1239">
        <v>137208997.8432011</v>
      </c>
      <c r="M6" s="1239">
        <v>8447651.4100000001</v>
      </c>
      <c r="N6" s="1239">
        <v>0</v>
      </c>
      <c r="O6" s="1239">
        <v>6704364789.6800003</v>
      </c>
      <c r="P6" s="1239">
        <v>0</v>
      </c>
      <c r="Q6" s="1239">
        <v>73034655.24000001</v>
      </c>
      <c r="R6" s="1239">
        <v>6631330134.4400005</v>
      </c>
      <c r="S6" s="1239">
        <v>77732</v>
      </c>
      <c r="T6" s="1239">
        <v>939.57000000000016</v>
      </c>
      <c r="U6" s="1239">
        <v>85310.170000000013</v>
      </c>
      <c r="V6" s="1239">
        <v>3864024989.6000004</v>
      </c>
      <c r="W6" s="1239">
        <v>0</v>
      </c>
      <c r="X6" s="1239">
        <v>42093176.399999999</v>
      </c>
      <c r="Y6" s="1239">
        <v>3821931813.2000003</v>
      </c>
      <c r="Z6" s="1239">
        <v>40340</v>
      </c>
      <c r="AA6" s="1239">
        <v>1043.46</v>
      </c>
      <c r="AB6" s="1239">
        <v>94742.98000000001</v>
      </c>
      <c r="AC6" s="1239">
        <v>556231056.48000002</v>
      </c>
      <c r="AD6" s="1239">
        <v>0</v>
      </c>
      <c r="AE6" s="1239">
        <v>6059370.2400000002</v>
      </c>
      <c r="AF6" s="1239">
        <v>550171686.24000001</v>
      </c>
      <c r="AG6" s="1239">
        <v>5808</v>
      </c>
      <c r="AH6" s="1239">
        <v>94726.53</v>
      </c>
      <c r="AI6" s="1239">
        <v>300</v>
      </c>
      <c r="AJ6" s="1239">
        <v>0</v>
      </c>
      <c r="AK6" s="1239">
        <v>0</v>
      </c>
      <c r="AL6" s="1239">
        <v>300</v>
      </c>
      <c r="AM6" s="1239">
        <v>2</v>
      </c>
      <c r="AN6" s="1239">
        <v>150</v>
      </c>
      <c r="AO6" s="1239">
        <v>11124620835.76</v>
      </c>
      <c r="AP6" s="1239">
        <v>11003433195.969999</v>
      </c>
      <c r="AQ6" s="1239">
        <v>121187639.79000092</v>
      </c>
      <c r="AR6" s="1298">
        <v>1</v>
      </c>
      <c r="AS6" s="1298">
        <v>10453261947.640001</v>
      </c>
      <c r="AT6" s="1298">
        <v>439.71199943125248</v>
      </c>
      <c r="AU6" s="1298">
        <v>11003433195.969999</v>
      </c>
      <c r="AV6" s="1298">
        <v>0.05</v>
      </c>
      <c r="AW6" s="1298">
        <v>0.05</v>
      </c>
      <c r="AX6" s="1298">
        <v>11003433195.969999</v>
      </c>
      <c r="AY6" s="1298">
        <v>550171659.79849994</v>
      </c>
      <c r="AZ6" s="1239">
        <v>11003433195.969999</v>
      </c>
      <c r="BA6" s="1239">
        <v>550171659.79849994</v>
      </c>
      <c r="BB6" s="1239">
        <v>10453261536.171499</v>
      </c>
      <c r="BC6" s="1239">
        <v>121187639.79000092</v>
      </c>
      <c r="BD6" s="1239">
        <v>10568389779.280001</v>
      </c>
      <c r="BE6" s="1239">
        <v>550171659.79849994</v>
      </c>
      <c r="BF6" s="1239">
        <v>73034942.457141399</v>
      </c>
      <c r="BG6" s="1239">
        <v>42093300.651360035</v>
      </c>
      <c r="BH6" s="1239">
        <v>77732</v>
      </c>
      <c r="BI6" s="1239">
        <v>939.57</v>
      </c>
      <c r="BJ6" s="1239">
        <v>73034655.24000001</v>
      </c>
      <c r="BK6" s="1239">
        <v>287.2171413898468</v>
      </c>
      <c r="BL6" s="1239">
        <v>40340</v>
      </c>
      <c r="BM6" s="1239">
        <v>1043.46</v>
      </c>
      <c r="BN6" s="1239">
        <v>42093176.399999999</v>
      </c>
      <c r="BO6" s="1239">
        <v>124.25136003643274</v>
      </c>
      <c r="BP6" s="1239">
        <v>121187639.79000092</v>
      </c>
      <c r="BQ6" s="1239">
        <v>115127831.64000002</v>
      </c>
      <c r="BR6" s="1239">
        <v>6059396.6814994738</v>
      </c>
      <c r="BS6" s="1239">
        <v>5808</v>
      </c>
      <c r="BT6" s="1239">
        <v>1043.28</v>
      </c>
      <c r="BU6" s="1239">
        <v>6059370.2400000002</v>
      </c>
      <c r="BV6" s="1239">
        <v>26.441499473527074</v>
      </c>
      <c r="BW6">
        <v>77732</v>
      </c>
      <c r="BX6">
        <v>86249.74</v>
      </c>
      <c r="BY6">
        <v>46108</v>
      </c>
      <c r="BZ6">
        <v>46139</v>
      </c>
      <c r="CA6">
        <v>31</v>
      </c>
      <c r="CB6">
        <v>6.0000000000000001E-3</v>
      </c>
      <c r="CC6">
        <v>43.95</v>
      </c>
      <c r="CD6">
        <v>3416321.4000000004</v>
      </c>
      <c r="CE6">
        <v>40340</v>
      </c>
      <c r="CF6">
        <v>95786.44</v>
      </c>
      <c r="CG6">
        <v>46108</v>
      </c>
      <c r="CH6">
        <v>46139</v>
      </c>
      <c r="CI6">
        <v>31</v>
      </c>
      <c r="CJ6">
        <v>6.0000000000000001E-3</v>
      </c>
      <c r="CK6">
        <v>48.81</v>
      </c>
      <c r="CL6">
        <v>1968995.4000000001</v>
      </c>
      <c r="CM6">
        <v>5808</v>
      </c>
      <c r="CN6">
        <v>95769.81</v>
      </c>
      <c r="CO6">
        <v>46108</v>
      </c>
      <c r="CP6">
        <v>46139</v>
      </c>
      <c r="CQ6">
        <v>31</v>
      </c>
      <c r="CR6">
        <v>1.4999999999999999E-2</v>
      </c>
      <c r="CS6">
        <v>122.01</v>
      </c>
      <c r="CT6">
        <v>708634.08000000007</v>
      </c>
      <c r="CU6" s="1239">
        <v>10453261947.640001</v>
      </c>
      <c r="CV6" s="1730">
        <v>5.0000000000000001E-3</v>
      </c>
      <c r="CW6" s="1239">
        <v>500000</v>
      </c>
      <c r="CX6" s="1239" t="s">
        <v>1073</v>
      </c>
      <c r="CY6" s="1239" t="s">
        <v>1072</v>
      </c>
      <c r="CZ6" s="1239">
        <v>52270000</v>
      </c>
      <c r="DA6" s="1239">
        <v>52850000</v>
      </c>
      <c r="DB6" s="1239">
        <v>52850000</v>
      </c>
      <c r="DC6" s="1239">
        <v>-580000</v>
      </c>
      <c r="DD6" s="1239">
        <v>96585.540011048317</v>
      </c>
      <c r="DE6" s="1239">
        <v>52270000</v>
      </c>
      <c r="DF6" s="1239">
        <v>0</v>
      </c>
      <c r="DG6" s="1239"/>
      <c r="DH6" s="1239">
        <v>137208997.8432011</v>
      </c>
    </row>
    <row r="7" spans="1:112">
      <c r="A7" s="1238">
        <v>46101</v>
      </c>
      <c r="B7" s="1238">
        <v>46108</v>
      </c>
      <c r="C7" s="1238">
        <v>46081</v>
      </c>
      <c r="D7" s="1239">
        <v>0</v>
      </c>
      <c r="E7" s="1239">
        <v>12428694752.200001</v>
      </c>
      <c r="F7" s="1239">
        <v>340969.13</v>
      </c>
      <c r="G7" s="1239">
        <v>10027763.420000002</v>
      </c>
      <c r="H7" s="1239">
        <v>164020.23000000001</v>
      </c>
      <c r="I7" s="1239">
        <v>1545590.17</v>
      </c>
      <c r="J7" s="1239">
        <v>90460441.800001144</v>
      </c>
      <c r="K7" s="1239">
        <v>100505450.93920113</v>
      </c>
      <c r="L7" s="1239">
        <v>108428645.82920113</v>
      </c>
      <c r="M7" s="1239">
        <v>7923194.8900000015</v>
      </c>
      <c r="N7" s="1239">
        <v>0</v>
      </c>
      <c r="O7" s="1239">
        <v>6758881350.5600004</v>
      </c>
      <c r="P7" s="1239">
        <v>0</v>
      </c>
      <c r="Q7" s="1239">
        <v>54516560.880000003</v>
      </c>
      <c r="R7" s="1239">
        <v>6704364789.6800003</v>
      </c>
      <c r="S7" s="1239">
        <v>77732</v>
      </c>
      <c r="T7" s="1239">
        <v>701.34</v>
      </c>
      <c r="U7" s="1239">
        <v>86249.74</v>
      </c>
      <c r="V7" s="1239">
        <v>3895445412.2000003</v>
      </c>
      <c r="W7" s="1239">
        <v>0</v>
      </c>
      <c r="X7" s="1239">
        <v>31420422.599999998</v>
      </c>
      <c r="Y7" s="1239">
        <v>3864024989.6000004</v>
      </c>
      <c r="Z7" s="1239">
        <v>40340</v>
      </c>
      <c r="AA7" s="1239">
        <v>778.89</v>
      </c>
      <c r="AB7" s="1239">
        <v>95786.44</v>
      </c>
      <c r="AC7" s="1239">
        <v>560754036.48000002</v>
      </c>
      <c r="AD7" s="1239">
        <v>0</v>
      </c>
      <c r="AE7" s="1239">
        <v>4522980</v>
      </c>
      <c r="AF7" s="1239">
        <v>556231056.48000002</v>
      </c>
      <c r="AG7" s="1239">
        <v>5808</v>
      </c>
      <c r="AH7" s="1239">
        <v>95769.81</v>
      </c>
      <c r="AI7" s="1239">
        <v>300</v>
      </c>
      <c r="AJ7" s="1239">
        <v>0</v>
      </c>
      <c r="AK7" s="1239">
        <v>0</v>
      </c>
      <c r="AL7" s="1239">
        <v>300</v>
      </c>
      <c r="AM7" s="1239">
        <v>2</v>
      </c>
      <c r="AN7" s="1239">
        <v>150</v>
      </c>
      <c r="AO7" s="1239">
        <v>11215080799.240002</v>
      </c>
      <c r="AP7" s="1239">
        <v>11124620357.440001</v>
      </c>
      <c r="AQ7" s="1239">
        <v>90460441.800001144</v>
      </c>
      <c r="AR7" s="1298">
        <v>1</v>
      </c>
      <c r="AS7" s="1298">
        <v>10568389779.280001</v>
      </c>
      <c r="AT7" s="1298">
        <v>558.78550178557634</v>
      </c>
      <c r="AU7" s="1298">
        <v>11124620357.440001</v>
      </c>
      <c r="AV7" s="1298">
        <v>0.05</v>
      </c>
      <c r="AW7" s="1298">
        <v>0.05</v>
      </c>
      <c r="AX7" s="1298">
        <v>11124620357.440001</v>
      </c>
      <c r="AY7" s="1298">
        <v>556231017.8720001</v>
      </c>
      <c r="AZ7" s="1239">
        <v>11124620357.440001</v>
      </c>
      <c r="BA7" s="1239">
        <v>556231017.8720001</v>
      </c>
      <c r="BB7" s="1239">
        <v>10568389339.568001</v>
      </c>
      <c r="BC7" s="1239">
        <v>90460441.800001144</v>
      </c>
      <c r="BD7" s="1239">
        <v>10654326762.76</v>
      </c>
      <c r="BE7" s="1239">
        <v>556231017.8720001</v>
      </c>
      <c r="BF7" s="1239">
        <v>54516898.144873567</v>
      </c>
      <c r="BG7" s="1239">
        <v>31420525.047125865</v>
      </c>
      <c r="BH7" s="1239">
        <v>77732</v>
      </c>
      <c r="BI7" s="1239">
        <v>701.34</v>
      </c>
      <c r="BJ7" s="1239">
        <v>54516560.880000003</v>
      </c>
      <c r="BK7" s="1239">
        <v>337.26487356424332</v>
      </c>
      <c r="BL7" s="1239">
        <v>40340</v>
      </c>
      <c r="BM7" s="1239">
        <v>778.89</v>
      </c>
      <c r="BN7" s="1239">
        <v>31420422.599999998</v>
      </c>
      <c r="BO7" s="1239">
        <v>102.44712586700916</v>
      </c>
      <c r="BP7" s="1239">
        <v>90460441.800001144</v>
      </c>
      <c r="BQ7" s="1239">
        <v>85936983.480000004</v>
      </c>
      <c r="BR7" s="1239">
        <v>4523018.608001709</v>
      </c>
      <c r="BS7" s="1239">
        <v>5808</v>
      </c>
      <c r="BT7" s="1239">
        <v>778.75</v>
      </c>
      <c r="BU7" s="1239">
        <v>4522980</v>
      </c>
      <c r="BV7" s="1239">
        <v>38.608001708984375</v>
      </c>
      <c r="BW7">
        <v>77732</v>
      </c>
      <c r="BX7">
        <v>86951.08</v>
      </c>
      <c r="BY7">
        <v>46080</v>
      </c>
      <c r="BZ7">
        <v>46108</v>
      </c>
      <c r="CA7">
        <v>28</v>
      </c>
      <c r="CB7">
        <v>6.0000000000000001E-3</v>
      </c>
      <c r="CC7">
        <v>40.020000000000003</v>
      </c>
      <c r="CD7">
        <v>3110834.64</v>
      </c>
      <c r="CE7">
        <v>40340</v>
      </c>
      <c r="CF7">
        <v>96565.33</v>
      </c>
      <c r="CG7">
        <v>46080</v>
      </c>
      <c r="CH7">
        <v>46108</v>
      </c>
      <c r="CI7">
        <v>28</v>
      </c>
      <c r="CJ7">
        <v>6.0000000000000001E-3</v>
      </c>
      <c r="CK7">
        <v>44.45</v>
      </c>
      <c r="CL7">
        <v>1793113</v>
      </c>
      <c r="CM7">
        <v>5808</v>
      </c>
      <c r="CN7">
        <v>96548.56</v>
      </c>
      <c r="CO7">
        <v>46080</v>
      </c>
      <c r="CP7">
        <v>46108</v>
      </c>
      <c r="CQ7">
        <v>28</v>
      </c>
      <c r="CR7">
        <v>1.4999999999999999E-2</v>
      </c>
      <c r="CS7">
        <v>111.1</v>
      </c>
      <c r="CT7">
        <v>645268.79999999993</v>
      </c>
      <c r="CU7" s="1239">
        <v>10568389779.280001</v>
      </c>
      <c r="CV7" s="1730">
        <v>5.0000000000000001E-3</v>
      </c>
      <c r="CW7" s="1239">
        <v>500000</v>
      </c>
      <c r="CX7" s="1239" t="s">
        <v>1073</v>
      </c>
      <c r="CY7" s="1239" t="s">
        <v>1072</v>
      </c>
      <c r="CZ7" s="1239">
        <v>52850000</v>
      </c>
      <c r="DA7" s="1239">
        <v>53280000</v>
      </c>
      <c r="DB7" s="1239">
        <v>53280000</v>
      </c>
      <c r="DC7" s="1239">
        <v>-430000</v>
      </c>
      <c r="DD7" s="1239">
        <v>96147.63001011312</v>
      </c>
      <c r="DE7" s="1239">
        <v>52850000</v>
      </c>
      <c r="DF7" s="1239">
        <v>0</v>
      </c>
      <c r="DG7" s="1239"/>
      <c r="DH7" s="1239">
        <v>108428645.82920113</v>
      </c>
    </row>
    <row r="8" spans="1:112">
      <c r="A8" s="1238">
        <v>46073</v>
      </c>
      <c r="B8" s="1238">
        <v>46080</v>
      </c>
      <c r="C8" s="1238">
        <v>46053</v>
      </c>
      <c r="D8" s="1239">
        <v>0</v>
      </c>
      <c r="E8" s="1239">
        <v>12428694752.200001</v>
      </c>
      <c r="F8" s="1239">
        <v>2770700.2</v>
      </c>
      <c r="G8" s="1239">
        <v>9686794.290000001</v>
      </c>
      <c r="H8" s="1239">
        <v>847684.58000000007</v>
      </c>
      <c r="I8" s="1239">
        <v>1381569.94</v>
      </c>
      <c r="J8" s="1239">
        <v>99140955.050001144</v>
      </c>
      <c r="K8" s="1239">
        <v>105747531.43480022</v>
      </c>
      <c r="L8" s="1239">
        <v>114339918.71480022</v>
      </c>
      <c r="M8" s="1239">
        <v>8592387.2799999993</v>
      </c>
      <c r="N8" s="1239">
        <v>0</v>
      </c>
      <c r="O8" s="1239">
        <v>6818629275.04</v>
      </c>
      <c r="P8" s="1239">
        <v>0</v>
      </c>
      <c r="Q8" s="1239">
        <v>59747924.479999997</v>
      </c>
      <c r="R8" s="1239">
        <v>6758881350.5600004</v>
      </c>
      <c r="S8" s="1239">
        <v>77732</v>
      </c>
      <c r="T8" s="1239">
        <v>768.64</v>
      </c>
      <c r="U8" s="1239">
        <v>86951.08</v>
      </c>
      <c r="V8" s="1239">
        <v>3929880846.4000001</v>
      </c>
      <c r="W8" s="1239">
        <v>0</v>
      </c>
      <c r="X8" s="1239">
        <v>34435434.200000003</v>
      </c>
      <c r="Y8" s="1239">
        <v>3895445412.2000003</v>
      </c>
      <c r="Z8" s="1239">
        <v>40340</v>
      </c>
      <c r="AA8" s="1239">
        <v>853.63000000000011</v>
      </c>
      <c r="AB8" s="1239">
        <v>96565.33</v>
      </c>
      <c r="AC8" s="1239">
        <v>565711048.32000005</v>
      </c>
      <c r="AD8" s="1239">
        <v>0</v>
      </c>
      <c r="AE8" s="1239">
        <v>4957011.84</v>
      </c>
      <c r="AF8" s="1239">
        <v>560754036.48000002</v>
      </c>
      <c r="AG8" s="1239">
        <v>5808</v>
      </c>
      <c r="AH8" s="1239">
        <v>96548.56</v>
      </c>
      <c r="AI8" s="1239">
        <v>300</v>
      </c>
      <c r="AJ8" s="1239">
        <v>0</v>
      </c>
      <c r="AK8" s="1239">
        <v>0</v>
      </c>
      <c r="AL8" s="1239">
        <v>300</v>
      </c>
      <c r="AM8" s="1239">
        <v>2</v>
      </c>
      <c r="AN8" s="1239">
        <v>150</v>
      </c>
      <c r="AO8" s="1239">
        <v>11314221169.76</v>
      </c>
      <c r="AP8" s="1239">
        <v>11215080214.709999</v>
      </c>
      <c r="AQ8" s="1239">
        <v>99140955.050001144</v>
      </c>
      <c r="AR8" s="1298">
        <v>1</v>
      </c>
      <c r="AS8" s="1298">
        <v>10654326762.76</v>
      </c>
      <c r="AT8" s="1298">
        <v>598.37949920445681</v>
      </c>
      <c r="AU8" s="1298">
        <v>11215080214.709999</v>
      </c>
      <c r="AV8" s="1298">
        <v>0.05</v>
      </c>
      <c r="AW8" s="1298">
        <v>0.05</v>
      </c>
      <c r="AX8" s="1298">
        <v>11215080214.709999</v>
      </c>
      <c r="AY8" s="1298">
        <v>560754010.73549998</v>
      </c>
      <c r="AZ8" s="1239">
        <v>11215080214.709999</v>
      </c>
      <c r="BA8" s="1239">
        <v>560754010.73549998</v>
      </c>
      <c r="BB8" s="1239">
        <v>10654326203.974499</v>
      </c>
      <c r="BC8" s="1239">
        <v>99140955.050001144</v>
      </c>
      <c r="BD8" s="1239">
        <v>10748510121.440001</v>
      </c>
      <c r="BE8" s="1239">
        <v>560754010.73549998</v>
      </c>
      <c r="BF8" s="1239">
        <v>59748300.891229384</v>
      </c>
      <c r="BG8" s="1239">
        <v>34435616.574272402</v>
      </c>
      <c r="BH8" s="1239">
        <v>77732</v>
      </c>
      <c r="BI8" s="1239">
        <v>768.64</v>
      </c>
      <c r="BJ8" s="1239">
        <v>59747924.479999997</v>
      </c>
      <c r="BK8" s="1239">
        <v>376.4112293869257</v>
      </c>
      <c r="BL8" s="1239">
        <v>40340</v>
      </c>
      <c r="BM8" s="1239">
        <v>853.63</v>
      </c>
      <c r="BN8" s="1239">
        <v>34435434.200000003</v>
      </c>
      <c r="BO8" s="1239">
        <v>182.37427239865065</v>
      </c>
      <c r="BP8" s="1239">
        <v>99140955.050001144</v>
      </c>
      <c r="BQ8" s="1239">
        <v>94183358.680000007</v>
      </c>
      <c r="BR8" s="1239">
        <v>4957037.5844993517</v>
      </c>
      <c r="BS8" s="1239">
        <v>5808</v>
      </c>
      <c r="BT8" s="1239">
        <v>853.48</v>
      </c>
      <c r="BU8" s="1239">
        <v>4957011.84</v>
      </c>
      <c r="BV8" s="1239">
        <v>25.74449935182929</v>
      </c>
      <c r="BW8">
        <v>77732</v>
      </c>
      <c r="BX8">
        <v>87719.72</v>
      </c>
      <c r="BY8">
        <v>46049</v>
      </c>
      <c r="BZ8">
        <v>46080</v>
      </c>
      <c r="CA8">
        <v>31</v>
      </c>
      <c r="CB8">
        <v>6.0000000000000001E-3</v>
      </c>
      <c r="CC8">
        <v>44.7</v>
      </c>
      <c r="CD8">
        <v>3474620.4000000004</v>
      </c>
      <c r="CE8">
        <v>40340</v>
      </c>
      <c r="CF8">
        <v>97418.96</v>
      </c>
      <c r="CG8">
        <v>46049</v>
      </c>
      <c r="CH8">
        <v>46080</v>
      </c>
      <c r="CI8">
        <v>31</v>
      </c>
      <c r="CJ8">
        <v>6.0000000000000001E-3</v>
      </c>
      <c r="CK8">
        <v>49.64</v>
      </c>
      <c r="CL8">
        <v>2002477.6</v>
      </c>
      <c r="CM8">
        <v>5808</v>
      </c>
      <c r="CN8">
        <v>97402.040000000008</v>
      </c>
      <c r="CO8">
        <v>46049</v>
      </c>
      <c r="CP8">
        <v>46080</v>
      </c>
      <c r="CQ8">
        <v>31</v>
      </c>
      <c r="CR8">
        <v>1.4999999999999999E-2</v>
      </c>
      <c r="CS8">
        <v>124.09</v>
      </c>
      <c r="CT8">
        <v>720714.72</v>
      </c>
      <c r="CU8" s="1239">
        <v>10654326762.76</v>
      </c>
      <c r="CV8" s="1730">
        <v>5.0000000000000001E-3</v>
      </c>
      <c r="CW8" s="1239">
        <v>500000</v>
      </c>
      <c r="CX8" s="1239" t="s">
        <v>1073</v>
      </c>
      <c r="CY8" s="1239" t="s">
        <v>1072</v>
      </c>
      <c r="CZ8" s="1239">
        <v>53280000</v>
      </c>
      <c r="DA8" s="1239">
        <v>53750000</v>
      </c>
      <c r="DB8" s="1239">
        <v>53750000</v>
      </c>
      <c r="DC8" s="1239">
        <v>-470000</v>
      </c>
      <c r="DD8" s="1239">
        <v>95669.310008972883</v>
      </c>
      <c r="DE8" s="1239">
        <v>53280000</v>
      </c>
      <c r="DF8" s="1239">
        <v>0</v>
      </c>
      <c r="DG8" s="1239"/>
      <c r="DH8" s="1239">
        <v>114339918.71480022</v>
      </c>
    </row>
    <row r="9" spans="1:112">
      <c r="A9" s="1238">
        <v>46042</v>
      </c>
      <c r="B9" s="1238">
        <v>46049</v>
      </c>
      <c r="C9" s="1238">
        <v>46022</v>
      </c>
      <c r="D9" s="1239">
        <v>0</v>
      </c>
      <c r="E9" s="1239">
        <v>12428694752.200001</v>
      </c>
      <c r="F9" s="1239">
        <v>998490.2</v>
      </c>
      <c r="G9" s="1239">
        <v>6916094.0900000008</v>
      </c>
      <c r="H9" s="1239">
        <v>10317.209999999999</v>
      </c>
      <c r="I9" s="1239">
        <v>533885.36</v>
      </c>
      <c r="J9" s="1239">
        <v>96320114.010000229</v>
      </c>
      <c r="K9" s="1239">
        <v>103874945.77000016</v>
      </c>
      <c r="L9" s="1239">
        <v>112142835.83000016</v>
      </c>
      <c r="M9" s="1239">
        <v>8267890.0599999996</v>
      </c>
      <c r="N9" s="1239">
        <v>0</v>
      </c>
      <c r="O9" s="1239">
        <v>6876677200.6800003</v>
      </c>
      <c r="P9" s="1239">
        <v>0</v>
      </c>
      <c r="Q9" s="1239">
        <v>58047925.640000001</v>
      </c>
      <c r="R9" s="1239">
        <v>6818629275.04</v>
      </c>
      <c r="S9" s="1239">
        <v>77732</v>
      </c>
      <c r="T9" s="1239">
        <v>746.77</v>
      </c>
      <c r="U9" s="1239">
        <v>87719.72</v>
      </c>
      <c r="V9" s="1239">
        <v>3963336422</v>
      </c>
      <c r="W9" s="1239">
        <v>0</v>
      </c>
      <c r="X9" s="1239">
        <v>33455575.600000001</v>
      </c>
      <c r="Y9" s="1239">
        <v>3929880846.4000001</v>
      </c>
      <c r="Z9" s="1239">
        <v>40340</v>
      </c>
      <c r="AA9" s="1239">
        <v>829.34</v>
      </c>
      <c r="AB9" s="1239">
        <v>97418.96</v>
      </c>
      <c r="AC9" s="1239">
        <v>570527041.92000008</v>
      </c>
      <c r="AD9" s="1239">
        <v>0</v>
      </c>
      <c r="AE9" s="1239">
        <v>4815993.6000000006</v>
      </c>
      <c r="AF9" s="1239">
        <v>565711048.32000005</v>
      </c>
      <c r="AG9" s="1239">
        <v>5808</v>
      </c>
      <c r="AH9" s="1239">
        <v>97402.040000000008</v>
      </c>
      <c r="AI9" s="1239">
        <v>300</v>
      </c>
      <c r="AJ9" s="1239">
        <v>0</v>
      </c>
      <c r="AK9" s="1239">
        <v>0</v>
      </c>
      <c r="AL9" s="1239">
        <v>300</v>
      </c>
      <c r="AM9" s="1239">
        <v>2</v>
      </c>
      <c r="AN9" s="1239">
        <v>150</v>
      </c>
      <c r="AO9" s="1239">
        <v>11410540664.6</v>
      </c>
      <c r="AP9" s="1239">
        <v>11314220550.59</v>
      </c>
      <c r="AQ9" s="1239">
        <v>96320114.010000229</v>
      </c>
      <c r="AR9" s="1298">
        <v>1</v>
      </c>
      <c r="AS9" s="1298">
        <v>10748510121.440001</v>
      </c>
      <c r="AT9" s="1298">
        <v>603.00550087541342</v>
      </c>
      <c r="AU9" s="1298">
        <v>11314220550.59</v>
      </c>
      <c r="AV9" s="1298">
        <v>0.05</v>
      </c>
      <c r="AW9" s="1298">
        <v>0.05</v>
      </c>
      <c r="AX9" s="1298">
        <v>11314220550.59</v>
      </c>
      <c r="AY9" s="1298">
        <v>565711027.52950001</v>
      </c>
      <c r="AZ9" s="1239">
        <v>11314220550.59</v>
      </c>
      <c r="BA9" s="1239">
        <v>565711027.52950001</v>
      </c>
      <c r="BB9" s="1239">
        <v>10748509523.060501</v>
      </c>
      <c r="BC9" s="1239">
        <v>96320114.010000229</v>
      </c>
      <c r="BD9" s="1239">
        <v>10840013622.68</v>
      </c>
      <c r="BE9" s="1239">
        <v>565711027.52950001</v>
      </c>
      <c r="BF9" s="1239">
        <v>58048280.890129752</v>
      </c>
      <c r="BG9" s="1239">
        <v>33455818.729369454</v>
      </c>
      <c r="BH9" s="1239">
        <v>77732</v>
      </c>
      <c r="BI9" s="1239">
        <v>746.77</v>
      </c>
      <c r="BJ9" s="1239">
        <v>58047925.640000001</v>
      </c>
      <c r="BK9" s="1239">
        <v>355.2501297518611</v>
      </c>
      <c r="BL9" s="1239">
        <v>40340</v>
      </c>
      <c r="BM9" s="1239">
        <v>829.34</v>
      </c>
      <c r="BN9" s="1239">
        <v>33455575.600000001</v>
      </c>
      <c r="BO9" s="1239">
        <v>243.12936945259571</v>
      </c>
      <c r="BP9" s="1239">
        <v>96320114.010000229</v>
      </c>
      <c r="BQ9" s="1239">
        <v>91503501.24000001</v>
      </c>
      <c r="BR9" s="1239">
        <v>4816014.3905010149</v>
      </c>
      <c r="BS9" s="1239">
        <v>5808</v>
      </c>
      <c r="BT9" s="1239">
        <v>829.2</v>
      </c>
      <c r="BU9" s="1239">
        <v>4815993.6000000006</v>
      </c>
      <c r="BV9" s="1239">
        <v>20.790501014329493</v>
      </c>
      <c r="BW9">
        <v>77732</v>
      </c>
      <c r="BX9">
        <v>88466.49</v>
      </c>
      <c r="BY9">
        <v>46020</v>
      </c>
      <c r="BZ9">
        <v>46049</v>
      </c>
      <c r="CA9">
        <v>29</v>
      </c>
      <c r="CB9">
        <v>6.0000000000000001E-3</v>
      </c>
      <c r="CC9">
        <v>42.17</v>
      </c>
      <c r="CD9">
        <v>3277958.44</v>
      </c>
      <c r="CE9">
        <v>40340</v>
      </c>
      <c r="CF9">
        <v>98248.3</v>
      </c>
      <c r="CG9">
        <v>46020</v>
      </c>
      <c r="CH9">
        <v>46049</v>
      </c>
      <c r="CI9">
        <v>29</v>
      </c>
      <c r="CJ9">
        <v>6.0000000000000001E-3</v>
      </c>
      <c r="CK9">
        <v>46.84</v>
      </c>
      <c r="CL9">
        <v>1889525.6</v>
      </c>
      <c r="CM9">
        <v>5808</v>
      </c>
      <c r="CN9">
        <v>98231.24000000002</v>
      </c>
      <c r="CO9">
        <v>46020</v>
      </c>
      <c r="CP9">
        <v>46049</v>
      </c>
      <c r="CQ9">
        <v>29</v>
      </c>
      <c r="CR9">
        <v>1.4999999999999999E-2</v>
      </c>
      <c r="CS9">
        <v>117.07</v>
      </c>
      <c r="CT9">
        <v>679942.55999999994</v>
      </c>
      <c r="CU9" s="1239">
        <v>10748510121.440001</v>
      </c>
      <c r="CV9" s="1730">
        <v>5.0000000000000001E-3</v>
      </c>
      <c r="CW9" s="1239">
        <v>500000</v>
      </c>
      <c r="CX9" s="1239" t="s">
        <v>1073</v>
      </c>
      <c r="CY9" s="1239" t="s">
        <v>1072</v>
      </c>
      <c r="CZ9" s="1239">
        <v>53750000</v>
      </c>
      <c r="DA9" s="1239">
        <v>54210000</v>
      </c>
      <c r="DB9" s="1239">
        <v>54210000</v>
      </c>
      <c r="DC9" s="1239">
        <v>-460000</v>
      </c>
      <c r="DD9" s="1239">
        <v>95084.780007839203</v>
      </c>
      <c r="DE9" s="1239">
        <v>53750000</v>
      </c>
      <c r="DF9" s="1239">
        <v>0</v>
      </c>
      <c r="DG9" s="1239"/>
      <c r="DH9" s="1239">
        <v>112142835.83000016</v>
      </c>
    </row>
    <row r="10" spans="1:112">
      <c r="A10" s="1238">
        <v>46009</v>
      </c>
      <c r="B10" s="1238">
        <v>46020</v>
      </c>
      <c r="C10" s="1238">
        <v>45991</v>
      </c>
      <c r="D10" s="1239">
        <v>0</v>
      </c>
      <c r="E10" s="1239">
        <v>12428694752.200001</v>
      </c>
      <c r="F10" s="1239">
        <v>563823.34</v>
      </c>
      <c r="G10" s="1239">
        <v>5917603.8900000006</v>
      </c>
      <c r="H10" s="1239">
        <v>311624.19</v>
      </c>
      <c r="I10" s="1239">
        <v>523568.14999999997</v>
      </c>
      <c r="J10" s="1239">
        <v>90682449.090000153</v>
      </c>
      <c r="K10" s="1239">
        <v>98195782.409999922</v>
      </c>
      <c r="L10" s="1239">
        <v>107147331.03999992</v>
      </c>
      <c r="M10" s="1239">
        <v>8951548.629999999</v>
      </c>
      <c r="N10" s="1239">
        <v>0</v>
      </c>
      <c r="O10" s="1239">
        <v>6931327460.6000004</v>
      </c>
      <c r="P10" s="1239">
        <v>0</v>
      </c>
      <c r="Q10" s="1239">
        <v>54650259.919999994</v>
      </c>
      <c r="R10" s="1239">
        <v>6876677200.6800003</v>
      </c>
      <c r="S10" s="1239">
        <v>77732</v>
      </c>
      <c r="T10" s="1239">
        <v>703.06</v>
      </c>
      <c r="U10" s="1239">
        <v>88466.49</v>
      </c>
      <c r="V10" s="1239">
        <v>3994833894</v>
      </c>
      <c r="W10" s="1239">
        <v>0</v>
      </c>
      <c r="X10" s="1239">
        <v>31497472</v>
      </c>
      <c r="Y10" s="1239">
        <v>3963336422</v>
      </c>
      <c r="Z10" s="1239">
        <v>40340</v>
      </c>
      <c r="AA10" s="1239">
        <v>780.8</v>
      </c>
      <c r="AB10" s="1239">
        <v>98248.3</v>
      </c>
      <c r="AC10" s="1239">
        <v>575061115.20000005</v>
      </c>
      <c r="AD10" s="1239">
        <v>0</v>
      </c>
      <c r="AE10" s="1239">
        <v>4534073.28</v>
      </c>
      <c r="AF10" s="1239">
        <v>570527041.92000008</v>
      </c>
      <c r="AG10" s="1239">
        <v>5808</v>
      </c>
      <c r="AH10" s="1239">
        <v>98231.24000000002</v>
      </c>
      <c r="AI10" s="1239">
        <v>300</v>
      </c>
      <c r="AJ10" s="1239">
        <v>0</v>
      </c>
      <c r="AK10" s="1239">
        <v>0</v>
      </c>
      <c r="AL10" s="1239">
        <v>300</v>
      </c>
      <c r="AM10" s="1239">
        <v>2</v>
      </c>
      <c r="AN10" s="1239">
        <v>150</v>
      </c>
      <c r="AO10" s="1239">
        <v>11501222469.799999</v>
      </c>
      <c r="AP10" s="1239">
        <v>11410540020.709999</v>
      </c>
      <c r="AQ10" s="1239">
        <v>90682449.090000153</v>
      </c>
      <c r="AR10" s="1298">
        <v>1</v>
      </c>
      <c r="AS10" s="1298">
        <v>10840013622.68</v>
      </c>
      <c r="AT10" s="1298">
        <v>597.14749938994646</v>
      </c>
      <c r="AU10" s="1298">
        <v>11410540020.709999</v>
      </c>
      <c r="AV10" s="1298">
        <v>0.05</v>
      </c>
      <c r="AW10" s="1298">
        <v>0.05</v>
      </c>
      <c r="AX10" s="1298">
        <v>11410540020.709999</v>
      </c>
      <c r="AY10" s="1298">
        <v>570527001.03549993</v>
      </c>
      <c r="AZ10" s="1239">
        <v>11410540020.709999</v>
      </c>
      <c r="BA10" s="1239">
        <v>570527001.03549993</v>
      </c>
      <c r="BB10" s="1239">
        <v>10840013019.6745</v>
      </c>
      <c r="BC10" s="1239">
        <v>90682449.090000153</v>
      </c>
      <c r="BD10" s="1239">
        <v>10926161354.6</v>
      </c>
      <c r="BE10" s="1239">
        <v>570527001.03549993</v>
      </c>
      <c r="BF10" s="1239">
        <v>54650695.717823811</v>
      </c>
      <c r="BG10" s="1239">
        <v>31497639.207677059</v>
      </c>
      <c r="BH10" s="1239">
        <v>77732</v>
      </c>
      <c r="BI10" s="1239">
        <v>703.06</v>
      </c>
      <c r="BJ10" s="1239">
        <v>54650259.919999994</v>
      </c>
      <c r="BK10" s="1239">
        <v>435.79782381653786</v>
      </c>
      <c r="BL10" s="1239">
        <v>40340</v>
      </c>
      <c r="BM10" s="1239">
        <v>780.8</v>
      </c>
      <c r="BN10" s="1239">
        <v>31497472</v>
      </c>
      <c r="BO10" s="1239">
        <v>167.20767705887556</v>
      </c>
      <c r="BP10" s="1239">
        <v>90682449.090000153</v>
      </c>
      <c r="BQ10" s="1239">
        <v>86147731.919999987</v>
      </c>
      <c r="BR10" s="1239">
        <v>4534114.1644992903</v>
      </c>
      <c r="BS10" s="1239">
        <v>5808</v>
      </c>
      <c r="BT10" s="1239">
        <v>780.66</v>
      </c>
      <c r="BU10" s="1239">
        <v>4534073.28</v>
      </c>
      <c r="BV10" s="1239">
        <v>40.884499290026724</v>
      </c>
      <c r="BW10">
        <v>77732</v>
      </c>
      <c r="BX10">
        <v>89169.55</v>
      </c>
      <c r="BY10">
        <v>45988</v>
      </c>
      <c r="BZ10">
        <v>46020</v>
      </c>
      <c r="CA10">
        <v>32</v>
      </c>
      <c r="CB10">
        <v>6.0000000000000001E-3</v>
      </c>
      <c r="CC10">
        <v>46.91</v>
      </c>
      <c r="CD10">
        <v>3646408.1199999996</v>
      </c>
      <c r="CE10">
        <v>40340</v>
      </c>
      <c r="CF10">
        <v>99029.1</v>
      </c>
      <c r="CG10">
        <v>45988</v>
      </c>
      <c r="CH10">
        <v>46020</v>
      </c>
      <c r="CI10">
        <v>32</v>
      </c>
      <c r="CJ10">
        <v>6.0000000000000001E-3</v>
      </c>
      <c r="CK10">
        <v>52.09</v>
      </c>
      <c r="CL10">
        <v>2101310.6</v>
      </c>
      <c r="CM10">
        <v>5808</v>
      </c>
      <c r="CN10">
        <v>99011.900000000009</v>
      </c>
      <c r="CO10">
        <v>45988</v>
      </c>
      <c r="CP10">
        <v>46020</v>
      </c>
      <c r="CQ10">
        <v>32</v>
      </c>
      <c r="CR10">
        <v>1.4999999999999999E-2</v>
      </c>
      <c r="CS10">
        <v>130.21</v>
      </c>
      <c r="CT10">
        <v>756259.68</v>
      </c>
      <c r="CU10" s="1239">
        <v>10840013622.68</v>
      </c>
      <c r="CV10" s="1730">
        <v>5.0000000000000001E-3</v>
      </c>
      <c r="CW10" s="1239">
        <v>500000</v>
      </c>
      <c r="CX10" s="1239" t="s">
        <v>1073</v>
      </c>
      <c r="CY10" s="1239" t="s">
        <v>1072</v>
      </c>
      <c r="CZ10" s="1239">
        <v>54210000</v>
      </c>
      <c r="DA10" s="1239">
        <v>54640000</v>
      </c>
      <c r="DB10" s="1239">
        <v>54640000</v>
      </c>
      <c r="DC10" s="1239">
        <v>-430000</v>
      </c>
      <c r="DD10" s="1239">
        <v>94465.610007613897</v>
      </c>
      <c r="DE10" s="1239">
        <v>54210000</v>
      </c>
      <c r="DF10" s="1239">
        <v>0</v>
      </c>
      <c r="DG10" s="1239"/>
      <c r="DH10" s="1239">
        <v>107147331.03999992</v>
      </c>
    </row>
    <row r="11" spans="1:112">
      <c r="A11" s="1238">
        <v>45981</v>
      </c>
      <c r="B11" s="1238">
        <v>45988</v>
      </c>
      <c r="C11" s="1238">
        <v>45961</v>
      </c>
      <c r="D11" s="1239">
        <v>0</v>
      </c>
      <c r="E11" s="1239">
        <v>12428694752.200001</v>
      </c>
      <c r="F11" s="1239">
        <v>229091.41</v>
      </c>
      <c r="G11" s="1239">
        <v>5353780.5500000007</v>
      </c>
      <c r="H11" s="1239">
        <v>1137.19</v>
      </c>
      <c r="I11" s="1239">
        <v>211943.95999999996</v>
      </c>
      <c r="J11" s="1239">
        <v>112862034.32999992</v>
      </c>
      <c r="K11" s="1239">
        <v>115311123.14000005</v>
      </c>
      <c r="L11" s="1239">
        <v>124168301.46000004</v>
      </c>
      <c r="M11" s="1239">
        <v>8857178.3200000003</v>
      </c>
      <c r="N11" s="1239">
        <v>0</v>
      </c>
      <c r="O11" s="1239">
        <v>6999283884.2800007</v>
      </c>
      <c r="P11" s="1239">
        <v>0</v>
      </c>
      <c r="Q11" s="1239">
        <v>67956423.680000007</v>
      </c>
      <c r="R11" s="1239">
        <v>6931327460.6000004</v>
      </c>
      <c r="S11" s="1239">
        <v>77732</v>
      </c>
      <c r="T11" s="1239">
        <v>874.24000000000012</v>
      </c>
      <c r="U11" s="1239">
        <v>89169.55</v>
      </c>
      <c r="V11" s="1239">
        <v>4034000000</v>
      </c>
      <c r="W11" s="1239">
        <v>0</v>
      </c>
      <c r="X11" s="1239">
        <v>39166106</v>
      </c>
      <c r="Y11" s="1239">
        <v>3994833894</v>
      </c>
      <c r="Z11" s="1239">
        <v>40340</v>
      </c>
      <c r="AA11" s="1239">
        <v>970.9</v>
      </c>
      <c r="AB11" s="1239">
        <v>99029.1</v>
      </c>
      <c r="AC11" s="1239">
        <v>580800000</v>
      </c>
      <c r="AD11" s="1239">
        <v>0</v>
      </c>
      <c r="AE11" s="1239">
        <v>5738884.7999999998</v>
      </c>
      <c r="AF11" s="1239">
        <v>575061115.20000005</v>
      </c>
      <c r="AG11" s="1239">
        <v>5808</v>
      </c>
      <c r="AH11" s="1239">
        <v>99011.900000000009</v>
      </c>
      <c r="AI11" s="1239">
        <v>300</v>
      </c>
      <c r="AJ11" s="1239">
        <v>0</v>
      </c>
      <c r="AK11" s="1239">
        <v>0</v>
      </c>
      <c r="AL11" s="1239">
        <v>300</v>
      </c>
      <c r="AM11" s="1239">
        <v>2</v>
      </c>
      <c r="AN11" s="1239">
        <v>150</v>
      </c>
      <c r="AO11" s="1239">
        <v>11614083884.280001</v>
      </c>
      <c r="AP11" s="1239">
        <v>11501221849.950001</v>
      </c>
      <c r="AQ11" s="1239">
        <v>112862034.32999992</v>
      </c>
      <c r="AR11" s="1298">
        <v>1</v>
      </c>
      <c r="AS11" s="1298">
        <v>10926161354.6</v>
      </c>
      <c r="AT11" s="1298">
        <v>349.02100082486868</v>
      </c>
      <c r="AU11" s="1298">
        <v>11501221849.950001</v>
      </c>
      <c r="AV11" s="1298">
        <v>0.05</v>
      </c>
      <c r="AW11" s="1298">
        <v>0.05</v>
      </c>
      <c r="AX11" s="1298">
        <v>11501221849.950001</v>
      </c>
      <c r="AY11" s="1298">
        <v>575061092.49750006</v>
      </c>
      <c r="AZ11" s="1239">
        <v>11501221849.950001</v>
      </c>
      <c r="BA11" s="1239">
        <v>575061092.49750006</v>
      </c>
      <c r="BB11" s="1239">
        <v>10926160757.452501</v>
      </c>
      <c r="BC11" s="1239">
        <v>112862034.32999992</v>
      </c>
      <c r="BD11" s="1239">
        <v>11033283884.280001</v>
      </c>
      <c r="BE11" s="1239">
        <v>575061092.49750006</v>
      </c>
      <c r="BF11" s="1239">
        <v>67956664.860738143</v>
      </c>
      <c r="BG11" s="1239">
        <v>39166461.966761254</v>
      </c>
      <c r="BH11" s="1239">
        <v>77732</v>
      </c>
      <c r="BI11" s="1239">
        <v>874.24</v>
      </c>
      <c r="BJ11" s="1239">
        <v>67956423.680000007</v>
      </c>
      <c r="BK11" s="1239">
        <v>241.18073813617229</v>
      </c>
      <c r="BL11" s="1239">
        <v>40340</v>
      </c>
      <c r="BM11" s="1239">
        <v>970.9</v>
      </c>
      <c r="BN11" s="1239">
        <v>39166106</v>
      </c>
      <c r="BO11" s="1239">
        <v>355.96676125377417</v>
      </c>
      <c r="BP11" s="1239">
        <v>112862034.32999992</v>
      </c>
      <c r="BQ11" s="1239">
        <v>107122529.68000001</v>
      </c>
      <c r="BR11" s="1239">
        <v>5738907.5025005266</v>
      </c>
      <c r="BS11" s="1239">
        <v>5808</v>
      </c>
      <c r="BT11" s="1239">
        <v>988.1</v>
      </c>
      <c r="BU11" s="1239">
        <v>5738884.7999999998</v>
      </c>
      <c r="BV11" s="1239">
        <v>22.702500526793301</v>
      </c>
      <c r="BW11">
        <v>77732</v>
      </c>
      <c r="BX11">
        <v>90043.790000000008</v>
      </c>
      <c r="BY11">
        <v>45957</v>
      </c>
      <c r="BZ11">
        <v>45988</v>
      </c>
      <c r="CA11">
        <v>31</v>
      </c>
      <c r="CB11">
        <v>6.0000000000000001E-3</v>
      </c>
      <c r="CC11">
        <v>45.89</v>
      </c>
      <c r="CD11">
        <v>3567121.48</v>
      </c>
      <c r="CE11">
        <v>40340</v>
      </c>
      <c r="CF11">
        <v>100000</v>
      </c>
      <c r="CG11">
        <v>45957</v>
      </c>
      <c r="CH11">
        <v>45988</v>
      </c>
      <c r="CI11">
        <v>31</v>
      </c>
      <c r="CJ11">
        <v>6.0000000000000001E-3</v>
      </c>
      <c r="CK11">
        <v>50.96</v>
      </c>
      <c r="CL11">
        <v>2055726.4000000001</v>
      </c>
      <c r="CM11">
        <v>5808</v>
      </c>
      <c r="CN11">
        <v>100000</v>
      </c>
      <c r="CO11">
        <v>45957</v>
      </c>
      <c r="CP11">
        <v>45988</v>
      </c>
      <c r="CQ11">
        <v>31</v>
      </c>
      <c r="CR11">
        <v>1.4999999999999999E-2</v>
      </c>
      <c r="CS11">
        <v>127.4</v>
      </c>
      <c r="CT11">
        <v>739939.20000000007</v>
      </c>
      <c r="CU11" s="1239">
        <v>10926161354.6</v>
      </c>
      <c r="CV11" s="1730">
        <v>5.0000000000000001E-3</v>
      </c>
      <c r="CW11" s="1239">
        <v>500000</v>
      </c>
      <c r="CX11" s="1239" t="s">
        <v>1073</v>
      </c>
      <c r="CY11" s="1239" t="s">
        <v>1072</v>
      </c>
      <c r="CZ11" s="1239">
        <v>54640000</v>
      </c>
      <c r="DA11" s="1239">
        <v>55170000</v>
      </c>
      <c r="DB11" s="1239">
        <v>55170000</v>
      </c>
      <c r="DC11" s="1239">
        <v>-530000</v>
      </c>
      <c r="DD11" s="1239">
        <v>93821.72000746429</v>
      </c>
      <c r="DE11" s="1239">
        <v>54640000</v>
      </c>
      <c r="DF11" s="1239">
        <v>0</v>
      </c>
      <c r="DG11" s="1239"/>
      <c r="DH11" s="1239">
        <v>124168301.46000004</v>
      </c>
    </row>
    <row r="12" spans="1:112">
      <c r="A12" s="1238">
        <v>45950</v>
      </c>
      <c r="B12" s="1238">
        <v>45957</v>
      </c>
      <c r="C12" s="1238">
        <v>45930</v>
      </c>
      <c r="D12" s="1239">
        <v>4246326267.73</v>
      </c>
      <c r="E12" s="1239">
        <v>12428694752.200001</v>
      </c>
      <c r="F12" s="1239">
        <v>414679.66</v>
      </c>
      <c r="G12" s="1239">
        <v>5124689.1400000006</v>
      </c>
      <c r="H12" s="1239">
        <v>1788.58</v>
      </c>
      <c r="I12" s="1239">
        <v>210806.76999999996</v>
      </c>
      <c r="J12" s="1239">
        <v>63104060.460000038</v>
      </c>
      <c r="K12" s="1239">
        <v>67730339.120000198</v>
      </c>
      <c r="L12" s="1239">
        <v>72988065.030000195</v>
      </c>
      <c r="M12" s="1239">
        <v>5257725.91</v>
      </c>
      <c r="N12" s="1239">
        <v>0</v>
      </c>
      <c r="O12" s="1239">
        <v>7059232357.3200006</v>
      </c>
      <c r="P12" s="1239">
        <v>0</v>
      </c>
      <c r="Q12" s="1239">
        <v>59948473.039999999</v>
      </c>
      <c r="R12" s="1239">
        <v>6999283884.2800007</v>
      </c>
      <c r="S12" s="1239">
        <v>77732</v>
      </c>
      <c r="T12" s="1239">
        <v>771.22</v>
      </c>
      <c r="U12" s="1239">
        <v>90043.790000000008</v>
      </c>
      <c r="V12" s="1239">
        <v>0</v>
      </c>
      <c r="W12" s="1239">
        <v>4034000000</v>
      </c>
      <c r="X12" s="1239">
        <v>0</v>
      </c>
      <c r="Y12" s="1239">
        <v>4034000000</v>
      </c>
      <c r="Z12" s="1239">
        <v>40340</v>
      </c>
      <c r="AA12" s="1239">
        <v>0</v>
      </c>
      <c r="AB12" s="1239">
        <v>100000</v>
      </c>
      <c r="AC12" s="1239">
        <v>371538582.36000001</v>
      </c>
      <c r="AD12" s="1239">
        <v>580800000</v>
      </c>
      <c r="AE12" s="1239">
        <v>371538582.36000001</v>
      </c>
      <c r="AF12" s="1239">
        <v>580800000</v>
      </c>
      <c r="AG12" s="1239">
        <v>5808</v>
      </c>
      <c r="AH12" s="1239">
        <v>100000</v>
      </c>
      <c r="AI12" s="1239">
        <v>300</v>
      </c>
      <c r="AJ12" s="1239">
        <v>0</v>
      </c>
      <c r="AK12" s="1239">
        <v>0</v>
      </c>
      <c r="AL12" s="1239">
        <v>300</v>
      </c>
      <c r="AM12" s="1239">
        <v>2</v>
      </c>
      <c r="AN12" s="1239">
        <v>150</v>
      </c>
      <c r="AO12" s="1239">
        <v>7430770939.6800003</v>
      </c>
      <c r="AP12" s="1239">
        <v>7367666879.2200003</v>
      </c>
      <c r="AQ12" s="1239">
        <v>63104060.460000038</v>
      </c>
      <c r="AR12" s="1298">
        <v>1</v>
      </c>
      <c r="AS12" s="1298">
        <v>6999283884.2800007</v>
      </c>
      <c r="AT12" s="1298">
        <v>4.3625001534819603</v>
      </c>
      <c r="AU12" s="1298">
        <v>7367666879.2200003</v>
      </c>
      <c r="AV12" s="1298">
        <v>0.05</v>
      </c>
      <c r="AW12" s="1298">
        <v>0.05</v>
      </c>
      <c r="AX12" s="1298">
        <v>7367666879.2200003</v>
      </c>
      <c r="AY12" s="1298">
        <v>368383343.96100003</v>
      </c>
      <c r="AZ12" s="1239">
        <v>7367666879.2200003</v>
      </c>
      <c r="BA12" s="1239">
        <v>368383343.96100003</v>
      </c>
      <c r="BB12" s="1239">
        <v>6999283535.2589998</v>
      </c>
      <c r="BC12" s="1239">
        <v>63104060.460000038</v>
      </c>
      <c r="BD12" s="1239">
        <v>7059232357.3200006</v>
      </c>
      <c r="BE12" s="1239">
        <v>368383343.96100003</v>
      </c>
      <c r="BF12" s="1239">
        <v>59948822.061000824</v>
      </c>
      <c r="BG12" s="1239">
        <v>0</v>
      </c>
      <c r="BH12" s="1239">
        <v>77732</v>
      </c>
      <c r="BI12" s="1239">
        <v>771.22</v>
      </c>
      <c r="BJ12" s="1239">
        <v>59948473.039999999</v>
      </c>
      <c r="BK12" s="1239">
        <v>349.02100082486868</v>
      </c>
      <c r="BL12" s="1239">
        <v>40340</v>
      </c>
      <c r="BM12" s="1239">
        <v>0</v>
      </c>
      <c r="BN12" s="1239">
        <v>0</v>
      </c>
      <c r="BO12" s="1239">
        <v>0</v>
      </c>
      <c r="BP12" s="1239">
        <v>63104060.460000038</v>
      </c>
      <c r="BQ12" s="1239">
        <v>59948473.039999999</v>
      </c>
      <c r="BR12" s="1239">
        <v>371538602.31899923</v>
      </c>
      <c r="BS12" s="1239">
        <v>4092</v>
      </c>
      <c r="BT12" s="1239">
        <v>90796.33</v>
      </c>
      <c r="BU12" s="1239">
        <v>371538582.36000001</v>
      </c>
      <c r="BV12" s="1239">
        <v>19.958999216556549</v>
      </c>
      <c r="BW12">
        <v>77732</v>
      </c>
      <c r="BX12">
        <v>90815.010000000009</v>
      </c>
      <c r="BY12">
        <v>45929</v>
      </c>
      <c r="BZ12">
        <v>45957</v>
      </c>
      <c r="CA12">
        <v>28</v>
      </c>
      <c r="CB12">
        <v>6.0000000000000001E-3</v>
      </c>
      <c r="CC12">
        <v>41.8</v>
      </c>
      <c r="CD12">
        <v>3249197.5999999996</v>
      </c>
      <c r="CE12">
        <v>40340</v>
      </c>
      <c r="CF12">
        <v>0</v>
      </c>
      <c r="CG12">
        <v>45929</v>
      </c>
      <c r="CH12">
        <v>45957</v>
      </c>
      <c r="CI12">
        <v>28</v>
      </c>
      <c r="CJ12">
        <v>6.0000000000000001E-3</v>
      </c>
      <c r="CK12">
        <v>0</v>
      </c>
      <c r="CL12">
        <v>0</v>
      </c>
      <c r="CM12">
        <v>4092</v>
      </c>
      <c r="CN12">
        <v>90796.33</v>
      </c>
      <c r="CO12">
        <v>45929</v>
      </c>
      <c r="CP12">
        <v>45957</v>
      </c>
      <c r="CQ12">
        <v>28</v>
      </c>
      <c r="CR12">
        <v>1.4999999999999999E-2</v>
      </c>
      <c r="CS12">
        <v>104.48</v>
      </c>
      <c r="CT12">
        <v>427532.16000000003</v>
      </c>
      <c r="CU12" s="1239">
        <v>11033283884.280001</v>
      </c>
      <c r="CV12" s="1730">
        <v>5.0000000000000001E-3</v>
      </c>
      <c r="CW12" s="1239">
        <v>500000</v>
      </c>
      <c r="CX12" s="1239" t="s">
        <v>1073</v>
      </c>
      <c r="CY12" s="1239" t="s">
        <v>1072</v>
      </c>
      <c r="CZ12" s="1239">
        <v>55170000</v>
      </c>
      <c r="DA12" s="1239">
        <v>35631660.869999997</v>
      </c>
      <c r="DB12" s="1239">
        <v>35631660.869999997</v>
      </c>
      <c r="DC12" s="1239">
        <v>19538339.130000003</v>
      </c>
      <c r="DD12" s="1239">
        <v>93201.870007559657</v>
      </c>
      <c r="DE12" s="1239">
        <v>55170000</v>
      </c>
      <c r="DF12" s="1239">
        <v>0</v>
      </c>
      <c r="DG12" s="1239"/>
      <c r="DH12" s="1239">
        <v>72988065.030000195</v>
      </c>
    </row>
    <row r="13" spans="1:112">
      <c r="A13" s="1238">
        <v>45922</v>
      </c>
      <c r="B13" s="1238">
        <v>45929</v>
      </c>
      <c r="C13" s="1238">
        <v>45900</v>
      </c>
      <c r="D13" s="1239">
        <v>0</v>
      </c>
      <c r="E13" s="1239">
        <v>8182368484.4700003</v>
      </c>
      <c r="F13" s="1239">
        <v>325275.99</v>
      </c>
      <c r="G13" s="1239">
        <v>4710009.4800000004</v>
      </c>
      <c r="H13" s="1239">
        <v>2472.34</v>
      </c>
      <c r="I13" s="1239">
        <v>209018.18999999997</v>
      </c>
      <c r="J13" s="1239">
        <v>70631418.550000191</v>
      </c>
      <c r="K13" s="1239">
        <v>74442484.812001273</v>
      </c>
      <c r="L13" s="1239">
        <v>80412846.232001275</v>
      </c>
      <c r="M13" s="1239">
        <v>5970361.4199999999</v>
      </c>
      <c r="N13" s="1239">
        <v>0</v>
      </c>
      <c r="O13" s="1239">
        <v>7126332174.3600006</v>
      </c>
      <c r="P13" s="1239">
        <v>0</v>
      </c>
      <c r="Q13" s="1239">
        <v>67099817.039999999</v>
      </c>
      <c r="R13" s="1239">
        <v>7059232357.3200006</v>
      </c>
      <c r="S13" s="1239">
        <v>77732</v>
      </c>
      <c r="T13" s="1239">
        <v>863.22</v>
      </c>
      <c r="U13" s="1239">
        <v>90815.010000000009</v>
      </c>
      <c r="V13" s="1239"/>
      <c r="W13" s="1239"/>
      <c r="X13" s="1239"/>
      <c r="Y13" s="1239"/>
      <c r="Z13" s="1239"/>
      <c r="AA13" s="1239"/>
      <c r="AB13" s="1239"/>
      <c r="AC13" s="1239">
        <v>375070142.04000002</v>
      </c>
      <c r="AD13" s="1239">
        <v>0</v>
      </c>
      <c r="AE13" s="1239">
        <v>3531559.6799999997</v>
      </c>
      <c r="AF13" s="1239">
        <v>371538582.36000001</v>
      </c>
      <c r="AG13" s="1239">
        <v>4092</v>
      </c>
      <c r="AH13" s="1239">
        <v>90796.33</v>
      </c>
      <c r="AI13" s="1239">
        <v>300</v>
      </c>
      <c r="AJ13" s="1239">
        <v>0</v>
      </c>
      <c r="AK13" s="1239">
        <v>0</v>
      </c>
      <c r="AL13" s="1239">
        <v>300</v>
      </c>
      <c r="AM13" s="1239">
        <v>2</v>
      </c>
      <c r="AN13" s="1239">
        <v>150</v>
      </c>
      <c r="AO13" s="1239">
        <v>7501402316.4000006</v>
      </c>
      <c r="AP13" s="1239">
        <v>7430770897.8500004</v>
      </c>
      <c r="AQ13" s="1239">
        <v>70631418.550000191</v>
      </c>
      <c r="AR13" s="1298">
        <v>1</v>
      </c>
      <c r="AS13" s="1298">
        <v>7059232357.3200006</v>
      </c>
      <c r="AT13" s="1298">
        <v>197.90400146692991</v>
      </c>
      <c r="AU13" s="1298">
        <v>7430770897.8500004</v>
      </c>
      <c r="AV13" s="1298">
        <v>0.05</v>
      </c>
      <c r="AW13" s="1298">
        <v>0.05</v>
      </c>
      <c r="AX13" s="1298">
        <v>7430770897.8500004</v>
      </c>
      <c r="AY13" s="1298">
        <v>371538544.89250004</v>
      </c>
      <c r="AZ13" s="1239">
        <v>7430770897.8500004</v>
      </c>
      <c r="BA13" s="1239">
        <v>371538544.89250004</v>
      </c>
      <c r="BB13" s="1239">
        <v>7059232352.9575005</v>
      </c>
      <c r="BC13" s="1239">
        <v>70631418.550000191</v>
      </c>
      <c r="BD13" s="1239">
        <v>7126332174.3600006</v>
      </c>
      <c r="BE13" s="1239">
        <v>371538544.89250004</v>
      </c>
      <c r="BF13" s="1239">
        <v>67099821.402500153</v>
      </c>
      <c r="BG13" s="1239"/>
      <c r="BH13" s="1239">
        <v>77732</v>
      </c>
      <c r="BI13" s="1239">
        <v>863.22</v>
      </c>
      <c r="BJ13" s="1239">
        <v>67099817.039999999</v>
      </c>
      <c r="BK13" s="1239">
        <v>4.3625001534819603</v>
      </c>
      <c r="BL13" s="1239"/>
      <c r="BM13" s="1239"/>
      <c r="BN13" s="1239"/>
      <c r="BO13" s="1239">
        <v>0</v>
      </c>
      <c r="BP13" s="1239">
        <v>70631418.550000191</v>
      </c>
      <c r="BQ13" s="1239">
        <v>67099817.039999999</v>
      </c>
      <c r="BR13" s="1239">
        <v>3531597.1475000381</v>
      </c>
      <c r="BS13" s="1239">
        <v>4092</v>
      </c>
      <c r="BT13" s="1239">
        <v>863.04</v>
      </c>
      <c r="BU13" s="1239">
        <v>3531559.6799999997</v>
      </c>
      <c r="BV13" s="1239">
        <v>37.467500038444996</v>
      </c>
      <c r="BW13">
        <v>77732</v>
      </c>
      <c r="BX13">
        <v>91678.23000000001</v>
      </c>
      <c r="BY13">
        <v>45896</v>
      </c>
      <c r="BZ13">
        <v>45929</v>
      </c>
      <c r="CA13">
        <v>33</v>
      </c>
      <c r="CB13">
        <v>6.0000000000000001E-3</v>
      </c>
      <c r="CC13">
        <v>49.73</v>
      </c>
      <c r="CD13">
        <v>3865612.36</v>
      </c>
      <c r="CM13">
        <v>4092</v>
      </c>
      <c r="CN13">
        <v>91659.37000000001</v>
      </c>
      <c r="CO13">
        <v>45896</v>
      </c>
      <c r="CP13">
        <v>45929</v>
      </c>
      <c r="CQ13">
        <v>33</v>
      </c>
      <c r="CR13">
        <v>1.4999999999999999E-2</v>
      </c>
      <c r="CS13">
        <v>124.31</v>
      </c>
      <c r="CT13">
        <v>508676.52</v>
      </c>
      <c r="CU13" s="1239">
        <v>7126332174.3600006</v>
      </c>
      <c r="CV13" s="1730">
        <v>5.0000000000000001E-3</v>
      </c>
      <c r="CW13" s="1239">
        <v>500000</v>
      </c>
      <c r="CX13" s="1239" t="s">
        <v>1073</v>
      </c>
      <c r="CY13" s="1239" t="s">
        <v>1072</v>
      </c>
      <c r="CZ13" s="1239">
        <v>35631660.869999997</v>
      </c>
      <c r="DA13" s="1239">
        <v>35957525.079999998</v>
      </c>
      <c r="DB13" s="1239">
        <v>35957525.079999998</v>
      </c>
      <c r="DC13" s="1239">
        <v>-325864.21000000089</v>
      </c>
      <c r="DD13" s="1239">
        <v>2464.5400065928698</v>
      </c>
      <c r="DE13" s="1239">
        <v>35631660.869999997</v>
      </c>
      <c r="DF13" s="1239">
        <v>0</v>
      </c>
      <c r="DG13" s="1239"/>
      <c r="DH13" s="1239">
        <v>80412846.232001275</v>
      </c>
    </row>
    <row r="14" spans="1:112">
      <c r="A14" s="1238">
        <v>45889</v>
      </c>
      <c r="B14" s="1238">
        <v>45896</v>
      </c>
      <c r="C14" s="1238">
        <v>45869</v>
      </c>
      <c r="D14" s="1239">
        <v>0</v>
      </c>
      <c r="E14" s="1239">
        <v>8182368484.4700003</v>
      </c>
      <c r="F14" s="1239">
        <v>619098.98</v>
      </c>
      <c r="G14" s="1239">
        <v>4384733.49</v>
      </c>
      <c r="H14" s="1239">
        <v>5836.2100000000009</v>
      </c>
      <c r="I14" s="1239">
        <v>206545.84999999998</v>
      </c>
      <c r="J14" s="1239">
        <v>68603195.680001259</v>
      </c>
      <c r="K14" s="1239">
        <v>72278019.03320092</v>
      </c>
      <c r="L14" s="1239">
        <v>77901731.713200912</v>
      </c>
      <c r="M14" s="1239">
        <v>5623712.6799999997</v>
      </c>
      <c r="N14" s="1239">
        <v>0</v>
      </c>
      <c r="O14" s="1239">
        <v>7191505015.1200008</v>
      </c>
      <c r="P14" s="1239">
        <v>0</v>
      </c>
      <c r="Q14" s="1239">
        <v>65172840.759999998</v>
      </c>
      <c r="R14" s="1239">
        <v>7126332174.3600006</v>
      </c>
      <c r="S14" s="1239">
        <v>77732</v>
      </c>
      <c r="T14" s="1239">
        <v>838.43</v>
      </c>
      <c r="U14" s="1239">
        <v>91678.23000000001</v>
      </c>
      <c r="V14" s="1239"/>
      <c r="W14" s="1239"/>
      <c r="X14" s="1239"/>
      <c r="Y14" s="1239"/>
      <c r="Z14" s="1239"/>
      <c r="AA14" s="1239"/>
      <c r="AB14" s="1239"/>
      <c r="AC14" s="1239">
        <v>378500261.04000002</v>
      </c>
      <c r="AD14" s="1239">
        <v>0</v>
      </c>
      <c r="AE14" s="1239">
        <v>3430119</v>
      </c>
      <c r="AF14" s="1239">
        <v>375070142.04000002</v>
      </c>
      <c r="AG14" s="1239">
        <v>4092</v>
      </c>
      <c r="AH14" s="1239">
        <v>91659.37000000001</v>
      </c>
      <c r="AI14" s="1239">
        <v>300</v>
      </c>
      <c r="AJ14" s="1239">
        <v>0</v>
      </c>
      <c r="AK14" s="1239">
        <v>0</v>
      </c>
      <c r="AL14" s="1239">
        <v>300</v>
      </c>
      <c r="AM14" s="1239">
        <v>2</v>
      </c>
      <c r="AN14" s="1239">
        <v>150</v>
      </c>
      <c r="AO14" s="1239">
        <v>7570005276.1600008</v>
      </c>
      <c r="AP14" s="1239">
        <v>7501402080.4799995</v>
      </c>
      <c r="AQ14" s="1239">
        <v>68603195.680001259</v>
      </c>
      <c r="AR14" s="1298">
        <v>1</v>
      </c>
      <c r="AS14" s="1298">
        <v>7126332174.3600006</v>
      </c>
      <c r="AT14" s="1298">
        <v>87.479501076042652</v>
      </c>
      <c r="AU14" s="1298">
        <v>7501402080.4799995</v>
      </c>
      <c r="AV14" s="1298">
        <v>0.05</v>
      </c>
      <c r="AW14" s="1298">
        <v>0.05</v>
      </c>
      <c r="AX14" s="1298">
        <v>7501402080.4799995</v>
      </c>
      <c r="AY14" s="1298">
        <v>375070104.02399999</v>
      </c>
      <c r="AZ14" s="1239">
        <v>7501402080.4799995</v>
      </c>
      <c r="BA14" s="1239">
        <v>375070104.02399999</v>
      </c>
      <c r="BB14" s="1239">
        <v>7126331976.4559994</v>
      </c>
      <c r="BC14" s="1239">
        <v>68603195.680001259</v>
      </c>
      <c r="BD14" s="1239">
        <v>7191505015.1200008</v>
      </c>
      <c r="BE14" s="1239">
        <v>375070104.02399999</v>
      </c>
      <c r="BF14" s="1239">
        <v>65173038.664001465</v>
      </c>
      <c r="BG14" s="1239"/>
      <c r="BH14" s="1239">
        <v>77732</v>
      </c>
      <c r="BI14" s="1239">
        <v>838.43</v>
      </c>
      <c r="BJ14" s="1239">
        <v>65172840.759999998</v>
      </c>
      <c r="BK14" s="1239">
        <v>197.90400146692991</v>
      </c>
      <c r="BL14" s="1239"/>
      <c r="BM14" s="1239"/>
      <c r="BN14" s="1239"/>
      <c r="BO14" s="1239"/>
      <c r="BP14" s="1239">
        <v>68603195.680001259</v>
      </c>
      <c r="BQ14" s="1239">
        <v>65172840.759999998</v>
      </c>
      <c r="BR14" s="1239">
        <v>3430157.015999794</v>
      </c>
      <c r="BS14" s="1239">
        <v>4092</v>
      </c>
      <c r="BT14" s="1239">
        <v>838.25</v>
      </c>
      <c r="BU14" s="1239">
        <v>3430119</v>
      </c>
      <c r="BV14" s="1239">
        <v>38.015999794006348</v>
      </c>
      <c r="BW14">
        <v>77732</v>
      </c>
      <c r="BX14">
        <v>92516.660000000018</v>
      </c>
      <c r="BY14">
        <v>45866</v>
      </c>
      <c r="BZ14">
        <v>45896</v>
      </c>
      <c r="CA14">
        <v>30</v>
      </c>
      <c r="CB14">
        <v>6.0000000000000001E-3</v>
      </c>
      <c r="CC14">
        <v>45.62</v>
      </c>
      <c r="CD14">
        <v>3546133.84</v>
      </c>
      <c r="CM14">
        <v>4092</v>
      </c>
      <c r="CN14">
        <v>92497.62000000001</v>
      </c>
      <c r="CO14">
        <v>45866</v>
      </c>
      <c r="CP14">
        <v>45896</v>
      </c>
      <c r="CQ14">
        <v>30</v>
      </c>
      <c r="CR14">
        <v>1.4999999999999999E-2</v>
      </c>
      <c r="CS14">
        <v>114.04</v>
      </c>
      <c r="CT14">
        <v>466651.68000000005</v>
      </c>
      <c r="CU14" s="1239">
        <v>7191505015.1200008</v>
      </c>
      <c r="CV14" s="1730">
        <v>5.0000000000000001E-3</v>
      </c>
      <c r="CW14" s="1239">
        <v>500000</v>
      </c>
      <c r="CX14" s="1239" t="s">
        <v>1073</v>
      </c>
      <c r="CY14" s="1239" t="s">
        <v>1072</v>
      </c>
      <c r="CZ14" s="1239">
        <v>35957525.079999998</v>
      </c>
      <c r="DA14" s="1239">
        <v>36267088.880000003</v>
      </c>
      <c r="DB14" s="1239">
        <v>36267088.880000003</v>
      </c>
      <c r="DC14" s="1239">
        <v>-309563.80000000447</v>
      </c>
      <c r="DD14" s="1239">
        <v>2422.7100063860416</v>
      </c>
      <c r="DE14" s="1239">
        <v>35957525.079999998</v>
      </c>
      <c r="DF14" s="1239">
        <v>0</v>
      </c>
      <c r="DG14" s="1239"/>
      <c r="DH14" s="1239">
        <v>77901731.713200912</v>
      </c>
    </row>
    <row r="15" spans="1:112">
      <c r="A15" s="1238">
        <v>45859</v>
      </c>
      <c r="B15" s="1238">
        <v>45866</v>
      </c>
      <c r="C15" s="1238">
        <v>45838</v>
      </c>
      <c r="D15" s="1239">
        <v>0</v>
      </c>
      <c r="E15" s="1239">
        <v>8182368484.4700003</v>
      </c>
      <c r="F15" s="1239">
        <v>183346.71</v>
      </c>
      <c r="G15" s="1239">
        <v>3765634.51</v>
      </c>
      <c r="H15" s="1239">
        <v>8765.27</v>
      </c>
      <c r="I15" s="1239">
        <v>200709.63999999998</v>
      </c>
      <c r="J15" s="1239">
        <v>65171391.290000916</v>
      </c>
      <c r="K15" s="1239">
        <v>69614156.09000136</v>
      </c>
      <c r="L15" s="1239">
        <v>75484341.880001366</v>
      </c>
      <c r="M15" s="1239">
        <v>5870185.79</v>
      </c>
      <c r="N15" s="1239">
        <v>0</v>
      </c>
      <c r="O15" s="1239">
        <v>7253417775.8000011</v>
      </c>
      <c r="P15" s="1239">
        <v>0</v>
      </c>
      <c r="Q15" s="1239">
        <v>61912760.68</v>
      </c>
      <c r="R15" s="1239">
        <v>7191505015.1200008</v>
      </c>
      <c r="S15" s="1239">
        <v>77732</v>
      </c>
      <c r="T15" s="1239">
        <v>796.49</v>
      </c>
      <c r="U15" s="1239">
        <v>92516.660000000018</v>
      </c>
      <c r="V15" s="1239"/>
      <c r="W15" s="1239"/>
      <c r="X15" s="1239"/>
      <c r="Y15" s="1239"/>
      <c r="Z15" s="1239"/>
      <c r="AA15" s="1239"/>
      <c r="AB15" s="1239"/>
      <c r="AC15" s="1239">
        <v>381758802.48000002</v>
      </c>
      <c r="AD15" s="1239">
        <v>0</v>
      </c>
      <c r="AE15" s="1239">
        <v>3258541.4400000004</v>
      </c>
      <c r="AF15" s="1239">
        <v>378500261.04000002</v>
      </c>
      <c r="AG15" s="1239">
        <v>4092</v>
      </c>
      <c r="AH15" s="1239">
        <v>92497.62000000001</v>
      </c>
      <c r="AI15" s="1239">
        <v>300</v>
      </c>
      <c r="AJ15" s="1239">
        <v>0</v>
      </c>
      <c r="AK15" s="1239">
        <v>0</v>
      </c>
      <c r="AL15" s="1239">
        <v>300</v>
      </c>
      <c r="AM15" s="1239">
        <v>2</v>
      </c>
      <c r="AN15" s="1239">
        <v>150</v>
      </c>
      <c r="AO15" s="1239">
        <v>7635176578.2800007</v>
      </c>
      <c r="AP15" s="1239">
        <v>7570005186.9899998</v>
      </c>
      <c r="AQ15" s="1239">
        <v>65171391.290000916</v>
      </c>
      <c r="AR15" s="1298">
        <v>1</v>
      </c>
      <c r="AS15" s="1298">
        <v>7191505015.1200008</v>
      </c>
      <c r="AT15" s="1298">
        <v>627.74600147455931</v>
      </c>
      <c r="AU15" s="1298">
        <v>7570005186.9899998</v>
      </c>
      <c r="AV15" s="1298">
        <v>0.05</v>
      </c>
      <c r="AW15" s="1298">
        <v>0.05</v>
      </c>
      <c r="AX15" s="1298">
        <v>7570005186.9899998</v>
      </c>
      <c r="AY15" s="1298">
        <v>378500259.3495</v>
      </c>
      <c r="AZ15" s="1239">
        <v>7570005186.9899998</v>
      </c>
      <c r="BA15" s="1239">
        <v>378500259.3495</v>
      </c>
      <c r="BB15" s="1239">
        <v>7191504927.6405001</v>
      </c>
      <c r="BC15" s="1239">
        <v>65171391.290000916</v>
      </c>
      <c r="BD15" s="1239">
        <v>7253417775.8000011</v>
      </c>
      <c r="BE15" s="1239">
        <v>378500259.3495</v>
      </c>
      <c r="BF15" s="1239">
        <v>61912848.159501076</v>
      </c>
      <c r="BG15" s="1239"/>
      <c r="BH15" s="1239">
        <v>77732</v>
      </c>
      <c r="BI15" s="1239">
        <v>796.49</v>
      </c>
      <c r="BJ15" s="1239">
        <v>61912760.68</v>
      </c>
      <c r="BK15" s="1239">
        <v>87.479501076042652</v>
      </c>
      <c r="BL15" s="1239"/>
      <c r="BM15" s="1239"/>
      <c r="BN15" s="1239"/>
      <c r="BO15" s="1239"/>
      <c r="BP15" s="1239">
        <v>65171391.290000916</v>
      </c>
      <c r="BQ15" s="1239">
        <v>61912760.68</v>
      </c>
      <c r="BR15" s="1239">
        <v>3258543.1304998398</v>
      </c>
      <c r="BS15" s="1239">
        <v>4092</v>
      </c>
      <c r="BT15" s="1239">
        <v>796.32</v>
      </c>
      <c r="BU15" s="1239">
        <v>3258541.4400000004</v>
      </c>
      <c r="BV15" s="1239">
        <v>1.6904998393729329</v>
      </c>
      <c r="BW15">
        <v>77732</v>
      </c>
      <c r="BX15">
        <v>93313.150000000009</v>
      </c>
      <c r="BY15">
        <v>45835</v>
      </c>
      <c r="BZ15">
        <v>45866</v>
      </c>
      <c r="CA15">
        <v>31</v>
      </c>
      <c r="CB15">
        <v>6.0000000000000001E-3</v>
      </c>
      <c r="CC15">
        <v>47.55</v>
      </c>
      <c r="CD15">
        <v>3696156.5999999996</v>
      </c>
      <c r="CM15">
        <v>4092</v>
      </c>
      <c r="CN15">
        <v>93293.94</v>
      </c>
      <c r="CO15">
        <v>45835</v>
      </c>
      <c r="CP15">
        <v>45866</v>
      </c>
      <c r="CQ15">
        <v>31</v>
      </c>
      <c r="CR15">
        <v>1.4999999999999999E-2</v>
      </c>
      <c r="CS15">
        <v>118.85</v>
      </c>
      <c r="CT15">
        <v>486334.19999999995</v>
      </c>
      <c r="CU15" s="1239">
        <v>7253417775.8000011</v>
      </c>
      <c r="CV15" s="1730">
        <v>5.0000000000000001E-3</v>
      </c>
      <c r="CW15" s="1239">
        <v>500000</v>
      </c>
      <c r="CX15" s="1239" t="s">
        <v>1073</v>
      </c>
      <c r="CY15" s="1239" t="s">
        <v>1072</v>
      </c>
      <c r="CZ15" s="1239">
        <v>36267088.880000003</v>
      </c>
      <c r="DA15" s="1239">
        <v>36579155.649999999</v>
      </c>
      <c r="DB15" s="1239">
        <v>36579155.649999999</v>
      </c>
      <c r="DC15" s="1239">
        <v>-312066.76999999583</v>
      </c>
      <c r="DD15" s="1239">
        <v>2186.7900051176548</v>
      </c>
      <c r="DE15" s="1239">
        <v>36267088.880000003</v>
      </c>
      <c r="DF15" s="1239">
        <v>0</v>
      </c>
      <c r="DG15" s="1239"/>
      <c r="DH15" s="1239">
        <v>75484341.880001366</v>
      </c>
    </row>
    <row r="16" spans="1:112">
      <c r="A16" s="1238">
        <v>45828</v>
      </c>
      <c r="B16" s="1238">
        <v>45835</v>
      </c>
      <c r="C16" s="1238">
        <v>45808</v>
      </c>
      <c r="D16" s="1239">
        <v>0</v>
      </c>
      <c r="E16" s="1239">
        <v>8182368484.4700003</v>
      </c>
      <c r="F16" s="1239">
        <v>723701.24</v>
      </c>
      <c r="G16" s="1239">
        <v>3582287.8</v>
      </c>
      <c r="H16" s="1239">
        <v>14058.619999999999</v>
      </c>
      <c r="I16" s="1239">
        <v>191944.37</v>
      </c>
      <c r="J16" s="1239">
        <v>65698922.560001373</v>
      </c>
      <c r="K16" s="1239">
        <v>70141364.45310156</v>
      </c>
      <c r="L16" s="1239">
        <v>75995489.383101568</v>
      </c>
      <c r="M16" s="1239">
        <v>5854124.9300000006</v>
      </c>
      <c r="N16" s="1239">
        <v>0</v>
      </c>
      <c r="O16" s="1239">
        <v>7315831130.5600014</v>
      </c>
      <c r="P16" s="1239">
        <v>0</v>
      </c>
      <c r="Q16" s="1239">
        <v>62413354.759999998</v>
      </c>
      <c r="R16" s="1239">
        <v>7253417775.8000011</v>
      </c>
      <c r="S16" s="1239">
        <v>77732</v>
      </c>
      <c r="T16" s="1239">
        <v>802.93</v>
      </c>
      <c r="U16" s="1239">
        <v>93313.150000000009</v>
      </c>
      <c r="V16" s="1239"/>
      <c r="W16" s="1239"/>
      <c r="X16" s="1239"/>
      <c r="Y16" s="1239"/>
      <c r="Z16" s="1239"/>
      <c r="AA16" s="1239"/>
      <c r="AB16" s="1239"/>
      <c r="AC16" s="1239">
        <v>385043737.31999999</v>
      </c>
      <c r="AD16" s="1239">
        <v>0</v>
      </c>
      <c r="AE16" s="1239">
        <v>3284934.84</v>
      </c>
      <c r="AF16" s="1239">
        <v>381758802.48000002</v>
      </c>
      <c r="AG16" s="1239">
        <v>4092</v>
      </c>
      <c r="AH16" s="1239">
        <v>93293.94</v>
      </c>
      <c r="AI16" s="1239">
        <v>300</v>
      </c>
      <c r="AJ16" s="1239">
        <v>0</v>
      </c>
      <c r="AK16" s="1239">
        <v>0</v>
      </c>
      <c r="AL16" s="1239">
        <v>300</v>
      </c>
      <c r="AM16" s="1239">
        <v>2</v>
      </c>
      <c r="AN16" s="1239">
        <v>150</v>
      </c>
      <c r="AO16" s="1239">
        <v>7700874867.8800011</v>
      </c>
      <c r="AP16" s="1239">
        <v>7635175945.3199997</v>
      </c>
      <c r="AQ16" s="1239">
        <v>65698922.560001373</v>
      </c>
      <c r="AR16" s="1298">
        <v>1</v>
      </c>
      <c r="AS16" s="1298">
        <v>7253417775.8000011</v>
      </c>
      <c r="AT16" s="1298">
        <v>375.88050166517496</v>
      </c>
      <c r="AU16" s="1298">
        <v>7635175945.3199997</v>
      </c>
      <c r="AV16" s="1298">
        <v>0.05</v>
      </c>
      <c r="AW16" s="1298">
        <v>0.05</v>
      </c>
      <c r="AX16" s="1298">
        <v>7635175945.3199997</v>
      </c>
      <c r="AY16" s="1298">
        <v>381758797.26600003</v>
      </c>
      <c r="AZ16" s="1239">
        <v>7635175945.3199997</v>
      </c>
      <c r="BA16" s="1239">
        <v>381758797.26600003</v>
      </c>
      <c r="BB16" s="1239">
        <v>7253417148.0539999</v>
      </c>
      <c r="BC16" s="1239">
        <v>65698922.560001373</v>
      </c>
      <c r="BD16" s="1239">
        <v>7315831130.5600014</v>
      </c>
      <c r="BE16" s="1239">
        <v>381758797.26600003</v>
      </c>
      <c r="BF16" s="1239">
        <v>62413982.506001472</v>
      </c>
      <c r="BG16" s="1239"/>
      <c r="BH16" s="1239">
        <v>77732</v>
      </c>
      <c r="BI16" s="1239">
        <v>802.93</v>
      </c>
      <c r="BJ16" s="1239">
        <v>62413354.759999998</v>
      </c>
      <c r="BK16" s="1239">
        <v>627.74600147455931</v>
      </c>
      <c r="BL16" s="1239"/>
      <c r="BM16" s="1239"/>
      <c r="BN16" s="1239"/>
      <c r="BO16" s="1239"/>
      <c r="BP16" s="1239">
        <v>65698922.560001373</v>
      </c>
      <c r="BQ16" s="1239">
        <v>62413354.759999998</v>
      </c>
      <c r="BR16" s="1239">
        <v>3284940.0539999008</v>
      </c>
      <c r="BS16" s="1239">
        <v>4092</v>
      </c>
      <c r="BT16" s="1239">
        <v>802.77</v>
      </c>
      <c r="BU16" s="1239">
        <v>3284934.84</v>
      </c>
      <c r="BV16" s="1239">
        <v>5.2139999009668827</v>
      </c>
      <c r="BW16">
        <v>77732</v>
      </c>
      <c r="BX16">
        <v>94116.080000000016</v>
      </c>
      <c r="BY16">
        <v>45804</v>
      </c>
      <c r="BZ16">
        <v>45835</v>
      </c>
      <c r="CA16">
        <v>31</v>
      </c>
      <c r="CB16">
        <v>6.0000000000000001E-3</v>
      </c>
      <c r="CC16">
        <v>47.96</v>
      </c>
      <c r="CD16">
        <v>3728026.72</v>
      </c>
      <c r="CM16">
        <v>4092</v>
      </c>
      <c r="CN16">
        <v>94096.709999999992</v>
      </c>
      <c r="CO16">
        <v>45804</v>
      </c>
      <c r="CP16">
        <v>45835</v>
      </c>
      <c r="CQ16">
        <v>31</v>
      </c>
      <c r="CR16">
        <v>1.4999999999999999E-2</v>
      </c>
      <c r="CS16">
        <v>119.87</v>
      </c>
      <c r="CT16">
        <v>490508.04000000004</v>
      </c>
      <c r="CU16" s="1239">
        <v>7315831130.5600014</v>
      </c>
      <c r="CV16" s="1730">
        <v>5.0000000000000001E-3</v>
      </c>
      <c r="CW16" s="1239">
        <v>500000</v>
      </c>
      <c r="CX16" s="1239" t="s">
        <v>1073</v>
      </c>
      <c r="CY16" s="1239" t="s">
        <v>1072</v>
      </c>
      <c r="CZ16" s="1239">
        <v>36579155.649999999</v>
      </c>
      <c r="DA16" s="1239">
        <v>36872279.140000001</v>
      </c>
      <c r="DB16" s="1239">
        <v>36872279.140000001</v>
      </c>
      <c r="DC16" s="1239">
        <v>-293123.49000000209</v>
      </c>
      <c r="DD16" s="1239">
        <v>2097.6200042068958</v>
      </c>
      <c r="DE16" s="1239">
        <v>36579155.649999999</v>
      </c>
      <c r="DF16" s="1239">
        <v>0</v>
      </c>
      <c r="DG16" s="1239"/>
      <c r="DH16" s="1239">
        <v>75995489.383101568</v>
      </c>
    </row>
    <row r="17" spans="1:112">
      <c r="A17" s="1238">
        <v>45797</v>
      </c>
      <c r="B17" s="1238">
        <v>45804</v>
      </c>
      <c r="C17" s="1238">
        <v>45777</v>
      </c>
      <c r="D17" s="1239">
        <v>0</v>
      </c>
      <c r="E17" s="1239">
        <v>8182368484.4700003</v>
      </c>
      <c r="F17" s="1239">
        <v>1236920.96</v>
      </c>
      <c r="G17" s="1239">
        <v>2858586.56</v>
      </c>
      <c r="H17" s="1239">
        <v>5807.5</v>
      </c>
      <c r="I17" s="1239">
        <v>177885.75</v>
      </c>
      <c r="J17" s="1239">
        <v>61710577.110001564</v>
      </c>
      <c r="K17" s="1239">
        <v>64956218.0900013</v>
      </c>
      <c r="L17" s="1239">
        <v>70575142.360001296</v>
      </c>
      <c r="M17" s="1239">
        <v>5618924.2699999996</v>
      </c>
      <c r="N17" s="1239">
        <v>0</v>
      </c>
      <c r="O17" s="1239">
        <v>7374455827.6400013</v>
      </c>
      <c r="P17" s="1239">
        <v>0</v>
      </c>
      <c r="Q17" s="1239">
        <v>58624697.080000006</v>
      </c>
      <c r="R17" s="1239">
        <v>7315831130.5600014</v>
      </c>
      <c r="S17" s="1239">
        <v>77732</v>
      </c>
      <c r="T17" s="1239">
        <v>754.19</v>
      </c>
      <c r="U17" s="1239">
        <v>94116.080000000016</v>
      </c>
      <c r="V17" s="1239"/>
      <c r="W17" s="1239"/>
      <c r="X17" s="1239"/>
      <c r="Y17" s="1239"/>
      <c r="Z17" s="1239"/>
      <c r="AA17" s="1239"/>
      <c r="AB17" s="1239"/>
      <c r="AC17" s="1239">
        <v>388129228.07999998</v>
      </c>
      <c r="AD17" s="1239">
        <v>0</v>
      </c>
      <c r="AE17" s="1239">
        <v>3085490.76</v>
      </c>
      <c r="AF17" s="1239">
        <v>385043737.31999999</v>
      </c>
      <c r="AG17" s="1239">
        <v>4092</v>
      </c>
      <c r="AH17" s="1239">
        <v>94096.709999999992</v>
      </c>
      <c r="AI17" s="1239">
        <v>300</v>
      </c>
      <c r="AJ17" s="1239">
        <v>0</v>
      </c>
      <c r="AK17" s="1239">
        <v>0</v>
      </c>
      <c r="AL17" s="1239">
        <v>300</v>
      </c>
      <c r="AM17" s="1239">
        <v>2</v>
      </c>
      <c r="AN17" s="1239">
        <v>150</v>
      </c>
      <c r="AO17" s="1239">
        <v>7762585055.7200012</v>
      </c>
      <c r="AP17" s="1239">
        <v>7700874478.6099997</v>
      </c>
      <c r="AQ17" s="1239">
        <v>61710577.110001564</v>
      </c>
      <c r="AR17" s="1298">
        <v>1</v>
      </c>
      <c r="AS17" s="1298">
        <v>7315831130.5600014</v>
      </c>
      <c r="AT17" s="1298">
        <v>761.32650145888329</v>
      </c>
      <c r="AU17" s="1298">
        <v>7700874478.6099997</v>
      </c>
      <c r="AV17" s="1298">
        <v>0.05</v>
      </c>
      <c r="AW17" s="1298">
        <v>0.05</v>
      </c>
      <c r="AX17" s="1298">
        <v>7700874478.6099997</v>
      </c>
      <c r="AY17" s="1298">
        <v>385043723.93050003</v>
      </c>
      <c r="AZ17" s="1239">
        <v>7700874478.6099997</v>
      </c>
      <c r="BA17" s="1239">
        <v>385043723.93050003</v>
      </c>
      <c r="BB17" s="1239">
        <v>7315830754.6794996</v>
      </c>
      <c r="BC17" s="1239">
        <v>61710577.110001564</v>
      </c>
      <c r="BD17" s="1239">
        <v>7374455827.6400013</v>
      </c>
      <c r="BE17" s="1239">
        <v>385043723.93050003</v>
      </c>
      <c r="BF17" s="1239">
        <v>58625072.960501671</v>
      </c>
      <c r="BG17" s="1239"/>
      <c r="BH17" s="1239">
        <v>77732</v>
      </c>
      <c r="BI17" s="1239">
        <v>754.19</v>
      </c>
      <c r="BJ17" s="1239">
        <v>58624697.080000006</v>
      </c>
      <c r="BK17" s="1239">
        <v>375.88050166517496</v>
      </c>
      <c r="BL17" s="1239"/>
      <c r="BM17" s="1239"/>
      <c r="BN17" s="1239"/>
      <c r="BO17" s="1239"/>
      <c r="BP17" s="1239">
        <v>61710577.110001564</v>
      </c>
      <c r="BQ17" s="1239">
        <v>58624697.080000006</v>
      </c>
      <c r="BR17" s="1239">
        <v>3085504.1494998932</v>
      </c>
      <c r="BS17" s="1239">
        <v>4092</v>
      </c>
      <c r="BT17" s="1239">
        <v>754.03</v>
      </c>
      <c r="BU17" s="1239">
        <v>3085490.76</v>
      </c>
      <c r="BV17" s="1239">
        <v>13.389499893411994</v>
      </c>
      <c r="BW17">
        <v>77732</v>
      </c>
      <c r="BX17">
        <v>94870.270000000019</v>
      </c>
      <c r="BY17">
        <v>45775</v>
      </c>
      <c r="BZ17">
        <v>45804</v>
      </c>
      <c r="CA17">
        <v>29</v>
      </c>
      <c r="CB17">
        <v>6.0000000000000001E-3</v>
      </c>
      <c r="CC17">
        <v>45.22</v>
      </c>
      <c r="CD17">
        <v>3515041.04</v>
      </c>
      <c r="CM17">
        <v>4092</v>
      </c>
      <c r="CN17">
        <v>94850.739999999991</v>
      </c>
      <c r="CO17">
        <v>45775</v>
      </c>
      <c r="CP17">
        <v>45804</v>
      </c>
      <c r="CQ17">
        <v>29</v>
      </c>
      <c r="CR17">
        <v>1.4999999999999999E-2</v>
      </c>
      <c r="CS17">
        <v>113.04</v>
      </c>
      <c r="CT17">
        <v>462559.68000000005</v>
      </c>
      <c r="CU17" s="1239">
        <v>7374455827.6400013</v>
      </c>
      <c r="CV17" s="1730">
        <v>5.0000000000000001E-3</v>
      </c>
      <c r="CW17" s="1239">
        <v>500000</v>
      </c>
      <c r="CX17" s="1239" t="s">
        <v>1073</v>
      </c>
      <c r="CY17" s="1239" t="s">
        <v>1072</v>
      </c>
      <c r="CZ17" s="1239">
        <v>36872279.140000001</v>
      </c>
      <c r="DA17" s="1239">
        <v>37153746.710000001</v>
      </c>
      <c r="DB17" s="1239">
        <v>37153746.710000001</v>
      </c>
      <c r="DC17" s="1239">
        <v>-281467.5700000003</v>
      </c>
      <c r="DD17" s="1239">
        <v>1464.6600028574467</v>
      </c>
      <c r="DE17" s="1239">
        <v>36872279.140000001</v>
      </c>
      <c r="DF17" s="1239">
        <v>0</v>
      </c>
      <c r="DG17" s="1239"/>
      <c r="DH17" s="1239">
        <v>70575142.360001296</v>
      </c>
    </row>
    <row r="18" spans="1:112">
      <c r="A18" s="1238">
        <v>45764</v>
      </c>
      <c r="B18" s="1238">
        <v>45775</v>
      </c>
      <c r="C18" s="1238">
        <v>45747</v>
      </c>
      <c r="D18" s="1239">
        <v>0</v>
      </c>
      <c r="E18" s="1239">
        <v>8182368484.4700003</v>
      </c>
      <c r="F18" s="1239">
        <v>394532.89</v>
      </c>
      <c r="G18" s="1239">
        <v>1621665.6</v>
      </c>
      <c r="H18" s="1239">
        <v>115581.97</v>
      </c>
      <c r="I18" s="1239">
        <v>172078.25</v>
      </c>
      <c r="J18" s="1239">
        <v>59257102.390001297</v>
      </c>
      <c r="K18" s="1239">
        <v>63181777.970000699</v>
      </c>
      <c r="L18" s="1239">
        <v>69263377.490000695</v>
      </c>
      <c r="M18" s="1239">
        <v>6081599.5199999996</v>
      </c>
      <c r="N18" s="1239">
        <v>0</v>
      </c>
      <c r="O18" s="1239">
        <v>7430749342.0400009</v>
      </c>
      <c r="P18" s="1239">
        <v>0</v>
      </c>
      <c r="Q18" s="1239">
        <v>56293514.400000006</v>
      </c>
      <c r="R18" s="1239">
        <v>7374455827.6400013</v>
      </c>
      <c r="S18" s="1239">
        <v>77732</v>
      </c>
      <c r="T18" s="1239">
        <v>724.2</v>
      </c>
      <c r="U18" s="1239">
        <v>94870.270000000019</v>
      </c>
      <c r="V18" s="1239"/>
      <c r="W18" s="1239"/>
      <c r="X18" s="1239"/>
      <c r="Y18" s="1239"/>
      <c r="Z18" s="1239"/>
      <c r="AA18" s="1239"/>
      <c r="AB18" s="1239"/>
      <c r="AC18" s="1239">
        <v>391092040.68000001</v>
      </c>
      <c r="AD18" s="1239">
        <v>0</v>
      </c>
      <c r="AE18" s="1239">
        <v>2962812.5999999996</v>
      </c>
      <c r="AF18" s="1239">
        <v>388129228.07999998</v>
      </c>
      <c r="AG18" s="1239">
        <v>4092</v>
      </c>
      <c r="AH18" s="1239">
        <v>94850.739999999991</v>
      </c>
      <c r="AI18" s="1239">
        <v>300</v>
      </c>
      <c r="AJ18" s="1239">
        <v>0</v>
      </c>
      <c r="AK18" s="1239">
        <v>0</v>
      </c>
      <c r="AL18" s="1239">
        <v>300</v>
      </c>
      <c r="AM18" s="1239">
        <v>2</v>
      </c>
      <c r="AN18" s="1239">
        <v>150</v>
      </c>
      <c r="AO18" s="1239">
        <v>7821841382.7200012</v>
      </c>
      <c r="AP18" s="1239">
        <v>7762584280.3299999</v>
      </c>
      <c r="AQ18" s="1239">
        <v>59257102.390001297</v>
      </c>
      <c r="AR18" s="1298">
        <v>1</v>
      </c>
      <c r="AS18" s="1298">
        <v>7374455827.6400013</v>
      </c>
      <c r="AT18" s="1298">
        <v>688.95300125330687</v>
      </c>
      <c r="AU18" s="1298">
        <v>7762584280.3299999</v>
      </c>
      <c r="AV18" s="1298">
        <v>0.05</v>
      </c>
      <c r="AW18" s="1298">
        <v>0.05</v>
      </c>
      <c r="AX18" s="1298">
        <v>7762584280.3299999</v>
      </c>
      <c r="AY18" s="1298">
        <v>388129214.0165</v>
      </c>
      <c r="AZ18" s="1239">
        <v>7762584280.3299999</v>
      </c>
      <c r="BA18" s="1239">
        <v>388129214.0165</v>
      </c>
      <c r="BB18" s="1239">
        <v>7374455066.3134995</v>
      </c>
      <c r="BC18" s="1239">
        <v>59257102.390001297</v>
      </c>
      <c r="BD18" s="1239">
        <v>7430749342.0400009</v>
      </c>
      <c r="BE18" s="1239">
        <v>388129214.0165</v>
      </c>
      <c r="BF18" s="1239">
        <v>56294275.726501465</v>
      </c>
      <c r="BG18" s="1239"/>
      <c r="BH18" s="1239">
        <v>77732</v>
      </c>
      <c r="BI18" s="1239">
        <v>724.2</v>
      </c>
      <c r="BJ18" s="1239">
        <v>56293514.400000006</v>
      </c>
      <c r="BK18" s="1239">
        <v>761.32650145888329</v>
      </c>
      <c r="BL18" s="1239"/>
      <c r="BM18" s="1239"/>
      <c r="BN18" s="1239"/>
      <c r="BO18" s="1239"/>
      <c r="BP18" s="1239">
        <v>59257102.390001297</v>
      </c>
      <c r="BQ18" s="1239">
        <v>56293514.400000006</v>
      </c>
      <c r="BR18" s="1239">
        <v>2962826.6634998322</v>
      </c>
      <c r="BS18" s="1239">
        <v>4092</v>
      </c>
      <c r="BT18" s="1239">
        <v>724.05</v>
      </c>
      <c r="BU18" s="1239">
        <v>2962812.5999999996</v>
      </c>
      <c r="BV18" s="1239">
        <v>14.063499832525849</v>
      </c>
      <c r="BW18">
        <v>77732</v>
      </c>
      <c r="BX18">
        <v>95594.470000000016</v>
      </c>
      <c r="BY18">
        <v>45743</v>
      </c>
      <c r="BZ18">
        <v>45775</v>
      </c>
      <c r="CA18">
        <v>32</v>
      </c>
      <c r="CB18">
        <v>6.0000000000000001E-3</v>
      </c>
      <c r="CC18">
        <v>50.29</v>
      </c>
      <c r="CD18">
        <v>3909142.28</v>
      </c>
      <c r="CM18">
        <v>4092</v>
      </c>
      <c r="CN18">
        <v>95574.790000000008</v>
      </c>
      <c r="CO18">
        <v>45743</v>
      </c>
      <c r="CP18">
        <v>45775</v>
      </c>
      <c r="CQ18">
        <v>32</v>
      </c>
      <c r="CR18">
        <v>1.4999999999999999E-2</v>
      </c>
      <c r="CS18">
        <v>125.69</v>
      </c>
      <c r="CT18">
        <v>514323.48</v>
      </c>
      <c r="CU18" s="1239">
        <v>7430749342.0400009</v>
      </c>
      <c r="CV18" s="1730">
        <v>5.0000000000000001E-3</v>
      </c>
      <c r="CW18" s="1239">
        <v>500000</v>
      </c>
      <c r="CX18" s="1239" t="s">
        <v>1073</v>
      </c>
      <c r="CY18" s="1239" t="s">
        <v>1072</v>
      </c>
      <c r="CZ18" s="1239">
        <v>37153746.710000001</v>
      </c>
      <c r="DA18" s="1239">
        <v>37439967.590000004</v>
      </c>
      <c r="DB18" s="1239">
        <v>37439967.590000004</v>
      </c>
      <c r="DC18" s="1239">
        <v>-286220.88000000268</v>
      </c>
      <c r="DD18" s="1239">
        <v>1075.3900012969971</v>
      </c>
      <c r="DE18" s="1239">
        <v>37153746.710000001</v>
      </c>
      <c r="DF18" s="1239"/>
      <c r="DG18" s="1239"/>
      <c r="DH18" s="1239">
        <v>69263377.490000695</v>
      </c>
    </row>
    <row r="19" spans="1:112">
      <c r="A19" s="1238">
        <v>45736</v>
      </c>
      <c r="B19" s="1238">
        <v>45743</v>
      </c>
      <c r="C19" s="1238">
        <v>45716</v>
      </c>
      <c r="D19" s="1239">
        <v>0</v>
      </c>
      <c r="E19" s="1239">
        <v>8182368484.4700003</v>
      </c>
      <c r="F19" s="1239">
        <v>208258.58</v>
      </c>
      <c r="G19" s="1239">
        <v>1227132.71</v>
      </c>
      <c r="H19" s="1239">
        <v>3590.35</v>
      </c>
      <c r="I19" s="1239">
        <v>56496.279999999992</v>
      </c>
      <c r="J19" s="1239">
        <v>60257729.780000687</v>
      </c>
      <c r="K19" s="1239">
        <v>64963948.510000482</v>
      </c>
      <c r="L19" s="1239">
        <v>70534542.850000486</v>
      </c>
      <c r="M19" s="1239">
        <v>5570594.3399999999</v>
      </c>
      <c r="N19" s="1239">
        <v>0</v>
      </c>
      <c r="O19" s="1239">
        <v>7487993518.8000011</v>
      </c>
      <c r="P19" s="1239">
        <v>0</v>
      </c>
      <c r="Q19" s="1239">
        <v>57244176.759999998</v>
      </c>
      <c r="R19" s="1239">
        <v>7430749342.0400009</v>
      </c>
      <c r="S19" s="1239">
        <v>77732</v>
      </c>
      <c r="T19" s="1239">
        <v>736.43</v>
      </c>
      <c r="U19" s="1239">
        <v>95594.470000000016</v>
      </c>
      <c r="V19" s="1239"/>
      <c r="W19" s="1239"/>
      <c r="X19" s="1239"/>
      <c r="Y19" s="1239"/>
      <c r="Z19" s="1239"/>
      <c r="AA19" s="1239"/>
      <c r="AB19" s="1239"/>
      <c r="AC19" s="1239">
        <v>394104898.44</v>
      </c>
      <c r="AD19" s="1239">
        <v>0</v>
      </c>
      <c r="AE19" s="1239">
        <v>3012857.76</v>
      </c>
      <c r="AF19" s="1239">
        <v>391092040.68000001</v>
      </c>
      <c r="AG19" s="1239">
        <v>4092</v>
      </c>
      <c r="AH19" s="1239">
        <v>95574.790000000008</v>
      </c>
      <c r="AI19" s="1239">
        <v>300</v>
      </c>
      <c r="AJ19" s="1239">
        <v>0</v>
      </c>
      <c r="AK19" s="1239">
        <v>0</v>
      </c>
      <c r="AL19" s="1239">
        <v>300</v>
      </c>
      <c r="AM19" s="1239">
        <v>2</v>
      </c>
      <c r="AN19" s="1239">
        <v>150</v>
      </c>
      <c r="AO19" s="1239">
        <v>7882098417.2400007</v>
      </c>
      <c r="AP19" s="1239">
        <v>7821840687.46</v>
      </c>
      <c r="AQ19" s="1239">
        <v>60257729.780000687</v>
      </c>
      <c r="AR19" s="1298">
        <v>1</v>
      </c>
      <c r="AS19" s="1298">
        <v>7430749342.0400009</v>
      </c>
      <c r="AT19" s="1298">
        <v>678.18800121545792</v>
      </c>
      <c r="AU19" s="1298">
        <v>7821840687.46</v>
      </c>
      <c r="AV19" s="1298">
        <v>0.05</v>
      </c>
      <c r="AW19" s="1298">
        <v>0.05</v>
      </c>
      <c r="AX19" s="1298">
        <v>7821840687.46</v>
      </c>
      <c r="AY19" s="1298">
        <v>391092034.37300003</v>
      </c>
      <c r="AZ19" s="1239">
        <v>7821840687.46</v>
      </c>
      <c r="BA19" s="1239">
        <v>391092034.37300003</v>
      </c>
      <c r="BB19" s="1239">
        <v>7430748653.0869999</v>
      </c>
      <c r="BC19" s="1239">
        <v>60257729.780000687</v>
      </c>
      <c r="BD19" s="1239">
        <v>7487993518.8000011</v>
      </c>
      <c r="BE19" s="1239">
        <v>391092034.37300003</v>
      </c>
      <c r="BF19" s="1239">
        <v>57244865.713001251</v>
      </c>
      <c r="BG19" s="1239"/>
      <c r="BH19" s="1239">
        <v>77732</v>
      </c>
      <c r="BI19" s="1239">
        <v>736.43</v>
      </c>
      <c r="BJ19" s="1239">
        <v>57244176.759999998</v>
      </c>
      <c r="BK19" s="1239">
        <v>688.95300125330687</v>
      </c>
      <c r="BL19" s="1239"/>
      <c r="BM19" s="1239"/>
      <c r="BN19" s="1239"/>
      <c r="BO19" s="1239"/>
      <c r="BP19" s="1239">
        <v>60257729.780000687</v>
      </c>
      <c r="BQ19" s="1239">
        <v>57244176.759999998</v>
      </c>
      <c r="BR19" s="1239">
        <v>3012864.0669994354</v>
      </c>
      <c r="BS19" s="1239">
        <v>4092</v>
      </c>
      <c r="BT19" s="1239">
        <v>736.28</v>
      </c>
      <c r="BU19" s="1239">
        <v>3012857.76</v>
      </c>
      <c r="BV19" s="1239">
        <v>6.3069994356483221</v>
      </c>
      <c r="BW19">
        <v>77732</v>
      </c>
      <c r="BX19">
        <v>96330.900000000009</v>
      </c>
      <c r="BY19">
        <v>45715</v>
      </c>
      <c r="BZ19">
        <v>45743</v>
      </c>
      <c r="CA19">
        <v>28</v>
      </c>
      <c r="CB19">
        <v>6.0000000000000001E-3</v>
      </c>
      <c r="CC19">
        <v>44.34</v>
      </c>
      <c r="CD19">
        <v>3446636.8800000004</v>
      </c>
      <c r="CM19">
        <v>4092</v>
      </c>
      <c r="CN19">
        <v>96311.069999999992</v>
      </c>
      <c r="CO19">
        <v>45715</v>
      </c>
      <c r="CP19">
        <v>45743</v>
      </c>
      <c r="CQ19">
        <v>28</v>
      </c>
      <c r="CR19">
        <v>1.4999999999999999E-2</v>
      </c>
      <c r="CS19">
        <v>110.82</v>
      </c>
      <c r="CT19">
        <v>453475.43999999994</v>
      </c>
      <c r="CU19" s="1239">
        <v>7487993518.8000011</v>
      </c>
      <c r="CV19" s="1730">
        <v>5.0000000000000001E-3</v>
      </c>
      <c r="CW19" s="1239">
        <v>500000</v>
      </c>
      <c r="CX19" s="1239" t="s">
        <v>1073</v>
      </c>
      <c r="CY19" s="1239" t="s">
        <v>1072</v>
      </c>
      <c r="CZ19" s="1239">
        <v>37439967.590000004</v>
      </c>
      <c r="DA19" s="1239">
        <v>37725601.600000001</v>
      </c>
      <c r="DB19" s="1239">
        <v>37725601.600000001</v>
      </c>
      <c r="DC19" s="1239">
        <v>-285634.00999999791</v>
      </c>
      <c r="DD19" s="1239"/>
      <c r="DE19" s="1239"/>
      <c r="DF19" s="1239"/>
      <c r="DG19" s="1239"/>
      <c r="DH19" s="1239"/>
    </row>
    <row r="20" spans="1:112">
      <c r="A20" s="1238">
        <v>45708</v>
      </c>
      <c r="B20" s="1238">
        <v>45715</v>
      </c>
      <c r="C20" s="1238">
        <v>45688</v>
      </c>
      <c r="D20" s="1239">
        <v>0</v>
      </c>
      <c r="E20" s="1239">
        <v>8182368484.4700003</v>
      </c>
      <c r="F20" s="1239">
        <v>411919.03</v>
      </c>
      <c r="G20" s="1239">
        <v>1018874.13</v>
      </c>
      <c r="H20" s="1239">
        <v>1637.84</v>
      </c>
      <c r="I20" s="1239">
        <v>52905.929999999993</v>
      </c>
      <c r="J20" s="1239">
        <v>60134211.480000496</v>
      </c>
      <c r="K20" s="1239">
        <v>64375085.400000304</v>
      </c>
      <c r="L20" s="1239">
        <v>70408226.130000308</v>
      </c>
      <c r="M20" s="1239">
        <v>6033140.7300000004</v>
      </c>
      <c r="N20" s="1239">
        <v>0</v>
      </c>
      <c r="O20" s="1239">
        <v>7545120320.2400007</v>
      </c>
      <c r="P20" s="1239">
        <v>0</v>
      </c>
      <c r="Q20" s="1239">
        <v>57126801.439999998</v>
      </c>
      <c r="R20" s="1239">
        <v>7487993518.8000011</v>
      </c>
      <c r="S20" s="1239">
        <v>77732</v>
      </c>
      <c r="T20" s="1239">
        <v>734.92</v>
      </c>
      <c r="U20" s="1239">
        <v>96330.900000000009</v>
      </c>
      <c r="V20" s="1239"/>
      <c r="W20" s="1239"/>
      <c r="X20" s="1239"/>
      <c r="Y20" s="1239"/>
      <c r="Z20" s="1239"/>
      <c r="AA20" s="1239"/>
      <c r="AB20" s="1239"/>
      <c r="AC20" s="1239">
        <v>397111618.19999999</v>
      </c>
      <c r="AD20" s="1239">
        <v>0</v>
      </c>
      <c r="AE20" s="1239">
        <v>3006719.76</v>
      </c>
      <c r="AF20" s="1239">
        <v>394104898.44</v>
      </c>
      <c r="AG20" s="1239">
        <v>4092</v>
      </c>
      <c r="AH20" s="1239">
        <v>96311.069999999992</v>
      </c>
      <c r="AI20" s="1239">
        <v>300</v>
      </c>
      <c r="AJ20" s="1239">
        <v>0</v>
      </c>
      <c r="AK20" s="1239">
        <v>0</v>
      </c>
      <c r="AL20" s="1239">
        <v>300</v>
      </c>
      <c r="AM20" s="1239">
        <v>2</v>
      </c>
      <c r="AN20" s="1239">
        <v>150</v>
      </c>
      <c r="AO20" s="1239">
        <v>7942231938.4400005</v>
      </c>
      <c r="AP20" s="1239">
        <v>7882097726.96</v>
      </c>
      <c r="AQ20" s="1239">
        <v>60134211.480000496</v>
      </c>
      <c r="AR20" s="1298">
        <v>1</v>
      </c>
      <c r="AS20" s="1298">
        <v>7487993518.8000011</v>
      </c>
      <c r="AT20" s="1298">
        <v>225.95000049471855</v>
      </c>
      <c r="AU20" s="1298">
        <v>7882097726.96</v>
      </c>
      <c r="AV20" s="1298">
        <v>0.05</v>
      </c>
      <c r="AW20" s="1298">
        <v>0.05</v>
      </c>
      <c r="AX20" s="1298">
        <v>7882097726.96</v>
      </c>
      <c r="AY20" s="1298">
        <v>394104886.34800005</v>
      </c>
      <c r="AZ20" s="1239">
        <v>7882097726.96</v>
      </c>
      <c r="BA20" s="1239">
        <v>394104886.34800005</v>
      </c>
      <c r="BB20" s="1239">
        <v>7487992840.6119995</v>
      </c>
      <c r="BC20" s="1239">
        <v>60134211.480000496</v>
      </c>
      <c r="BD20" s="1239">
        <v>7545120320.2400007</v>
      </c>
      <c r="BE20" s="1239">
        <v>394104886.34800005</v>
      </c>
      <c r="BF20" s="1239">
        <v>57127479.628001213</v>
      </c>
      <c r="BG20" s="1239"/>
      <c r="BH20" s="1239">
        <v>77732</v>
      </c>
      <c r="BI20" s="1239">
        <v>734.92</v>
      </c>
      <c r="BJ20" s="1239">
        <v>57126801.439999998</v>
      </c>
      <c r="BK20" s="1239">
        <v>678.18800121545792</v>
      </c>
      <c r="BL20" s="1239"/>
      <c r="BM20" s="1239"/>
      <c r="BN20" s="1239"/>
      <c r="BO20" s="1239"/>
      <c r="BP20" s="1239">
        <v>60134211.480000496</v>
      </c>
      <c r="BQ20" s="1239">
        <v>57126801.439999998</v>
      </c>
      <c r="BR20" s="1239">
        <v>3006731.8519992828</v>
      </c>
      <c r="BS20" s="1239">
        <v>4092</v>
      </c>
      <c r="BT20" s="1239">
        <v>734.78</v>
      </c>
      <c r="BU20" s="1239">
        <v>3006719.76</v>
      </c>
      <c r="BV20" s="1239">
        <v>12.091999283060431</v>
      </c>
      <c r="BW20">
        <v>77732</v>
      </c>
      <c r="BX20">
        <v>97065.82</v>
      </c>
      <c r="BY20">
        <v>45684</v>
      </c>
      <c r="BZ20">
        <v>45715</v>
      </c>
      <c r="CA20">
        <v>31</v>
      </c>
      <c r="CB20">
        <v>6.0000000000000001E-3</v>
      </c>
      <c r="CC20">
        <v>49.46</v>
      </c>
      <c r="CD20">
        <v>3844624.72</v>
      </c>
      <c r="CM20">
        <v>4092</v>
      </c>
      <c r="CN20">
        <v>97045.849999999991</v>
      </c>
      <c r="CO20">
        <v>45684</v>
      </c>
      <c r="CP20">
        <v>45715</v>
      </c>
      <c r="CQ20">
        <v>31</v>
      </c>
      <c r="CR20">
        <v>1.4999999999999999E-2</v>
      </c>
      <c r="CS20">
        <v>123.63</v>
      </c>
      <c r="CT20">
        <v>505893.95999999996</v>
      </c>
      <c r="CU20" s="1239">
        <v>7545120320.2400007</v>
      </c>
      <c r="CV20" s="1730">
        <v>5.0000000000000001E-3</v>
      </c>
      <c r="CW20" s="1239">
        <v>500000</v>
      </c>
      <c r="CX20" s="1239" t="s">
        <v>1073</v>
      </c>
      <c r="CY20" s="1239" t="s">
        <v>1072</v>
      </c>
      <c r="CZ20" s="1239">
        <v>37725601.600000001</v>
      </c>
      <c r="DA20" s="1239">
        <v>38297724.670000002</v>
      </c>
      <c r="DB20" s="1239">
        <v>38297724.670000002</v>
      </c>
      <c r="DC20" s="1239">
        <v>-572123.0700000003</v>
      </c>
      <c r="DD20" s="1239"/>
      <c r="DE20" s="1239"/>
      <c r="DF20" s="1239"/>
      <c r="DG20" s="1239"/>
      <c r="DH20" s="1239"/>
    </row>
    <row r="21" spans="1:112">
      <c r="A21" s="1238">
        <v>45677</v>
      </c>
      <c r="B21" s="1238">
        <v>45684</v>
      </c>
      <c r="C21" s="1238">
        <v>45657</v>
      </c>
      <c r="D21" s="1239">
        <v>0</v>
      </c>
      <c r="E21" s="1239">
        <v>8182368484.4700003</v>
      </c>
      <c r="F21" s="1239">
        <v>282412.90999999997</v>
      </c>
      <c r="G21" s="1239">
        <v>606955.1</v>
      </c>
      <c r="H21" s="1239">
        <v>50914.85</v>
      </c>
      <c r="I21" s="1239">
        <v>51268.09</v>
      </c>
      <c r="J21" s="1239">
        <v>120447192.68000031</v>
      </c>
      <c r="K21" s="1239">
        <v>124639603.96999994</v>
      </c>
      <c r="L21" s="1239">
        <v>130762231.67999993</v>
      </c>
      <c r="M21" s="1239">
        <v>6122627.71</v>
      </c>
      <c r="N21" s="1239">
        <v>0</v>
      </c>
      <c r="O21" s="1239">
        <v>7659544933.5200005</v>
      </c>
      <c r="P21" s="1239">
        <v>0</v>
      </c>
      <c r="Q21" s="1239">
        <v>114424613.28</v>
      </c>
      <c r="R21" s="1239">
        <v>7545120320.2400007</v>
      </c>
      <c r="S21" s="1239">
        <v>77732</v>
      </c>
      <c r="T21" s="1239">
        <v>1472.04</v>
      </c>
      <c r="U21" s="1239">
        <v>97065.82</v>
      </c>
      <c r="V21" s="1239"/>
      <c r="W21" s="1239"/>
      <c r="X21" s="1239"/>
      <c r="Y21" s="1239"/>
      <c r="Z21" s="1239"/>
      <c r="AA21" s="1239"/>
      <c r="AB21" s="1239"/>
      <c r="AC21" s="1239">
        <v>403133937.36000001</v>
      </c>
      <c r="AD21" s="1239">
        <v>0</v>
      </c>
      <c r="AE21" s="1239">
        <v>6022319.1600000001</v>
      </c>
      <c r="AF21" s="1239">
        <v>397111618.19999999</v>
      </c>
      <c r="AG21" s="1239">
        <v>4092</v>
      </c>
      <c r="AH21" s="1239">
        <v>97045.849999999991</v>
      </c>
      <c r="AI21" s="1239">
        <v>300</v>
      </c>
      <c r="AJ21" s="1239">
        <v>0</v>
      </c>
      <c r="AK21" s="1239">
        <v>0</v>
      </c>
      <c r="AL21" s="1239">
        <v>300</v>
      </c>
      <c r="AM21" s="1239">
        <v>2</v>
      </c>
      <c r="AN21" s="1239">
        <v>150</v>
      </c>
      <c r="AO21" s="1239">
        <v>8062678870.8800001</v>
      </c>
      <c r="AP21" s="1239">
        <v>7942231678.1999998</v>
      </c>
      <c r="AQ21" s="1239">
        <v>120447192.68000031</v>
      </c>
      <c r="AR21" s="1298">
        <v>1</v>
      </c>
      <c r="AS21" s="1298">
        <v>7545120320.2400007</v>
      </c>
      <c r="AT21" s="1298">
        <v>423.66149974614382</v>
      </c>
      <c r="AU21" s="1298">
        <v>7942231678.1999998</v>
      </c>
      <c r="AV21" s="1298">
        <v>0.05</v>
      </c>
      <c r="AW21" s="1298">
        <v>0.05</v>
      </c>
      <c r="AX21" s="1298">
        <v>7942231678.1999998</v>
      </c>
      <c r="AY21" s="1298">
        <v>397111583.91000003</v>
      </c>
      <c r="AZ21" s="1239">
        <v>7942231678.1999998</v>
      </c>
      <c r="BA21" s="1239">
        <v>397111583.91000003</v>
      </c>
      <c r="BB21" s="1239">
        <v>7545120094.29</v>
      </c>
      <c r="BC21" s="1239">
        <v>120447192.68000031</v>
      </c>
      <c r="BD21" s="1239">
        <v>7659544933.5200005</v>
      </c>
      <c r="BE21" s="1239">
        <v>397111583.91000003</v>
      </c>
      <c r="BF21" s="1239">
        <v>114424839.2300005</v>
      </c>
      <c r="BG21" s="1239"/>
      <c r="BH21" s="1239">
        <v>77732</v>
      </c>
      <c r="BI21" s="1239">
        <v>1472.04</v>
      </c>
      <c r="BJ21" s="1239">
        <v>114424613.28</v>
      </c>
      <c r="BK21" s="1239">
        <v>225.95000049471855</v>
      </c>
      <c r="BL21" s="1239"/>
      <c r="BM21" s="1239"/>
      <c r="BN21" s="1239"/>
      <c r="BO21" s="1239"/>
      <c r="BP21" s="1239">
        <v>120447192.68000031</v>
      </c>
      <c r="BQ21" s="1239">
        <v>114424613.28</v>
      </c>
      <c r="BR21" s="1239">
        <v>6022353.4499998093</v>
      </c>
      <c r="BS21" s="1239">
        <v>4092</v>
      </c>
      <c r="BT21" s="1239">
        <v>1471.73</v>
      </c>
      <c r="BU21" s="1239">
        <v>6022319.1600000001</v>
      </c>
      <c r="BV21" s="1239">
        <v>34.289999809116125</v>
      </c>
      <c r="BW21">
        <v>77732</v>
      </c>
      <c r="BX21">
        <v>98537.86</v>
      </c>
      <c r="BY21">
        <v>45653</v>
      </c>
      <c r="BZ21">
        <v>45684</v>
      </c>
      <c r="CA21">
        <v>31</v>
      </c>
      <c r="CB21">
        <v>6.0000000000000001E-3</v>
      </c>
      <c r="CC21">
        <v>50.21</v>
      </c>
      <c r="CD21">
        <v>3902923.72</v>
      </c>
      <c r="CM21">
        <v>4092</v>
      </c>
      <c r="CN21">
        <v>98517.58</v>
      </c>
      <c r="CO21">
        <v>45653</v>
      </c>
      <c r="CP21">
        <v>45684</v>
      </c>
      <c r="CQ21">
        <v>31</v>
      </c>
      <c r="CR21">
        <v>1.4999999999999999E-2</v>
      </c>
      <c r="CS21">
        <v>125.51</v>
      </c>
      <c r="CT21">
        <v>513586.92000000004</v>
      </c>
      <c r="CU21" s="1239">
        <v>7659544933.5200005</v>
      </c>
      <c r="CV21" s="1730">
        <v>5.0000000000000001E-3</v>
      </c>
      <c r="CW21" s="1239">
        <v>500000</v>
      </c>
      <c r="CX21" s="1239" t="s">
        <v>1073</v>
      </c>
      <c r="CY21" s="1239" t="s">
        <v>1072</v>
      </c>
      <c r="CZ21" s="1239">
        <v>38297724.670000002</v>
      </c>
      <c r="DA21" s="1239">
        <v>38573797.640000001</v>
      </c>
      <c r="DB21" s="1239">
        <v>38573797.640000001</v>
      </c>
      <c r="DC21" s="1239">
        <v>-276072.96999999881</v>
      </c>
      <c r="DD21" s="1239"/>
      <c r="DE21" s="1239"/>
      <c r="DF21" s="1239"/>
      <c r="DG21" s="1239"/>
      <c r="DH21" s="1239"/>
    </row>
    <row r="22" spans="1:112">
      <c r="A22" s="1238">
        <v>45644</v>
      </c>
      <c r="B22" s="1238">
        <v>45653</v>
      </c>
      <c r="C22" s="1238">
        <v>45626</v>
      </c>
      <c r="D22" s="1239">
        <v>0</v>
      </c>
      <c r="E22" s="1239">
        <v>8182368484.4700003</v>
      </c>
      <c r="F22" s="1239">
        <v>259157.33</v>
      </c>
      <c r="G22" s="1239">
        <v>324542.19</v>
      </c>
      <c r="H22" s="1239">
        <v>-558.57000000000005</v>
      </c>
      <c r="I22" s="1239">
        <v>353.2399999999999</v>
      </c>
      <c r="J22" s="1239">
        <v>58121049.329999924</v>
      </c>
      <c r="K22" s="1239">
        <v>62148473.950000137</v>
      </c>
      <c r="L22" s="1239">
        <v>68164591.890000135</v>
      </c>
      <c r="M22" s="1239">
        <v>6016117.9400000004</v>
      </c>
      <c r="N22" s="1239">
        <v>0</v>
      </c>
      <c r="O22" s="1239">
        <v>7714759527.7600002</v>
      </c>
      <c r="P22" s="1239">
        <v>0</v>
      </c>
      <c r="Q22" s="1239">
        <v>55214594.240000002</v>
      </c>
      <c r="R22" s="1239">
        <v>7659544933.5200005</v>
      </c>
      <c r="S22" s="1239">
        <v>77732</v>
      </c>
      <c r="T22" s="1239">
        <v>710.32</v>
      </c>
      <c r="U22" s="1239">
        <v>98537.86</v>
      </c>
      <c r="V22" s="1239"/>
      <c r="W22" s="1239"/>
      <c r="X22" s="1239"/>
      <c r="Y22" s="1239"/>
      <c r="Z22" s="1239"/>
      <c r="AA22" s="1239"/>
      <c r="AB22" s="1239"/>
      <c r="AC22" s="1239">
        <v>406039953</v>
      </c>
      <c r="AD22" s="1239">
        <v>0</v>
      </c>
      <c r="AE22" s="1239">
        <v>2906015.6399999997</v>
      </c>
      <c r="AF22" s="1239">
        <v>403133937.36000001</v>
      </c>
      <c r="AG22" s="1239">
        <v>4092</v>
      </c>
      <c r="AH22" s="1239">
        <v>98517.58</v>
      </c>
      <c r="AI22" s="1239">
        <v>300</v>
      </c>
      <c r="AJ22" s="1239">
        <v>0</v>
      </c>
      <c r="AK22" s="1239">
        <v>0</v>
      </c>
      <c r="AL22" s="1239">
        <v>300</v>
      </c>
      <c r="AM22" s="1239">
        <v>2</v>
      </c>
      <c r="AN22" s="1239">
        <v>150</v>
      </c>
      <c r="AO22" s="1239">
        <v>8120799480.7600002</v>
      </c>
      <c r="AP22" s="1239">
        <v>8062678431.4300003</v>
      </c>
      <c r="AQ22" s="1239">
        <v>58121049.329999924</v>
      </c>
      <c r="AR22" s="1298">
        <v>1</v>
      </c>
      <c r="AS22" s="1298">
        <v>7659544933.5200005</v>
      </c>
      <c r="AT22" s="1298">
        <v>542.6830003336072</v>
      </c>
      <c r="AU22" s="1298">
        <v>8062678431.4300003</v>
      </c>
      <c r="AV22" s="1298">
        <v>0.05</v>
      </c>
      <c r="AW22" s="1298">
        <v>0.05</v>
      </c>
      <c r="AX22" s="1298">
        <v>8062678431.4300003</v>
      </c>
      <c r="AY22" s="1298">
        <v>403133921.57150006</v>
      </c>
      <c r="AZ22" s="1239">
        <v>8062678431.4300003</v>
      </c>
      <c r="BA22" s="1239">
        <v>403133921.57150006</v>
      </c>
      <c r="BB22" s="1239">
        <v>7659544509.8585005</v>
      </c>
      <c r="BC22" s="1239">
        <v>58121049.329999924</v>
      </c>
      <c r="BD22" s="1239">
        <v>7714759527.7600002</v>
      </c>
      <c r="BE22" s="1239">
        <v>403133921.57150006</v>
      </c>
      <c r="BF22" s="1239">
        <v>55215017.901499748</v>
      </c>
      <c r="BG22" s="1239"/>
      <c r="BH22" s="1239">
        <v>77732</v>
      </c>
      <c r="BI22" s="1239">
        <v>710.32</v>
      </c>
      <c r="BJ22" s="1239">
        <v>55214594.240000002</v>
      </c>
      <c r="BK22" s="1239">
        <v>423.66149974614382</v>
      </c>
      <c r="BL22" s="1239"/>
      <c r="BM22" s="1239"/>
      <c r="BN22" s="1239"/>
      <c r="BO22" s="1239"/>
      <c r="BP22" s="1239">
        <v>58121049.329999924</v>
      </c>
      <c r="BQ22" s="1239">
        <v>55214594.240000002</v>
      </c>
      <c r="BR22" s="1239">
        <v>2906031.4285001755</v>
      </c>
      <c r="BS22" s="1239">
        <v>4092</v>
      </c>
      <c r="BT22" s="1239">
        <v>710.17</v>
      </c>
      <c r="BU22" s="1239">
        <v>2906015.6399999997</v>
      </c>
      <c r="BV22" s="1239">
        <v>15.78850017581135</v>
      </c>
      <c r="BW22">
        <v>77732</v>
      </c>
      <c r="BX22">
        <v>99248.180000000008</v>
      </c>
      <c r="BY22">
        <v>45623</v>
      </c>
      <c r="BZ22">
        <v>45653</v>
      </c>
      <c r="CA22">
        <v>30</v>
      </c>
      <c r="CB22">
        <v>6.0000000000000001E-3</v>
      </c>
      <c r="CC22">
        <v>48.94</v>
      </c>
      <c r="CD22">
        <v>3804204.0799999996</v>
      </c>
      <c r="CM22">
        <v>4092</v>
      </c>
      <c r="CN22">
        <v>99227.75</v>
      </c>
      <c r="CO22">
        <v>45623</v>
      </c>
      <c r="CP22">
        <v>45653</v>
      </c>
      <c r="CQ22">
        <v>30</v>
      </c>
      <c r="CR22">
        <v>1.4999999999999999E-2</v>
      </c>
      <c r="CS22">
        <v>122.34</v>
      </c>
      <c r="CT22">
        <v>500615.28</v>
      </c>
      <c r="CU22" s="1239">
        <v>7714759527.7600002</v>
      </c>
      <c r="CV22" s="1730">
        <v>5.0000000000000001E-3</v>
      </c>
      <c r="CW22" s="1239">
        <v>500000</v>
      </c>
      <c r="CX22" s="1239" t="s">
        <v>1073</v>
      </c>
      <c r="CY22" s="1239" t="s">
        <v>1072</v>
      </c>
      <c r="CZ22" s="1239">
        <v>38573797.640000001</v>
      </c>
      <c r="DA22" s="1239">
        <v>38866000</v>
      </c>
      <c r="DB22" s="1239">
        <v>38866000</v>
      </c>
      <c r="DC22" s="1239">
        <v>-292202.3599999994</v>
      </c>
      <c r="DD22" s="1239"/>
      <c r="DE22" s="1239"/>
      <c r="DF22" s="1239"/>
      <c r="DG22" s="1239"/>
      <c r="DH22" s="1239"/>
    </row>
    <row r="23" spans="1:112">
      <c r="A23" s="1238">
        <v>45616</v>
      </c>
      <c r="B23" s="1238">
        <v>45623</v>
      </c>
      <c r="C23" s="1238">
        <v>45596</v>
      </c>
      <c r="D23" s="1239">
        <v>0</v>
      </c>
      <c r="E23" s="1239">
        <v>8182368484.4700003</v>
      </c>
      <c r="F23" s="1239">
        <v>65384.86</v>
      </c>
      <c r="G23" s="1239">
        <v>65384.86</v>
      </c>
      <c r="H23" s="1239">
        <v>911.81</v>
      </c>
      <c r="I23" s="1239">
        <v>911.81</v>
      </c>
      <c r="J23" s="1239">
        <v>61601068.340000153</v>
      </c>
      <c r="K23" s="1239">
        <v>65347050.329999737</v>
      </c>
      <c r="L23" s="1239">
        <v>72163327.339999735</v>
      </c>
      <c r="M23" s="1239">
        <v>6816277.0100000007</v>
      </c>
      <c r="N23" s="1239">
        <v>0</v>
      </c>
      <c r="O23" s="1239">
        <v>7773200000</v>
      </c>
      <c r="P23" s="1239">
        <v>0</v>
      </c>
      <c r="Q23" s="1239">
        <v>58440472.240000002</v>
      </c>
      <c r="R23" s="1239">
        <v>7714759527.7600002</v>
      </c>
      <c r="S23" s="1239">
        <v>77732</v>
      </c>
      <c r="T23" s="1239">
        <v>751.82</v>
      </c>
      <c r="U23" s="1239">
        <v>99248.180000000008</v>
      </c>
      <c r="V23" s="1239"/>
      <c r="W23" s="1239"/>
      <c r="X23" s="1239"/>
      <c r="Y23" s="1239"/>
      <c r="Z23" s="1239"/>
      <c r="AA23" s="1239"/>
      <c r="AB23" s="1239"/>
      <c r="AC23" s="1239">
        <v>409200000</v>
      </c>
      <c r="AD23" s="1239">
        <v>0</v>
      </c>
      <c r="AE23" s="1239">
        <v>3160047</v>
      </c>
      <c r="AF23" s="1239">
        <v>406039953</v>
      </c>
      <c r="AG23" s="1239">
        <v>4092</v>
      </c>
      <c r="AH23" s="1239">
        <v>99227.75</v>
      </c>
      <c r="AI23" s="1239">
        <v>300</v>
      </c>
      <c r="AJ23" s="1239">
        <v>0</v>
      </c>
      <c r="AK23" s="1239">
        <v>0</v>
      </c>
      <c r="AL23" s="1239">
        <v>300</v>
      </c>
      <c r="AM23" s="1239">
        <v>2</v>
      </c>
      <c r="AN23" s="1239">
        <v>150</v>
      </c>
      <c r="AO23" s="1239">
        <v>8182400000</v>
      </c>
      <c r="AP23" s="1239">
        <v>8120798931.6599998</v>
      </c>
      <c r="AQ23" s="1239">
        <v>61601068.340000153</v>
      </c>
      <c r="AR23" s="1298">
        <v>1</v>
      </c>
      <c r="AS23" s="1298">
        <v>7714759527.7600002</v>
      </c>
      <c r="AT23" s="1298">
        <v>0</v>
      </c>
      <c r="AU23" s="1298">
        <v>8120798931.6599998</v>
      </c>
      <c r="AV23" s="1298">
        <v>0.05</v>
      </c>
      <c r="AW23" s="1298">
        <v>0.05</v>
      </c>
      <c r="AX23" s="1298">
        <v>8120798931.6599998</v>
      </c>
      <c r="AY23" s="1298">
        <v>406039946.583</v>
      </c>
      <c r="AZ23" s="1239">
        <v>8120798931.6599998</v>
      </c>
      <c r="BA23" s="1239">
        <v>406039946.583</v>
      </c>
      <c r="BB23" s="1239">
        <v>7714758985.0769997</v>
      </c>
      <c r="BC23" s="1239">
        <v>61601068.340000153</v>
      </c>
      <c r="BD23" s="1239">
        <v>7773200000</v>
      </c>
      <c r="BE23" s="1239">
        <v>406039946.583</v>
      </c>
      <c r="BF23" s="1239">
        <v>58441014.923000336</v>
      </c>
      <c r="BG23" s="1239"/>
      <c r="BH23" s="1239">
        <v>77732</v>
      </c>
      <c r="BI23" s="1239">
        <v>751.82</v>
      </c>
      <c r="BJ23" s="1239">
        <v>58440472.240000002</v>
      </c>
      <c r="BK23" s="1239">
        <v>542.6830003336072</v>
      </c>
      <c r="BL23" s="1239"/>
      <c r="BM23" s="1239"/>
      <c r="BN23" s="1239"/>
      <c r="BO23" s="1239"/>
      <c r="BP23" s="1239">
        <v>61601068.340000153</v>
      </c>
      <c r="BQ23" s="1239">
        <v>58440472.240000002</v>
      </c>
      <c r="BR23" s="1239">
        <v>3160053.4169998169</v>
      </c>
      <c r="BS23" s="1239">
        <v>4092</v>
      </c>
      <c r="BT23" s="1239">
        <v>772.25</v>
      </c>
      <c r="BU23" s="1239">
        <v>3160047</v>
      </c>
      <c r="BV23" s="1239">
        <v>6.4169998168945313</v>
      </c>
      <c r="BW23">
        <v>77732</v>
      </c>
      <c r="BX23">
        <v>100000</v>
      </c>
      <c r="BY23">
        <v>45588</v>
      </c>
      <c r="BZ23">
        <v>45623</v>
      </c>
      <c r="CA23">
        <v>35</v>
      </c>
      <c r="CB23">
        <v>6.0000000000000001E-3</v>
      </c>
      <c r="CC23">
        <v>57.53</v>
      </c>
      <c r="CD23">
        <v>4471921.96</v>
      </c>
      <c r="CM23">
        <v>4092</v>
      </c>
      <c r="CN23">
        <v>100000</v>
      </c>
      <c r="CO23">
        <v>45588</v>
      </c>
      <c r="CP23">
        <v>45623</v>
      </c>
      <c r="CQ23">
        <v>35</v>
      </c>
      <c r="CR23">
        <v>1.4999999999999999E-2</v>
      </c>
      <c r="CS23">
        <v>143.84</v>
      </c>
      <c r="CT23">
        <v>588593.28</v>
      </c>
      <c r="CU23" s="1239">
        <v>7773200000</v>
      </c>
      <c r="CV23" s="1730">
        <v>5.0000000000000001E-3</v>
      </c>
      <c r="CW23" s="1239">
        <v>500000</v>
      </c>
      <c r="CX23" s="1239" t="s">
        <v>1073</v>
      </c>
      <c r="CY23" s="1239" t="s">
        <v>1072</v>
      </c>
      <c r="CZ23" s="1239">
        <v>38866000</v>
      </c>
      <c r="DA23" s="1239">
        <v>38866000</v>
      </c>
      <c r="DB23" s="1239">
        <v>38866000</v>
      </c>
      <c r="DC23" s="1239">
        <v>0</v>
      </c>
      <c r="DD23" s="1239"/>
      <c r="DE23" s="1239"/>
      <c r="DF23" s="1239"/>
      <c r="DG23" s="1239"/>
      <c r="DH23" s="1239"/>
    </row>
    <row r="24" spans="1:112">
      <c r="A24" s="1238">
        <v>45588</v>
      </c>
      <c r="B24" s="1238">
        <v>45588</v>
      </c>
      <c r="C24" s="1238">
        <v>45565</v>
      </c>
      <c r="D24" s="1239">
        <v>8182368484.4700003</v>
      </c>
      <c r="E24" s="1239">
        <v>8182368484.4700003</v>
      </c>
      <c r="F24" s="1239">
        <v>0</v>
      </c>
      <c r="G24" s="1239">
        <v>0</v>
      </c>
      <c r="H24" s="1239">
        <v>0</v>
      </c>
      <c r="I24" s="1239">
        <v>0</v>
      </c>
      <c r="J24" s="1239">
        <v>0</v>
      </c>
      <c r="K24" s="1239">
        <v>0</v>
      </c>
      <c r="L24" s="1239">
        <v>0</v>
      </c>
      <c r="M24" s="1239">
        <v>0</v>
      </c>
      <c r="N24" s="1239">
        <v>0</v>
      </c>
      <c r="O24" s="1239">
        <v>0</v>
      </c>
      <c r="P24" s="1239">
        <v>7773200000</v>
      </c>
      <c r="Q24" s="1239">
        <v>0</v>
      </c>
      <c r="R24" s="1239">
        <v>7773200000</v>
      </c>
      <c r="S24" s="1239">
        <v>77732</v>
      </c>
      <c r="T24" s="1239">
        <v>0</v>
      </c>
      <c r="U24" s="1239">
        <v>100000</v>
      </c>
      <c r="V24" s="1239"/>
      <c r="W24" s="1239"/>
      <c r="X24" s="1239"/>
      <c r="Y24" s="1239"/>
      <c r="Z24" s="1239"/>
      <c r="AA24" s="1239"/>
      <c r="AB24" s="1239"/>
      <c r="AC24" s="1239">
        <v>0</v>
      </c>
      <c r="AD24" s="1239">
        <v>409200000</v>
      </c>
      <c r="AE24" s="1239">
        <v>0</v>
      </c>
      <c r="AF24" s="1239">
        <v>409200000</v>
      </c>
      <c r="AG24" s="1239">
        <v>4092</v>
      </c>
      <c r="AH24" s="1239">
        <v>100000</v>
      </c>
      <c r="AI24" s="1239">
        <v>0</v>
      </c>
      <c r="AJ24" s="1239">
        <v>300</v>
      </c>
      <c r="AK24" s="1239">
        <v>0</v>
      </c>
      <c r="AL24" s="1239">
        <v>300</v>
      </c>
      <c r="AM24" s="1239">
        <v>2</v>
      </c>
      <c r="AN24" s="1239">
        <v>150</v>
      </c>
      <c r="AO24" s="1239">
        <v>0</v>
      </c>
      <c r="AP24" s="1239">
        <v>0</v>
      </c>
      <c r="AQ24" s="1239">
        <v>0</v>
      </c>
      <c r="AR24" s="1298">
        <v>0</v>
      </c>
      <c r="AS24" s="1298">
        <v>0</v>
      </c>
      <c r="AT24" s="1298">
        <v>0</v>
      </c>
      <c r="AU24" s="1298">
        <v>0</v>
      </c>
      <c r="AV24" s="1298">
        <v>0</v>
      </c>
      <c r="AW24" s="1298">
        <v>0</v>
      </c>
      <c r="AX24" s="1298">
        <v>0</v>
      </c>
      <c r="AY24" s="1298">
        <v>0</v>
      </c>
      <c r="AZ24" s="1239">
        <v>0</v>
      </c>
      <c r="BA24" s="1239">
        <v>0</v>
      </c>
      <c r="BB24" s="1239">
        <v>0</v>
      </c>
      <c r="BC24" s="1239">
        <v>0</v>
      </c>
      <c r="BD24" s="1239">
        <v>0</v>
      </c>
      <c r="BE24" s="1239">
        <v>0</v>
      </c>
      <c r="BF24" s="1239">
        <v>0</v>
      </c>
      <c r="BG24" s="1239"/>
      <c r="BH24" s="1239">
        <v>0</v>
      </c>
      <c r="BI24" s="1239">
        <v>0</v>
      </c>
      <c r="BJ24" s="1239">
        <v>0</v>
      </c>
      <c r="BK24" s="1239">
        <v>0</v>
      </c>
      <c r="BL24" s="1239"/>
      <c r="BM24" s="1239"/>
      <c r="BN24" s="1239"/>
      <c r="BO24" s="1239"/>
      <c r="BP24" s="1239">
        <v>0</v>
      </c>
      <c r="BQ24" s="1239">
        <v>0</v>
      </c>
      <c r="BR24" s="1239">
        <v>0</v>
      </c>
      <c r="BS24" s="1239">
        <v>0</v>
      </c>
      <c r="BT24" s="1239">
        <v>0</v>
      </c>
      <c r="BU24" s="1239">
        <v>0</v>
      </c>
      <c r="BV24" s="1239">
        <v>0</v>
      </c>
      <c r="CU24" s="1239">
        <v>7773200000</v>
      </c>
      <c r="CV24" s="1730">
        <v>5.0000000000000001E-3</v>
      </c>
      <c r="CW24" s="1239">
        <v>500000</v>
      </c>
      <c r="CX24" s="1239" t="s">
        <v>1073</v>
      </c>
      <c r="CY24" s="1239" t="s">
        <v>1072</v>
      </c>
      <c r="CZ24" s="1239">
        <v>38866000</v>
      </c>
      <c r="DA24" s="1239">
        <v>0</v>
      </c>
      <c r="DB24" s="1239">
        <v>0</v>
      </c>
      <c r="DC24" s="1239">
        <v>38866000</v>
      </c>
      <c r="DD24" s="1239"/>
      <c r="DE24" s="1239"/>
      <c r="DF24" s="1239"/>
      <c r="DG24" s="1239"/>
      <c r="DH24" s="1239"/>
    </row>
  </sheetData>
  <mergeCells count="21">
    <mergeCell ref="CM1:CT1"/>
    <mergeCell ref="CU1:DC1"/>
    <mergeCell ref="DD1:DG1"/>
    <mergeCell ref="AZ1:BB1"/>
    <mergeCell ref="BC1:BF1"/>
    <mergeCell ref="BH1:BK1"/>
    <mergeCell ref="BP1:BR1"/>
    <mergeCell ref="BS1:BV1"/>
    <mergeCell ref="BW1:CD1"/>
    <mergeCell ref="BL1:BO1"/>
    <mergeCell ref="CE1:CL1"/>
    <mergeCell ref="AW1:AY1"/>
    <mergeCell ref="A1:C1"/>
    <mergeCell ref="D1:I1"/>
    <mergeCell ref="J1:N1"/>
    <mergeCell ref="O1:U1"/>
    <mergeCell ref="AC1:AH1"/>
    <mergeCell ref="AI1:AN1"/>
    <mergeCell ref="AO1:AQ1"/>
    <mergeCell ref="AR1:AV1"/>
    <mergeCell ref="V1:A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497"/>
      <c r="B1" s="497"/>
      <c r="C1" s="497"/>
    </row>
    <row r="2" spans="1:7" ht="50.15" customHeight="1">
      <c r="A2" s="2077" t="s">
        <v>204</v>
      </c>
      <c r="B2" s="2077"/>
      <c r="C2" s="2077"/>
      <c r="D2" s="2077"/>
      <c r="E2" s="2077"/>
      <c r="F2" s="2077"/>
      <c r="G2" s="2077"/>
    </row>
    <row r="3" spans="1:7" ht="50.15" customHeight="1">
      <c r="A3" s="2078"/>
      <c r="B3" s="2078"/>
      <c r="C3" s="2078"/>
      <c r="D3" s="2078"/>
      <c r="E3" s="2078"/>
      <c r="F3" s="2078"/>
      <c r="G3" s="2078"/>
    </row>
    <row r="4" spans="1:7" ht="50.15" customHeight="1">
      <c r="A4" s="2079"/>
      <c r="B4" s="2079"/>
      <c r="C4" s="2079"/>
      <c r="D4" s="2079"/>
      <c r="E4" s="2079"/>
      <c r="F4" s="2079"/>
      <c r="G4" s="2079"/>
    </row>
    <row r="5" spans="1:7" ht="50.15" customHeight="1">
      <c r="A5" s="2076" t="s">
        <v>1311</v>
      </c>
      <c r="B5" s="2076"/>
      <c r="C5" s="2076"/>
      <c r="D5" s="2076"/>
      <c r="E5" s="2076"/>
      <c r="F5" s="2076"/>
      <c r="G5" s="2076"/>
    </row>
    <row r="6" spans="1:7" ht="50.15" customHeight="1">
      <c r="A6" s="2076" t="s">
        <v>2064</v>
      </c>
      <c r="B6" s="2076"/>
      <c r="C6" s="2076"/>
      <c r="D6" s="2076"/>
      <c r="E6" s="2076"/>
      <c r="F6" s="2076"/>
      <c r="G6" s="2076"/>
    </row>
    <row r="7" spans="1:7" ht="50.15" customHeight="1">
      <c r="A7" s="2076" t="s">
        <v>2065</v>
      </c>
      <c r="B7" s="2076"/>
      <c r="C7" s="2076"/>
      <c r="D7" s="2076"/>
      <c r="E7" s="2076"/>
      <c r="F7" s="2076"/>
      <c r="G7" s="2076"/>
    </row>
    <row r="8" spans="1:7" ht="42" customHeight="1">
      <c r="A8" s="2076"/>
      <c r="B8" s="2076"/>
      <c r="C8" s="2076"/>
    </row>
    <row r="9" spans="1:7" ht="25">
      <c r="A9" s="498"/>
      <c r="B9" s="499" t="s">
        <v>205</v>
      </c>
      <c r="C9" s="1184" t="s">
        <v>1068</v>
      </c>
    </row>
    <row r="10" spans="1:7" ht="25">
      <c r="A10" s="498"/>
      <c r="B10" s="500"/>
      <c r="C10" s="1523"/>
    </row>
    <row r="11" spans="1:7" ht="20">
      <c r="A11" s="497"/>
      <c r="B11" s="499" t="s">
        <v>206</v>
      </c>
      <c r="C11" s="501">
        <f>'00 - Cover'!F13</f>
        <v>45588</v>
      </c>
    </row>
    <row r="12" spans="1:7" ht="20">
      <c r="A12" s="497"/>
      <c r="B12" s="499" t="s">
        <v>207</v>
      </c>
      <c r="C12" s="501">
        <f>C11</f>
        <v>45588</v>
      </c>
    </row>
    <row r="13" spans="1:7" ht="20">
      <c r="A13" s="497"/>
      <c r="B13" s="499" t="s">
        <v>208</v>
      </c>
      <c r="C13" s="501">
        <v>45565</v>
      </c>
    </row>
    <row r="14" spans="1:7" ht="20">
      <c r="A14" s="497"/>
      <c r="B14" s="499" t="s">
        <v>209</v>
      </c>
      <c r="C14" s="501">
        <v>59471</v>
      </c>
    </row>
    <row r="15" spans="1:7" ht="20">
      <c r="A15" s="497"/>
      <c r="B15" s="499" t="s">
        <v>213</v>
      </c>
      <c r="C15" s="501">
        <f>'00 - Cover'!F20</f>
        <v>46230</v>
      </c>
    </row>
    <row r="16" spans="1:7" ht="20">
      <c r="A16" s="497"/>
      <c r="B16" s="499" t="s">
        <v>210</v>
      </c>
      <c r="C16" s="501">
        <f>'00 - Cover'!F16</f>
        <v>46203</v>
      </c>
    </row>
    <row r="17" spans="1:11" ht="20" hidden="1">
      <c r="A17" s="497"/>
      <c r="B17" s="499" t="s">
        <v>211</v>
      </c>
      <c r="C17" s="501">
        <f>'00 - Cover'!F18</f>
        <v>46218</v>
      </c>
    </row>
    <row r="18" spans="1:11" ht="20" hidden="1">
      <c r="A18" s="497"/>
      <c r="B18" s="499" t="s">
        <v>212</v>
      </c>
      <c r="C18" s="501">
        <f>'00 - Cover'!F19</f>
        <v>46223</v>
      </c>
    </row>
    <row r="19" spans="1:11" ht="20" hidden="1">
      <c r="A19" s="497"/>
      <c r="B19" s="499" t="s">
        <v>213</v>
      </c>
      <c r="C19" s="501">
        <f>'00 - Cover'!F20</f>
        <v>46230</v>
      </c>
    </row>
    <row r="20" spans="1:11" ht="15.5">
      <c r="A20" s="497"/>
      <c r="B20" s="502"/>
      <c r="C20" s="500"/>
    </row>
    <row r="23" spans="1:11" ht="15.5">
      <c r="B23" s="13" t="s">
        <v>13</v>
      </c>
      <c r="D23" s="18"/>
      <c r="E23" s="18"/>
      <c r="F23" s="18"/>
      <c r="G23" s="11"/>
    </row>
    <row r="24" spans="1:11" ht="15.5">
      <c r="B24" s="1859" t="s">
        <v>14</v>
      </c>
      <c r="C24" s="31" t="s">
        <v>15</v>
      </c>
      <c r="D24" s="32" t="s">
        <v>1995</v>
      </c>
      <c r="F24" s="33"/>
      <c r="G24" s="11"/>
    </row>
    <row r="25" spans="1:11" ht="15.5">
      <c r="B25" s="1859" t="s">
        <v>13</v>
      </c>
      <c r="C25" s="31" t="s">
        <v>15</v>
      </c>
      <c r="D25" s="1909" t="s">
        <v>1993</v>
      </c>
      <c r="E25" s="1909"/>
      <c r="F25" s="1909"/>
      <c r="G25" s="1909"/>
      <c r="H25" s="1909"/>
      <c r="I25" s="1909"/>
      <c r="J25" s="1909"/>
      <c r="K25" s="1909"/>
    </row>
    <row r="26" spans="1:11" ht="15.5">
      <c r="B26" s="11"/>
      <c r="C26" s="34"/>
      <c r="D26" s="1907" t="s">
        <v>16</v>
      </c>
      <c r="E26" s="1908"/>
      <c r="F26" s="1908"/>
      <c r="G26" s="11"/>
    </row>
    <row r="27" spans="1:11" ht="15.5">
      <c r="B27" s="11"/>
      <c r="C27" s="34"/>
      <c r="D27" s="1909" t="s">
        <v>2075</v>
      </c>
      <c r="E27" s="1909"/>
      <c r="F27" s="1909"/>
      <c r="G27" s="11"/>
    </row>
    <row r="28" spans="1:11" ht="15.5">
      <c r="B28" s="11"/>
      <c r="C28" s="34"/>
      <c r="D28" s="1907" t="s">
        <v>2076</v>
      </c>
      <c r="E28" s="1908"/>
      <c r="G28" s="11"/>
    </row>
    <row r="29" spans="1:11">
      <c r="D29" s="1909" t="s">
        <v>2077</v>
      </c>
      <c r="E29" s="1909" t="s">
        <v>2077</v>
      </c>
      <c r="F29" s="1909"/>
    </row>
    <row r="30" spans="1:11">
      <c r="D30" s="1907" t="s">
        <v>2078</v>
      </c>
      <c r="E30" s="1908" t="s">
        <v>2078</v>
      </c>
    </row>
  </sheetData>
  <mergeCells count="13">
    <mergeCell ref="A8:C8"/>
    <mergeCell ref="A2:G2"/>
    <mergeCell ref="A3:G3"/>
    <mergeCell ref="A4:G4"/>
    <mergeCell ref="A5:G5"/>
    <mergeCell ref="A7:G7"/>
    <mergeCell ref="A6:G6"/>
    <mergeCell ref="D30:E30"/>
    <mergeCell ref="D25:K25"/>
    <mergeCell ref="D26:F26"/>
    <mergeCell ref="D27:F27"/>
    <mergeCell ref="D28:E28"/>
    <mergeCell ref="D29:F29"/>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71"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zoomScale="85" zoomScaleNormal="100" zoomScaleSheetLayoutView="85" workbookViewId="0"/>
  </sheetViews>
  <sheetFormatPr defaultColWidth="11.453125" defaultRowHeight="15.75" customHeight="1"/>
  <cols>
    <col min="1" max="1" width="9.1796875" style="497" customWidth="1"/>
    <col min="2" max="2" width="43" style="497" customWidth="1"/>
    <col min="3" max="3" width="35.54296875" style="497" customWidth="1"/>
    <col min="4" max="4" width="18.1796875" style="497" bestFit="1" customWidth="1"/>
    <col min="5" max="5" width="21.26953125" style="497" bestFit="1" customWidth="1"/>
    <col min="6" max="6" width="4.26953125" style="497" customWidth="1"/>
    <col min="7" max="16384" width="11.453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907" t="s">
        <v>2076</v>
      </c>
      <c r="D22" s="1908"/>
      <c r="E22" s="511"/>
    </row>
    <row r="23" spans="2:9" ht="14.25" customHeight="1">
      <c r="B23" s="1207"/>
      <c r="C23" s="1907" t="s">
        <v>2078</v>
      </c>
      <c r="D23" s="1908" t="s">
        <v>2078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ht="15.5">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ht="15.5">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ht="15.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7"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topLeftCell="A5" zoomScale="85" zoomScaleNormal="100" zoomScaleSheetLayoutView="85" workbookViewId="0">
      <selection activeCell="F35" activeCellId="1" sqref="E36 F35"/>
    </sheetView>
  </sheetViews>
  <sheetFormatPr defaultColWidth="11.453125" defaultRowHeight="12.5"/>
  <cols>
    <col min="1" max="1" width="2.7265625" style="497" customWidth="1"/>
    <col min="2" max="2" width="1.26953125" style="497" customWidth="1"/>
    <col min="3" max="3" width="31.1796875" style="497" customWidth="1"/>
    <col min="4" max="4" width="29.54296875" style="497" customWidth="1"/>
    <col min="5" max="5" width="25" style="497" customWidth="1"/>
    <col min="6" max="6" width="23.81640625" style="497" customWidth="1"/>
    <col min="7" max="7" width="21" style="497" customWidth="1"/>
    <col min="8" max="8" width="20.26953125" style="497" bestFit="1" customWidth="1"/>
    <col min="9" max="9" width="5.81640625" style="497" customWidth="1"/>
    <col min="10" max="16384" width="11.453125" style="497"/>
  </cols>
  <sheetData>
    <row r="1" spans="2:8" ht="13" thickBot="1"/>
    <row r="2" spans="2:8" ht="28.5" thickTop="1">
      <c r="B2" s="530"/>
      <c r="C2" s="531"/>
      <c r="D2" s="532"/>
      <c r="E2" s="533"/>
      <c r="F2" s="533"/>
      <c r="G2" s="534"/>
      <c r="H2" s="535"/>
    </row>
    <row r="3" spans="2:8" ht="14">
      <c r="B3" s="536"/>
      <c r="C3" s="537"/>
      <c r="D3" s="538"/>
      <c r="E3" s="539"/>
      <c r="F3" s="539"/>
      <c r="G3" s="540"/>
      <c r="H3" s="541"/>
    </row>
    <row r="4" spans="2:8">
      <c r="B4" s="536"/>
      <c r="C4" s="2089"/>
      <c r="D4" s="2089"/>
      <c r="E4" s="2090"/>
      <c r="F4" s="516"/>
      <c r="G4" s="540"/>
      <c r="H4" s="541"/>
    </row>
    <row r="5" spans="2:8" ht="14">
      <c r="B5" s="536"/>
      <c r="C5" s="2089"/>
      <c r="D5" s="2089"/>
      <c r="E5" s="2090"/>
      <c r="F5" s="539"/>
      <c r="G5" s="540"/>
      <c r="H5" s="541"/>
    </row>
    <row r="6" spans="2:8" ht="14">
      <c r="B6" s="536"/>
      <c r="C6" s="538"/>
      <c r="D6" s="538"/>
      <c r="E6" s="539"/>
      <c r="F6" s="539"/>
      <c r="G6" s="540"/>
      <c r="H6" s="543"/>
    </row>
    <row r="7" spans="2:8" ht="14">
      <c r="B7" s="536"/>
      <c r="C7" s="538"/>
      <c r="D7" s="544"/>
      <c r="E7" s="545"/>
      <c r="F7" s="545"/>
      <c r="G7" s="545"/>
      <c r="H7" s="546"/>
    </row>
    <row r="8" spans="2:8" ht="15.5">
      <c r="B8" s="536"/>
      <c r="C8" s="548"/>
      <c r="D8" s="538"/>
      <c r="E8" s="539"/>
      <c r="F8" s="539"/>
      <c r="G8" s="539"/>
      <c r="H8" s="549"/>
    </row>
    <row r="9" spans="2:8" ht="18">
      <c r="B9" s="536"/>
      <c r="C9" s="1211" t="s">
        <v>637</v>
      </c>
      <c r="D9" s="538"/>
      <c r="E9" s="539"/>
      <c r="F9" s="539"/>
      <c r="G9" s="539"/>
      <c r="H9" s="549"/>
    </row>
    <row r="10" spans="2:8" ht="14">
      <c r="B10" s="536"/>
      <c r="D10" s="538"/>
      <c r="E10" s="539"/>
      <c r="F10" s="539"/>
      <c r="G10" s="539"/>
      <c r="H10" s="549"/>
    </row>
    <row r="11" spans="2:8" ht="14">
      <c r="B11" s="536"/>
      <c r="C11" s="2088" t="s">
        <v>237</v>
      </c>
      <c r="D11" s="2088"/>
      <c r="E11" s="539"/>
      <c r="F11" s="539"/>
      <c r="G11" s="539"/>
      <c r="H11" s="549"/>
    </row>
    <row r="12" spans="2:8" ht="15.5">
      <c r="B12" s="536"/>
      <c r="C12" s="550"/>
      <c r="D12" s="538"/>
      <c r="E12" s="2091" t="s">
        <v>238</v>
      </c>
      <c r="F12" s="2091"/>
      <c r="G12" s="539"/>
      <c r="H12" s="549"/>
    </row>
    <row r="13" spans="2:8" ht="14">
      <c r="B13" s="536"/>
      <c r="C13" s="1209" t="s">
        <v>239</v>
      </c>
      <c r="D13" s="551" t="s">
        <v>240</v>
      </c>
      <c r="E13" s="552" t="s">
        <v>241</v>
      </c>
      <c r="F13" s="552" t="s">
        <v>242</v>
      </c>
      <c r="G13" s="551" t="s">
        <v>243</v>
      </c>
      <c r="H13" s="549"/>
    </row>
    <row r="14" spans="2:8" ht="14">
      <c r="B14" s="536"/>
      <c r="C14" s="553" t="s">
        <v>118</v>
      </c>
      <c r="D14" s="554">
        <f>'11 - Notes Follow-up'!E16+'11 - Notes Follow-up'!M16</f>
        <v>11807200000</v>
      </c>
      <c r="E14" s="554">
        <f>'11 - Notes Follow-up'!D25+'11 - Notes Follow-up'!L25</f>
        <v>10284999070.92</v>
      </c>
      <c r="F14" s="554">
        <f>'11 - Notes Follow-up'!G25+'11 - Notes Follow-up'!O25</f>
        <v>10194839630.92</v>
      </c>
      <c r="G14" s="555">
        <f>'12 - Notes Interest'!K17+'12 - Notes Interest'!T17</f>
        <v>4733776.5600000005</v>
      </c>
      <c r="H14" s="549"/>
    </row>
    <row r="15" spans="2:8" ht="14">
      <c r="B15" s="536"/>
      <c r="C15" s="553" t="s">
        <v>119</v>
      </c>
      <c r="D15" s="554">
        <f>'11 - Notes Follow-up'!U16</f>
        <v>580800000</v>
      </c>
      <c r="E15" s="554">
        <f>'11 - Notes Follow-up'!T25</f>
        <v>541315764.00000012</v>
      </c>
      <c r="F15" s="554">
        <f>'11 - Notes Follow-up'!W25</f>
        <v>536570511.84000009</v>
      </c>
      <c r="G15" s="555">
        <f>'12 - Notes Interest'!AC17</f>
        <v>622908</v>
      </c>
      <c r="H15" s="549"/>
    </row>
    <row r="16" spans="2:8" ht="14">
      <c r="B16" s="536"/>
      <c r="C16" s="553" t="s">
        <v>155</v>
      </c>
      <c r="D16" s="554">
        <f>'11 - Notes Follow-up'!AB15</f>
        <v>300</v>
      </c>
      <c r="E16" s="554">
        <f>'11 - Notes Follow-up'!AA25</f>
        <v>300</v>
      </c>
      <c r="F16" s="554">
        <f>'11 - Notes Follow-up'!AD25</f>
        <v>300</v>
      </c>
      <c r="G16" s="555">
        <f>'15 - Priority of Payments'!J35</f>
        <v>7364299.2012008429</v>
      </c>
      <c r="H16" s="549"/>
    </row>
    <row r="17" spans="2:9" ht="14">
      <c r="B17" s="536"/>
      <c r="C17" s="556" t="s">
        <v>96</v>
      </c>
      <c r="D17" s="557"/>
      <c r="E17" s="557">
        <f>SUM(E14:E16)</f>
        <v>10826315134.92</v>
      </c>
      <c r="F17" s="557">
        <f>SUM(F14:F16)</f>
        <v>10731410442.76</v>
      </c>
      <c r="G17" s="924">
        <f>SUM(G14:G16)</f>
        <v>12720983.761200843</v>
      </c>
      <c r="H17" s="1155"/>
    </row>
    <row r="18" spans="2:9" ht="17.5">
      <c r="B18" s="536"/>
      <c r="C18" s="558"/>
      <c r="D18" s="575"/>
      <c r="E18" s="575"/>
      <c r="F18" s="560"/>
      <c r="G18" s="561"/>
      <c r="H18" s="562"/>
    </row>
    <row r="19" spans="2:9" ht="14">
      <c r="B19" s="536"/>
      <c r="C19" s="2092" t="s">
        <v>244</v>
      </c>
      <c r="D19" s="2092"/>
      <c r="E19" s="552" t="s">
        <v>241</v>
      </c>
      <c r="F19" s="552" t="s">
        <v>242</v>
      </c>
      <c r="G19" s="561"/>
      <c r="H19" s="562"/>
    </row>
    <row r="20" spans="2:9" ht="14">
      <c r="B20" s="536"/>
      <c r="C20" s="2087" t="s">
        <v>245</v>
      </c>
      <c r="D20" s="2087"/>
      <c r="E20" s="1394">
        <v>0.05</v>
      </c>
      <c r="F20" s="1394">
        <v>0.05</v>
      </c>
      <c r="G20" s="561"/>
      <c r="H20" s="549"/>
    </row>
    <row r="21" spans="2:9" ht="14">
      <c r="B21" s="536"/>
      <c r="C21" s="2087" t="s">
        <v>246</v>
      </c>
      <c r="D21" s="2087"/>
      <c r="E21" s="554">
        <f>'02 - Monthly Asset Follow up'!C17</f>
        <v>10826314196.07</v>
      </c>
      <c r="F21" s="554">
        <f>'16 - Simplified Balance Sheet'!E14</f>
        <v>10731409727.809999</v>
      </c>
      <c r="G21" s="561"/>
      <c r="H21" s="563"/>
      <c r="I21" s="564"/>
    </row>
    <row r="22" spans="2:9" ht="14">
      <c r="B22" s="536"/>
      <c r="C22" s="2084" t="s">
        <v>247</v>
      </c>
      <c r="D22" s="2084"/>
      <c r="E22" s="586">
        <f>E20</f>
        <v>0.05</v>
      </c>
      <c r="F22" s="586">
        <f>F20</f>
        <v>0.05</v>
      </c>
      <c r="G22" s="561"/>
      <c r="H22" s="1155"/>
    </row>
    <row r="23" spans="2:9" ht="14">
      <c r="B23" s="536"/>
      <c r="C23" s="566" t="s">
        <v>244</v>
      </c>
      <c r="D23" s="565"/>
      <c r="E23" s="557">
        <f>'11bis - Notes Calculation'!P18</f>
        <v>541315709.80350006</v>
      </c>
      <c r="F23" s="557">
        <f>'11bis - Notes Calculation'!P17</f>
        <v>536570486.39050001</v>
      </c>
      <c r="G23" s="581"/>
      <c r="H23" s="549"/>
    </row>
    <row r="24" spans="2:9" ht="17.5">
      <c r="B24" s="536"/>
      <c r="C24" s="558"/>
      <c r="D24" s="567"/>
      <c r="E24" s="568"/>
      <c r="F24" s="569"/>
      <c r="G24" s="570"/>
      <c r="H24" s="571"/>
    </row>
    <row r="25" spans="2:9" ht="15.5">
      <c r="B25" s="547"/>
      <c r="C25" s="1210" t="s">
        <v>248</v>
      </c>
      <c r="D25" s="538"/>
      <c r="E25" s="539"/>
      <c r="F25" s="539"/>
      <c r="G25" s="539"/>
      <c r="H25" s="549"/>
    </row>
    <row r="26" spans="2:9" ht="15.5">
      <c r="B26" s="536"/>
      <c r="C26" s="550"/>
      <c r="D26" s="538"/>
      <c r="E26" s="539"/>
      <c r="F26" s="539"/>
      <c r="G26" s="539"/>
      <c r="H26" s="549"/>
    </row>
    <row r="27" spans="2:9" ht="14">
      <c r="B27" s="536"/>
      <c r="C27" s="2081" t="s">
        <v>249</v>
      </c>
      <c r="D27" s="2081"/>
      <c r="E27" s="552" t="s">
        <v>241</v>
      </c>
      <c r="F27" s="1337" t="s">
        <v>242</v>
      </c>
      <c r="G27" s="539"/>
      <c r="H27" s="562"/>
    </row>
    <row r="28" spans="2:9" ht="18.75" customHeight="1">
      <c r="B28" s="536"/>
      <c r="C28" s="2085" t="s">
        <v>250</v>
      </c>
      <c r="D28" s="2085"/>
      <c r="E28" s="1404">
        <f>'07 - Delinquent Home Loans Stat'!D14</f>
        <v>73564</v>
      </c>
      <c r="F28" s="1404">
        <f>'07 - Delinquent Home Loans Stat'!D13</f>
        <v>73168</v>
      </c>
      <c r="G28" s="1185"/>
      <c r="H28" s="562"/>
    </row>
    <row r="29" spans="2:9" ht="27" customHeight="1">
      <c r="B29" s="536"/>
      <c r="C29" s="2082" t="s">
        <v>251</v>
      </c>
      <c r="D29" s="2082"/>
      <c r="E29" s="1594">
        <f>INPUT_DATA!DV5</f>
        <v>1.6805E-2</v>
      </c>
      <c r="F29" s="1595">
        <f>INPUT_DATA!DV4</f>
        <v>1.6806999999999999E-2</v>
      </c>
      <c r="G29" s="539"/>
      <c r="H29" s="562"/>
    </row>
    <row r="30" spans="2:9" ht="14">
      <c r="B30" s="536"/>
      <c r="C30" s="2080" t="s">
        <v>246</v>
      </c>
      <c r="D30" s="2080"/>
      <c r="E30" s="572">
        <f>E21</f>
        <v>10826314196.07</v>
      </c>
      <c r="F30" s="1338">
        <f>'07 - Delinquent Home Loans Stat'!C13</f>
        <v>10731409727.809999</v>
      </c>
      <c r="G30" s="539"/>
      <c r="H30" s="562"/>
    </row>
    <row r="31" spans="2:9" ht="17.5">
      <c r="B31" s="536"/>
      <c r="C31" s="573"/>
      <c r="D31" s="574"/>
      <c r="E31" s="575"/>
      <c r="F31" s="576"/>
      <c r="G31" s="577"/>
      <c r="H31" s="562"/>
    </row>
    <row r="32" spans="2:9" ht="14">
      <c r="B32" s="536"/>
      <c r="C32" s="2086" t="s">
        <v>252</v>
      </c>
      <c r="D32" s="2086"/>
      <c r="E32" s="552" t="s">
        <v>241</v>
      </c>
      <c r="F32" s="552" t="s">
        <v>242</v>
      </c>
      <c r="G32" s="577"/>
      <c r="H32" s="562"/>
    </row>
    <row r="33" spans="2:8" ht="14">
      <c r="B33" s="536"/>
      <c r="C33" s="2082" t="s">
        <v>253</v>
      </c>
      <c r="D33" s="2082"/>
      <c r="E33" s="578">
        <f>INPUT_DATA!DS5</f>
        <v>7</v>
      </c>
      <c r="F33" s="578">
        <f>INPUT_DATA!DS4</f>
        <v>8</v>
      </c>
      <c r="G33" s="539"/>
      <c r="H33" s="562"/>
    </row>
    <row r="34" spans="2:8" ht="24.75" customHeight="1">
      <c r="B34" s="536"/>
      <c r="C34" s="2082" t="s">
        <v>254</v>
      </c>
      <c r="D34" s="2082"/>
      <c r="E34" s="578">
        <f>INPUT_DATA!DU5</f>
        <v>97</v>
      </c>
      <c r="F34" s="578">
        <f>E34+F33</f>
        <v>105</v>
      </c>
      <c r="G34" s="539"/>
      <c r="H34" s="562"/>
    </row>
    <row r="35" spans="2:8" ht="27" customHeight="1">
      <c r="B35" s="536"/>
      <c r="C35" s="2082" t="s">
        <v>255</v>
      </c>
      <c r="D35" s="2082"/>
      <c r="E35" s="1403">
        <f>'02 - Monthly Asset Follow up'!BH18</f>
        <v>1035980.47</v>
      </c>
      <c r="F35" s="1403">
        <f>'02 - Monthly Asset Follow up'!BH17</f>
        <v>1114351.0900000001</v>
      </c>
      <c r="G35" s="539"/>
      <c r="H35" s="562"/>
    </row>
    <row r="36" spans="2:8" ht="46.5" customHeight="1">
      <c r="B36" s="536"/>
      <c r="C36" s="2080" t="s">
        <v>256</v>
      </c>
      <c r="D36" s="2080"/>
      <c r="E36" s="572">
        <f>'08 - Default &amp; Recovery Stat'!F13</f>
        <v>12242381.460000003</v>
      </c>
      <c r="F36" s="572">
        <f>'08 - Default &amp; Recovery Stat'!F12</f>
        <v>13356732.550000003</v>
      </c>
      <c r="G36" s="1783"/>
      <c r="H36" s="562"/>
    </row>
    <row r="37" spans="2:8" ht="17.5">
      <c r="B37" s="536"/>
      <c r="C37" s="579"/>
      <c r="D37" s="559"/>
      <c r="E37" s="575"/>
      <c r="F37" s="580"/>
      <c r="G37" s="581"/>
      <c r="H37" s="562"/>
    </row>
    <row r="38" spans="2:8" ht="14">
      <c r="B38" s="536"/>
      <c r="E38" s="552" t="s">
        <v>241</v>
      </c>
      <c r="F38" s="552" t="s">
        <v>242</v>
      </c>
      <c r="G38" s="539"/>
      <c r="H38" s="562"/>
    </row>
    <row r="39" spans="2:8" ht="14">
      <c r="B39" s="536"/>
      <c r="C39" s="2081" t="s">
        <v>257</v>
      </c>
      <c r="D39" s="2081"/>
      <c r="E39" s="572">
        <f>'03 - Monthly Collection'!AR14</f>
        <v>93774026.620000005</v>
      </c>
      <c r="F39" s="572">
        <f>'15 - Priority of Payments'!J11</f>
        <v>94781347.560000002</v>
      </c>
      <c r="G39" s="581"/>
      <c r="H39" s="562"/>
    </row>
    <row r="40" spans="2:8" ht="14">
      <c r="B40" s="536"/>
      <c r="C40" s="2081" t="s">
        <v>258</v>
      </c>
      <c r="D40" s="2081"/>
      <c r="E40" s="582">
        <f>'Historical DATA'!DH4</f>
        <v>99554730.395201683</v>
      </c>
      <c r="F40" s="582">
        <f>'15 - Priority of Payments'!J21</f>
        <v>110368449.09120145</v>
      </c>
      <c r="G40" s="561"/>
      <c r="H40" s="562"/>
    </row>
    <row r="41" spans="2:8" ht="15.5">
      <c r="B41" s="536"/>
      <c r="C41" s="2080"/>
      <c r="D41" s="2080"/>
      <c r="E41" s="572"/>
      <c r="F41" s="572"/>
      <c r="G41" s="583"/>
      <c r="H41" s="584"/>
    </row>
    <row r="42" spans="2:8" ht="14">
      <c r="B42" s="536"/>
      <c r="C42" s="2081" t="s">
        <v>259</v>
      </c>
      <c r="D42" s="2081"/>
      <c r="E42" s="552" t="s">
        <v>241</v>
      </c>
      <c r="F42" s="552" t="s">
        <v>242</v>
      </c>
      <c r="G42" s="561"/>
      <c r="H42" s="562"/>
    </row>
    <row r="43" spans="2:8" ht="14">
      <c r="B43" s="536"/>
      <c r="C43" s="2082" t="s">
        <v>260</v>
      </c>
      <c r="D43" s="2082"/>
      <c r="E43" s="1856">
        <f>'Prepayment Analysis'!G11</f>
        <v>2.2728418660031762E-2</v>
      </c>
      <c r="F43" s="1597">
        <f>'Prepayment Analysis'!G10</f>
        <v>2.4147098713881602E-2</v>
      </c>
      <c r="G43" s="561"/>
      <c r="H43" s="562"/>
    </row>
    <row r="44" spans="2:8" ht="14">
      <c r="B44" s="536"/>
      <c r="C44" s="585" t="s">
        <v>261</v>
      </c>
      <c r="D44" s="585"/>
      <c r="E44" s="1857">
        <f>'Prepayment Analysis'!H11</f>
        <v>2.296668616018227E-2</v>
      </c>
      <c r="F44" s="1596">
        <f>'Prepayment Analysis'!H10</f>
        <v>2.4416145505643971E-2</v>
      </c>
      <c r="G44" s="561"/>
      <c r="H44" s="562"/>
    </row>
    <row r="45" spans="2:8" ht="14">
      <c r="B45" s="536"/>
      <c r="C45" s="2080" t="s">
        <v>262</v>
      </c>
      <c r="D45" s="2080"/>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1.4158681534999567E-3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1.1089526857929975E-3</v>
      </c>
      <c r="G45" s="561"/>
      <c r="H45" s="562"/>
    </row>
    <row r="46" spans="2:8" ht="18" thickBot="1">
      <c r="B46" s="587"/>
      <c r="C46" s="2083"/>
      <c r="D46" s="2083"/>
      <c r="E46" s="588"/>
      <c r="F46" s="589"/>
      <c r="G46" s="590"/>
      <c r="H46" s="591"/>
    </row>
    <row r="47" spans="2:8" ht="13"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5" zoomScaleNormal="100" zoomScaleSheetLayoutView="85" workbookViewId="0"/>
  </sheetViews>
  <sheetFormatPr defaultColWidth="11.453125" defaultRowHeight="12.5"/>
  <cols>
    <col min="1" max="1" width="2.453125" style="592" customWidth="1"/>
    <col min="2" max="2" width="7.81640625" style="592" customWidth="1"/>
    <col min="3" max="3" width="27.7265625" style="592" customWidth="1"/>
    <col min="4" max="4" width="65.26953125" style="592" customWidth="1"/>
    <col min="5" max="5" width="18.81640625" style="592" bestFit="1" customWidth="1"/>
    <col min="6" max="8" width="11.453125" style="592"/>
    <col min="9" max="9" width="16.453125" style="592" bestFit="1" customWidth="1"/>
    <col min="10" max="10" width="15.7265625" style="592" customWidth="1"/>
    <col min="11" max="11" width="4.7265625" style="592" customWidth="1"/>
    <col min="12" max="16384" width="11.453125" style="592"/>
  </cols>
  <sheetData>
    <row r="1" spans="2:10" ht="13" thickBot="1"/>
    <row r="2" spans="2:10" ht="28.5" thickTop="1">
      <c r="B2" s="593"/>
      <c r="C2" s="531"/>
      <c r="D2" s="531"/>
      <c r="E2" s="532"/>
      <c r="F2" s="533"/>
      <c r="G2" s="533"/>
      <c r="H2" s="533"/>
      <c r="I2" s="534" t="s">
        <v>232</v>
      </c>
      <c r="J2" s="535">
        <f>'Cover Page'!$C$16</f>
        <v>46203</v>
      </c>
    </row>
    <row r="3" spans="2:10" ht="14">
      <c r="B3" s="594"/>
      <c r="D3" s="537"/>
      <c r="E3" s="595"/>
      <c r="F3" s="596"/>
      <c r="G3" s="596"/>
      <c r="H3" s="596"/>
      <c r="I3" s="540" t="s">
        <v>233</v>
      </c>
      <c r="J3" s="541">
        <f>'Cover Page'!$C$17</f>
        <v>46218</v>
      </c>
    </row>
    <row r="4" spans="2:10" ht="23">
      <c r="B4" s="594"/>
      <c r="D4" s="2089"/>
      <c r="E4" s="2089"/>
      <c r="F4" s="2090"/>
      <c r="G4" s="542"/>
      <c r="H4" s="516"/>
      <c r="I4" s="540" t="s">
        <v>234</v>
      </c>
      <c r="J4" s="541">
        <f>'Cover Page'!$C$18</f>
        <v>46223</v>
      </c>
    </row>
    <row r="5" spans="2:10" ht="23">
      <c r="B5" s="594"/>
      <c r="D5" s="2089"/>
      <c r="E5" s="2089"/>
      <c r="F5" s="2090"/>
      <c r="G5" s="542"/>
      <c r="H5" s="596"/>
      <c r="I5" s="540" t="s">
        <v>235</v>
      </c>
      <c r="J5" s="541">
        <f>'Cover Page'!$C$19</f>
        <v>46230</v>
      </c>
    </row>
    <row r="6" spans="2:10" ht="14">
      <c r="B6" s="594"/>
      <c r="D6" s="595"/>
      <c r="E6" s="595"/>
      <c r="F6" s="596"/>
      <c r="G6" s="596"/>
      <c r="H6" s="596"/>
      <c r="I6" s="540" t="s">
        <v>236</v>
      </c>
      <c r="J6" s="543">
        <f>'00 - Cover'!$F$29</f>
        <v>21</v>
      </c>
    </row>
    <row r="7" spans="2:10" ht="14">
      <c r="B7" s="597"/>
      <c r="C7" s="598"/>
      <c r="D7" s="598"/>
      <c r="E7" s="598"/>
      <c r="F7" s="599"/>
      <c r="G7" s="599"/>
      <c r="H7" s="599"/>
      <c r="I7" s="599"/>
      <c r="J7" s="600"/>
    </row>
    <row r="8" spans="2:10">
      <c r="B8" s="601"/>
      <c r="J8" s="602"/>
    </row>
    <row r="9" spans="2:10">
      <c r="B9" s="594"/>
      <c r="J9" s="603"/>
    </row>
    <row r="10" spans="2:10" ht="13">
      <c r="B10" s="594"/>
      <c r="D10" s="607" t="s">
        <v>264</v>
      </c>
      <c r="E10" s="605" t="s">
        <v>265</v>
      </c>
      <c r="J10" s="603"/>
    </row>
    <row r="11" spans="2:10" ht="13">
      <c r="B11" s="594"/>
      <c r="D11" s="606" t="s">
        <v>266</v>
      </c>
      <c r="E11" s="604" t="str">
        <f>'17 - Events'!F10</f>
        <v>No</v>
      </c>
      <c r="J11" s="603"/>
    </row>
    <row r="12" spans="2:10" ht="13">
      <c r="B12" s="594"/>
      <c r="D12" s="606" t="s">
        <v>263</v>
      </c>
      <c r="E12" s="604" t="str">
        <f>'17 - Events'!F22</f>
        <v>No</v>
      </c>
      <c r="J12" s="603"/>
    </row>
    <row r="13" spans="2:10" ht="13">
      <c r="B13" s="594"/>
      <c r="D13" s="608" t="s">
        <v>267</v>
      </c>
      <c r="E13" s="604" t="str">
        <f>'17 - Events'!F47</f>
        <v>No</v>
      </c>
      <c r="J13" s="603"/>
    </row>
    <row r="14" spans="2:10" ht="13">
      <c r="B14" s="594"/>
      <c r="D14" s="606" t="s">
        <v>268</v>
      </c>
      <c r="E14" s="604" t="str">
        <f>'17 - Events'!F37</f>
        <v>No</v>
      </c>
      <c r="J14" s="603"/>
    </row>
    <row r="15" spans="2:10">
      <c r="B15" s="594"/>
      <c r="J15" s="603"/>
    </row>
    <row r="16" spans="2:10">
      <c r="B16" s="594"/>
      <c r="J16" s="603"/>
    </row>
    <row r="17" spans="2:10" ht="14">
      <c r="B17" s="594"/>
      <c r="C17" s="609" t="s">
        <v>269</v>
      </c>
      <c r="J17" s="603"/>
    </row>
    <row r="18" spans="2:10">
      <c r="B18" s="594"/>
      <c r="J18" s="603"/>
    </row>
    <row r="19" spans="2:10" ht="14.5">
      <c r="B19" s="594"/>
      <c r="C19" s="2096" t="s">
        <v>1880</v>
      </c>
      <c r="D19" s="2096"/>
      <c r="E19" s="610">
        <f>'09 -Principal Deficiency Amount'!C12</f>
        <v>94905107.11000061</v>
      </c>
      <c r="J19" s="603"/>
    </row>
    <row r="20" spans="2:10" ht="14.5">
      <c r="B20" s="594"/>
      <c r="C20" s="2096" t="s">
        <v>1881</v>
      </c>
      <c r="D20" s="2096"/>
      <c r="E20" s="610">
        <f>'09 -Principal Deficiency Amount'!D12</f>
        <v>102719406.31120145</v>
      </c>
      <c r="H20" s="605" t="s">
        <v>270</v>
      </c>
      <c r="I20" s="611">
        <f>'09 -Principal Deficiency Amount'!G12</f>
        <v>0</v>
      </c>
      <c r="J20" s="603"/>
    </row>
    <row r="21" spans="2:10" ht="14.5">
      <c r="B21" s="594"/>
      <c r="C21" s="2097" t="s">
        <v>1882</v>
      </c>
      <c r="D21" s="2097"/>
      <c r="E21" s="610">
        <f>'09 -Principal Deficiency Amount'!E12</f>
        <v>110368449.09120145</v>
      </c>
      <c r="H21" s="605" t="s">
        <v>271</v>
      </c>
      <c r="I21" s="611">
        <f>'09 -Principal Deficiency Amount'!G13</f>
        <v>0</v>
      </c>
      <c r="J21" s="603"/>
    </row>
    <row r="22" spans="2:10" ht="14.5">
      <c r="B22" s="594"/>
      <c r="C22" s="2094" t="s">
        <v>1883</v>
      </c>
      <c r="D22" s="2095"/>
      <c r="E22" s="610">
        <f>'09 -Principal Deficiency Amount'!F12</f>
        <v>7649042.7800000012</v>
      </c>
      <c r="H22" s="605" t="s">
        <v>272</v>
      </c>
      <c r="I22" s="611">
        <f>'09 -Principal Deficiency Amount'!G14</f>
        <v>0</v>
      </c>
      <c r="J22" s="603"/>
    </row>
    <row r="23" spans="2:10" ht="14.5">
      <c r="B23" s="594"/>
      <c r="C23" s="2093" t="s">
        <v>1884</v>
      </c>
      <c r="D23" s="2093"/>
      <c r="E23" s="1402">
        <f>'09 -Principal Deficiency Amount'!G12</f>
        <v>0</v>
      </c>
      <c r="H23" s="605" t="s">
        <v>273</v>
      </c>
      <c r="I23" s="611">
        <f>'09 -Principal Deficiency Amount'!G15</f>
        <v>0</v>
      </c>
      <c r="J23" s="603"/>
    </row>
    <row r="24" spans="2:10" ht="14.5">
      <c r="B24" s="594"/>
      <c r="H24" s="605" t="s">
        <v>274</v>
      </c>
      <c r="I24" s="611">
        <f>'09 -Principal Deficiency Amount'!G16</f>
        <v>0</v>
      </c>
      <c r="J24" s="603"/>
    </row>
    <row r="25" spans="2:10">
      <c r="B25" s="594"/>
      <c r="J25" s="603"/>
    </row>
    <row r="26" spans="2:10">
      <c r="B26" s="594"/>
      <c r="J26" s="603"/>
    </row>
    <row r="27" spans="2:10" ht="13" thickBot="1">
      <c r="B27" s="612"/>
      <c r="C27" s="613"/>
      <c r="D27" s="613"/>
      <c r="E27" s="613"/>
      <c r="F27" s="613"/>
      <c r="G27" s="613"/>
      <c r="H27" s="613"/>
      <c r="I27" s="613"/>
      <c r="J27" s="614"/>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defaultColWidth="11.453125" defaultRowHeight="12.5"/>
  <cols>
    <col min="1" max="1" width="2.7265625" style="592" customWidth="1"/>
    <col min="2" max="2" width="23.7265625" style="592" customWidth="1"/>
    <col min="3" max="3" width="23.54296875" style="592" customWidth="1"/>
    <col min="4" max="8" width="12.7265625" style="592" customWidth="1"/>
    <col min="9" max="9" width="3.7265625" style="592" customWidth="1"/>
    <col min="10" max="11" width="12.7265625" style="592" customWidth="1"/>
    <col min="12" max="12" width="17.1796875" style="592" customWidth="1"/>
    <col min="13" max="13" width="12.7265625" style="592" customWidth="1"/>
    <col min="14" max="14" width="14.7265625" style="592" customWidth="1"/>
    <col min="15" max="15" width="3.7265625" style="592" customWidth="1"/>
    <col min="16" max="16" width="5" style="592" customWidth="1"/>
    <col min="17" max="16384" width="11.453125" style="592"/>
  </cols>
  <sheetData>
    <row r="1" spans="2:15" ht="13" thickBot="1"/>
    <row r="2" spans="2:15" ht="28.5" thickTop="1">
      <c r="B2" s="615"/>
      <c r="C2" s="616"/>
      <c r="D2" s="508"/>
      <c r="E2" s="508"/>
      <c r="F2" s="617"/>
      <c r="G2" s="533"/>
      <c r="H2" s="533"/>
      <c r="I2" s="533"/>
      <c r="J2" s="533"/>
      <c r="K2" s="533"/>
      <c r="L2" s="533"/>
      <c r="M2" s="534"/>
      <c r="N2" s="618"/>
      <c r="O2" s="619"/>
    </row>
    <row r="3" spans="2:15" ht="14">
      <c r="B3" s="620"/>
      <c r="C3" s="596"/>
      <c r="D3" s="596"/>
      <c r="E3" s="596"/>
      <c r="G3" s="596"/>
      <c r="H3" s="596"/>
      <c r="I3" s="596"/>
      <c r="J3" s="596"/>
      <c r="K3" s="596"/>
      <c r="M3" s="540"/>
      <c r="N3" s="621"/>
      <c r="O3" s="603"/>
    </row>
    <row r="4" spans="2:15" ht="23">
      <c r="B4" s="2110"/>
      <c r="C4" s="2111"/>
      <c r="G4" s="622"/>
      <c r="H4" s="2112"/>
      <c r="I4" s="2112"/>
      <c r="J4" s="622"/>
      <c r="K4" s="516"/>
      <c r="M4" s="540"/>
      <c r="N4" s="621"/>
      <c r="O4" s="603"/>
    </row>
    <row r="5" spans="2:15" ht="14">
      <c r="B5" s="2110"/>
      <c r="C5" s="2111"/>
      <c r="G5" s="596"/>
      <c r="H5" s="2112"/>
      <c r="I5" s="2112"/>
      <c r="J5" s="596"/>
      <c r="K5" s="596"/>
      <c r="M5" s="540"/>
      <c r="N5" s="621"/>
      <c r="O5" s="603"/>
    </row>
    <row r="6" spans="2:15" ht="14">
      <c r="B6" s="623"/>
      <c r="C6" s="596"/>
      <c r="D6" s="596"/>
      <c r="E6" s="596"/>
      <c r="G6" s="596"/>
      <c r="H6" s="596"/>
      <c r="I6" s="596"/>
      <c r="J6" s="596"/>
      <c r="K6" s="596"/>
      <c r="M6" s="540"/>
      <c r="N6" s="624"/>
      <c r="O6" s="603"/>
    </row>
    <row r="7" spans="2:15" ht="14">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5">
      <c r="B11" s="631"/>
      <c r="C11" s="629"/>
      <c r="D11" s="2104" t="s">
        <v>222</v>
      </c>
      <c r="E11" s="2105"/>
      <c r="F11" s="2105"/>
      <c r="G11" s="2106"/>
      <c r="H11" s="632"/>
      <c r="I11" s="633"/>
      <c r="J11" s="2104" t="s">
        <v>275</v>
      </c>
      <c r="K11" s="2105"/>
      <c r="L11" s="2105"/>
      <c r="M11" s="2106"/>
      <c r="N11" s="632"/>
      <c r="O11" s="634"/>
    </row>
    <row r="12" spans="2:15" ht="14.5">
      <c r="B12" s="635"/>
      <c r="C12" s="636"/>
      <c r="D12" s="2107" t="s">
        <v>276</v>
      </c>
      <c r="E12" s="2108"/>
      <c r="F12" s="2107" t="s">
        <v>277</v>
      </c>
      <c r="G12" s="2109"/>
      <c r="H12" s="640"/>
      <c r="J12" s="2107" t="s">
        <v>276</v>
      </c>
      <c r="K12" s="2108"/>
      <c r="L12" s="2107" t="s">
        <v>277</v>
      </c>
      <c r="M12" s="2109"/>
      <c r="N12" s="640"/>
      <c r="O12" s="641"/>
    </row>
    <row r="13" spans="2:15" ht="39">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5" hidden="1">
      <c r="B17" s="631"/>
      <c r="C17" s="629"/>
      <c r="D17" s="2104" t="s">
        <v>282</v>
      </c>
      <c r="E17" s="2105"/>
      <c r="F17" s="2105"/>
      <c r="G17" s="2106"/>
      <c r="H17" s="632"/>
      <c r="I17" s="633"/>
      <c r="J17" s="2104" t="s">
        <v>283</v>
      </c>
      <c r="K17" s="2105"/>
      <c r="L17" s="2105"/>
      <c r="M17" s="2106"/>
      <c r="N17" s="632"/>
      <c r="O17" s="657"/>
    </row>
    <row r="18" spans="2:15" ht="31.5" hidden="1" customHeight="1">
      <c r="B18" s="635"/>
      <c r="C18" s="636"/>
      <c r="D18" s="2107" t="s">
        <v>276</v>
      </c>
      <c r="E18" s="2108"/>
      <c r="F18" s="2098" t="s">
        <v>284</v>
      </c>
      <c r="G18" s="2109"/>
      <c r="H18" s="640"/>
      <c r="J18" s="2107" t="s">
        <v>276</v>
      </c>
      <c r="K18" s="2108"/>
      <c r="L18" s="2098" t="s">
        <v>285</v>
      </c>
      <c r="M18" s="2109"/>
      <c r="N18" s="640"/>
      <c r="O18" s="657"/>
    </row>
    <row r="19" spans="2:15" ht="15.5" hidden="1">
      <c r="B19" s="642"/>
      <c r="C19" s="629"/>
      <c r="D19" s="637" t="s">
        <v>278</v>
      </c>
      <c r="E19" s="638" t="s">
        <v>279</v>
      </c>
      <c r="F19" s="2098" t="s">
        <v>278</v>
      </c>
      <c r="G19" s="2099"/>
      <c r="H19" s="643" t="s">
        <v>280</v>
      </c>
      <c r="J19" s="637" t="s">
        <v>278</v>
      </c>
      <c r="K19" s="638" t="s">
        <v>279</v>
      </c>
      <c r="L19" s="2098" t="s">
        <v>278</v>
      </c>
      <c r="M19" s="2099"/>
      <c r="N19" s="643" t="s">
        <v>280</v>
      </c>
      <c r="O19" s="657"/>
    </row>
    <row r="20" spans="2:15" ht="13" hidden="1">
      <c r="B20" s="646" t="s">
        <v>281</v>
      </c>
      <c r="C20" s="647" t="s">
        <v>216</v>
      </c>
      <c r="D20" s="658"/>
      <c r="E20" s="648"/>
      <c r="F20" s="2100"/>
      <c r="G20" s="2101"/>
      <c r="H20" s="650"/>
      <c r="I20" s="651"/>
      <c r="J20" s="658"/>
      <c r="K20" s="648"/>
      <c r="L20" s="2100"/>
      <c r="M20" s="2101"/>
      <c r="N20" s="650" t="s">
        <v>1353</v>
      </c>
      <c r="O20" s="657"/>
    </row>
    <row r="21" spans="2:15" ht="19.5" hidden="1" customHeight="1">
      <c r="B21" s="646" t="s">
        <v>183</v>
      </c>
      <c r="C21" s="647" t="s">
        <v>216</v>
      </c>
      <c r="D21" s="653"/>
      <c r="E21" s="654"/>
      <c r="F21" s="2102"/>
      <c r="G21" s="2103"/>
      <c r="H21" s="655"/>
      <c r="I21" s="651"/>
      <c r="J21" s="653"/>
      <c r="K21" s="654"/>
      <c r="L21" s="2102"/>
      <c r="M21" s="2103"/>
      <c r="N21" s="655" t="s">
        <v>1354</v>
      </c>
      <c r="O21" s="657"/>
    </row>
    <row r="22" spans="2:15" ht="13" thickBot="1">
      <c r="B22" s="659"/>
      <c r="C22" s="660"/>
      <c r="D22" s="660"/>
      <c r="E22" s="661"/>
      <c r="F22" s="661"/>
      <c r="G22" s="661"/>
      <c r="H22" s="661"/>
      <c r="I22" s="661"/>
      <c r="J22" s="660"/>
      <c r="K22" s="661"/>
      <c r="L22" s="661"/>
      <c r="M22" s="661"/>
      <c r="N22" s="661"/>
      <c r="O22" s="662"/>
    </row>
    <row r="23" spans="2:15" ht="13"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heetViews>
  <sheetFormatPr defaultColWidth="11.453125" defaultRowHeight="13"/>
  <cols>
    <col min="1" max="1" width="3.453125" style="664" customWidth="1"/>
    <col min="2" max="2" width="56.1796875" style="663" customWidth="1"/>
    <col min="3" max="3" width="35.1796875" style="664" bestFit="1" customWidth="1"/>
    <col min="4" max="4" width="35.1796875" style="664" customWidth="1"/>
    <col min="5" max="5" width="35.1796875" style="664" bestFit="1" customWidth="1"/>
    <col min="6" max="6" width="25.54296875" style="664" customWidth="1"/>
    <col min="7" max="7" width="3.81640625" style="664" customWidth="1"/>
    <col min="8" max="8" width="1.7265625" style="664" customWidth="1"/>
    <col min="9" max="9" width="1.81640625" style="664" customWidth="1"/>
    <col min="10" max="16384" width="11.453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15"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15"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49999999999999" customHeight="1" thickTop="1">
      <c r="B37" s="703"/>
      <c r="C37" s="697"/>
      <c r="D37" s="697"/>
    </row>
    <row r="38" spans="2:8" ht="20.149999999999999" customHeight="1">
      <c r="B38" s="703"/>
    </row>
    <row r="43" spans="2:8" ht="20.149999999999999" customHeight="1">
      <c r="C43" s="697"/>
      <c r="D43" s="697"/>
    </row>
    <row r="55" spans="3:4" ht="20.149999999999999" customHeight="1">
      <c r="C55" s="697"/>
      <c r="D55" s="697"/>
    </row>
    <row r="61" spans="3:4" ht="20.149999999999999"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zoomScale="85" zoomScaleNormal="85" workbookViewId="0"/>
  </sheetViews>
  <sheetFormatPr defaultColWidth="9.1796875" defaultRowHeight="14.5"/>
  <cols>
    <col min="1" max="1" width="14.81640625" style="36" customWidth="1"/>
    <col min="2" max="2" width="23.1796875" style="77"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21.1796875" style="36" customWidth="1"/>
    <col min="13" max="13" width="22.81640625" style="36" customWidth="1"/>
    <col min="14" max="14" width="19.1796875" style="36" customWidth="1"/>
    <col min="15" max="15" width="24" style="36" customWidth="1"/>
    <col min="16" max="16384" width="9.179687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5" customHeight="1">
      <c r="A3" s="35"/>
      <c r="B3" s="37"/>
      <c r="C3" s="37"/>
      <c r="D3" s="37"/>
      <c r="E3" s="1932"/>
      <c r="F3" s="1932"/>
      <c r="G3" s="1932"/>
      <c r="H3" s="37"/>
      <c r="I3" s="12"/>
      <c r="L3" s="39"/>
    </row>
    <row r="4" spans="1:16" ht="14.5" customHeight="1">
      <c r="A4" s="35"/>
      <c r="B4" s="37"/>
      <c r="C4" s="37"/>
      <c r="D4" s="37"/>
      <c r="E4" s="1932"/>
      <c r="F4" s="1932"/>
      <c r="G4" s="1932"/>
      <c r="H4" s="37"/>
      <c r="I4" s="12"/>
      <c r="J4" s="1812" t="s">
        <v>4</v>
      </c>
      <c r="K4" s="1812">
        <f>'00 - Cover'!F19</f>
        <v>46223</v>
      </c>
      <c r="L4" s="39"/>
    </row>
    <row r="5" spans="1:16" ht="14.5" customHeight="1">
      <c r="A5" s="35"/>
      <c r="B5" s="37"/>
      <c r="C5" s="37"/>
      <c r="D5" s="37"/>
      <c r="E5" s="1932"/>
      <c r="F5" s="1932"/>
      <c r="G5" s="1932"/>
      <c r="H5" s="37"/>
      <c r="I5" s="12"/>
      <c r="J5" s="1812" t="s">
        <v>5</v>
      </c>
      <c r="K5" s="1812">
        <f>'00 - Cover'!F20</f>
        <v>46230</v>
      </c>
      <c r="L5" s="39"/>
    </row>
    <row r="6" spans="1:16" ht="14.5" customHeight="1">
      <c r="A6" s="35"/>
      <c r="B6" s="37"/>
      <c r="C6" s="37"/>
      <c r="D6" s="37"/>
      <c r="E6" s="1932"/>
      <c r="F6" s="1932"/>
      <c r="G6" s="1932"/>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5" customHeight="1">
      <c r="B10" s="36"/>
    </row>
    <row r="11" spans="1:16" ht="7.5" customHeight="1" thickBot="1">
      <c r="B11" s="36"/>
      <c r="C11" s="36"/>
      <c r="D11" s="36"/>
      <c r="E11" s="36"/>
      <c r="F11" s="36"/>
    </row>
    <row r="12" spans="1:16" ht="18.75" customHeight="1" thickBot="1">
      <c r="B12" s="1933" t="s">
        <v>162</v>
      </c>
      <c r="C12" s="1934"/>
      <c r="D12" s="1934"/>
      <c r="E12" s="1934"/>
      <c r="F12" s="1934"/>
      <c r="G12" s="1935"/>
      <c r="H12" s="1813">
        <v>45957</v>
      </c>
      <c r="L12" s="1813">
        <v>45583</v>
      </c>
    </row>
    <row r="13" spans="1:16" ht="39" customHeight="1" thickBot="1">
      <c r="B13" s="48"/>
      <c r="C13" s="49"/>
      <c r="D13" s="49"/>
      <c r="E13" s="49"/>
      <c r="F13" s="49"/>
      <c r="G13" s="50"/>
      <c r="H13" s="46" t="s">
        <v>17</v>
      </c>
      <c r="I13" s="47" t="s">
        <v>18</v>
      </c>
      <c r="L13" s="46" t="s">
        <v>17</v>
      </c>
      <c r="M13" s="47" t="s">
        <v>18</v>
      </c>
    </row>
    <row r="14" spans="1:16" ht="22" customHeight="1" thickBot="1">
      <c r="B14" s="1936" t="s">
        <v>19</v>
      </c>
      <c r="C14" s="1937"/>
      <c r="D14" s="1937"/>
      <c r="E14" s="1937"/>
      <c r="F14" s="1937"/>
      <c r="G14" s="1938"/>
      <c r="H14" s="1814">
        <v>4246326267.73</v>
      </c>
      <c r="I14" s="1815">
        <v>21828</v>
      </c>
      <c r="J14" s="53"/>
      <c r="K14" s="42"/>
      <c r="L14" s="1814">
        <v>8182368484.4700003</v>
      </c>
      <c r="M14" s="1815">
        <v>56971</v>
      </c>
      <c r="O14" s="42"/>
      <c r="P14" s="53"/>
    </row>
    <row r="15" spans="1:16" ht="22"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2"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2"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923" t="s">
        <v>648</v>
      </c>
      <c r="C18" s="1924"/>
      <c r="D18" s="1924"/>
      <c r="E18" s="1924"/>
      <c r="F18" s="1924"/>
      <c r="G18" s="1925"/>
      <c r="H18" s="59" t="s">
        <v>23</v>
      </c>
      <c r="I18" s="60" t="s">
        <v>24</v>
      </c>
      <c r="J18" s="59" t="s">
        <v>25</v>
      </c>
      <c r="K18" s="60" t="s">
        <v>26</v>
      </c>
      <c r="L18" s="59" t="s">
        <v>23</v>
      </c>
      <c r="M18" s="60" t="s">
        <v>24</v>
      </c>
      <c r="N18" s="59" t="s">
        <v>25</v>
      </c>
      <c r="O18" s="60" t="s">
        <v>26</v>
      </c>
    </row>
    <row r="19" spans="1:15" ht="54" customHeight="1">
      <c r="A19" s="61"/>
      <c r="B19" s="62">
        <v>1</v>
      </c>
      <c r="C19" s="1939" t="s">
        <v>649</v>
      </c>
      <c r="D19" s="1940"/>
      <c r="E19" s="1940"/>
      <c r="F19" s="1940"/>
      <c r="G19" s="1941"/>
      <c r="H19" s="1816"/>
      <c r="I19" s="1817"/>
      <c r="J19" s="1816"/>
      <c r="K19" s="1817"/>
      <c r="L19" s="1816"/>
      <c r="M19" s="1817"/>
      <c r="N19" s="1816"/>
      <c r="O19" s="1817"/>
    </row>
    <row r="20" spans="1:15" ht="48" customHeight="1">
      <c r="A20" s="61"/>
      <c r="B20" s="63">
        <v>2</v>
      </c>
      <c r="C20" s="1920" t="s">
        <v>650</v>
      </c>
      <c r="D20" s="1921"/>
      <c r="E20" s="1921"/>
      <c r="F20" s="1921"/>
      <c r="G20" s="1922"/>
      <c r="H20" s="1221"/>
      <c r="I20" s="1224"/>
      <c r="J20" s="1221"/>
      <c r="K20" s="74"/>
      <c r="L20" s="1221"/>
      <c r="M20" s="1224"/>
      <c r="N20" s="1221"/>
      <c r="O20" s="74"/>
    </row>
    <row r="21" spans="1:15" ht="48" customHeight="1">
      <c r="A21" s="61"/>
      <c r="B21" s="63">
        <v>3</v>
      </c>
      <c r="C21" s="1926" t="s">
        <v>651</v>
      </c>
      <c r="D21" s="1927"/>
      <c r="E21" s="1927"/>
      <c r="F21" s="1927"/>
      <c r="G21" s="1928"/>
      <c r="H21" s="1221"/>
      <c r="I21" s="74"/>
      <c r="J21" s="1221"/>
      <c r="K21" s="74"/>
      <c r="L21" s="1221"/>
      <c r="M21" s="74"/>
      <c r="N21" s="1221"/>
      <c r="O21" s="74"/>
    </row>
    <row r="22" spans="1:15" ht="48" customHeight="1">
      <c r="A22" s="61"/>
      <c r="B22" s="63">
        <v>4</v>
      </c>
      <c r="C22" s="1926" t="s">
        <v>652</v>
      </c>
      <c r="D22" s="1927"/>
      <c r="E22" s="1927"/>
      <c r="F22" s="1927"/>
      <c r="G22" s="1928"/>
      <c r="H22" s="1221"/>
      <c r="I22" s="74"/>
      <c r="J22" s="1221"/>
      <c r="K22" s="74"/>
      <c r="L22" s="1221"/>
      <c r="M22" s="74"/>
      <c r="N22" s="1221"/>
      <c r="O22" s="74"/>
    </row>
    <row r="23" spans="1:15" ht="48" customHeight="1">
      <c r="A23" s="61"/>
      <c r="B23" s="63">
        <v>5</v>
      </c>
      <c r="C23" s="1926" t="s">
        <v>653</v>
      </c>
      <c r="D23" s="1927"/>
      <c r="E23" s="1927"/>
      <c r="F23" s="1927"/>
      <c r="G23" s="1928"/>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926" t="s">
        <v>654</v>
      </c>
      <c r="D24" s="1927"/>
      <c r="E24" s="1927"/>
      <c r="F24" s="1927"/>
      <c r="G24" s="1928"/>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926" t="s">
        <v>655</v>
      </c>
      <c r="D25" s="1927"/>
      <c r="E25" s="1927"/>
      <c r="F25" s="1927"/>
      <c r="G25" s="1928"/>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926" t="s">
        <v>1186</v>
      </c>
      <c r="D26" s="1927"/>
      <c r="E26" s="1927"/>
      <c r="F26" s="1927"/>
      <c r="G26" s="1928"/>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926" t="s">
        <v>656</v>
      </c>
      <c r="D27" s="1927"/>
      <c r="E27" s="1927"/>
      <c r="F27" s="1927"/>
      <c r="G27" s="1928"/>
      <c r="H27" s="1226"/>
      <c r="I27" s="69"/>
      <c r="J27" s="1226"/>
      <c r="K27" s="69"/>
      <c r="L27" s="1226"/>
      <c r="M27" s="69"/>
      <c r="N27" s="1226"/>
      <c r="O27" s="69"/>
    </row>
    <row r="28" spans="1:15" ht="48" customHeight="1" thickBot="1">
      <c r="A28" s="61"/>
      <c r="B28" s="1923" t="s">
        <v>657</v>
      </c>
      <c r="C28" s="1924"/>
      <c r="D28" s="1924"/>
      <c r="E28" s="1924"/>
      <c r="F28" s="1924"/>
      <c r="G28" s="1925"/>
      <c r="H28" s="71"/>
      <c r="I28" s="53"/>
      <c r="L28" s="71"/>
      <c r="M28" s="53"/>
    </row>
    <row r="29" spans="1:15" ht="48" customHeight="1">
      <c r="A29" s="61"/>
      <c r="B29" s="63">
        <v>1</v>
      </c>
      <c r="C29" s="1929" t="s">
        <v>1191</v>
      </c>
      <c r="D29" s="1930"/>
      <c r="E29" s="1930"/>
      <c r="F29" s="1930"/>
      <c r="G29" s="1931"/>
      <c r="H29" s="1228"/>
      <c r="I29" s="1229"/>
      <c r="J29" s="1228"/>
      <c r="K29" s="1229"/>
      <c r="L29" s="1228"/>
      <c r="M29" s="1229"/>
      <c r="N29" s="1228"/>
      <c r="O29" s="1229"/>
    </row>
    <row r="30" spans="1:15" ht="48" customHeight="1">
      <c r="A30" s="61"/>
      <c r="B30" s="63">
        <v>2</v>
      </c>
      <c r="C30" s="1920" t="s">
        <v>1187</v>
      </c>
      <c r="D30" s="1921"/>
      <c r="E30" s="1921"/>
      <c r="F30" s="1921"/>
      <c r="G30" s="1922"/>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920" t="s">
        <v>658</v>
      </c>
      <c r="D31" s="1921"/>
      <c r="E31" s="1921"/>
      <c r="F31" s="1921"/>
      <c r="G31" s="1922"/>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920" t="s">
        <v>659</v>
      </c>
      <c r="D32" s="1921"/>
      <c r="E32" s="1921"/>
      <c r="F32" s="1921"/>
      <c r="G32" s="1922"/>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920" t="s">
        <v>660</v>
      </c>
      <c r="D33" s="1921"/>
      <c r="E33" s="1921"/>
      <c r="F33" s="1921"/>
      <c r="G33" s="1922"/>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920" t="s">
        <v>1192</v>
      </c>
      <c r="D34" s="1921"/>
      <c r="E34" s="1921"/>
      <c r="F34" s="1921"/>
      <c r="G34" s="1922"/>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920" t="s">
        <v>661</v>
      </c>
      <c r="D35" s="1921"/>
      <c r="E35" s="1921"/>
      <c r="F35" s="1921"/>
      <c r="G35" s="1922"/>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920" t="s">
        <v>1188</v>
      </c>
      <c r="D36" s="1921"/>
      <c r="E36" s="1921"/>
      <c r="F36" s="1921"/>
      <c r="G36" s="1922"/>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920" t="s">
        <v>662</v>
      </c>
      <c r="D37" s="1921"/>
      <c r="E37" s="1921"/>
      <c r="F37" s="1921"/>
      <c r="G37" s="1922"/>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920" t="s">
        <v>1189</v>
      </c>
      <c r="D38" s="1921"/>
      <c r="E38" s="1921"/>
      <c r="F38" s="1921"/>
      <c r="G38" s="1922"/>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920" t="s">
        <v>663</v>
      </c>
      <c r="D39" s="1921"/>
      <c r="E39" s="1921"/>
      <c r="F39" s="1921"/>
      <c r="G39" s="1922"/>
      <c r="H39" s="1221"/>
      <c r="I39" s="74"/>
      <c r="J39" s="1221"/>
      <c r="K39" s="74"/>
      <c r="L39" s="1221"/>
      <c r="M39" s="74"/>
      <c r="N39" s="1221"/>
      <c r="O39" s="74"/>
    </row>
    <row r="40" spans="1:15" ht="48" customHeight="1">
      <c r="A40" s="61"/>
      <c r="B40" s="63">
        <v>12</v>
      </c>
      <c r="C40" s="1920" t="s">
        <v>664</v>
      </c>
      <c r="D40" s="1921"/>
      <c r="E40" s="1921"/>
      <c r="F40" s="1921"/>
      <c r="G40" s="1922"/>
      <c r="H40" s="1221"/>
      <c r="I40" s="74"/>
      <c r="J40" s="1221"/>
      <c r="K40" s="74"/>
      <c r="L40" s="1221"/>
      <c r="M40" s="74"/>
      <c r="N40" s="1221"/>
      <c r="O40" s="74"/>
    </row>
    <row r="41" spans="1:15" ht="48" customHeight="1">
      <c r="A41" s="61"/>
      <c r="B41" s="63">
        <v>13</v>
      </c>
      <c r="C41" s="1920" t="s">
        <v>665</v>
      </c>
      <c r="D41" s="1921"/>
      <c r="E41" s="1921"/>
      <c r="F41" s="1921"/>
      <c r="G41" s="1922"/>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920" t="s">
        <v>666</v>
      </c>
      <c r="D42" s="1921"/>
      <c r="E42" s="1921"/>
      <c r="F42" s="1921"/>
      <c r="G42" s="1922"/>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920" t="s">
        <v>667</v>
      </c>
      <c r="D43" s="1921"/>
      <c r="E43" s="1921"/>
      <c r="F43" s="1921"/>
      <c r="G43" s="1922"/>
      <c r="H43" s="1221"/>
      <c r="I43" s="74"/>
      <c r="J43" s="1221"/>
      <c r="K43" s="74"/>
      <c r="L43" s="1221"/>
      <c r="M43" s="74"/>
      <c r="N43" s="1221"/>
      <c r="O43" s="74"/>
    </row>
    <row r="44" spans="1:15" ht="48" customHeight="1">
      <c r="A44" s="61"/>
      <c r="B44" s="63">
        <v>16</v>
      </c>
      <c r="C44" s="1920" t="s">
        <v>668</v>
      </c>
      <c r="D44" s="1921"/>
      <c r="E44" s="1921"/>
      <c r="F44" s="1921"/>
      <c r="G44" s="1922"/>
      <c r="H44" s="1221"/>
      <c r="I44" s="74"/>
      <c r="J44" s="1221"/>
      <c r="K44" s="74"/>
      <c r="L44" s="1221"/>
      <c r="M44" s="74"/>
      <c r="N44" s="1221"/>
      <c r="O44" s="74"/>
    </row>
    <row r="45" spans="1:15" ht="48" customHeight="1">
      <c r="A45" s="61"/>
      <c r="B45" s="63">
        <v>17</v>
      </c>
      <c r="C45" s="1920" t="s">
        <v>669</v>
      </c>
      <c r="D45" s="1921"/>
      <c r="E45" s="1921"/>
      <c r="F45" s="1921"/>
      <c r="G45" s="1922"/>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920" t="s">
        <v>1190</v>
      </c>
      <c r="D46" s="1921"/>
      <c r="E46" s="1921"/>
      <c r="F46" s="1921"/>
      <c r="G46" s="1922"/>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920" t="s">
        <v>670</v>
      </c>
      <c r="D47" s="1921"/>
      <c r="E47" s="1921"/>
      <c r="F47" s="1921"/>
      <c r="G47" s="1922"/>
      <c r="H47" s="1221"/>
      <c r="I47" s="74"/>
      <c r="J47" s="1221"/>
      <c r="K47" s="74"/>
      <c r="L47" s="1221"/>
      <c r="M47" s="74"/>
      <c r="N47" s="1221"/>
      <c r="O47" s="74"/>
    </row>
    <row r="48" spans="1:15" ht="48" customHeight="1" thickBot="1">
      <c r="A48" s="61"/>
      <c r="B48" s="63">
        <v>20</v>
      </c>
      <c r="C48" s="1920" t="s">
        <v>671</v>
      </c>
      <c r="D48" s="1921"/>
      <c r="E48" s="1921"/>
      <c r="F48" s="1921"/>
      <c r="G48" s="1922"/>
      <c r="H48" s="68"/>
      <c r="I48" s="69"/>
      <c r="J48" s="68"/>
      <c r="K48" s="70"/>
      <c r="L48" s="68"/>
      <c r="M48" s="69"/>
      <c r="N48" s="68"/>
      <c r="O48" s="70"/>
    </row>
    <row r="49" spans="2:39" ht="32.15" customHeight="1" thickBot="1">
      <c r="B49" s="1923" t="s">
        <v>37</v>
      </c>
      <c r="C49" s="1924"/>
      <c r="D49" s="1924"/>
      <c r="E49" s="1924"/>
      <c r="F49" s="1924"/>
      <c r="G49" s="1925"/>
      <c r="H49" s="71"/>
      <c r="I49" s="53"/>
      <c r="L49" s="71"/>
      <c r="M49" s="53"/>
    </row>
    <row r="50" spans="2:39" ht="37.5" customHeight="1">
      <c r="B50" s="72" t="s">
        <v>27</v>
      </c>
      <c r="C50" s="1917" t="s">
        <v>672</v>
      </c>
      <c r="D50" s="1918"/>
      <c r="E50" s="1918"/>
      <c r="F50" s="1918"/>
      <c r="G50" s="1919"/>
      <c r="H50" s="1228"/>
      <c r="I50" s="1229"/>
      <c r="J50" s="1818"/>
      <c r="K50" s="1819"/>
      <c r="L50" s="1228"/>
      <c r="M50" s="1229"/>
      <c r="N50" s="1818"/>
      <c r="O50" s="1819"/>
    </row>
    <row r="51" spans="2:39" ht="37.5" customHeight="1">
      <c r="B51" s="73" t="s">
        <v>28</v>
      </c>
      <c r="C51" s="1914" t="s">
        <v>673</v>
      </c>
      <c r="D51" s="1915"/>
      <c r="E51" s="1915"/>
      <c r="F51" s="1915"/>
      <c r="G51" s="1916"/>
      <c r="H51" s="1221"/>
      <c r="I51" s="74"/>
      <c r="J51" s="1222"/>
      <c r="K51" s="1223"/>
      <c r="L51" s="1221"/>
      <c r="M51" s="74"/>
      <c r="N51" s="1222"/>
      <c r="O51" s="1223"/>
    </row>
    <row r="52" spans="2:39" ht="37.5" customHeight="1">
      <c r="B52" s="73" t="s">
        <v>29</v>
      </c>
      <c r="C52" s="1914" t="s">
        <v>674</v>
      </c>
      <c r="D52" s="1915"/>
      <c r="E52" s="1915"/>
      <c r="F52" s="1915"/>
      <c r="G52" s="1916"/>
      <c r="H52" s="66"/>
      <c r="I52" s="67"/>
      <c r="J52" s="66"/>
      <c r="K52" s="67"/>
      <c r="L52" s="66"/>
      <c r="M52" s="67"/>
      <c r="N52" s="66"/>
      <c r="O52" s="67"/>
    </row>
    <row r="53" spans="2:39" ht="37.5" customHeight="1">
      <c r="B53" s="73" t="s">
        <v>30</v>
      </c>
      <c r="C53" s="1914" t="s">
        <v>675</v>
      </c>
      <c r="D53" s="1915"/>
      <c r="E53" s="1915"/>
      <c r="F53" s="1915"/>
      <c r="G53" s="1916"/>
      <c r="H53" s="66"/>
      <c r="I53" s="67"/>
      <c r="J53" s="66"/>
      <c r="K53" s="67"/>
      <c r="L53" s="66"/>
      <c r="M53" s="67"/>
      <c r="N53" s="66"/>
      <c r="O53" s="67"/>
    </row>
    <row r="54" spans="2:39" ht="37.5" customHeight="1">
      <c r="B54" s="73" t="s">
        <v>31</v>
      </c>
      <c r="C54" s="1914" t="s">
        <v>676</v>
      </c>
      <c r="D54" s="1915"/>
      <c r="E54" s="1915"/>
      <c r="F54" s="1915"/>
      <c r="G54" s="1916"/>
      <c r="H54" s="66"/>
      <c r="I54" s="67"/>
      <c r="J54" s="66"/>
      <c r="K54" s="67"/>
      <c r="L54" s="66"/>
      <c r="M54" s="67"/>
      <c r="N54" s="66"/>
      <c r="O54" s="67"/>
    </row>
    <row r="55" spans="2:39" ht="37.5" customHeight="1">
      <c r="B55" s="73" t="s">
        <v>32</v>
      </c>
      <c r="C55" s="1914" t="s">
        <v>677</v>
      </c>
      <c r="D55" s="1915"/>
      <c r="E55" s="1915"/>
      <c r="F55" s="1915"/>
      <c r="G55" s="1916"/>
      <c r="H55" s="66"/>
      <c r="I55" s="67"/>
      <c r="J55" s="66"/>
      <c r="K55" s="67"/>
      <c r="L55" s="66"/>
      <c r="M55" s="67"/>
      <c r="N55" s="66"/>
      <c r="O55" s="67"/>
    </row>
    <row r="56" spans="2:39" ht="37.5" customHeight="1">
      <c r="B56" s="73" t="s">
        <v>33</v>
      </c>
      <c r="C56" s="1914" t="s">
        <v>678</v>
      </c>
      <c r="D56" s="1915"/>
      <c r="E56" s="1915"/>
      <c r="F56" s="1915"/>
      <c r="G56" s="1916"/>
      <c r="H56" s="66"/>
      <c r="I56" s="67"/>
      <c r="J56" s="66"/>
      <c r="K56" s="67"/>
      <c r="L56" s="66"/>
      <c r="M56" s="67"/>
      <c r="N56" s="66"/>
      <c r="O56" s="67"/>
    </row>
    <row r="57" spans="2:39" ht="37.5" customHeight="1" thickBot="1">
      <c r="B57" s="75" t="s">
        <v>34</v>
      </c>
      <c r="C57" s="1911" t="s">
        <v>679</v>
      </c>
      <c r="D57" s="1912"/>
      <c r="E57" s="1912"/>
      <c r="F57" s="1912"/>
      <c r="G57" s="1913"/>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26:G26"/>
    <mergeCell ref="E3:G6"/>
    <mergeCell ref="B12:G12"/>
    <mergeCell ref="B14:G14"/>
    <mergeCell ref="B18:G18"/>
    <mergeCell ref="C19:G19"/>
    <mergeCell ref="C20:G20"/>
    <mergeCell ref="C21:G21"/>
    <mergeCell ref="C22:G22"/>
    <mergeCell ref="C23:G23"/>
    <mergeCell ref="C24:G24"/>
    <mergeCell ref="C25:G25"/>
    <mergeCell ref="C38:G38"/>
    <mergeCell ref="C27:G27"/>
    <mergeCell ref="B28:G28"/>
    <mergeCell ref="C29:G29"/>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B49:G49"/>
    <mergeCell ref="C57:G57"/>
    <mergeCell ref="C51:G51"/>
    <mergeCell ref="C52:G52"/>
    <mergeCell ref="C53:G53"/>
    <mergeCell ref="C54:G54"/>
    <mergeCell ref="C55:G55"/>
    <mergeCell ref="C56:G56"/>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85" zoomScaleNormal="100" zoomScaleSheetLayoutView="85" workbookViewId="0"/>
  </sheetViews>
  <sheetFormatPr defaultColWidth="11.453125" defaultRowHeight="13"/>
  <cols>
    <col min="1" max="1" width="9.1796875" style="707" customWidth="1"/>
    <col min="2" max="2" width="11.26953125" style="607" customWidth="1"/>
    <col min="3" max="3" width="47.453125" style="607" customWidth="1"/>
    <col min="4" max="4" width="19.26953125" style="707" customWidth="1"/>
    <col min="5" max="7" width="24.81640625" style="708" customWidth="1"/>
    <col min="8" max="8" width="17.26953125" style="708" bestFit="1" customWidth="1"/>
    <col min="9" max="9" width="30" style="707" customWidth="1"/>
    <col min="10" max="10" width="2.7265625" style="707" customWidth="1"/>
    <col min="11" max="16384" width="11.453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46203</v>
      </c>
    </row>
    <row r="3" spans="2:10" s="664" customFormat="1" ht="16.5" customHeight="1">
      <c r="B3" s="704"/>
      <c r="C3" s="704"/>
      <c r="D3" s="705"/>
      <c r="E3" s="706"/>
      <c r="F3" s="706"/>
      <c r="H3" s="537" t="s">
        <v>233</v>
      </c>
      <c r="I3" s="621">
        <f>'Cover Page'!$C$17</f>
        <v>46218</v>
      </c>
    </row>
    <row r="4" spans="2:10" s="664" customFormat="1" ht="16.5" customHeight="1">
      <c r="B4" s="704"/>
      <c r="C4" s="667"/>
      <c r="D4" s="705"/>
      <c r="E4" s="706"/>
      <c r="F4" s="706"/>
      <c r="G4" s="668"/>
      <c r="H4" s="537" t="s">
        <v>234</v>
      </c>
      <c r="I4" s="621">
        <f>'Cover Page'!$C$18</f>
        <v>46223</v>
      </c>
    </row>
    <row r="5" spans="2:10" ht="16.5" customHeight="1">
      <c r="G5" s="668"/>
      <c r="H5" s="537" t="s">
        <v>235</v>
      </c>
      <c r="I5" s="621">
        <f>'Cover Page'!$C$19</f>
        <v>46230</v>
      </c>
    </row>
    <row r="6" spans="2:10" ht="16.5" customHeight="1" thickBot="1">
      <c r="B6" s="709" t="s">
        <v>302</v>
      </c>
      <c r="C6" s="710"/>
      <c r="H6" s="537" t="s">
        <v>236</v>
      </c>
      <c r="I6" s="624">
        <f>'00 - Cover'!$F$29</f>
        <v>21</v>
      </c>
    </row>
    <row r="7" spans="2:10" s="716" customFormat="1" ht="20.149999999999999" customHeight="1" thickTop="1">
      <c r="B7" s="711"/>
      <c r="C7" s="712"/>
      <c r="D7" s="713"/>
      <c r="E7" s="714"/>
      <c r="F7" s="714"/>
      <c r="G7" s="714"/>
      <c r="H7" s="714"/>
      <c r="I7" s="714"/>
      <c r="J7" s="715"/>
    </row>
    <row r="8" spans="2:10" ht="20.149999999999999" customHeight="1">
      <c r="B8" s="1159" t="s">
        <v>303</v>
      </c>
      <c r="C8" s="1160"/>
      <c r="D8" s="1372">
        <f>I4</f>
        <v>46223</v>
      </c>
      <c r="E8" s="699"/>
      <c r="F8" s="699"/>
      <c r="G8" s="699"/>
      <c r="H8" s="699"/>
      <c r="I8" s="699"/>
      <c r="J8" s="717"/>
    </row>
    <row r="9" spans="2:10" ht="20.149999999999999" customHeight="1">
      <c r="B9" s="1159" t="s">
        <v>304</v>
      </c>
      <c r="C9" s="1160"/>
      <c r="D9" s="1373">
        <f>I4</f>
        <v>46223</v>
      </c>
      <c r="E9" s="699"/>
      <c r="F9" s="699"/>
      <c r="G9" s="699"/>
      <c r="H9" s="699"/>
      <c r="I9" s="699"/>
      <c r="J9" s="717"/>
    </row>
    <row r="10" spans="2:10" ht="20.149999999999999" customHeight="1">
      <c r="B10" s="1159" t="s">
        <v>305</v>
      </c>
      <c r="C10" s="1160"/>
      <c r="D10" s="1373">
        <f>'12 - Notes Interest'!F17</f>
        <v>46202</v>
      </c>
      <c r="E10" s="1373">
        <f>'12 - Notes Interest'!G17</f>
        <v>46230</v>
      </c>
      <c r="F10" s="1373"/>
      <c r="G10" s="699"/>
      <c r="H10" s="699"/>
      <c r="I10" s="699"/>
      <c r="J10" s="717"/>
    </row>
    <row r="11" spans="2:10" ht="20.149999999999999" customHeight="1">
      <c r="B11" s="1159" t="s">
        <v>306</v>
      </c>
      <c r="C11" s="1160"/>
      <c r="D11" s="1374">
        <f>'12 - Notes Interest'!H17</f>
        <v>28</v>
      </c>
      <c r="E11" s="699"/>
      <c r="F11" s="699"/>
      <c r="G11" s="718"/>
      <c r="H11" s="699"/>
      <c r="I11" s="699"/>
      <c r="J11" s="717"/>
    </row>
    <row r="12" spans="2:10" ht="20.149999999999999" customHeight="1">
      <c r="B12" s="1159" t="s">
        <v>307</v>
      </c>
      <c r="C12" s="1160"/>
      <c r="D12" s="719" t="s">
        <v>308</v>
      </c>
      <c r="E12" s="699"/>
      <c r="F12" s="699"/>
      <c r="G12" s="699"/>
      <c r="H12" s="699"/>
      <c r="I12" s="699"/>
      <c r="J12" s="717"/>
    </row>
    <row r="13" spans="2:10" ht="20.149999999999999" customHeight="1">
      <c r="B13" s="1159" t="s">
        <v>309</v>
      </c>
      <c r="C13" s="1161"/>
      <c r="D13" s="699" t="s">
        <v>301</v>
      </c>
      <c r="E13" s="699"/>
      <c r="F13" s="699"/>
      <c r="G13" s="699"/>
      <c r="H13" s="699"/>
      <c r="I13" s="699"/>
      <c r="J13" s="717"/>
    </row>
    <row r="14" spans="2:10" s="716" customFormat="1" ht="20.149999999999999" customHeight="1">
      <c r="B14" s="720"/>
      <c r="C14" s="721"/>
      <c r="D14" s="722"/>
      <c r="E14" s="723"/>
      <c r="F14" s="1832"/>
      <c r="G14" s="723"/>
      <c r="H14" s="723"/>
      <c r="I14" s="723"/>
      <c r="J14" s="724"/>
    </row>
    <row r="15" spans="2:10" s="716" customFormat="1" ht="20.149999999999999"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10" customHeight="1">
      <c r="B17" s="694"/>
      <c r="D17" s="719"/>
      <c r="E17" s="699"/>
      <c r="F17" s="699"/>
      <c r="G17" s="699"/>
      <c r="H17" s="699"/>
      <c r="I17" s="699"/>
      <c r="J17" s="717"/>
    </row>
    <row r="18" spans="2:10" s="716" customFormat="1" ht="20.149999999999999" customHeight="1">
      <c r="B18" s="694" t="s">
        <v>311</v>
      </c>
      <c r="D18" s="719"/>
      <c r="E18" s="736">
        <f>+'12 - Notes Interest'!K17</f>
        <v>3002787.16</v>
      </c>
      <c r="F18" s="736">
        <f>+'12 - Notes Interest'!T17</f>
        <v>1730989.4</v>
      </c>
      <c r="G18" s="736">
        <f>'15 - Priority of Payments'!I32</f>
        <v>622908</v>
      </c>
      <c r="H18" s="728"/>
      <c r="I18" s="729"/>
      <c r="J18" s="717"/>
    </row>
    <row r="19" spans="2:10" s="716" customFormat="1" ht="20.149999999999999" customHeight="1">
      <c r="B19" s="694" t="s">
        <v>312</v>
      </c>
      <c r="D19" s="719"/>
      <c r="E19" s="736">
        <f>MIN('15 - Priority of Payments'!J29,E18)</f>
        <v>3002787.16</v>
      </c>
      <c r="F19" s="736">
        <f>MIN('15 - Priority of Payments'!J29,F18)</f>
        <v>1730989.4</v>
      </c>
      <c r="G19" s="736">
        <f>'15 - Priority of Payments'!J32</f>
        <v>622908</v>
      </c>
      <c r="H19" s="728"/>
      <c r="I19" s="729"/>
      <c r="J19" s="717"/>
    </row>
    <row r="20" spans="2:10" s="716" customFormat="1" ht="20.149999999999999" customHeight="1">
      <c r="B20" s="1158" t="s">
        <v>313</v>
      </c>
      <c r="C20" s="730"/>
      <c r="E20" s="736"/>
      <c r="F20" s="736"/>
      <c r="G20" s="736"/>
      <c r="H20" s="731"/>
      <c r="I20" s="732"/>
      <c r="J20" s="717"/>
    </row>
    <row r="21" spans="2:10" s="716" customFormat="1" ht="20.149999999999999" customHeight="1">
      <c r="B21" s="694" t="s">
        <v>314</v>
      </c>
      <c r="C21" s="726"/>
      <c r="E21" s="736">
        <v>0</v>
      </c>
      <c r="F21" s="736">
        <v>0</v>
      </c>
      <c r="G21" s="736">
        <v>0</v>
      </c>
      <c r="H21" s="733"/>
      <c r="I21" s="729"/>
      <c r="J21" s="717"/>
    </row>
    <row r="22" spans="2:10" s="716" customFormat="1" ht="20.149999999999999" customHeight="1">
      <c r="B22" s="694" t="s">
        <v>1085</v>
      </c>
      <c r="C22" s="726"/>
      <c r="E22" s="736">
        <f>MAX(E18-E19,0)</f>
        <v>0</v>
      </c>
      <c r="F22" s="736">
        <f>MAX(F18-F19,0)</f>
        <v>0</v>
      </c>
      <c r="G22" s="736">
        <f>MAX(G18-G19,0)</f>
        <v>0</v>
      </c>
      <c r="H22" s="733"/>
      <c r="I22" s="729"/>
      <c r="J22" s="717"/>
    </row>
    <row r="23" spans="2:10" s="716" customFormat="1" ht="20.149999999999999" customHeight="1">
      <c r="B23" s="694" t="s">
        <v>1084</v>
      </c>
      <c r="C23" s="726"/>
      <c r="E23" s="736">
        <f>MAX(E19-E18,0)</f>
        <v>0</v>
      </c>
      <c r="F23" s="736">
        <f>MAX(F19-F18,0)</f>
        <v>0</v>
      </c>
      <c r="G23" s="736">
        <f>MAX(G19-G18,0)</f>
        <v>0</v>
      </c>
      <c r="H23" s="733"/>
      <c r="I23" s="729"/>
      <c r="J23" s="717"/>
    </row>
    <row r="24" spans="2:10" s="716" customFormat="1" ht="20.149999999999999" customHeight="1">
      <c r="B24" s="694" t="s">
        <v>315</v>
      </c>
      <c r="C24" s="726"/>
      <c r="E24" s="736">
        <f>E21+E22-E23</f>
        <v>0</v>
      </c>
      <c r="F24" s="736">
        <f>F21+F22-F23</f>
        <v>0</v>
      </c>
      <c r="G24" s="736">
        <f>G21+G22-G23</f>
        <v>0</v>
      </c>
      <c r="H24" s="728"/>
      <c r="I24" s="729"/>
      <c r="J24" s="717"/>
    </row>
    <row r="25" spans="2:10" s="716" customFormat="1" ht="20.149999999999999" customHeight="1">
      <c r="B25" s="720"/>
      <c r="C25" s="721"/>
      <c r="D25" s="722"/>
      <c r="E25" s="723"/>
      <c r="F25" s="1832"/>
      <c r="G25" s="723"/>
      <c r="H25" s="723"/>
      <c r="I25" s="723"/>
      <c r="J25" s="724"/>
    </row>
    <row r="26" spans="2:10" s="716" customFormat="1" ht="20.149999999999999" customHeight="1">
      <c r="B26" s="725"/>
      <c r="D26" s="719"/>
      <c r="E26" s="699"/>
      <c r="F26" s="699"/>
      <c r="G26" s="699"/>
      <c r="H26" s="699"/>
      <c r="I26" s="699"/>
      <c r="J26" s="717"/>
    </row>
    <row r="27" spans="2:10" s="716" customFormat="1" ht="20.149999999999999" customHeight="1">
      <c r="B27" s="1158" t="s">
        <v>316</v>
      </c>
      <c r="C27" s="730"/>
      <c r="E27" s="674" t="s">
        <v>118</v>
      </c>
      <c r="F27" s="1830" t="s">
        <v>2053</v>
      </c>
      <c r="G27" s="674" t="s">
        <v>119</v>
      </c>
      <c r="H27" s="674"/>
      <c r="I27" s="727" t="s">
        <v>317</v>
      </c>
      <c r="J27" s="717"/>
    </row>
    <row r="28" spans="2:10" s="716" customFormat="1" ht="10"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6524587774.7200003</v>
      </c>
      <c r="F30" s="738">
        <f>+'11 - Notes Follow-up'!L25</f>
        <v>3760411296.2000003</v>
      </c>
      <c r="G30" s="738">
        <f>'11 - Notes Follow-up'!T25</f>
        <v>541315764.00000012</v>
      </c>
      <c r="H30" s="738"/>
      <c r="I30" s="737">
        <f>E30+F30+G30</f>
        <v>10826314834.92</v>
      </c>
      <c r="J30" s="717"/>
    </row>
    <row r="31" spans="2:10" s="716" customFormat="1" ht="21" customHeight="1">
      <c r="B31" s="694" t="s">
        <v>320</v>
      </c>
      <c r="C31" s="726"/>
      <c r="D31" s="735"/>
      <c r="E31" s="738">
        <f>'11 - Notes Follow-up'!J26</f>
        <v>83936.960000000006</v>
      </c>
      <c r="F31" s="738">
        <f>+'11 - Notes Follow-up'!R26</f>
        <v>93217.930000000008</v>
      </c>
      <c r="G31" s="738">
        <f>'11 - Notes Follow-up'!Y26</f>
        <v>93201.750000000015</v>
      </c>
      <c r="H31" s="738"/>
      <c r="I31" s="1350"/>
      <c r="J31" s="717"/>
    </row>
    <row r="32" spans="2:10" s="716" customFormat="1" ht="21" customHeight="1">
      <c r="B32" s="694" t="s">
        <v>1083</v>
      </c>
      <c r="C32" s="726"/>
      <c r="D32" s="735"/>
      <c r="E32" s="737">
        <f>'11 - Notes Follow-up'!F25</f>
        <v>57195205.599999994</v>
      </c>
      <c r="F32" s="737">
        <f>+'11 - Notes Follow-up'!N25</f>
        <v>32964234.399999999</v>
      </c>
      <c r="G32" s="737">
        <f>'11 - Notes Follow-up'!V25</f>
        <v>4745252.16</v>
      </c>
      <c r="H32" s="737"/>
      <c r="I32" s="737">
        <f>E32+F32+G32</f>
        <v>94904692.159999996</v>
      </c>
      <c r="J32" s="717"/>
    </row>
    <row r="33" spans="2:10" s="716" customFormat="1" ht="21" customHeight="1">
      <c r="B33" s="694" t="s">
        <v>321</v>
      </c>
      <c r="C33" s="726"/>
      <c r="D33" s="735"/>
      <c r="E33" s="737">
        <f>'11 - Notes Follow-up'!G25</f>
        <v>6467392569.1199999</v>
      </c>
      <c r="F33" s="737">
        <f>+'11 - Notes Follow-up'!O25</f>
        <v>3727447061.8000002</v>
      </c>
      <c r="G33" s="737">
        <f>'11 - Notes Follow-up'!W25</f>
        <v>536570511.84000009</v>
      </c>
      <c r="H33" s="737"/>
      <c r="I33" s="737">
        <f>E33+F33+G33</f>
        <v>10731410142.76</v>
      </c>
      <c r="J33" s="717"/>
    </row>
    <row r="34" spans="2:10" s="716" customFormat="1" ht="21" customHeight="1">
      <c r="B34" s="694" t="s">
        <v>322</v>
      </c>
      <c r="C34" s="726"/>
      <c r="D34" s="735"/>
      <c r="E34" s="737">
        <f>'11 - Notes Follow-up'!J25</f>
        <v>83201.16</v>
      </c>
      <c r="F34" s="737">
        <f>+'11 - Notes Follow-up'!R25</f>
        <v>92400.77</v>
      </c>
      <c r="G34" s="737">
        <f>'11 - Notes Follow-up'!Y25</f>
        <v>92384.73000000001</v>
      </c>
      <c r="H34" s="737"/>
      <c r="I34" s="1350"/>
      <c r="J34" s="717"/>
    </row>
    <row r="35" spans="2:10" s="716" customFormat="1" ht="20.149999999999999" customHeight="1">
      <c r="B35" s="739"/>
      <c r="C35" s="740"/>
      <c r="D35" s="721"/>
      <c r="E35" s="723"/>
      <c r="F35" s="1832"/>
      <c r="G35" s="723"/>
      <c r="H35" s="723"/>
      <c r="I35" s="723"/>
      <c r="J35" s="724"/>
    </row>
    <row r="36" spans="2:10" s="716" customFormat="1" ht="20.149999999999999" customHeight="1">
      <c r="B36" s="741"/>
      <c r="C36" s="742"/>
      <c r="E36" s="699"/>
      <c r="F36" s="699"/>
      <c r="G36" s="699"/>
      <c r="H36" s="699"/>
      <c r="I36" s="699"/>
      <c r="J36" s="717"/>
    </row>
    <row r="37" spans="2:10" s="716" customFormat="1" ht="20.149999999999999" customHeight="1">
      <c r="B37" s="1158" t="s">
        <v>323</v>
      </c>
      <c r="C37" s="743"/>
      <c r="D37" s="744"/>
      <c r="E37" s="674" t="s">
        <v>118</v>
      </c>
      <c r="F37" s="674" t="s">
        <v>2053</v>
      </c>
      <c r="G37" s="674" t="s">
        <v>119</v>
      </c>
      <c r="H37" s="674"/>
      <c r="I37" s="734"/>
      <c r="J37" s="717"/>
    </row>
    <row r="38" spans="2:10" s="716" customFormat="1" ht="10" customHeight="1">
      <c r="B38" s="642"/>
      <c r="C38" s="726"/>
      <c r="D38" s="744"/>
      <c r="E38" s="734"/>
      <c r="F38" s="734"/>
      <c r="G38" s="734"/>
      <c r="H38" s="734"/>
      <c r="I38" s="734"/>
      <c r="J38" s="717"/>
    </row>
    <row r="39" spans="2:10" s="716" customFormat="1" ht="20.149999999999999" customHeight="1">
      <c r="B39" s="694" t="s">
        <v>324</v>
      </c>
      <c r="C39" s="730"/>
      <c r="D39" s="744"/>
      <c r="E39" s="737">
        <f>E19/'11 - Notes Follow-up'!H26</f>
        <v>38.630000000000003</v>
      </c>
      <c r="F39" s="737">
        <f>F19/'11 - Notes Follow-up'!P25</f>
        <v>42.91</v>
      </c>
      <c r="G39" s="737">
        <f>G18/'11 - Notes Follow-up'!X26</f>
        <v>107.25</v>
      </c>
      <c r="H39" s="737"/>
      <c r="I39" s="745"/>
      <c r="J39" s="717"/>
    </row>
    <row r="40" spans="2:10" s="716" customFormat="1" ht="20.149999999999999" customHeight="1">
      <c r="B40" s="694" t="s">
        <v>325</v>
      </c>
      <c r="C40" s="726"/>
      <c r="E40" s="737">
        <f>'11bis - Notes Calculation'!AC17</f>
        <v>735.8</v>
      </c>
      <c r="F40" s="737">
        <f>'11bis - Notes Calculation'!AG17</f>
        <v>817.16</v>
      </c>
      <c r="G40" s="737">
        <f>'11bis - Notes Calculation'!AP17</f>
        <v>817.02</v>
      </c>
      <c r="H40" s="737"/>
      <c r="I40" s="745"/>
      <c r="J40" s="717"/>
    </row>
    <row r="41" spans="2:10" s="716" customFormat="1" ht="20.149999999999999" customHeight="1">
      <c r="B41" s="694" t="s">
        <v>326</v>
      </c>
      <c r="C41" s="726"/>
      <c r="E41" s="746">
        <f>E40/E31</f>
        <v>8.7661025607789454E-3</v>
      </c>
      <c r="F41" s="746">
        <f>F40/F31</f>
        <v>8.7661247144192097E-3</v>
      </c>
      <c r="G41" s="746">
        <f>G40/G31</f>
        <v>8.7661444125244417E-3</v>
      </c>
      <c r="H41" s="746"/>
      <c r="I41" s="747"/>
      <c r="J41" s="717"/>
    </row>
    <row r="42" spans="2:10" ht="20.149999999999999" customHeight="1" thickBot="1">
      <c r="B42" s="748"/>
      <c r="C42" s="749"/>
      <c r="D42" s="750"/>
      <c r="E42" s="751"/>
      <c r="F42" s="751"/>
      <c r="G42" s="751"/>
      <c r="H42" s="751"/>
      <c r="I42" s="751"/>
      <c r="J42" s="752"/>
    </row>
    <row r="43" spans="2:10" ht="20.149999999999999" customHeight="1" thickTop="1">
      <c r="E43" s="753"/>
      <c r="F43" s="753"/>
    </row>
    <row r="45" spans="2:10" ht="20.149999999999999" customHeight="1">
      <c r="C45" s="726"/>
    </row>
    <row r="51" spans="3:3" ht="20.149999999999999" customHeight="1">
      <c r="C51" s="726"/>
    </row>
    <row r="63" spans="3:3" ht="20.149999999999999" customHeight="1">
      <c r="C63" s="726"/>
    </row>
    <row r="69" spans="3:3" ht="20.149999999999999"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5" zoomScaleNormal="85" workbookViewId="0"/>
  </sheetViews>
  <sheetFormatPr defaultColWidth="11.453125" defaultRowHeight="12.5"/>
  <cols>
    <col min="1" max="1" width="2.7265625" style="592" customWidth="1"/>
    <col min="2" max="2" width="1.26953125" style="592" customWidth="1"/>
    <col min="3" max="3" width="23.453125" style="592" customWidth="1"/>
    <col min="4" max="4" width="2.1796875" style="592" customWidth="1"/>
    <col min="5" max="5" width="16.453125" style="592" customWidth="1"/>
    <col min="6" max="6" width="3" style="592" customWidth="1"/>
    <col min="7" max="7" width="25.26953125" style="592" customWidth="1"/>
    <col min="8" max="8" width="22" style="592" customWidth="1"/>
    <col min="9" max="9" width="19.54296875" style="592" customWidth="1"/>
    <col min="10" max="10" width="2.7265625" style="592" customWidth="1"/>
    <col min="11" max="11" width="20.81640625" style="592" customWidth="1"/>
    <col min="12" max="12" width="27.26953125" style="592" customWidth="1"/>
    <col min="13" max="13" width="24.54296875" style="592" customWidth="1"/>
    <col min="14" max="14" width="5.54296875" style="592" customWidth="1"/>
    <col min="15" max="15" width="23.453125" style="592" customWidth="1"/>
    <col min="16" max="16" width="2.1796875" style="592" customWidth="1"/>
    <col min="17" max="17" width="16.453125" style="592" customWidth="1"/>
    <col min="18" max="18" width="3" style="592" customWidth="1"/>
    <col min="19" max="19" width="25.26953125" style="592" customWidth="1"/>
    <col min="20" max="20" width="22" style="592" customWidth="1"/>
    <col min="21" max="21" width="19.54296875" style="592" customWidth="1"/>
    <col min="22" max="22" width="2.7265625" style="592" customWidth="1"/>
    <col min="23" max="23" width="20.81640625" style="592" customWidth="1"/>
    <col min="24" max="24" width="27.26953125" style="592" customWidth="1"/>
    <col min="25" max="25" width="24.54296875" style="592" customWidth="1"/>
    <col min="26" max="27" width="5.54296875" style="592" customWidth="1"/>
    <col min="28" max="28" width="22.7265625" style="592" customWidth="1"/>
    <col min="29" max="29" width="1.7265625" style="592" customWidth="1"/>
    <col min="30" max="30" width="24.54296875" style="592" customWidth="1"/>
    <col min="31" max="31" width="2.1796875" style="592" customWidth="1"/>
    <col min="32" max="33" width="24.54296875" style="592" customWidth="1"/>
    <col min="34" max="34" width="19.1796875" style="592" customWidth="1"/>
    <col min="35" max="35" width="2.26953125" style="592" customWidth="1"/>
    <col min="36" max="37" width="24.54296875" style="592" customWidth="1"/>
    <col min="38" max="38" width="23.7265625" style="592" customWidth="1"/>
    <col min="39" max="39" width="13" style="592" customWidth="1"/>
    <col min="40" max="40" width="13.7265625" style="592" customWidth="1"/>
    <col min="41" max="41" width="6.453125" style="592" customWidth="1"/>
    <col min="42" max="16384" width="11.453125" style="592"/>
  </cols>
  <sheetData>
    <row r="1" spans="1:40" ht="14.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46203</v>
      </c>
    </row>
    <row r="3" spans="1:40" ht="14">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46218</v>
      </c>
    </row>
    <row r="4" spans="1:40" ht="14">
      <c r="A4" s="596"/>
      <c r="B4" s="759"/>
      <c r="C4" s="2114"/>
      <c r="D4" s="2114"/>
      <c r="E4" s="2114"/>
      <c r="F4" s="2114"/>
      <c r="G4" s="596"/>
      <c r="H4" s="2090"/>
      <c r="I4" s="2090"/>
      <c r="J4" s="2090"/>
      <c r="K4" s="2090"/>
      <c r="L4" s="596"/>
      <c r="M4" s="540"/>
      <c r="N4" s="540"/>
      <c r="O4" s="2114"/>
      <c r="P4" s="2114"/>
      <c r="Q4" s="2114"/>
      <c r="R4" s="2114"/>
      <c r="S4" s="596"/>
      <c r="T4" s="2090"/>
      <c r="U4" s="2090"/>
      <c r="V4" s="2090"/>
      <c r="W4" s="2090"/>
      <c r="X4" s="596"/>
      <c r="Y4" s="540"/>
      <c r="Z4" s="540"/>
      <c r="AA4" s="540"/>
      <c r="AB4" s="540"/>
      <c r="AC4" s="540"/>
      <c r="AD4" s="540"/>
      <c r="AE4" s="540"/>
      <c r="AF4" s="540"/>
      <c r="AG4" s="540"/>
      <c r="AH4" s="540"/>
      <c r="AI4" s="540"/>
      <c r="AJ4" s="540"/>
      <c r="AK4" s="540"/>
      <c r="AL4" s="540"/>
      <c r="AM4" s="540" t="s">
        <v>234</v>
      </c>
      <c r="AN4" s="541">
        <f>'Cover Page'!$C$18</f>
        <v>46223</v>
      </c>
    </row>
    <row r="5" spans="1:40" ht="14">
      <c r="A5" s="596"/>
      <c r="B5" s="759"/>
      <c r="C5" s="2114"/>
      <c r="D5" s="2114"/>
      <c r="E5" s="2114"/>
      <c r="F5" s="2114"/>
      <c r="G5" s="596"/>
      <c r="H5" s="2090"/>
      <c r="I5" s="2090"/>
      <c r="J5" s="2090"/>
      <c r="K5" s="2090"/>
      <c r="L5" s="596"/>
      <c r="M5" s="540"/>
      <c r="N5" s="540"/>
      <c r="O5" s="2114"/>
      <c r="P5" s="2114"/>
      <c r="Q5" s="2114"/>
      <c r="R5" s="2114"/>
      <c r="S5" s="596"/>
      <c r="T5" s="2090"/>
      <c r="U5" s="2090"/>
      <c r="V5" s="2090"/>
      <c r="W5" s="2090"/>
      <c r="X5" s="596"/>
      <c r="Y5" s="540"/>
      <c r="Z5" s="540"/>
      <c r="AA5" s="540"/>
      <c r="AB5" s="540"/>
      <c r="AC5" s="540"/>
      <c r="AD5" s="540"/>
      <c r="AE5" s="540"/>
      <c r="AF5" s="540"/>
      <c r="AG5" s="540"/>
      <c r="AH5" s="540"/>
      <c r="AI5" s="540"/>
      <c r="AJ5" s="540"/>
      <c r="AK5" s="540"/>
      <c r="AL5" s="540"/>
      <c r="AM5" s="540" t="s">
        <v>235</v>
      </c>
      <c r="AN5" s="541">
        <f>'Cover Page'!$C$19</f>
        <v>46230</v>
      </c>
    </row>
    <row r="6" spans="1:40" ht="14">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21</v>
      </c>
    </row>
    <row r="7" spans="1:40" ht="14">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13" t="s">
        <v>329</v>
      </c>
      <c r="H9" s="2113"/>
      <c r="I9" s="2113"/>
      <c r="J9" s="769"/>
      <c r="K9" s="2113" t="s">
        <v>330</v>
      </c>
      <c r="L9" s="2113"/>
      <c r="M9" s="2113"/>
      <c r="N9" s="769"/>
      <c r="O9" s="629"/>
      <c r="P9" s="629"/>
      <c r="Q9" s="629"/>
      <c r="R9" s="629"/>
      <c r="S9" s="2113" t="s">
        <v>329</v>
      </c>
      <c r="T9" s="2113"/>
      <c r="U9" s="2113"/>
      <c r="V9" s="769"/>
      <c r="W9" s="2113" t="s">
        <v>330</v>
      </c>
      <c r="X9" s="2113"/>
      <c r="Y9" s="2113"/>
      <c r="Z9" s="769"/>
      <c r="AA9" s="770"/>
      <c r="AB9" s="629"/>
      <c r="AC9" s="771"/>
      <c r="AD9" s="629"/>
      <c r="AE9" s="771"/>
      <c r="AF9" s="2113" t="s">
        <v>329</v>
      </c>
      <c r="AG9" s="2113"/>
      <c r="AH9" s="2113"/>
      <c r="AI9" s="769"/>
      <c r="AJ9" s="2113" t="s">
        <v>330</v>
      </c>
      <c r="AK9" s="2113"/>
      <c r="AL9" s="2113"/>
      <c r="AM9" s="769"/>
      <c r="AN9" s="772"/>
    </row>
    <row r="10" spans="1:40" ht="26">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46230</v>
      </c>
      <c r="D11" s="775"/>
      <c r="E11" s="1527">
        <f>'12 - Notes Interest'!I17</f>
        <v>6.0000000000000001E-3</v>
      </c>
      <c r="F11" s="777"/>
      <c r="G11" s="1485">
        <f>'11 - Notes Follow-up'!G25</f>
        <v>6467392569.1199999</v>
      </c>
      <c r="H11" s="1485">
        <f>'11 - Notes Follow-up'!F25</f>
        <v>57195205.599999994</v>
      </c>
      <c r="I11" s="1485">
        <f>'12 - Notes Interest'!K17</f>
        <v>3002787.16</v>
      </c>
      <c r="J11" s="1485"/>
      <c r="K11" s="1485">
        <f>'11 - Notes Follow-up'!J25</f>
        <v>83201.16</v>
      </c>
      <c r="L11" s="1485">
        <f>'11bis - Notes Calculation'!AC17</f>
        <v>735.8</v>
      </c>
      <c r="M11" s="1485">
        <f>'12 - Notes Interest'!J17</f>
        <v>38.630000000000003</v>
      </c>
      <c r="N11" s="778"/>
      <c r="O11" s="775">
        <f>+C11</f>
        <v>46230</v>
      </c>
      <c r="P11" s="775"/>
      <c r="Q11" s="1527">
        <f t="shared" ref="Q11:Q13" si="0">+E11</f>
        <v>6.0000000000000001E-3</v>
      </c>
      <c r="R11" s="777"/>
      <c r="S11" s="1485">
        <f>+'Notes Information II'!F33</f>
        <v>3727447061.8000002</v>
      </c>
      <c r="T11" s="1485">
        <f>+'Notes Information II'!F32</f>
        <v>32964234.399999999</v>
      </c>
      <c r="U11" s="1485">
        <f>+'Notes Information II'!F18</f>
        <v>1730989.4</v>
      </c>
      <c r="V11" s="1485"/>
      <c r="W11" s="1485">
        <f>'11 - Notes Follow-up'!R25</f>
        <v>92400.77</v>
      </c>
      <c r="X11" s="1485">
        <f>+'Notes Information II'!F40</f>
        <v>817.16</v>
      </c>
      <c r="Y11" s="1485">
        <f>+'Notes Information II'!F39</f>
        <v>42.91</v>
      </c>
      <c r="Z11" s="778"/>
      <c r="AA11" s="779"/>
      <c r="AB11" s="775">
        <f>C11</f>
        <v>46230</v>
      </c>
      <c r="AC11" s="775"/>
      <c r="AD11" s="776">
        <f>'12 - Notes Interest'!AA17</f>
        <v>1.4999999999999999E-2</v>
      </c>
      <c r="AE11" s="777"/>
      <c r="AF11" s="1485">
        <f>'11 - Notes Follow-up'!W25</f>
        <v>536570511.84000009</v>
      </c>
      <c r="AG11" s="1485">
        <f>'11bis - Notes Calculation'!AQ17</f>
        <v>4745252.16</v>
      </c>
      <c r="AH11" s="1485">
        <f>'12 - Notes Interest'!AC17</f>
        <v>622908</v>
      </c>
      <c r="AI11" s="778"/>
      <c r="AJ11" s="1485">
        <f>'11 - Notes Follow-up'!Y25</f>
        <v>92384.73000000001</v>
      </c>
      <c r="AK11" s="1485">
        <f>'11bis - Notes Calculation'!AP17</f>
        <v>817.02</v>
      </c>
      <c r="AL11" s="1485">
        <f>'12 - Notes Interest'!AB17</f>
        <v>107.25</v>
      </c>
      <c r="AM11" s="778"/>
      <c r="AN11" s="772"/>
    </row>
    <row r="12" spans="1:40">
      <c r="A12" s="629"/>
      <c r="B12" s="767"/>
      <c r="C12" s="775">
        <f>'11 - Notes Follow-up'!B26</f>
        <v>46202</v>
      </c>
      <c r="D12" s="775"/>
      <c r="E12" s="776">
        <f>'12 - Notes Interest'!I18</f>
        <v>6.0000000000000001E-3</v>
      </c>
      <c r="F12" s="775"/>
      <c r="G12" s="1485">
        <f>'11 - Notes Follow-up'!G26</f>
        <v>6524587774.7200003</v>
      </c>
      <c r="H12" s="1485">
        <f>'11 - Notes Follow-up'!F26</f>
        <v>50821181.599999994</v>
      </c>
      <c r="I12" s="1485">
        <f>'12 - Notes Interest'!K18</f>
        <v>3567121.48</v>
      </c>
      <c r="J12" s="1485"/>
      <c r="K12" s="1485">
        <f>'11 - Notes Follow-up'!J26</f>
        <v>83936.960000000006</v>
      </c>
      <c r="L12" s="1485">
        <f>'11 - Notes Follow-up'!I26</f>
        <v>653.79999999999995</v>
      </c>
      <c r="M12" s="1485">
        <f>'12 - Notes Interest'!J18</f>
        <v>45.89</v>
      </c>
      <c r="N12" s="778"/>
      <c r="O12" s="775">
        <f>'11 - Notes Follow-up'!B26</f>
        <v>46202</v>
      </c>
      <c r="P12" s="775"/>
      <c r="Q12" s="1527">
        <f t="shared" si="0"/>
        <v>6.0000000000000001E-3</v>
      </c>
      <c r="R12" s="775"/>
      <c r="S12" s="1485">
        <f>'11 - Notes Follow-up'!O26</f>
        <v>3760411296.2000003</v>
      </c>
      <c r="T12" s="1485">
        <f>'11 - Notes Follow-up'!N26</f>
        <v>29290470.600000001</v>
      </c>
      <c r="U12" s="1485">
        <f>'12 - Notes Interest'!T18</f>
        <v>2055726.4000000001</v>
      </c>
      <c r="V12" s="1485"/>
      <c r="W12" s="1485">
        <f>'11 - Notes Follow-up'!R26</f>
        <v>93217.930000000008</v>
      </c>
      <c r="X12" s="1485">
        <f>'11 - Notes Follow-up'!Q26</f>
        <v>726.09</v>
      </c>
      <c r="Y12" s="1485">
        <f>'12 - Notes Interest'!S18</f>
        <v>50.96</v>
      </c>
      <c r="Z12" s="778"/>
      <c r="AA12" s="779"/>
      <c r="AB12" s="775">
        <f t="shared" ref="AB12:AB35" si="1">C12</f>
        <v>46202</v>
      </c>
      <c r="AC12" s="778"/>
      <c r="AD12" s="586">
        <f>'12 - Notes Interest'!AA18</f>
        <v>1.4999999999999999E-2</v>
      </c>
      <c r="AE12" s="778"/>
      <c r="AF12" s="1485">
        <f>'11 - Notes Follow-up'!W26</f>
        <v>541315764.00000012</v>
      </c>
      <c r="AG12" s="1485">
        <f>'11 - Notes Follow-up'!V26</f>
        <v>4216375.6800000006</v>
      </c>
      <c r="AH12" s="1485">
        <f>'12 - Notes Interest'!AC18</f>
        <v>739823.03999999992</v>
      </c>
      <c r="AI12" s="778"/>
      <c r="AJ12" s="1485">
        <f>'11 - Notes Follow-up'!Y26</f>
        <v>93201.750000000015</v>
      </c>
      <c r="AK12" s="1485">
        <f>'11bis - Notes Calculation'!AP18</f>
        <v>725.96</v>
      </c>
      <c r="AL12" s="1485">
        <f>'12 - Notes Interest'!AB18</f>
        <v>127.38</v>
      </c>
      <c r="AM12" s="778"/>
      <c r="AN12" s="772"/>
    </row>
    <row r="13" spans="1:40">
      <c r="A13" s="629"/>
      <c r="B13" s="767"/>
      <c r="C13" s="775">
        <f>'11 - Notes Follow-up'!B27</f>
        <v>46169</v>
      </c>
      <c r="D13" s="775"/>
      <c r="E13" s="776">
        <f>'12 - Notes Interest'!I19</f>
        <v>6.0000000000000001E-3</v>
      </c>
      <c r="F13" s="775"/>
      <c r="G13" s="1485">
        <f>'11 - Notes Follow-up'!G27</f>
        <v>6575408956.3200006</v>
      </c>
      <c r="H13" s="1485">
        <f>'11 - Notes Follow-up'!F27</f>
        <v>55921178.119999997</v>
      </c>
      <c r="I13" s="1485">
        <f>'12 - Notes Interest'!K19</f>
        <v>3270185.24</v>
      </c>
      <c r="J13" s="1485"/>
      <c r="K13" s="1485">
        <f>'11 - Notes Follow-up'!J27</f>
        <v>84590.760000000009</v>
      </c>
      <c r="L13" s="1485">
        <f>'11 - Notes Follow-up'!I27</f>
        <v>719.41</v>
      </c>
      <c r="M13" s="1485">
        <f>'12 - Notes Interest'!J19</f>
        <v>42.07</v>
      </c>
      <c r="N13" s="778"/>
      <c r="O13" s="775">
        <f>'11 - Notes Follow-up'!B27</f>
        <v>46169</v>
      </c>
      <c r="P13" s="775"/>
      <c r="Q13" s="1527">
        <f t="shared" si="0"/>
        <v>6.0000000000000001E-3</v>
      </c>
      <c r="R13" s="775"/>
      <c r="S13" s="1485">
        <f>'11 - Notes Follow-up'!O27</f>
        <v>3789701766.8000002</v>
      </c>
      <c r="T13" s="1485">
        <f>'11 - Notes Follow-up'!N27</f>
        <v>32230046.400000002</v>
      </c>
      <c r="U13" s="1485">
        <f>'12 - Notes Interest'!T19</f>
        <v>1884684.8</v>
      </c>
      <c r="V13" s="1485"/>
      <c r="W13" s="1485">
        <f>'11 - Notes Follow-up'!R27</f>
        <v>93944.02</v>
      </c>
      <c r="X13" s="1485">
        <f>'11 - Notes Follow-up'!Q27</f>
        <v>798.96</v>
      </c>
      <c r="Y13" s="1485">
        <f>'12 - Notes Interest'!S19</f>
        <v>46.72</v>
      </c>
      <c r="Z13" s="778"/>
      <c r="AA13" s="779"/>
      <c r="AB13" s="775">
        <f t="shared" si="1"/>
        <v>46169</v>
      </c>
      <c r="AC13" s="778"/>
      <c r="AD13" s="586">
        <f>'12 - Notes Interest'!AA19</f>
        <v>1.4999999999999999E-2</v>
      </c>
      <c r="AE13" s="778"/>
      <c r="AF13" s="1485">
        <f>'11 - Notes Follow-up'!W27</f>
        <v>545532139.68000007</v>
      </c>
      <c r="AG13" s="1485">
        <f>'11 - Notes Follow-up'!V27</f>
        <v>4639546.5600000005</v>
      </c>
      <c r="AH13" s="1485">
        <f>'12 - Notes Interest'!AC19</f>
        <v>678316.32000000007</v>
      </c>
      <c r="AI13" s="778"/>
      <c r="AJ13" s="1485">
        <f>'11 - Notes Follow-up'!Y27</f>
        <v>93927.71</v>
      </c>
      <c r="AK13" s="1485">
        <f>'11bis - Notes Calculation'!AP19</f>
        <v>798.82</v>
      </c>
      <c r="AL13" s="1485">
        <f>'12 - Notes Interest'!AB19</f>
        <v>116.79</v>
      </c>
      <c r="AM13" s="778"/>
      <c r="AN13" s="772"/>
    </row>
    <row r="14" spans="1:40">
      <c r="A14" s="629"/>
      <c r="B14" s="767"/>
      <c r="C14" s="775">
        <f>'11 - Notes Follow-up'!B28</f>
        <v>46139</v>
      </c>
      <c r="D14" s="775"/>
      <c r="E14" s="776">
        <f>'12 - Notes Interest'!I20</f>
        <v>6.0000000000000001E-3</v>
      </c>
      <c r="F14" s="775"/>
      <c r="G14" s="1485">
        <f>'11 - Notes Follow-up'!G28</f>
        <v>6631330134.4400005</v>
      </c>
      <c r="H14" s="1485">
        <f>'11 - Notes Follow-up'!F28</f>
        <v>73034655.24000001</v>
      </c>
      <c r="I14" s="1485">
        <f>'12 - Notes Interest'!K20</f>
        <v>3416321.4000000004</v>
      </c>
      <c r="J14" s="1485"/>
      <c r="K14" s="1485">
        <f>'11 - Notes Follow-up'!J28</f>
        <v>85310.170000000013</v>
      </c>
      <c r="L14" s="1485">
        <f>'11 - Notes Follow-up'!I28</f>
        <v>939.57000000000016</v>
      </c>
      <c r="M14" s="1485">
        <f>'12 - Notes Interest'!J20</f>
        <v>43.95</v>
      </c>
      <c r="N14" s="778"/>
      <c r="O14" s="775">
        <f>'11 - Notes Follow-up'!B28</f>
        <v>46139</v>
      </c>
      <c r="P14" s="775"/>
      <c r="Q14" s="1527">
        <f t="shared" ref="Q14" si="2">+E14</f>
        <v>6.0000000000000001E-3</v>
      </c>
      <c r="R14" s="775"/>
      <c r="S14" s="1485">
        <f>'11 - Notes Follow-up'!O28</f>
        <v>3821931813.2000003</v>
      </c>
      <c r="T14" s="1485">
        <f>'11 - Notes Follow-up'!N28</f>
        <v>42093176.399999999</v>
      </c>
      <c r="U14" s="1485">
        <f>'12 - Notes Interest'!T20</f>
        <v>1968995.4000000001</v>
      </c>
      <c r="V14" s="1485"/>
      <c r="W14" s="1485">
        <f>'11 - Notes Follow-up'!R28</f>
        <v>94742.98000000001</v>
      </c>
      <c r="X14" s="1485">
        <f>'11 - Notes Follow-up'!Q28</f>
        <v>1043.46</v>
      </c>
      <c r="Y14" s="1485">
        <f>'12 - Notes Interest'!S20</f>
        <v>48.81</v>
      </c>
      <c r="Z14" s="778"/>
      <c r="AA14" s="779"/>
      <c r="AB14" s="775">
        <f t="shared" si="1"/>
        <v>46139</v>
      </c>
      <c r="AC14" s="778"/>
      <c r="AD14" s="586">
        <f>'12 - Notes Interest'!AA20</f>
        <v>1.4999999999999999E-2</v>
      </c>
      <c r="AE14" s="778"/>
      <c r="AF14" s="1485">
        <f>'11 - Notes Follow-up'!W28</f>
        <v>550171686.24000001</v>
      </c>
      <c r="AG14" s="1485">
        <f>'11 - Notes Follow-up'!V28</f>
        <v>6059370.2400000002</v>
      </c>
      <c r="AH14" s="1485">
        <f>'12 - Notes Interest'!AC20</f>
        <v>708634.08000000007</v>
      </c>
      <c r="AI14" s="778"/>
      <c r="AJ14" s="1485">
        <f>'11 - Notes Follow-up'!Y28</f>
        <v>94726.53</v>
      </c>
      <c r="AK14" s="1485">
        <f>'11bis - Notes Calculation'!AP20</f>
        <v>1043.28</v>
      </c>
      <c r="AL14" s="1485">
        <f>'12 - Notes Interest'!AB20</f>
        <v>122.01</v>
      </c>
      <c r="AM14" s="778"/>
      <c r="AN14" s="772"/>
    </row>
    <row r="15" spans="1:40">
      <c r="A15" s="629"/>
      <c r="B15" s="767"/>
      <c r="C15" s="775">
        <f>'11 - Notes Follow-up'!B29</f>
        <v>46108</v>
      </c>
      <c r="D15" s="775"/>
      <c r="E15" s="776">
        <f>'12 - Notes Interest'!I21</f>
        <v>6.0000000000000001E-3</v>
      </c>
      <c r="F15" s="775"/>
      <c r="G15" s="1485">
        <f>'11 - Notes Follow-up'!G29</f>
        <v>6704364789.6800003</v>
      </c>
      <c r="H15" s="1485">
        <f>'11 - Notes Follow-up'!F29</f>
        <v>54516560.880000003</v>
      </c>
      <c r="I15" s="1485">
        <f>'12 - Notes Interest'!K21</f>
        <v>3110834.64</v>
      </c>
      <c r="J15" s="1485"/>
      <c r="K15" s="1485">
        <f>'11 - Notes Follow-up'!J29</f>
        <v>86249.74</v>
      </c>
      <c r="L15" s="1485">
        <f>'11 - Notes Follow-up'!I29</f>
        <v>701.34</v>
      </c>
      <c r="M15" s="1485">
        <f>'12 - Notes Interest'!J21</f>
        <v>40.020000000000003</v>
      </c>
      <c r="N15" s="778"/>
      <c r="O15" s="775"/>
      <c r="P15" s="775"/>
      <c r="Q15" s="776"/>
      <c r="R15" s="775"/>
      <c r="S15" s="1485"/>
      <c r="T15" s="1485"/>
      <c r="U15" s="1485"/>
      <c r="V15" s="1485"/>
      <c r="W15" s="1485"/>
      <c r="X15" s="1485"/>
      <c r="Y15" s="1485"/>
      <c r="Z15" s="778"/>
      <c r="AA15" s="779"/>
      <c r="AB15" s="775">
        <f t="shared" si="1"/>
        <v>46108</v>
      </c>
      <c r="AC15" s="778"/>
      <c r="AD15" s="586">
        <f>'12 - Notes Interest'!AA21</f>
        <v>1.4999999999999999E-2</v>
      </c>
      <c r="AE15" s="778"/>
      <c r="AF15" s="1485">
        <f>'11 - Notes Follow-up'!W29</f>
        <v>556231056.48000002</v>
      </c>
      <c r="AG15" s="1485">
        <f>'11 - Notes Follow-up'!V29</f>
        <v>4522980</v>
      </c>
      <c r="AH15" s="1485">
        <f>'12 - Notes Interest'!AC21</f>
        <v>645268.79999999993</v>
      </c>
      <c r="AI15" s="778"/>
      <c r="AJ15" s="1485">
        <f>'11 - Notes Follow-up'!Y29</f>
        <v>95769.81</v>
      </c>
      <c r="AK15" s="1485">
        <f>'11bis - Notes Calculation'!AP21</f>
        <v>778.75</v>
      </c>
      <c r="AL15" s="1485">
        <f>'12 - Notes Interest'!AB21</f>
        <v>111.1</v>
      </c>
      <c r="AM15" s="778"/>
      <c r="AN15" s="772"/>
    </row>
    <row r="16" spans="1:40">
      <c r="A16" s="629"/>
      <c r="B16" s="767"/>
      <c r="C16" s="775">
        <f>'11 - Notes Follow-up'!B30</f>
        <v>46080</v>
      </c>
      <c r="D16" s="775"/>
      <c r="E16" s="776">
        <f>'12 - Notes Interest'!I22</f>
        <v>6.0000000000000001E-3</v>
      </c>
      <c r="F16" s="775"/>
      <c r="G16" s="1485">
        <f>'11 - Notes Follow-up'!G30</f>
        <v>6758881350.5600004</v>
      </c>
      <c r="H16" s="1485">
        <f>'11 - Notes Follow-up'!F30</f>
        <v>59747924.479999997</v>
      </c>
      <c r="I16" s="1485">
        <f>'12 - Notes Interest'!K22</f>
        <v>3474620.4000000004</v>
      </c>
      <c r="J16" s="1485"/>
      <c r="K16" s="1485">
        <f>'11 - Notes Follow-up'!J30</f>
        <v>86951.08</v>
      </c>
      <c r="L16" s="1485">
        <f>'11 - Notes Follow-up'!I30</f>
        <v>768.64</v>
      </c>
      <c r="M16" s="1485">
        <f>'12 - Notes Interest'!J22</f>
        <v>44.7</v>
      </c>
      <c r="N16" s="778"/>
      <c r="O16" s="775"/>
      <c r="P16" s="775"/>
      <c r="Q16" s="776"/>
      <c r="R16" s="775"/>
      <c r="S16" s="1485"/>
      <c r="T16" s="1485"/>
      <c r="U16" s="1485"/>
      <c r="V16" s="1485"/>
      <c r="W16" s="1485"/>
      <c r="X16" s="1485"/>
      <c r="Y16" s="1485"/>
      <c r="Z16" s="778"/>
      <c r="AA16" s="779"/>
      <c r="AB16" s="775">
        <f t="shared" si="1"/>
        <v>46080</v>
      </c>
      <c r="AC16" s="778"/>
      <c r="AD16" s="586">
        <f>'12 - Notes Interest'!AA22</f>
        <v>1.4999999999999999E-2</v>
      </c>
      <c r="AE16" s="778"/>
      <c r="AF16" s="1485">
        <f>'11 - Notes Follow-up'!W30</f>
        <v>560754036.48000002</v>
      </c>
      <c r="AG16" s="1485">
        <f>'11 - Notes Follow-up'!V30</f>
        <v>4957011.84</v>
      </c>
      <c r="AH16" s="1485">
        <f>'12 - Notes Interest'!AC22</f>
        <v>720714.72</v>
      </c>
      <c r="AI16" s="778"/>
      <c r="AJ16" s="1485">
        <f>'11 - Notes Follow-up'!Y30</f>
        <v>96548.56</v>
      </c>
      <c r="AK16" s="1485">
        <f>'11bis - Notes Calculation'!AP22</f>
        <v>853.48</v>
      </c>
      <c r="AL16" s="1485">
        <f>'12 - Notes Interest'!AB22</f>
        <v>124.09</v>
      </c>
      <c r="AM16" s="778"/>
      <c r="AN16" s="772"/>
    </row>
    <row r="17" spans="1:40">
      <c r="A17" s="629"/>
      <c r="B17" s="767"/>
      <c r="C17" s="775">
        <f>'11 - Notes Follow-up'!B31</f>
        <v>46049</v>
      </c>
      <c r="D17" s="775" t="s">
        <v>143</v>
      </c>
      <c r="E17" s="776">
        <f>'12 - Notes Interest'!I23</f>
        <v>6.0000000000000001E-3</v>
      </c>
      <c r="F17" s="775" t="s">
        <v>143</v>
      </c>
      <c r="G17" s="1485">
        <f>'11 - Notes Follow-up'!G31</f>
        <v>6818629275.04</v>
      </c>
      <c r="H17" s="1485">
        <f>'11 - Notes Follow-up'!F31</f>
        <v>58047925.640000001</v>
      </c>
      <c r="I17" s="1485">
        <f>'12 - Notes Interest'!K23</f>
        <v>3277958.44</v>
      </c>
      <c r="J17" s="1485" t="s">
        <v>143</v>
      </c>
      <c r="K17" s="1485">
        <f>'11 - Notes Follow-up'!J31</f>
        <v>87719.72</v>
      </c>
      <c r="L17" s="1485">
        <f>'11 - Notes Follow-up'!I31</f>
        <v>746.77</v>
      </c>
      <c r="M17" s="1485">
        <f>'12 - Notes Interest'!J23</f>
        <v>42.17</v>
      </c>
      <c r="N17" s="778"/>
      <c r="O17" s="775"/>
      <c r="P17" s="775"/>
      <c r="Q17" s="776"/>
      <c r="R17" s="775"/>
      <c r="S17" s="1485"/>
      <c r="T17" s="1485"/>
      <c r="U17" s="1485"/>
      <c r="V17" s="1485"/>
      <c r="W17" s="1485"/>
      <c r="X17" s="1485"/>
      <c r="Y17" s="1485"/>
      <c r="Z17" s="778"/>
      <c r="AA17" s="779"/>
      <c r="AB17" s="775">
        <f t="shared" si="1"/>
        <v>46049</v>
      </c>
      <c r="AC17" s="778"/>
      <c r="AD17" s="586">
        <f>'12 - Notes Interest'!AA23</f>
        <v>1.4999999999999999E-2</v>
      </c>
      <c r="AE17" s="778"/>
      <c r="AF17" s="1485">
        <f>'11 - Notes Follow-up'!W31</f>
        <v>565711048.32000005</v>
      </c>
      <c r="AG17" s="1485">
        <f>'11 - Notes Follow-up'!V31</f>
        <v>4815993.6000000006</v>
      </c>
      <c r="AH17" s="1485">
        <f>'12 - Notes Interest'!AC23</f>
        <v>679942.55999999994</v>
      </c>
      <c r="AI17" s="778"/>
      <c r="AJ17" s="1485">
        <f>'11 - Notes Follow-up'!Y31</f>
        <v>97402.040000000008</v>
      </c>
      <c r="AK17" s="1485">
        <f>'11bis - Notes Calculation'!AP23</f>
        <v>829.2</v>
      </c>
      <c r="AL17" s="1485">
        <f>'12 - Notes Interest'!AB23</f>
        <v>117.07</v>
      </c>
      <c r="AM17" s="778"/>
      <c r="AN17" s="772"/>
    </row>
    <row r="18" spans="1:40">
      <c r="A18" s="629"/>
      <c r="B18" s="767"/>
      <c r="C18" s="775">
        <f>'11 - Notes Follow-up'!B32</f>
        <v>46020</v>
      </c>
      <c r="D18" s="775"/>
      <c r="E18" s="776">
        <f>'12 - Notes Interest'!I24</f>
        <v>6.0000000000000001E-3</v>
      </c>
      <c r="F18" s="777"/>
      <c r="G18" s="1485">
        <f>'11 - Notes Follow-up'!G32</f>
        <v>6876677200.6800003</v>
      </c>
      <c r="H18" s="1485">
        <f>'11 - Notes Follow-up'!F32</f>
        <v>54650259.919999994</v>
      </c>
      <c r="I18" s="1485">
        <f>'12 - Notes Interest'!K24</f>
        <v>3646408.1199999996</v>
      </c>
      <c r="J18" s="1485"/>
      <c r="K18" s="1485">
        <f>'11 - Notes Follow-up'!J32</f>
        <v>88466.49</v>
      </c>
      <c r="L18" s="1485">
        <f>'11 - Notes Follow-up'!I32</f>
        <v>703.06</v>
      </c>
      <c r="M18" s="1485">
        <f>'12 - Notes Interest'!J24</f>
        <v>46.91</v>
      </c>
      <c r="N18" s="778"/>
      <c r="O18" s="775"/>
      <c r="P18" s="775"/>
      <c r="Q18" s="776"/>
      <c r="R18" s="777"/>
      <c r="S18" s="1485"/>
      <c r="T18" s="1485"/>
      <c r="U18" s="1485"/>
      <c r="V18" s="1485"/>
      <c r="W18" s="1485"/>
      <c r="X18" s="1485"/>
      <c r="Y18" s="1485"/>
      <c r="Z18" s="778"/>
      <c r="AA18" s="779"/>
      <c r="AB18" s="775">
        <f t="shared" si="1"/>
        <v>46020</v>
      </c>
      <c r="AC18" s="778"/>
      <c r="AD18" s="586">
        <f>'12 - Notes Interest'!AA24</f>
        <v>1.4999999999999999E-2</v>
      </c>
      <c r="AE18" s="778"/>
      <c r="AF18" s="1485">
        <f>'11 - Notes Follow-up'!W32</f>
        <v>570527041.92000008</v>
      </c>
      <c r="AG18" s="1485">
        <f>'11 - Notes Follow-up'!V32</f>
        <v>4534073.28</v>
      </c>
      <c r="AH18" s="1485">
        <f>'12 - Notes Interest'!AC24</f>
        <v>756259.68</v>
      </c>
      <c r="AI18" s="778"/>
      <c r="AJ18" s="1485">
        <f>'11 - Notes Follow-up'!Y32</f>
        <v>98231.24000000002</v>
      </c>
      <c r="AK18" s="1485">
        <f>'11bis - Notes Calculation'!AP24</f>
        <v>780.66</v>
      </c>
      <c r="AL18" s="1485">
        <f>'12 - Notes Interest'!AB24</f>
        <v>130.21</v>
      </c>
      <c r="AM18" s="778"/>
      <c r="AN18" s="772"/>
    </row>
    <row r="19" spans="1:40">
      <c r="A19" s="629"/>
      <c r="B19" s="767"/>
      <c r="C19" s="775">
        <f>'11 - Notes Follow-up'!B33</f>
        <v>45988</v>
      </c>
      <c r="D19" s="775"/>
      <c r="E19" s="776">
        <f>'12 - Notes Interest'!I25</f>
        <v>6.0000000000000001E-3</v>
      </c>
      <c r="F19" s="777"/>
      <c r="G19" s="1485">
        <f>'11 - Notes Follow-up'!G33</f>
        <v>6931327460.6000004</v>
      </c>
      <c r="H19" s="1485">
        <f>'11 - Notes Follow-up'!F33</f>
        <v>67956423.680000007</v>
      </c>
      <c r="I19" s="1485">
        <f>'12 - Notes Interest'!K25</f>
        <v>3567121.48</v>
      </c>
      <c r="J19" s="1485"/>
      <c r="K19" s="1485">
        <f>'11 - Notes Follow-up'!J33</f>
        <v>89169.55</v>
      </c>
      <c r="L19" s="1485">
        <f>'11 - Notes Follow-up'!I33</f>
        <v>874.24000000000012</v>
      </c>
      <c r="M19" s="1485">
        <f>'12 - Notes Interest'!J25</f>
        <v>45.89</v>
      </c>
      <c r="N19" s="778"/>
      <c r="O19" s="775"/>
      <c r="P19" s="775"/>
      <c r="Q19" s="776"/>
      <c r="R19" s="777"/>
      <c r="S19" s="1485"/>
      <c r="T19" s="1485"/>
      <c r="U19" s="1485"/>
      <c r="V19" s="1485"/>
      <c r="W19" s="1485"/>
      <c r="X19" s="1485"/>
      <c r="Y19" s="1485"/>
      <c r="Z19" s="778"/>
      <c r="AA19" s="779"/>
      <c r="AB19" s="775">
        <f t="shared" si="1"/>
        <v>45988</v>
      </c>
      <c r="AC19" s="778"/>
      <c r="AD19" s="586">
        <f>'12 - Notes Interest'!AA25</f>
        <v>1.4999999999999999E-2</v>
      </c>
      <c r="AE19" s="778"/>
      <c r="AF19" s="1485">
        <f>'11 - Notes Follow-up'!W33</f>
        <v>575061115.20000005</v>
      </c>
      <c r="AG19" s="1485">
        <f>'11 - Notes Follow-up'!V33</f>
        <v>5738884.7999999998</v>
      </c>
      <c r="AH19" s="1485">
        <f>'12 - Notes Interest'!AC25</f>
        <v>739939.20000000007</v>
      </c>
      <c r="AI19" s="778"/>
      <c r="AJ19" s="1485">
        <f>'11 - Notes Follow-up'!Y33</f>
        <v>99011.900000000009</v>
      </c>
      <c r="AK19" s="1485">
        <f>'11bis - Notes Calculation'!AP25</f>
        <v>988.1</v>
      </c>
      <c r="AL19" s="1485">
        <f>'12 - Notes Interest'!AB25</f>
        <v>127.4</v>
      </c>
      <c r="AM19" s="778"/>
      <c r="AN19" s="772"/>
    </row>
    <row r="20" spans="1:40">
      <c r="A20" s="629"/>
      <c r="B20" s="767"/>
      <c r="C20" s="775">
        <f>'11 - Notes Follow-up'!B34</f>
        <v>45957</v>
      </c>
      <c r="D20" s="775"/>
      <c r="E20" s="776">
        <f>'12 - Notes Interest'!I26</f>
        <v>6.0000000000000001E-3</v>
      </c>
      <c r="F20" s="777"/>
      <c r="G20" s="1485">
        <f>'11 - Notes Follow-up'!G34</f>
        <v>6999283884.2800007</v>
      </c>
      <c r="H20" s="1485">
        <f>'11 - Notes Follow-up'!F34</f>
        <v>59948473.039999999</v>
      </c>
      <c r="I20" s="1485">
        <f>'12 - Notes Interest'!K26</f>
        <v>3249197.5999999996</v>
      </c>
      <c r="J20" s="1485"/>
      <c r="K20" s="1485">
        <f>'11 - Notes Follow-up'!J34</f>
        <v>90043.790000000008</v>
      </c>
      <c r="L20" s="1485">
        <f>'11 - Notes Follow-up'!I34</f>
        <v>771.22</v>
      </c>
      <c r="M20" s="1485">
        <f>'12 - Notes Interest'!J26</f>
        <v>41.8</v>
      </c>
      <c r="N20" s="778"/>
      <c r="O20" s="775"/>
      <c r="P20" s="775"/>
      <c r="Q20" s="776"/>
      <c r="R20" s="777"/>
      <c r="S20" s="1485"/>
      <c r="T20" s="1485"/>
      <c r="U20" s="1485"/>
      <c r="V20" s="1485"/>
      <c r="W20" s="1485"/>
      <c r="X20" s="1485"/>
      <c r="Y20" s="1485"/>
      <c r="Z20" s="778"/>
      <c r="AA20" s="779"/>
      <c r="AB20" s="775">
        <f t="shared" si="1"/>
        <v>45957</v>
      </c>
      <c r="AC20" s="778"/>
      <c r="AD20" s="586">
        <f>'12 - Notes Interest'!AA26</f>
        <v>1.4999999999999999E-2</v>
      </c>
      <c r="AE20" s="778"/>
      <c r="AF20" s="1485">
        <f>'11 - Notes Follow-up'!W34</f>
        <v>580800000</v>
      </c>
      <c r="AG20" s="1485">
        <f>'11 - Notes Follow-up'!V34</f>
        <v>371538582.36000001</v>
      </c>
      <c r="AH20" s="1485">
        <f>'12 - Notes Interest'!AC26</f>
        <v>427532.16000000003</v>
      </c>
      <c r="AI20" s="778"/>
      <c r="AJ20" s="1485">
        <f>'11 - Notes Follow-up'!Y34</f>
        <v>100000</v>
      </c>
      <c r="AK20" s="1485">
        <f>'11bis - Notes Calculation'!AP26</f>
        <v>90796.33</v>
      </c>
      <c r="AL20" s="1485">
        <f>'12 - Notes Interest'!AB26</f>
        <v>104.48</v>
      </c>
      <c r="AM20" s="778"/>
      <c r="AN20" s="772"/>
    </row>
    <row r="21" spans="1:40">
      <c r="A21" s="629"/>
      <c r="B21" s="767"/>
      <c r="C21" s="775">
        <f>'11 - Notes Follow-up'!B35</f>
        <v>45929</v>
      </c>
      <c r="D21" s="775"/>
      <c r="E21" s="776">
        <f>'12 - Notes Interest'!I27</f>
        <v>6.0000000000000001E-3</v>
      </c>
      <c r="F21" s="777"/>
      <c r="G21" s="1485">
        <f>'11 - Notes Follow-up'!G35</f>
        <v>7059232357.3200006</v>
      </c>
      <c r="H21" s="1485">
        <f>'11 - Notes Follow-up'!F35</f>
        <v>67099817.039999999</v>
      </c>
      <c r="I21" s="1485">
        <f>'12 - Notes Interest'!K27</f>
        <v>3865612.36</v>
      </c>
      <c r="J21" s="1485"/>
      <c r="K21" s="1485">
        <f>'11 - Notes Follow-up'!J35</f>
        <v>90815.010000000009</v>
      </c>
      <c r="L21" s="1485">
        <f>'11 - Notes Follow-up'!I35</f>
        <v>863.22</v>
      </c>
      <c r="M21" s="1485">
        <f>'12 - Notes Interest'!J27</f>
        <v>49.73</v>
      </c>
      <c r="N21" s="778"/>
      <c r="O21" s="775"/>
      <c r="P21" s="775"/>
      <c r="Q21" s="776"/>
      <c r="R21" s="777"/>
      <c r="S21" s="1485"/>
      <c r="T21" s="1485"/>
      <c r="U21" s="1485"/>
      <c r="V21" s="1485"/>
      <c r="W21" s="1485"/>
      <c r="X21" s="1485"/>
      <c r="Y21" s="1485"/>
      <c r="Z21" s="778"/>
      <c r="AA21" s="779"/>
      <c r="AB21" s="775">
        <f t="shared" si="1"/>
        <v>45929</v>
      </c>
      <c r="AC21" s="778"/>
      <c r="AD21" s="586">
        <f>'12 - Notes Interest'!AA27</f>
        <v>1.4999999999999999E-2</v>
      </c>
      <c r="AE21" s="778"/>
      <c r="AF21" s="1485">
        <f>'11 - Notes Follow-up'!W35</f>
        <v>371538582.36000001</v>
      </c>
      <c r="AG21" s="1485">
        <f>'11 - Notes Follow-up'!V35</f>
        <v>3531559.6799999997</v>
      </c>
      <c r="AH21" s="1485">
        <f>'12 - Notes Interest'!AC27</f>
        <v>508676.52</v>
      </c>
      <c r="AI21" s="778"/>
      <c r="AJ21" s="1485">
        <f>'11 - Notes Follow-up'!Y35</f>
        <v>90796.33</v>
      </c>
      <c r="AK21" s="1485">
        <f>'11bis - Notes Calculation'!AP27</f>
        <v>863.04</v>
      </c>
      <c r="AL21" s="1485">
        <f>'12 - Notes Interest'!AB27</f>
        <v>124.31</v>
      </c>
      <c r="AM21" s="778"/>
      <c r="AN21" s="772"/>
    </row>
    <row r="22" spans="1:40">
      <c r="A22" s="629"/>
      <c r="B22" s="767"/>
      <c r="C22" s="775">
        <f>'11 - Notes Follow-up'!B36</f>
        <v>45896</v>
      </c>
      <c r="D22" s="775"/>
      <c r="E22" s="776">
        <f>'12 - Notes Interest'!I28</f>
        <v>6.0000000000000001E-3</v>
      </c>
      <c r="F22" s="777"/>
      <c r="G22" s="1485">
        <f>'11 - Notes Follow-up'!G36</f>
        <v>7126332174.3600006</v>
      </c>
      <c r="H22" s="1485">
        <f>'11 - Notes Follow-up'!F36</f>
        <v>65172840.759999998</v>
      </c>
      <c r="I22" s="1485">
        <f>'12 - Notes Interest'!K28</f>
        <v>3546133.84</v>
      </c>
      <c r="J22" s="1485"/>
      <c r="K22" s="1485">
        <f>'11 - Notes Follow-up'!J36</f>
        <v>91678.23000000001</v>
      </c>
      <c r="L22" s="1485">
        <f>'11 - Notes Follow-up'!I36</f>
        <v>838.43</v>
      </c>
      <c r="M22" s="1485">
        <f>'12 - Notes Interest'!J28</f>
        <v>45.62</v>
      </c>
      <c r="N22" s="778"/>
      <c r="O22" s="775"/>
      <c r="P22" s="775"/>
      <c r="Q22" s="776"/>
      <c r="R22" s="777"/>
      <c r="S22" s="1485"/>
      <c r="T22" s="1485"/>
      <c r="U22" s="1485"/>
      <c r="V22" s="1485"/>
      <c r="W22" s="1485"/>
      <c r="X22" s="1485"/>
      <c r="Y22" s="1485"/>
      <c r="Z22" s="778"/>
      <c r="AA22" s="779"/>
      <c r="AB22" s="775">
        <f t="shared" si="1"/>
        <v>45896</v>
      </c>
      <c r="AC22" s="778"/>
      <c r="AD22" s="586">
        <f>'12 - Notes Interest'!AA28</f>
        <v>1.4999999999999999E-2</v>
      </c>
      <c r="AE22" s="778"/>
      <c r="AF22" s="1485">
        <f>'11 - Notes Follow-up'!W36</f>
        <v>375070142.04000002</v>
      </c>
      <c r="AG22" s="1485">
        <f>'11 - Notes Follow-up'!V36</f>
        <v>3430119</v>
      </c>
      <c r="AH22" s="1485">
        <f>'12 - Notes Interest'!AC28</f>
        <v>466651.68000000005</v>
      </c>
      <c r="AI22" s="778"/>
      <c r="AJ22" s="1485">
        <f>'11 - Notes Follow-up'!Y36</f>
        <v>91659.37000000001</v>
      </c>
      <c r="AK22" s="1485">
        <f>'11bis - Notes Calculation'!AP28</f>
        <v>838.25</v>
      </c>
      <c r="AL22" s="1485">
        <f>'12 - Notes Interest'!AB28</f>
        <v>114.04</v>
      </c>
      <c r="AM22" s="778"/>
      <c r="AN22" s="772"/>
    </row>
    <row r="23" spans="1:40">
      <c r="A23" s="629"/>
      <c r="B23" s="767"/>
      <c r="C23" s="775">
        <f>'11 - Notes Follow-up'!B37</f>
        <v>45866</v>
      </c>
      <c r="D23" s="775"/>
      <c r="E23" s="776">
        <f>'12 - Notes Interest'!I29</f>
        <v>6.0000000000000001E-3</v>
      </c>
      <c r="F23" s="777"/>
      <c r="G23" s="1485">
        <f>'11 - Notes Follow-up'!G37</f>
        <v>7191505015.1200008</v>
      </c>
      <c r="H23" s="1485">
        <f>'11 - Notes Follow-up'!F37</f>
        <v>61912760.68</v>
      </c>
      <c r="I23" s="1485">
        <f>'12 - Notes Interest'!K29</f>
        <v>3696156.5999999996</v>
      </c>
      <c r="J23" s="1485"/>
      <c r="K23" s="1485">
        <f>'11 - Notes Follow-up'!J37</f>
        <v>92516.660000000018</v>
      </c>
      <c r="L23" s="1485">
        <f>'11 - Notes Follow-up'!I37</f>
        <v>796.49</v>
      </c>
      <c r="M23" s="1485">
        <f>'12 - Notes Interest'!J29</f>
        <v>47.55</v>
      </c>
      <c r="N23" s="778"/>
      <c r="O23" s="775"/>
      <c r="P23" s="775"/>
      <c r="Q23" s="776"/>
      <c r="R23" s="777"/>
      <c r="S23" s="1485"/>
      <c r="T23" s="1485"/>
      <c r="U23" s="1485"/>
      <c r="V23" s="1485"/>
      <c r="W23" s="1485"/>
      <c r="X23" s="1485"/>
      <c r="Y23" s="1485"/>
      <c r="Z23" s="778"/>
      <c r="AA23" s="779"/>
      <c r="AB23" s="775">
        <f t="shared" si="1"/>
        <v>45866</v>
      </c>
      <c r="AC23" s="778"/>
      <c r="AD23" s="586">
        <f>'12 - Notes Interest'!AA29</f>
        <v>1.4999999999999999E-2</v>
      </c>
      <c r="AE23" s="778"/>
      <c r="AF23" s="1485">
        <f>'11 - Notes Follow-up'!W37</f>
        <v>378500261.04000002</v>
      </c>
      <c r="AG23" s="1485">
        <f>'11 - Notes Follow-up'!V37</f>
        <v>3258541.4400000004</v>
      </c>
      <c r="AH23" s="1485">
        <f>'12 - Notes Interest'!AC29</f>
        <v>486334.19999999995</v>
      </c>
      <c r="AI23" s="778"/>
      <c r="AJ23" s="1485">
        <f>'11 - Notes Follow-up'!Y37</f>
        <v>92497.62000000001</v>
      </c>
      <c r="AK23" s="1485">
        <f>'11bis - Notes Calculation'!AP29</f>
        <v>796.32</v>
      </c>
      <c r="AL23" s="1485">
        <f>'12 - Notes Interest'!AB29</f>
        <v>118.85</v>
      </c>
      <c r="AM23" s="778"/>
      <c r="AN23" s="772"/>
    </row>
    <row r="24" spans="1:40">
      <c r="A24" s="629"/>
      <c r="B24" s="767"/>
      <c r="C24" s="775">
        <f>'11 - Notes Follow-up'!B38</f>
        <v>45835</v>
      </c>
      <c r="D24" s="775"/>
      <c r="E24" s="776">
        <f>'12 - Notes Interest'!I30</f>
        <v>6.0000000000000001E-3</v>
      </c>
      <c r="F24" s="777"/>
      <c r="G24" s="1485">
        <f>'11 - Notes Follow-up'!G38</f>
        <v>7253417775.8000011</v>
      </c>
      <c r="H24" s="1485">
        <f>'11 - Notes Follow-up'!F38</f>
        <v>62413354.759999998</v>
      </c>
      <c r="I24" s="1485">
        <f>'12 - Notes Interest'!K30</f>
        <v>3728026.72</v>
      </c>
      <c r="J24" s="1485"/>
      <c r="K24" s="1485">
        <f>'11 - Notes Follow-up'!J38</f>
        <v>93313.150000000009</v>
      </c>
      <c r="L24" s="1485">
        <f>'11 - Notes Follow-up'!I38</f>
        <v>802.93</v>
      </c>
      <c r="M24" s="1485">
        <f>'12 - Notes Interest'!J30</f>
        <v>47.96</v>
      </c>
      <c r="N24" s="778"/>
      <c r="O24" s="775"/>
      <c r="P24" s="775"/>
      <c r="Q24" s="776"/>
      <c r="R24" s="777"/>
      <c r="S24" s="1485"/>
      <c r="T24" s="1485"/>
      <c r="U24" s="1485"/>
      <c r="V24" s="1485"/>
      <c r="W24" s="1485"/>
      <c r="X24" s="1485"/>
      <c r="Y24" s="1485"/>
      <c r="Z24" s="778"/>
      <c r="AA24" s="779"/>
      <c r="AB24" s="775">
        <f t="shared" si="1"/>
        <v>45835</v>
      </c>
      <c r="AC24" s="778"/>
      <c r="AD24" s="586">
        <f>'12 - Notes Interest'!AA30</f>
        <v>1.4999999999999999E-2</v>
      </c>
      <c r="AE24" s="778"/>
      <c r="AF24" s="1485">
        <f>'11 - Notes Follow-up'!W38</f>
        <v>381758802.48000002</v>
      </c>
      <c r="AG24" s="1485">
        <f>'11 - Notes Follow-up'!V38</f>
        <v>3284934.84</v>
      </c>
      <c r="AH24" s="1485">
        <f>'12 - Notes Interest'!AC30</f>
        <v>490508.04000000004</v>
      </c>
      <c r="AI24" s="778"/>
      <c r="AJ24" s="1485">
        <f>'11 - Notes Follow-up'!Y38</f>
        <v>93293.94</v>
      </c>
      <c r="AK24" s="1485">
        <f>'11bis - Notes Calculation'!AP30</f>
        <v>802.77</v>
      </c>
      <c r="AL24" s="1485">
        <f>'12 - Notes Interest'!AB30</f>
        <v>119.87</v>
      </c>
      <c r="AM24" s="778"/>
      <c r="AN24" s="772"/>
    </row>
    <row r="25" spans="1:40">
      <c r="A25" s="629"/>
      <c r="B25" s="767"/>
      <c r="C25" s="775">
        <f>'11 - Notes Follow-up'!B39</f>
        <v>45804</v>
      </c>
      <c r="D25" s="775"/>
      <c r="E25" s="776">
        <f>'12 - Notes Interest'!I31</f>
        <v>6.0000000000000001E-3</v>
      </c>
      <c r="F25" s="777"/>
      <c r="G25" s="1485">
        <f>'11 - Notes Follow-up'!G39</f>
        <v>7315831130.5600014</v>
      </c>
      <c r="H25" s="1485">
        <f>'11 - Notes Follow-up'!F39</f>
        <v>58624697.080000006</v>
      </c>
      <c r="I25" s="1485">
        <f>'12 - Notes Interest'!K31</f>
        <v>3515041.04</v>
      </c>
      <c r="J25" s="1485"/>
      <c r="K25" s="1485">
        <f>'11 - Notes Follow-up'!J39</f>
        <v>94116.080000000016</v>
      </c>
      <c r="L25" s="1485">
        <f>'11 - Notes Follow-up'!I39</f>
        <v>754.19</v>
      </c>
      <c r="M25" s="1485">
        <f>'12 - Notes Interest'!J31</f>
        <v>45.22</v>
      </c>
      <c r="N25" s="778"/>
      <c r="O25" s="775"/>
      <c r="P25" s="775"/>
      <c r="Q25" s="776"/>
      <c r="R25" s="777"/>
      <c r="S25" s="1485"/>
      <c r="T25" s="1485"/>
      <c r="U25" s="1485"/>
      <c r="V25" s="1485"/>
      <c r="W25" s="1485"/>
      <c r="X25" s="1485"/>
      <c r="Y25" s="1485"/>
      <c r="Z25" s="778"/>
      <c r="AA25" s="779"/>
      <c r="AB25" s="775">
        <f t="shared" si="1"/>
        <v>45804</v>
      </c>
      <c r="AC25" s="778"/>
      <c r="AD25" s="586">
        <f>'12 - Notes Interest'!AA31</f>
        <v>1.4999999999999999E-2</v>
      </c>
      <c r="AE25" s="778"/>
      <c r="AF25" s="1485">
        <f>'11 - Notes Follow-up'!W39</f>
        <v>385043737.31999999</v>
      </c>
      <c r="AG25" s="1485">
        <f>'11 - Notes Follow-up'!V39</f>
        <v>3085490.76</v>
      </c>
      <c r="AH25" s="1485">
        <f>'12 - Notes Interest'!AC31</f>
        <v>462559.68000000005</v>
      </c>
      <c r="AI25" s="778"/>
      <c r="AJ25" s="1485">
        <f>'11 - Notes Follow-up'!Y39</f>
        <v>94096.709999999992</v>
      </c>
      <c r="AK25" s="1485">
        <f>'11bis - Notes Calculation'!AP31</f>
        <v>754.03</v>
      </c>
      <c r="AL25" s="1485">
        <f>'12 - Notes Interest'!AB31</f>
        <v>113.04</v>
      </c>
      <c r="AM25" s="778"/>
      <c r="AN25" s="772"/>
    </row>
    <row r="26" spans="1:40">
      <c r="A26" s="629"/>
      <c r="B26" s="767"/>
      <c r="C26" s="775">
        <f>'11 - Notes Follow-up'!B40</f>
        <v>45775</v>
      </c>
      <c r="D26" s="775"/>
      <c r="E26" s="776">
        <f>'12 - Notes Interest'!I32</f>
        <v>6.0000000000000001E-3</v>
      </c>
      <c r="F26" s="777"/>
      <c r="G26" s="1485">
        <f>'11 - Notes Follow-up'!G40</f>
        <v>7374455827.6400013</v>
      </c>
      <c r="H26" s="1485">
        <f>'11 - Notes Follow-up'!F40</f>
        <v>56293514.400000006</v>
      </c>
      <c r="I26" s="1485">
        <f>'12 - Notes Interest'!K32</f>
        <v>3909142.28</v>
      </c>
      <c r="J26" s="1485"/>
      <c r="K26" s="1485">
        <f>'11 - Notes Follow-up'!J40</f>
        <v>94870.270000000019</v>
      </c>
      <c r="L26" s="1485">
        <f>'11 - Notes Follow-up'!I40</f>
        <v>724.2</v>
      </c>
      <c r="M26" s="1485">
        <f>'12 - Notes Interest'!J32</f>
        <v>50.29</v>
      </c>
      <c r="N26" s="778"/>
      <c r="O26" s="775"/>
      <c r="P26" s="775"/>
      <c r="Q26" s="776"/>
      <c r="R26" s="777"/>
      <c r="S26" s="1485"/>
      <c r="T26" s="1485"/>
      <c r="U26" s="1485"/>
      <c r="V26" s="1485"/>
      <c r="W26" s="1485"/>
      <c r="X26" s="1485"/>
      <c r="Y26" s="1485"/>
      <c r="Z26" s="778"/>
      <c r="AA26" s="779"/>
      <c r="AB26" s="775">
        <f t="shared" si="1"/>
        <v>45775</v>
      </c>
      <c r="AC26" s="778"/>
      <c r="AD26" s="586">
        <f>'12 - Notes Interest'!AA32</f>
        <v>1.4999999999999999E-2</v>
      </c>
      <c r="AE26" s="778"/>
      <c r="AF26" s="1485">
        <f>'11 - Notes Follow-up'!W40</f>
        <v>388129228.07999998</v>
      </c>
      <c r="AG26" s="1485">
        <f>'11 - Notes Follow-up'!V40</f>
        <v>2962812.5999999996</v>
      </c>
      <c r="AH26" s="1485">
        <f>'12 - Notes Interest'!AC32</f>
        <v>514323.48</v>
      </c>
      <c r="AI26" s="778"/>
      <c r="AJ26" s="1485">
        <f>'11 - Notes Follow-up'!Y40</f>
        <v>94850.739999999991</v>
      </c>
      <c r="AK26" s="1485">
        <f>'11bis - Notes Calculation'!AP32</f>
        <v>724.05</v>
      </c>
      <c r="AL26" s="1485">
        <f>'12 - Notes Interest'!AB32</f>
        <v>125.69</v>
      </c>
      <c r="AM26" s="778"/>
      <c r="AN26" s="772"/>
    </row>
    <row r="27" spans="1:40">
      <c r="A27" s="629"/>
      <c r="B27" s="767"/>
      <c r="C27" s="775">
        <f>'11 - Notes Follow-up'!B41</f>
        <v>45743</v>
      </c>
      <c r="D27" s="775"/>
      <c r="E27" s="776">
        <f>'12 - Notes Interest'!I33</f>
        <v>6.0000000000000001E-3</v>
      </c>
      <c r="F27" s="777"/>
      <c r="G27" s="1485">
        <f>'11 - Notes Follow-up'!G41</f>
        <v>7430749342.0400009</v>
      </c>
      <c r="H27" s="1485">
        <f>'11 - Notes Follow-up'!F41</f>
        <v>57244176.759999998</v>
      </c>
      <c r="I27" s="1485">
        <f>'12 - Notes Interest'!K33</f>
        <v>3446636.8800000004</v>
      </c>
      <c r="J27" s="1485"/>
      <c r="K27" s="1485">
        <f>'11 - Notes Follow-up'!J41</f>
        <v>95594.470000000016</v>
      </c>
      <c r="L27" s="1485">
        <f>'11 - Notes Follow-up'!I41</f>
        <v>736.43</v>
      </c>
      <c r="M27" s="1485">
        <f>'12 - Notes Interest'!J33</f>
        <v>44.34</v>
      </c>
      <c r="N27" s="778"/>
      <c r="O27" s="775"/>
      <c r="P27" s="775"/>
      <c r="Q27" s="776"/>
      <c r="R27" s="777"/>
      <c r="S27" s="1485"/>
      <c r="T27" s="1485"/>
      <c r="U27" s="1485"/>
      <c r="V27" s="1485"/>
      <c r="W27" s="1485"/>
      <c r="X27" s="1485"/>
      <c r="Y27" s="1485"/>
      <c r="Z27" s="778"/>
      <c r="AA27" s="779"/>
      <c r="AB27" s="775">
        <f t="shared" si="1"/>
        <v>45743</v>
      </c>
      <c r="AC27" s="778"/>
      <c r="AD27" s="586">
        <f>'12 - Notes Interest'!AA33</f>
        <v>1.4999999999999999E-2</v>
      </c>
      <c r="AE27" s="778"/>
      <c r="AF27" s="1485">
        <f>'11 - Notes Follow-up'!W41</f>
        <v>391092040.68000001</v>
      </c>
      <c r="AG27" s="1485">
        <f>'11 - Notes Follow-up'!V41</f>
        <v>3012857.76</v>
      </c>
      <c r="AH27" s="1485">
        <f>'12 - Notes Interest'!AC33</f>
        <v>453475.43999999994</v>
      </c>
      <c r="AI27" s="778"/>
      <c r="AJ27" s="1485">
        <f>'11 - Notes Follow-up'!Y41</f>
        <v>95574.790000000008</v>
      </c>
      <c r="AK27" s="1485">
        <f>'11bis - Notes Calculation'!AP33</f>
        <v>736.28</v>
      </c>
      <c r="AL27" s="1485">
        <f>'12 - Notes Interest'!AB33</f>
        <v>110.82</v>
      </c>
      <c r="AM27" s="778"/>
      <c r="AN27" s="772"/>
    </row>
    <row r="28" spans="1:40">
      <c r="A28" s="629"/>
      <c r="B28" s="767"/>
      <c r="C28" s="775">
        <f>'11 - Notes Follow-up'!B42</f>
        <v>45715</v>
      </c>
      <c r="D28" s="775"/>
      <c r="E28" s="776">
        <f>'12 - Notes Interest'!I34</f>
        <v>6.0000000000000001E-3</v>
      </c>
      <c r="F28" s="777"/>
      <c r="G28" s="1485">
        <f>'11 - Notes Follow-up'!G42</f>
        <v>7487993518.8000011</v>
      </c>
      <c r="H28" s="1485">
        <f>'11 - Notes Follow-up'!F42</f>
        <v>57126801.439999998</v>
      </c>
      <c r="I28" s="1485">
        <f>'12 - Notes Interest'!K34</f>
        <v>3844624.72</v>
      </c>
      <c r="J28" s="1485"/>
      <c r="K28" s="1485">
        <f>'11 - Notes Follow-up'!J42</f>
        <v>96330.900000000009</v>
      </c>
      <c r="L28" s="1485">
        <f>'11 - Notes Follow-up'!I42</f>
        <v>734.92</v>
      </c>
      <c r="M28" s="1485">
        <f>'12 - Notes Interest'!J34</f>
        <v>49.46</v>
      </c>
      <c r="N28" s="778"/>
      <c r="O28" s="775"/>
      <c r="P28" s="775"/>
      <c r="Q28" s="776"/>
      <c r="R28" s="777"/>
      <c r="S28" s="1485"/>
      <c r="T28" s="1485"/>
      <c r="U28" s="1485"/>
      <c r="V28" s="1485"/>
      <c r="W28" s="1485"/>
      <c r="X28" s="1485"/>
      <c r="Y28" s="1485"/>
      <c r="Z28" s="778"/>
      <c r="AA28" s="779"/>
      <c r="AB28" s="775">
        <f t="shared" si="1"/>
        <v>45715</v>
      </c>
      <c r="AC28" s="778"/>
      <c r="AD28" s="586">
        <f>'12 - Notes Interest'!AA34</f>
        <v>1.4999999999999999E-2</v>
      </c>
      <c r="AE28" s="778"/>
      <c r="AF28" s="1485">
        <f>'11 - Notes Follow-up'!W42</f>
        <v>394104898.44</v>
      </c>
      <c r="AG28" s="1485">
        <f>'11 - Notes Follow-up'!V42</f>
        <v>3006719.76</v>
      </c>
      <c r="AH28" s="1485">
        <f>'12 - Notes Interest'!AC34</f>
        <v>505893.95999999996</v>
      </c>
      <c r="AI28" s="778"/>
      <c r="AJ28" s="1485">
        <f>'11 - Notes Follow-up'!Y42</f>
        <v>96311.069999999992</v>
      </c>
      <c r="AK28" s="1485">
        <f>'11bis - Notes Calculation'!AP34</f>
        <v>734.78</v>
      </c>
      <c r="AL28" s="1485">
        <f>'12 - Notes Interest'!AB34</f>
        <v>123.63</v>
      </c>
      <c r="AM28" s="778"/>
      <c r="AN28" s="772"/>
    </row>
    <row r="29" spans="1:40">
      <c r="A29" s="629"/>
      <c r="B29" s="767"/>
      <c r="C29" s="775">
        <f>'11 - Notes Follow-up'!B43</f>
        <v>45684</v>
      </c>
      <c r="D29" s="775"/>
      <c r="E29" s="776">
        <f>'12 - Notes Interest'!I35</f>
        <v>6.0000000000000001E-3</v>
      </c>
      <c r="F29" s="777"/>
      <c r="G29" s="1485">
        <f>'11 - Notes Follow-up'!G43</f>
        <v>7545120320.2400007</v>
      </c>
      <c r="H29" s="1485">
        <f>'11 - Notes Follow-up'!F43</f>
        <v>114424613.28</v>
      </c>
      <c r="I29" s="1485">
        <f>'12 - Notes Interest'!K35</f>
        <v>3902923.72</v>
      </c>
      <c r="J29" s="1485"/>
      <c r="K29" s="1485">
        <f>'11 - Notes Follow-up'!J43</f>
        <v>97065.82</v>
      </c>
      <c r="L29" s="1485">
        <f>'11 - Notes Follow-up'!I43</f>
        <v>1472.04</v>
      </c>
      <c r="M29" s="1485">
        <f>'12 - Notes Interest'!J35</f>
        <v>50.21</v>
      </c>
      <c r="N29" s="778"/>
      <c r="O29" s="775"/>
      <c r="P29" s="775"/>
      <c r="Q29" s="776"/>
      <c r="R29" s="777"/>
      <c r="S29" s="1485"/>
      <c r="T29" s="1485"/>
      <c r="U29" s="1485"/>
      <c r="V29" s="1485"/>
      <c r="W29" s="1485"/>
      <c r="X29" s="1485"/>
      <c r="Y29" s="1485"/>
      <c r="Z29" s="778"/>
      <c r="AA29" s="779"/>
      <c r="AB29" s="775">
        <f t="shared" si="1"/>
        <v>45684</v>
      </c>
      <c r="AC29" s="778"/>
      <c r="AD29" s="586">
        <f>'12 - Notes Interest'!AA35</f>
        <v>1.4999999999999999E-2</v>
      </c>
      <c r="AE29" s="778"/>
      <c r="AF29" s="1485">
        <f>'11 - Notes Follow-up'!W43</f>
        <v>397111618.19999999</v>
      </c>
      <c r="AG29" s="1485">
        <f>'11 - Notes Follow-up'!V43</f>
        <v>6022319.1600000001</v>
      </c>
      <c r="AH29" s="1485">
        <f>'12 - Notes Interest'!AC35</f>
        <v>513586.92000000004</v>
      </c>
      <c r="AI29" s="778"/>
      <c r="AJ29" s="1485">
        <f>'11 - Notes Follow-up'!Y43</f>
        <v>97045.849999999991</v>
      </c>
      <c r="AK29" s="1485">
        <f>'11bis - Notes Calculation'!AP35</f>
        <v>1471.73</v>
      </c>
      <c r="AL29" s="1485">
        <f>'12 - Notes Interest'!AB35</f>
        <v>125.51</v>
      </c>
      <c r="AM29" s="778"/>
      <c r="AN29" s="772"/>
    </row>
    <row r="30" spans="1:40">
      <c r="A30" s="629"/>
      <c r="B30" s="767"/>
      <c r="C30" s="775">
        <f>'11 - Notes Follow-up'!B44</f>
        <v>45653</v>
      </c>
      <c r="D30" s="775"/>
      <c r="E30" s="776">
        <f>'12 - Notes Interest'!I36</f>
        <v>6.0000000000000001E-3</v>
      </c>
      <c r="F30" s="777"/>
      <c r="G30" s="1485">
        <f>'11 - Notes Follow-up'!G44</f>
        <v>7659544933.5200005</v>
      </c>
      <c r="H30" s="1485">
        <f>'11 - Notes Follow-up'!F44</f>
        <v>55214594.240000002</v>
      </c>
      <c r="I30" s="1485">
        <f>'12 - Notes Interest'!K36</f>
        <v>3804204.0799999996</v>
      </c>
      <c r="J30" s="1485"/>
      <c r="K30" s="1485">
        <f>'11 - Notes Follow-up'!J44</f>
        <v>98537.86</v>
      </c>
      <c r="L30" s="1485">
        <f>'11 - Notes Follow-up'!I44</f>
        <v>710.32</v>
      </c>
      <c r="M30" s="1485">
        <f>'12 - Notes Interest'!J36</f>
        <v>48.94</v>
      </c>
      <c r="N30" s="778"/>
      <c r="O30" s="775"/>
      <c r="P30" s="775"/>
      <c r="Q30" s="776"/>
      <c r="R30" s="777"/>
      <c r="S30" s="1485"/>
      <c r="T30" s="1485"/>
      <c r="U30" s="1485"/>
      <c r="V30" s="1485"/>
      <c r="W30" s="1485"/>
      <c r="X30" s="1485"/>
      <c r="Y30" s="1485"/>
      <c r="Z30" s="778"/>
      <c r="AA30" s="779"/>
      <c r="AB30" s="775">
        <f t="shared" si="1"/>
        <v>45653</v>
      </c>
      <c r="AC30" s="778"/>
      <c r="AD30" s="586">
        <f>'12 - Notes Interest'!AA36</f>
        <v>1.4999999999999999E-2</v>
      </c>
      <c r="AE30" s="778"/>
      <c r="AF30" s="1485">
        <f>'11 - Notes Follow-up'!W44</f>
        <v>403133937.36000001</v>
      </c>
      <c r="AG30" s="1485">
        <f>'11 - Notes Follow-up'!V44</f>
        <v>2906015.6399999997</v>
      </c>
      <c r="AH30" s="1485">
        <f>'12 - Notes Interest'!AC36</f>
        <v>500615.28</v>
      </c>
      <c r="AI30" s="778"/>
      <c r="AJ30" s="1485">
        <f>'11 - Notes Follow-up'!Y44</f>
        <v>98517.58</v>
      </c>
      <c r="AK30" s="1485">
        <f>'11bis - Notes Calculation'!AP36</f>
        <v>710.17</v>
      </c>
      <c r="AL30" s="1485">
        <f>'12 - Notes Interest'!AB36</f>
        <v>122.34</v>
      </c>
      <c r="AM30" s="778"/>
      <c r="AN30" s="772"/>
    </row>
    <row r="31" spans="1:40">
      <c r="A31" s="629"/>
      <c r="B31" s="767"/>
      <c r="C31" s="775">
        <f>'11 - Notes Follow-up'!B45</f>
        <v>45623</v>
      </c>
      <c r="D31" s="775"/>
      <c r="E31" s="776">
        <f>'12 - Notes Interest'!I37</f>
        <v>6.0000000000000001E-3</v>
      </c>
      <c r="F31" s="777"/>
      <c r="G31" s="1485">
        <f>'11 - Notes Follow-up'!G45</f>
        <v>7714759527.7600002</v>
      </c>
      <c r="H31" s="1485">
        <f>'11 - Notes Follow-up'!F45</f>
        <v>58440472.240000002</v>
      </c>
      <c r="I31" s="1485">
        <f>'12 - Notes Interest'!K37</f>
        <v>4471921.96</v>
      </c>
      <c r="J31" s="1485"/>
      <c r="K31" s="1485">
        <f>'11 - Notes Follow-up'!J45</f>
        <v>99248.180000000008</v>
      </c>
      <c r="L31" s="1485">
        <f>'11 - Notes Follow-up'!I45</f>
        <v>751.82</v>
      </c>
      <c r="M31" s="1485">
        <f>'12 - Notes Interest'!J37</f>
        <v>57.53</v>
      </c>
      <c r="N31" s="778"/>
      <c r="O31" s="775"/>
      <c r="P31" s="775"/>
      <c r="Q31" s="776"/>
      <c r="R31" s="777"/>
      <c r="S31" s="1485"/>
      <c r="T31" s="1485"/>
      <c r="U31" s="1485"/>
      <c r="V31" s="1485"/>
      <c r="W31" s="1485"/>
      <c r="X31" s="1485"/>
      <c r="Y31" s="1485"/>
      <c r="Z31" s="778"/>
      <c r="AA31" s="779"/>
      <c r="AB31" s="775">
        <f t="shared" si="1"/>
        <v>45623</v>
      </c>
      <c r="AC31" s="778"/>
      <c r="AD31" s="586">
        <f>'12 - Notes Interest'!AA37</f>
        <v>1.4999999999999999E-2</v>
      </c>
      <c r="AE31" s="778"/>
      <c r="AF31" s="1485">
        <f>'11 - Notes Follow-up'!W45</f>
        <v>406039953</v>
      </c>
      <c r="AG31" s="1485">
        <f>'11 - Notes Follow-up'!V45</f>
        <v>3160047</v>
      </c>
      <c r="AH31" s="1485">
        <f>'12 - Notes Interest'!AC37</f>
        <v>588593.28</v>
      </c>
      <c r="AI31" s="778"/>
      <c r="AJ31" s="1485">
        <f>'11 - Notes Follow-up'!Y45</f>
        <v>99227.75</v>
      </c>
      <c r="AK31" s="1485">
        <f>'11bis - Notes Calculation'!AP37</f>
        <v>772.25</v>
      </c>
      <c r="AL31" s="1485">
        <f>'12 - Notes Interest'!AB37</f>
        <v>143.84</v>
      </c>
      <c r="AM31" s="778"/>
      <c r="AN31" s="772"/>
    </row>
    <row r="32" spans="1:40">
      <c r="A32" s="629"/>
      <c r="B32" s="767"/>
      <c r="C32" s="775">
        <f>'11 - Notes Follow-up'!B46</f>
        <v>45588</v>
      </c>
      <c r="D32" s="775"/>
      <c r="E32" s="776" t="str">
        <f>'12 - Notes Interest'!I38</f>
        <v/>
      </c>
      <c r="F32" s="777"/>
      <c r="G32" s="1485">
        <f>'11 - Notes Follow-up'!G46</f>
        <v>7773200000</v>
      </c>
      <c r="H32" s="1485">
        <f>'11 - Notes Follow-up'!F46</f>
        <v>0</v>
      </c>
      <c r="I32" s="1485" t="str">
        <f>'12 - Notes Interest'!K38</f>
        <v/>
      </c>
      <c r="J32" s="1485"/>
      <c r="K32" s="1485">
        <f>'11 - Notes Follow-up'!J46</f>
        <v>100000</v>
      </c>
      <c r="L32" s="1485">
        <f>'11 - Notes Follow-up'!I46</f>
        <v>0</v>
      </c>
      <c r="M32" s="1485" t="str">
        <f>'12 - Notes Interest'!J38</f>
        <v/>
      </c>
      <c r="N32" s="778"/>
      <c r="O32" s="775"/>
      <c r="P32" s="775"/>
      <c r="Q32" s="776"/>
      <c r="R32" s="777"/>
      <c r="S32" s="1485"/>
      <c r="T32" s="1485"/>
      <c r="U32" s="1485"/>
      <c r="V32" s="1485"/>
      <c r="W32" s="1485"/>
      <c r="X32" s="1485"/>
      <c r="Y32" s="1485"/>
      <c r="Z32" s="778"/>
      <c r="AA32" s="779"/>
      <c r="AB32" s="775">
        <f t="shared" si="1"/>
        <v>45588</v>
      </c>
      <c r="AC32" s="778"/>
      <c r="AD32" s="586" t="str">
        <f>'12 - Notes Interest'!AA38</f>
        <v/>
      </c>
      <c r="AE32" s="778"/>
      <c r="AF32" s="1485">
        <f>'11 - Notes Follow-up'!W46</f>
        <v>409200000</v>
      </c>
      <c r="AG32" s="1485">
        <f>'11 - Notes Follow-up'!V46</f>
        <v>0</v>
      </c>
      <c r="AH32" s="1485" t="str">
        <f>'12 - Notes Interest'!AC38</f>
        <v/>
      </c>
      <c r="AI32" s="778"/>
      <c r="AJ32" s="1485">
        <f>'11 - Notes Follow-up'!Y46</f>
        <v>100000</v>
      </c>
      <c r="AK32" s="1485">
        <f>'11bis - Notes Calculation'!AP38</f>
        <v>0</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3">IF(C36="","",1.5%)</f>
        <v/>
      </c>
      <c r="AE36" s="782"/>
      <c r="AF36" s="782" t="s">
        <v>143</v>
      </c>
      <c r="AG36" s="782" t="s">
        <v>143</v>
      </c>
      <c r="AH36" s="782" t="s">
        <v>143</v>
      </c>
      <c r="AI36" s="782"/>
      <c r="AJ36" s="782" t="s">
        <v>143</v>
      </c>
      <c r="AK36" s="782" t="s">
        <v>143</v>
      </c>
      <c r="AL36" s="782" t="s">
        <v>143</v>
      </c>
      <c r="AM36" s="782"/>
      <c r="AN36" s="784"/>
    </row>
    <row r="37" spans="1:40" ht="13" thickTop="1">
      <c r="I37" s="592" t="s">
        <v>143</v>
      </c>
      <c r="M37" s="592" t="s">
        <v>143</v>
      </c>
      <c r="U37" s="592" t="s">
        <v>143</v>
      </c>
      <c r="Y37" s="592" t="s">
        <v>143</v>
      </c>
      <c r="AD37" s="592" t="str">
        <f t="shared" si="3"/>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3"/>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3"/>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3"/>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3"/>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3"/>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3"/>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3"/>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3"/>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3"/>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3"/>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3"/>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3"/>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3"/>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3"/>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3"/>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3"/>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3"/>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3"/>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3"/>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3"/>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3"/>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3"/>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3"/>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3"/>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3"/>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3"/>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3"/>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3"/>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3"/>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3"/>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3"/>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3"/>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3"/>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3"/>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3"/>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3"/>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3"/>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3"/>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3"/>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4">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4"/>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4"/>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4"/>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4"/>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4"/>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4"/>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4"/>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4"/>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4"/>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4"/>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4"/>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4"/>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4"/>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4"/>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4"/>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4"/>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4"/>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4"/>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4"/>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4"/>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4"/>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4"/>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4"/>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4"/>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4"/>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4"/>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4"/>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4"/>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4"/>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4"/>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4"/>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4"/>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4"/>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4"/>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4"/>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4"/>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4"/>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4"/>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4"/>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4"/>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4"/>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4"/>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4"/>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4"/>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4"/>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4"/>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4"/>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4"/>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4"/>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4"/>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4"/>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4"/>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4"/>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4"/>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4"/>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4"/>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4"/>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4"/>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4"/>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4"/>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4"/>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4"/>
        <v/>
      </c>
      <c r="AF139" s="592" t="s">
        <v>143</v>
      </c>
      <c r="AG139" s="592" t="s">
        <v>143</v>
      </c>
      <c r="AH139" s="592" t="s">
        <v>143</v>
      </c>
      <c r="AJ139" s="592" t="s">
        <v>143</v>
      </c>
      <c r="AK139" s="592" t="s">
        <v>143</v>
      </c>
      <c r="AL139" s="592" t="s">
        <v>143</v>
      </c>
    </row>
    <row r="140" spans="9:38">
      <c r="M140" s="592" t="s">
        <v>143</v>
      </c>
      <c r="Y140" s="592" t="s">
        <v>143</v>
      </c>
      <c r="AD140" s="592" t="str">
        <f t="shared" si="4"/>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5" zoomScaleNormal="85" workbookViewId="0"/>
  </sheetViews>
  <sheetFormatPr defaultColWidth="11.453125" defaultRowHeight="12.5"/>
  <cols>
    <col min="1" max="1" width="2.7265625" style="592" customWidth="1"/>
    <col min="2" max="2" width="4.54296875" style="592" bestFit="1" customWidth="1"/>
    <col min="3" max="4" width="55" style="592" customWidth="1"/>
    <col min="5" max="5" width="24.26953125" style="592" customWidth="1"/>
    <col min="6" max="6" width="13.7265625" style="592" customWidth="1"/>
    <col min="7" max="7" width="6.453125" style="592" customWidth="1"/>
    <col min="8" max="8" width="5.453125" style="592" customWidth="1"/>
    <col min="9" max="9" width="18" style="592" bestFit="1" customWidth="1"/>
    <col min="10" max="11" width="11.453125" style="592"/>
    <col min="12" max="12" width="13.1796875" style="592" bestFit="1" customWidth="1"/>
    <col min="13" max="16384" width="11.453125" style="592"/>
  </cols>
  <sheetData>
    <row r="1" spans="1:7" ht="14.5" thickBot="1">
      <c r="A1" s="785" t="s">
        <v>203</v>
      </c>
      <c r="B1" s="596"/>
      <c r="C1" s="596"/>
      <c r="D1" s="596"/>
      <c r="E1" s="596"/>
      <c r="F1" s="596"/>
    </row>
    <row r="2" spans="1:7" ht="28.5" thickTop="1">
      <c r="A2" s="596"/>
      <c r="B2" s="786"/>
      <c r="C2" s="1186"/>
      <c r="D2" s="757"/>
      <c r="E2" s="534"/>
      <c r="F2" s="535"/>
    </row>
    <row r="3" spans="1:7" ht="14">
      <c r="A3" s="596"/>
      <c r="B3" s="623"/>
      <c r="C3" s="761"/>
      <c r="D3" s="596"/>
      <c r="E3" s="540"/>
      <c r="F3" s="541"/>
    </row>
    <row r="4" spans="1:7" ht="14">
      <c r="A4" s="596"/>
      <c r="B4" s="2110"/>
      <c r="C4" s="2111"/>
      <c r="D4" s="2112" t="s">
        <v>333</v>
      </c>
      <c r="E4" s="540"/>
      <c r="F4" s="541"/>
    </row>
    <row r="5" spans="1:7" ht="14">
      <c r="A5" s="596"/>
      <c r="B5" s="2110"/>
      <c r="C5" s="2111"/>
      <c r="D5" s="2112"/>
      <c r="E5" s="540"/>
      <c r="F5" s="541"/>
    </row>
    <row r="6" spans="1:7" ht="14">
      <c r="A6" s="596"/>
      <c r="B6" s="759"/>
      <c r="C6" s="596"/>
      <c r="D6" s="596"/>
      <c r="E6" s="540"/>
      <c r="F6" s="543"/>
    </row>
    <row r="7" spans="1:7" ht="14">
      <c r="A7" s="785"/>
      <c r="B7" s="762"/>
      <c r="C7" s="599"/>
      <c r="D7" s="599"/>
      <c r="E7" s="599"/>
      <c r="F7" s="627"/>
    </row>
    <row r="8" spans="1:7" ht="27" customHeight="1">
      <c r="A8" s="596"/>
      <c r="B8" s="2116" t="s">
        <v>633</v>
      </c>
      <c r="C8" s="2117"/>
      <c r="D8" s="2117"/>
      <c r="E8" s="596"/>
      <c r="F8" s="766"/>
    </row>
    <row r="9" spans="1:7" ht="23.25" customHeight="1">
      <c r="A9" s="629"/>
      <c r="B9" s="2118" t="s">
        <v>334</v>
      </c>
      <c r="C9" s="2119"/>
      <c r="D9" s="2119"/>
      <c r="E9" s="771"/>
      <c r="F9" s="787"/>
    </row>
    <row r="10" spans="1:7" ht="26.25" customHeight="1">
      <c r="A10" s="629" t="s">
        <v>335</v>
      </c>
      <c r="B10" s="788"/>
      <c r="C10" s="789" t="s">
        <v>336</v>
      </c>
      <c r="D10" s="789"/>
      <c r="E10" s="790">
        <f>'02 - Monthly Asset Follow up'!C17</f>
        <v>10826314196.07</v>
      </c>
      <c r="F10" s="787"/>
      <c r="G10" s="791"/>
    </row>
    <row r="11" spans="1:7" ht="27.75" customHeight="1">
      <c r="A11" s="629" t="s">
        <v>337</v>
      </c>
      <c r="B11" s="792" t="s">
        <v>125</v>
      </c>
      <c r="C11" s="793" t="s">
        <v>338</v>
      </c>
      <c r="D11" s="793"/>
      <c r="E11" s="794">
        <f>'02 - Monthly Asset Follow up'!E17</f>
        <v>57741420.229999997</v>
      </c>
      <c r="F11" s="787"/>
      <c r="G11" s="795"/>
    </row>
    <row r="12" spans="1:7" ht="18.75" customHeight="1">
      <c r="A12" s="796" t="s">
        <v>339</v>
      </c>
      <c r="B12" s="792" t="s">
        <v>125</v>
      </c>
      <c r="C12" s="793" t="s">
        <v>48</v>
      </c>
      <c r="D12" s="793"/>
      <c r="E12" s="794">
        <f>'02 - Monthly Asset Follow up'!F17</f>
        <v>21785339.800000001</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6910945.4800000004</v>
      </c>
      <c r="F14" s="787"/>
      <c r="G14" s="795"/>
    </row>
    <row r="15" spans="1:7" ht="38.25" customHeight="1">
      <c r="A15" s="629" t="s">
        <v>345</v>
      </c>
      <c r="B15" s="792" t="s">
        <v>125</v>
      </c>
      <c r="C15" s="2115" t="s">
        <v>346</v>
      </c>
      <c r="D15" s="2115"/>
      <c r="E15" s="794">
        <f>'02 - Monthly Asset Follow up'!N17</f>
        <v>7352411.6600000001</v>
      </c>
      <c r="F15" s="787"/>
      <c r="G15" s="795"/>
    </row>
    <row r="16" spans="1:7" ht="24" customHeight="1">
      <c r="A16" s="629"/>
      <c r="B16" s="792" t="s">
        <v>341</v>
      </c>
      <c r="C16" s="2115" t="s">
        <v>347</v>
      </c>
      <c r="D16" s="2115"/>
      <c r="E16" s="794">
        <f>'02 - Monthly Asset Follow up'!D17</f>
        <v>0</v>
      </c>
      <c r="F16" s="787"/>
      <c r="G16" s="795"/>
    </row>
    <row r="17" spans="1:12" ht="31.5" customHeight="1">
      <c r="A17" s="629" t="s">
        <v>348</v>
      </c>
      <c r="B17" s="792" t="s">
        <v>125</v>
      </c>
      <c r="C17" s="798" t="s">
        <v>349</v>
      </c>
      <c r="D17" s="798"/>
      <c r="E17" s="799">
        <f>'02 - Monthly Asset Follow up'!K17+'02 - Monthly Asset Follow up'!L17</f>
        <v>1114351.0900000001</v>
      </c>
      <c r="F17" s="787"/>
      <c r="G17" s="791"/>
    </row>
    <row r="18" spans="1:12" ht="21" customHeight="1">
      <c r="A18" s="629" t="s">
        <v>350</v>
      </c>
      <c r="B18" s="800"/>
      <c r="C18" s="801" t="s">
        <v>351</v>
      </c>
      <c r="D18" s="801"/>
      <c r="E18" s="802">
        <f>E10-E11-E12+E13-E14-E15+E16-E17</f>
        <v>10731409727.810001</v>
      </c>
      <c r="F18" s="787"/>
      <c r="G18" s="803"/>
      <c r="I18" s="807"/>
      <c r="L18" s="807"/>
    </row>
    <row r="19" spans="1:12" ht="13" thickBot="1">
      <c r="A19" s="629"/>
      <c r="B19" s="804"/>
      <c r="C19" s="805"/>
      <c r="D19" s="805"/>
      <c r="E19" s="805"/>
      <c r="F19" s="806"/>
    </row>
    <row r="20" spans="1:12" ht="13"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85" zoomScaleNormal="80" zoomScaleSheetLayoutView="85" workbookViewId="0"/>
  </sheetViews>
  <sheetFormatPr defaultColWidth="11.453125" defaultRowHeight="12.5"/>
  <cols>
    <col min="1" max="1" width="2.7265625" style="592" customWidth="1"/>
    <col min="2" max="2" width="1.26953125" style="592" customWidth="1"/>
    <col min="3" max="3" width="4.54296875" style="592" bestFit="1" customWidth="1"/>
    <col min="4" max="4" width="31.1796875" style="592" customWidth="1"/>
    <col min="5" max="6" width="30.7265625" style="592" customWidth="1"/>
    <col min="7" max="7" width="21" style="592" customWidth="1"/>
    <col min="8" max="8" width="21.26953125" style="592" customWidth="1"/>
    <col min="9" max="9" width="13.7265625" style="592" customWidth="1"/>
    <col min="10" max="10" width="16.1796875" style="592" customWidth="1"/>
    <col min="11" max="16384" width="11.453125" style="592"/>
  </cols>
  <sheetData>
    <row r="1" spans="1:9" ht="14.5" thickBot="1">
      <c r="A1" s="785"/>
      <c r="B1" s="785"/>
      <c r="C1" s="596"/>
      <c r="D1" s="596"/>
      <c r="E1" s="596"/>
      <c r="F1" s="596"/>
      <c r="G1" s="596"/>
      <c r="H1" s="596"/>
      <c r="I1" s="596"/>
    </row>
    <row r="2" spans="1:9" ht="28.5" thickTop="1">
      <c r="A2" s="808"/>
      <c r="B2" s="809"/>
      <c r="C2" s="1186"/>
      <c r="D2" s="810"/>
      <c r="E2" s="811"/>
      <c r="F2" s="811"/>
      <c r="G2" s="534"/>
      <c r="H2" s="534" t="s">
        <v>232</v>
      </c>
      <c r="I2" s="535">
        <f>'Cover Page'!$C$16</f>
        <v>46203</v>
      </c>
    </row>
    <row r="3" spans="1:9" ht="14">
      <c r="A3" s="596"/>
      <c r="B3" s="759"/>
      <c r="C3" s="596"/>
      <c r="D3" s="596"/>
      <c r="E3" s="596"/>
      <c r="F3" s="596"/>
      <c r="G3" s="540"/>
      <c r="H3" s="540" t="s">
        <v>233</v>
      </c>
      <c r="I3" s="541">
        <f>'Cover Page'!$C$17</f>
        <v>46218</v>
      </c>
    </row>
    <row r="4" spans="1:9" ht="14">
      <c r="A4" s="596"/>
      <c r="B4" s="759"/>
      <c r="C4" s="2122"/>
      <c r="D4" s="2122"/>
      <c r="E4" s="2122"/>
      <c r="F4" s="2123" t="s">
        <v>352</v>
      </c>
      <c r="G4" s="540"/>
      <c r="H4" s="540" t="s">
        <v>234</v>
      </c>
      <c r="I4" s="541">
        <f>'Cover Page'!$C$18</f>
        <v>46223</v>
      </c>
    </row>
    <row r="5" spans="1:9" ht="14">
      <c r="A5" s="596"/>
      <c r="B5" s="759"/>
      <c r="C5" s="2122"/>
      <c r="D5" s="2122"/>
      <c r="E5" s="2122"/>
      <c r="F5" s="2123"/>
      <c r="G5" s="540"/>
      <c r="H5" s="540" t="s">
        <v>235</v>
      </c>
      <c r="I5" s="541">
        <f>'Cover Page'!$C$19</f>
        <v>46230</v>
      </c>
    </row>
    <row r="6" spans="1:9" ht="14">
      <c r="A6" s="596"/>
      <c r="B6" s="759"/>
      <c r="C6" s="596"/>
      <c r="D6" s="596"/>
      <c r="E6" s="596"/>
      <c r="F6" s="596"/>
      <c r="G6" s="540"/>
      <c r="H6" s="540" t="s">
        <v>236</v>
      </c>
      <c r="I6" s="543">
        <f>'00 - Cover'!$F$29</f>
        <v>21</v>
      </c>
    </row>
    <row r="7" spans="1:9" ht="14">
      <c r="A7" s="785"/>
      <c r="B7" s="812"/>
      <c r="C7" s="599"/>
      <c r="D7" s="599"/>
      <c r="E7" s="599"/>
      <c r="F7" s="599"/>
      <c r="G7" s="599"/>
      <c r="H7" s="599"/>
      <c r="I7" s="627"/>
    </row>
    <row r="8" spans="1:9" ht="22.5" customHeight="1">
      <c r="A8" s="813"/>
      <c r="B8" s="814"/>
      <c r="C8" s="1174" t="s">
        <v>353</v>
      </c>
      <c r="D8" s="1187"/>
      <c r="E8" s="1188"/>
      <c r="F8" s="816"/>
      <c r="G8" s="629"/>
      <c r="H8" s="629"/>
      <c r="I8" s="772"/>
    </row>
    <row r="9" spans="1:9" ht="13">
      <c r="A9" s="813"/>
      <c r="B9" s="817"/>
      <c r="C9" s="2124" t="s">
        <v>354</v>
      </c>
      <c r="D9" s="2124"/>
      <c r="E9" s="2124"/>
      <c r="F9" s="818"/>
      <c r="G9" s="819"/>
      <c r="H9" s="771"/>
      <c r="I9" s="772"/>
    </row>
    <row r="10" spans="1:9" ht="66.75" customHeight="1">
      <c r="A10" s="813"/>
      <c r="B10" s="817"/>
      <c r="C10" s="820" t="s">
        <v>27</v>
      </c>
      <c r="D10" s="2125" t="s">
        <v>355</v>
      </c>
      <c r="E10" s="2125"/>
      <c r="F10" s="2125"/>
      <c r="G10" s="2125"/>
      <c r="H10" s="821">
        <f>'03 - Monthly Collection'!T13</f>
        <v>94723975.680000007</v>
      </c>
      <c r="I10" s="772"/>
    </row>
    <row r="11" spans="1:9" ht="25.5" customHeight="1">
      <c r="A11" s="813"/>
      <c r="B11" s="817"/>
      <c r="C11" s="820" t="s">
        <v>28</v>
      </c>
      <c r="D11" s="2126" t="s">
        <v>356</v>
      </c>
      <c r="E11" s="2126"/>
      <c r="F11" s="2126"/>
      <c r="G11" s="2126"/>
      <c r="H11" s="822">
        <f>'03 - Monthly Collection'!AN13</f>
        <v>57371.88</v>
      </c>
      <c r="I11" s="772"/>
    </row>
    <row r="12" spans="1:9" ht="13">
      <c r="A12" s="813"/>
      <c r="B12" s="817"/>
      <c r="C12" s="819"/>
      <c r="D12" s="2127" t="s">
        <v>357</v>
      </c>
      <c r="E12" s="2127"/>
      <c r="F12" s="823"/>
      <c r="G12" s="819"/>
      <c r="H12" s="824">
        <f>H10+H11</f>
        <v>94781347.560000002</v>
      </c>
      <c r="I12" s="772"/>
    </row>
    <row r="13" spans="1:9" ht="32.25" customHeight="1">
      <c r="A13" s="813"/>
      <c r="B13" s="817"/>
      <c r="C13" s="825"/>
      <c r="D13" s="825"/>
      <c r="E13" s="825"/>
      <c r="F13" s="825"/>
      <c r="G13" s="825"/>
      <c r="H13" s="825"/>
      <c r="I13" s="826"/>
    </row>
    <row r="14" spans="1:9" ht="15.5">
      <c r="A14" s="813"/>
      <c r="B14" s="814"/>
      <c r="C14" s="1174" t="s">
        <v>358</v>
      </c>
      <c r="D14" s="1189"/>
      <c r="E14" s="1189"/>
      <c r="F14" s="827"/>
      <c r="G14" s="629"/>
      <c r="H14" s="629"/>
      <c r="I14" s="772"/>
    </row>
    <row r="15" spans="1:9" ht="13">
      <c r="A15" s="813"/>
      <c r="B15" s="817"/>
      <c r="C15" s="2124" t="s">
        <v>359</v>
      </c>
      <c r="D15" s="2124"/>
      <c r="E15" s="2124"/>
      <c r="F15" s="818"/>
      <c r="G15" s="819"/>
      <c r="H15" s="771"/>
      <c r="I15" s="772"/>
    </row>
    <row r="16" spans="1:9" ht="13">
      <c r="A16" s="813"/>
      <c r="B16" s="817"/>
      <c r="C16" s="828"/>
      <c r="D16" s="2128" t="s">
        <v>360</v>
      </c>
      <c r="E16" s="2128"/>
      <c r="F16" s="829"/>
      <c r="G16" s="830"/>
      <c r="H16" s="831"/>
      <c r="I16" s="772"/>
    </row>
    <row r="17" spans="1:9" ht="21.75" customHeight="1">
      <c r="A17" s="813"/>
      <c r="B17" s="817"/>
      <c r="C17" s="832" t="s">
        <v>27</v>
      </c>
      <c r="D17" s="2121" t="str">
        <f>'15 - Priority of Payments'!F11</f>
        <v xml:space="preserve">(a)	 the Available Collections in relation to the immediately preceding Collection Period; </v>
      </c>
      <c r="E17" s="2121"/>
      <c r="F17" s="2121"/>
      <c r="G17" s="2121"/>
      <c r="H17" s="834">
        <f>'15 - Priority of Payments'!J11</f>
        <v>94781347.560000002</v>
      </c>
      <c r="I17" s="772"/>
    </row>
    <row r="18" spans="1:9" ht="25.5" customHeight="1">
      <c r="A18" s="813"/>
      <c r="B18" s="817"/>
      <c r="C18" s="828" t="s">
        <v>28</v>
      </c>
      <c r="D18" s="2121" t="str">
        <f>'15 - Priority of Payments'!F12</f>
        <v>(b) 	any amounts standing to the credit of the Operating Account and which were debited from the General Reserve Account on or before such Payment Date;</v>
      </c>
      <c r="E18" s="2121"/>
      <c r="F18" s="2121"/>
      <c r="G18" s="2121"/>
      <c r="H18" s="834">
        <f>'15 - Priority of Payments'!J12</f>
        <v>450000</v>
      </c>
      <c r="I18" s="772"/>
    </row>
    <row r="19" spans="1:9" ht="22.5" customHeight="1">
      <c r="A19" s="813"/>
      <c r="B19" s="817"/>
      <c r="C19" s="832" t="s">
        <v>29</v>
      </c>
      <c r="D19" s="2121" t="str">
        <f>'15 - Priority of Payments'!F13</f>
        <v>(c) 	any amounts standing to the credit of the Operating Account which were debited from the Commingling Reserve Account on the preceding Settlement Date;</v>
      </c>
      <c r="E19" s="2121"/>
      <c r="F19" s="2121"/>
      <c r="G19" s="2121"/>
      <c r="H19" s="834">
        <f>'15 - Priority of Payments'!J13</f>
        <v>0</v>
      </c>
      <c r="I19" s="772"/>
    </row>
    <row r="20" spans="1:9" ht="31.5" customHeight="1">
      <c r="A20" s="813"/>
      <c r="B20" s="817"/>
      <c r="C20" s="832" t="s">
        <v>30</v>
      </c>
      <c r="D20" s="2121" t="str">
        <f>'15 - Priority of Payments'!F14</f>
        <v>(d) 	any Financial Income (positive or negative) in relation to the immediately preceding calendar month;</v>
      </c>
      <c r="E20" s="2121"/>
      <c r="F20" s="2121"/>
      <c r="G20" s="2121"/>
      <c r="H20" s="834">
        <f>'15 - Priority of Payments'!J14</f>
        <v>0</v>
      </c>
      <c r="I20" s="772"/>
    </row>
    <row r="21" spans="1:9" ht="30" customHeight="1">
      <c r="A21" s="813"/>
      <c r="B21" s="817"/>
      <c r="C21" s="836" t="s">
        <v>31</v>
      </c>
      <c r="D21" s="2121" t="str">
        <f>'15 - Priority of Payments'!F15</f>
        <v>(e) 	any Repurchased Amount of Repurchased Home Loan Receivables paid by the Seller to the Issuer with respect to loans to be repurchased on the Repurchase Date falling on such Payment Date;</v>
      </c>
      <c r="E21" s="2121"/>
      <c r="F21" s="2121"/>
      <c r="G21" s="2121"/>
      <c r="H21" s="834">
        <f>'15 - Priority of Payments'!J15</f>
        <v>7753809.8311999999</v>
      </c>
      <c r="I21" s="772"/>
    </row>
    <row r="22" spans="1:9" ht="36.75" customHeight="1">
      <c r="A22" s="813"/>
      <c r="B22" s="817"/>
      <c r="C22" s="828" t="s">
        <v>32</v>
      </c>
      <c r="D22" s="2121" t="str">
        <f>'15 - Priority of Payments'!F16</f>
        <v>(f) 	any Rescission Amount with respect to Rescinded Purchased Home Loan Receivables, the Rescission Date of which will be on such Payment Date;</v>
      </c>
      <c r="E22" s="2121"/>
      <c r="F22" s="2121"/>
      <c r="G22" s="2121"/>
      <c r="H22" s="834">
        <f>'15 - Priority of Payments'!J16</f>
        <v>7382652.8500000006</v>
      </c>
      <c r="I22" s="772"/>
    </row>
    <row r="23" spans="1:9" ht="34.5" customHeight="1">
      <c r="A23" s="813"/>
      <c r="B23" s="817"/>
      <c r="C23" s="828" t="s">
        <v>33</v>
      </c>
      <c r="D23" s="2121" t="str">
        <f>'15 - Priority of Payments'!F17</f>
        <v>(g) 	any other amount standing to the credit of the Operating Account at the end of the Collection Period immediately preceding such Payment Date;</v>
      </c>
      <c r="E23" s="2121"/>
      <c r="F23" s="2121"/>
      <c r="G23" s="2121"/>
      <c r="H23" s="834">
        <f>'15 - Priority of Payments'!J17</f>
        <v>0</v>
      </c>
      <c r="I23" s="772"/>
    </row>
    <row r="24" spans="1:9" ht="47.25" customHeight="1">
      <c r="A24" s="813"/>
      <c r="B24" s="817"/>
      <c r="C24" s="828" t="s">
        <v>34</v>
      </c>
      <c r="D24" s="2121"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21"/>
      <c r="F24" s="2121"/>
      <c r="G24" s="2121"/>
      <c r="H24" s="834">
        <f>'15 - Priority of Payments'!J18</f>
        <v>0</v>
      </c>
      <c r="I24" s="772"/>
    </row>
    <row r="25" spans="1:9" ht="45" customHeight="1">
      <c r="A25" s="813"/>
      <c r="B25" s="817"/>
      <c r="C25" s="828" t="s">
        <v>35</v>
      </c>
      <c r="D25" s="2121" t="str">
        <f>'15 - Priority of Payments'!F19</f>
        <v>(i)	 any amount payable under item (D) or item (F) of the relevant Priority of Payments which has been kept on the Operating Account (due to the rounding of payments on a single Note) on the immediately preceding Payment Date; and</v>
      </c>
      <c r="E25" s="2121"/>
      <c r="F25" s="2121"/>
      <c r="G25" s="2121"/>
      <c r="H25" s="834">
        <f>'15 - Priority of Payments'!J19</f>
        <v>638.85000146087259</v>
      </c>
      <c r="I25" s="772"/>
    </row>
    <row r="26" spans="1:9" ht="47.25" customHeight="1">
      <c r="A26" s="813"/>
      <c r="B26" s="817"/>
      <c r="C26" s="828" t="s">
        <v>36</v>
      </c>
      <c r="D26" s="2121"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21"/>
      <c r="F26" s="2121"/>
      <c r="G26" s="2121"/>
      <c r="H26" s="834">
        <f>'15 - Priority of Payments'!J20</f>
        <v>0</v>
      </c>
      <c r="I26" s="772"/>
    </row>
    <row r="27" spans="1:9">
      <c r="A27" s="813"/>
      <c r="B27" s="817"/>
      <c r="C27" s="828"/>
      <c r="D27" s="837"/>
      <c r="E27" s="837"/>
      <c r="F27" s="837"/>
      <c r="G27" s="837"/>
      <c r="H27" s="838"/>
      <c r="I27" s="772"/>
    </row>
    <row r="28" spans="1:9" ht="13">
      <c r="A28" s="813"/>
      <c r="B28" s="817"/>
      <c r="C28" s="819"/>
      <c r="D28" s="2120" t="s">
        <v>361</v>
      </c>
      <c r="E28" s="2120"/>
      <c r="F28" s="839"/>
      <c r="G28" s="819"/>
      <c r="H28" s="824">
        <f>SUM(H17:H26)</f>
        <v>110368449.09120145</v>
      </c>
      <c r="I28" s="772"/>
    </row>
    <row r="29" spans="1:9" ht="13" thickBot="1">
      <c r="B29" s="612"/>
      <c r="C29" s="613"/>
      <c r="D29" s="613"/>
      <c r="E29" s="613"/>
      <c r="F29" s="613"/>
      <c r="G29" s="613"/>
      <c r="H29" s="613"/>
      <c r="I29" s="614"/>
    </row>
    <row r="30" spans="1:9" ht="13"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defaultColWidth="11.453125" defaultRowHeight="12.5"/>
  <cols>
    <col min="1" max="1" width="3.7265625" style="592" customWidth="1"/>
    <col min="2" max="2" width="3.81640625" style="592" customWidth="1"/>
    <col min="3" max="3" width="10.7265625" style="592" customWidth="1"/>
    <col min="4" max="4" width="17.7265625" style="592" customWidth="1"/>
    <col min="5" max="5" width="20.7265625" style="592" customWidth="1"/>
    <col min="6" max="6" width="26.26953125" style="592" bestFit="1" customWidth="1"/>
    <col min="7" max="7" width="32.7265625" style="592" customWidth="1"/>
    <col min="8" max="8" width="20.7265625" style="592" customWidth="1"/>
    <col min="9" max="9" width="14.81640625" style="592" customWidth="1"/>
    <col min="10" max="10" width="4.7265625" style="592" customWidth="1"/>
    <col min="11" max="11" width="11.453125" style="592"/>
    <col min="12" max="12" width="14.7265625" style="592" bestFit="1" customWidth="1"/>
    <col min="13" max="16384" width="11.453125" style="592"/>
  </cols>
  <sheetData>
    <row r="1" spans="1:12" ht="14.5" thickBot="1">
      <c r="A1" s="785"/>
      <c r="B1" s="785"/>
      <c r="C1" s="596"/>
      <c r="D1" s="596"/>
      <c r="E1" s="596"/>
      <c r="F1" s="596"/>
      <c r="G1" s="596"/>
      <c r="H1" s="596"/>
      <c r="I1" s="596"/>
    </row>
    <row r="2" spans="1:12" ht="28.5" thickTop="1">
      <c r="A2" s="808"/>
      <c r="B2" s="809"/>
      <c r="C2" s="755"/>
      <c r="D2" s="810"/>
      <c r="E2" s="811"/>
      <c r="F2" s="811"/>
      <c r="G2" s="534"/>
      <c r="H2" s="534" t="s">
        <v>232</v>
      </c>
      <c r="I2" s="535">
        <f>'Cover Page'!$C$16</f>
        <v>46203</v>
      </c>
    </row>
    <row r="3" spans="1:12" ht="14">
      <c r="A3" s="596"/>
      <c r="B3" s="759"/>
      <c r="C3" s="596"/>
      <c r="D3" s="596"/>
      <c r="E3" s="596"/>
      <c r="F3" s="596"/>
      <c r="G3" s="540"/>
      <c r="H3" s="540" t="s">
        <v>233</v>
      </c>
      <c r="I3" s="541">
        <f>'Cover Page'!$C$17</f>
        <v>46218</v>
      </c>
    </row>
    <row r="4" spans="1:12" ht="14">
      <c r="A4" s="596"/>
      <c r="B4" s="759"/>
      <c r="C4" s="2131"/>
      <c r="D4" s="2131"/>
      <c r="E4" s="2131"/>
      <c r="F4" s="2123"/>
      <c r="G4" s="540"/>
      <c r="H4" s="540" t="s">
        <v>234</v>
      </c>
      <c r="I4" s="541">
        <f>'Cover Page'!$C$18</f>
        <v>46223</v>
      </c>
    </row>
    <row r="5" spans="1:12" ht="14">
      <c r="A5" s="596"/>
      <c r="B5" s="759"/>
      <c r="C5" s="2131"/>
      <c r="D5" s="2131"/>
      <c r="E5" s="2131"/>
      <c r="F5" s="2123"/>
      <c r="G5" s="540"/>
      <c r="H5" s="540" t="s">
        <v>235</v>
      </c>
      <c r="I5" s="541">
        <f>'Cover Page'!$C$19</f>
        <v>46230</v>
      </c>
    </row>
    <row r="6" spans="1:12" ht="14">
      <c r="A6" s="596"/>
      <c r="B6" s="759"/>
      <c r="C6" s="596"/>
      <c r="D6" s="596"/>
      <c r="E6" s="596"/>
      <c r="F6" s="596"/>
      <c r="G6" s="540"/>
      <c r="H6" s="540" t="s">
        <v>236</v>
      </c>
      <c r="I6" s="543">
        <f>'00 - Cover'!$F$29</f>
        <v>21</v>
      </c>
    </row>
    <row r="7" spans="1:12" ht="14">
      <c r="A7" s="785"/>
      <c r="B7" s="812"/>
      <c r="C7" s="599"/>
      <c r="D7" s="599"/>
      <c r="E7" s="599"/>
      <c r="F7" s="599"/>
      <c r="G7" s="599"/>
      <c r="H7" s="599"/>
      <c r="I7" s="627"/>
    </row>
    <row r="8" spans="1:12" ht="22.5" customHeight="1">
      <c r="A8" s="813"/>
      <c r="B8" s="814"/>
      <c r="C8" s="1174" t="s">
        <v>1105</v>
      </c>
      <c r="D8" s="815"/>
      <c r="E8" s="816"/>
      <c r="F8" s="816"/>
      <c r="G8" s="629"/>
      <c r="H8" s="629"/>
      <c r="I8" s="772"/>
    </row>
    <row r="9" spans="1:12" ht="13">
      <c r="A9" s="813"/>
      <c r="B9" s="817"/>
      <c r="C9" s="2132"/>
      <c r="D9" s="2132"/>
      <c r="E9" s="2132"/>
      <c r="F9" s="818"/>
      <c r="G9" s="819"/>
      <c r="H9" s="771"/>
      <c r="I9" s="772"/>
    </row>
    <row r="10" spans="1:12" ht="28.5" customHeight="1">
      <c r="A10" s="813"/>
      <c r="B10" s="817"/>
      <c r="C10" s="820" t="s">
        <v>27</v>
      </c>
      <c r="D10" s="2125" t="s">
        <v>1137</v>
      </c>
      <c r="E10" s="2125"/>
      <c r="F10" s="2125"/>
      <c r="G10" s="2125"/>
      <c r="H10" s="922">
        <f>'10 - Reserve calculation'!H13</f>
        <v>51430000</v>
      </c>
      <c r="I10" s="772"/>
    </row>
    <row r="11" spans="1:12" ht="34.5" customHeight="1">
      <c r="A11" s="813"/>
      <c r="B11" s="817"/>
      <c r="C11" s="820"/>
      <c r="D11" s="2133" t="s">
        <v>1106</v>
      </c>
      <c r="E11" s="2133"/>
      <c r="F11" s="2133"/>
      <c r="G11" s="2133"/>
      <c r="H11" s="821">
        <f>'10 - Reserve calculation'!I12</f>
        <v>51430000</v>
      </c>
      <c r="I11" s="772"/>
    </row>
    <row r="12" spans="1:12" ht="34.5" customHeight="1">
      <c r="A12" s="813"/>
      <c r="B12" s="817"/>
      <c r="C12" s="820"/>
      <c r="D12" s="2134" t="s">
        <v>1107</v>
      </c>
      <c r="E12" s="2134"/>
      <c r="F12" s="2134"/>
      <c r="G12" s="2134"/>
      <c r="H12" s="821">
        <f>'10 - Reserve calculation'!H12</f>
        <v>50980000</v>
      </c>
      <c r="I12" s="772"/>
      <c r="L12" s="807"/>
    </row>
    <row r="13" spans="1:12" ht="25.5" customHeight="1">
      <c r="A13" s="813"/>
      <c r="B13" s="817"/>
      <c r="C13" s="820"/>
      <c r="D13" s="2129"/>
      <c r="E13" s="2129"/>
      <c r="F13" s="2129"/>
      <c r="G13" s="2129"/>
      <c r="H13" s="822"/>
      <c r="I13" s="772"/>
    </row>
    <row r="14" spans="1:12" ht="13">
      <c r="A14" s="813"/>
      <c r="B14" s="817"/>
      <c r="C14" s="819"/>
      <c r="D14" s="923" t="s">
        <v>1887</v>
      </c>
      <c r="E14" s="923"/>
      <c r="F14" s="823"/>
      <c r="G14" s="819"/>
      <c r="H14" s="824">
        <f>H12</f>
        <v>50980000</v>
      </c>
      <c r="I14" s="772"/>
    </row>
    <row r="15" spans="1:12" ht="13">
      <c r="A15" s="813"/>
      <c r="B15" s="817"/>
      <c r="C15" s="819"/>
      <c r="D15" s="823"/>
      <c r="E15" s="823"/>
      <c r="F15" s="823"/>
      <c r="G15" s="819"/>
      <c r="H15" s="924"/>
      <c r="I15" s="772"/>
    </row>
    <row r="16" spans="1:12" ht="13">
      <c r="A16" s="813"/>
      <c r="B16" s="817"/>
      <c r="C16" s="819"/>
      <c r="D16" s="925" t="s">
        <v>386</v>
      </c>
      <c r="E16" s="823"/>
      <c r="F16" s="823"/>
      <c r="G16" s="819"/>
      <c r="H16" s="924">
        <f>H11-H12</f>
        <v>450000</v>
      </c>
      <c r="I16" s="772"/>
    </row>
    <row r="17" spans="1:9" ht="13">
      <c r="A17" s="813"/>
      <c r="B17" s="817"/>
      <c r="C17" s="819"/>
      <c r="D17" s="823"/>
      <c r="E17" s="823"/>
      <c r="F17" s="823"/>
      <c r="G17" s="819"/>
      <c r="H17" s="924"/>
      <c r="I17" s="772"/>
    </row>
    <row r="18" spans="1:9" ht="15.5">
      <c r="A18" s="813"/>
      <c r="B18" s="817"/>
      <c r="C18" s="1174" t="s">
        <v>387</v>
      </c>
      <c r="D18" s="823"/>
      <c r="E18" s="823"/>
      <c r="F18" s="823"/>
      <c r="G18" s="819"/>
      <c r="H18" s="924"/>
      <c r="I18" s="772"/>
    </row>
    <row r="19" spans="1:9" ht="51.75" customHeight="1">
      <c r="A19" s="813"/>
      <c r="B19" s="817"/>
      <c r="C19" s="926" t="s">
        <v>388</v>
      </c>
      <c r="D19" s="2130" t="str">
        <f>'13 - Issuer Account'!K37</f>
        <v>(A) Available Distribution Amount (without considering any use of the General Reserve Deposit)</v>
      </c>
      <c r="E19" s="2130"/>
      <c r="F19" s="2130"/>
      <c r="G19" s="2130"/>
      <c r="H19" s="924">
        <f>'13 - Issuer Account'!M37</f>
        <v>0</v>
      </c>
      <c r="I19" s="772"/>
    </row>
    <row r="20" spans="1:9" ht="61.5" customHeight="1">
      <c r="A20" s="813"/>
      <c r="B20" s="817"/>
      <c r="C20" s="926" t="s">
        <v>389</v>
      </c>
      <c r="D20" s="2130"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30"/>
      <c r="F20" s="2130"/>
      <c r="G20" s="2130"/>
      <c r="H20" s="924">
        <f>'13 - Issuer Account'!M38</f>
        <v>0</v>
      </c>
      <c r="I20" s="772"/>
    </row>
    <row r="21" spans="1:9" ht="27" customHeight="1">
      <c r="A21" s="813"/>
      <c r="B21" s="817"/>
      <c r="C21" s="926" t="s">
        <v>390</v>
      </c>
      <c r="D21" s="2130" t="str">
        <f>'13 - Issuer Account'!K39</f>
        <v>(C)	 on a pro rata and pari passu basis, any due and payable Class A Notes Interest Amounts on the Class A Notes;</v>
      </c>
      <c r="E21" s="2130"/>
      <c r="F21" s="2130"/>
      <c r="G21" s="2130"/>
      <c r="H21" s="924">
        <f>'13 - Issuer Account'!M39</f>
        <v>0</v>
      </c>
      <c r="I21" s="772"/>
    </row>
    <row r="22" spans="1:9" ht="13">
      <c r="A22" s="813"/>
      <c r="B22" s="817"/>
      <c r="C22" s="819"/>
      <c r="D22" s="823"/>
      <c r="E22" s="823"/>
      <c r="F22" s="823"/>
      <c r="G22" s="819"/>
      <c r="H22" s="924"/>
      <c r="I22" s="772"/>
    </row>
    <row r="23" spans="1:9" ht="13">
      <c r="A23" s="813"/>
      <c r="B23" s="817"/>
      <c r="C23" s="819"/>
      <c r="D23" s="923" t="str">
        <f>'13 - Issuer Account'!K40</f>
        <v>Liquidity Shortfall Max (B+C-A;0)</v>
      </c>
      <c r="E23" s="923"/>
      <c r="F23" s="823"/>
      <c r="G23" s="819"/>
      <c r="H23" s="824">
        <v>0</v>
      </c>
      <c r="I23" s="772"/>
    </row>
    <row r="24" spans="1:9" ht="13">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5" zoomScaleNormal="100" zoomScaleSheetLayoutView="85" workbookViewId="0"/>
  </sheetViews>
  <sheetFormatPr defaultColWidth="9.1796875" defaultRowHeight="13"/>
  <cols>
    <col min="1" max="1" width="2.54296875" style="841" customWidth="1"/>
    <col min="2" max="2" width="4.453125" style="842" bestFit="1" customWidth="1"/>
    <col min="3" max="3" width="40.26953125" style="842" customWidth="1"/>
    <col min="4" max="4" width="38" style="843" customWidth="1"/>
    <col min="5" max="6" width="20.26953125" style="843" customWidth="1"/>
    <col min="7" max="8" width="20.26953125" style="842" customWidth="1"/>
    <col min="9" max="9" width="1.7265625" style="844" customWidth="1"/>
    <col min="10" max="10" width="17" style="842" bestFit="1" customWidth="1"/>
    <col min="11" max="11" width="20" style="845" customWidth="1"/>
    <col min="12" max="12" width="11.26953125" style="846" bestFit="1" customWidth="1"/>
    <col min="13" max="13" width="14.81640625" style="846" customWidth="1"/>
    <col min="14" max="14" width="3.453125" style="846" customWidth="1"/>
    <col min="15" max="15" width="12.453125" style="846" customWidth="1"/>
    <col min="16" max="17" width="9.1796875" style="846"/>
    <col min="18" max="18" width="3.54296875" style="846" customWidth="1"/>
    <col min="19" max="19" width="22.26953125" style="846" customWidth="1"/>
    <col min="20" max="16384" width="9.1796875" style="841"/>
  </cols>
  <sheetData>
    <row r="1" spans="1:19" s="592" customFormat="1" ht="14.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46203</v>
      </c>
    </row>
    <row r="3" spans="1:19" s="592" customFormat="1" ht="14">
      <c r="A3" s="596"/>
      <c r="B3" s="759"/>
      <c r="C3" s="516"/>
      <c r="D3" s="596"/>
      <c r="E3" s="596"/>
      <c r="F3" s="596"/>
      <c r="G3" s="596"/>
      <c r="H3" s="596"/>
      <c r="I3" s="596"/>
      <c r="J3" s="540" t="s">
        <v>233</v>
      </c>
      <c r="K3" s="541">
        <f>'Cover Page'!$C$17</f>
        <v>46218</v>
      </c>
    </row>
    <row r="4" spans="1:19" s="592" customFormat="1" ht="14.25" customHeight="1">
      <c r="A4" s="596"/>
      <c r="B4" s="759"/>
      <c r="C4" s="760"/>
      <c r="D4" s="760"/>
      <c r="E4" s="760" t="s">
        <v>362</v>
      </c>
      <c r="F4" s="760"/>
      <c r="G4" s="596"/>
      <c r="H4" s="840"/>
      <c r="I4" s="840"/>
      <c r="J4" s="540" t="s">
        <v>234</v>
      </c>
      <c r="K4" s="541">
        <f>'Cover Page'!$C$18</f>
        <v>46223</v>
      </c>
    </row>
    <row r="5" spans="1:19" s="592" customFormat="1" ht="14.25" customHeight="1">
      <c r="A5" s="596"/>
      <c r="B5" s="759"/>
      <c r="C5" s="760"/>
      <c r="D5" s="760"/>
      <c r="E5" s="760"/>
      <c r="F5" s="760"/>
      <c r="G5" s="596"/>
      <c r="H5" s="840"/>
      <c r="I5" s="840"/>
      <c r="J5" s="540" t="s">
        <v>235</v>
      </c>
      <c r="K5" s="541">
        <f>'Cover Page'!$C$19</f>
        <v>46230</v>
      </c>
    </row>
    <row r="6" spans="1:19" s="592" customFormat="1" ht="14">
      <c r="A6" s="596"/>
      <c r="B6" s="759"/>
      <c r="C6" s="761"/>
      <c r="D6" s="596"/>
      <c r="E6" s="596"/>
      <c r="F6" s="596"/>
      <c r="G6" s="596"/>
      <c r="H6" s="596"/>
      <c r="I6" s="596"/>
      <c r="J6" s="540" t="s">
        <v>236</v>
      </c>
      <c r="K6" s="543">
        <f>'00 - Cover'!$F$29</f>
        <v>21</v>
      </c>
    </row>
    <row r="7" spans="1:19" s="592" customFormat="1" ht="14">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35" t="s">
        <v>368</v>
      </c>
      <c r="I12" s="2135"/>
      <c r="J12" s="1172" t="s">
        <v>189</v>
      </c>
      <c r="K12" s="1173" t="s">
        <v>369</v>
      </c>
      <c r="L12" s="855"/>
      <c r="M12" s="847"/>
      <c r="N12" s="855"/>
      <c r="O12" s="855"/>
      <c r="P12" s="855"/>
      <c r="Q12" s="855"/>
      <c r="R12" s="855"/>
      <c r="S12" s="855"/>
    </row>
    <row r="13" spans="1:19" s="842" customFormat="1" ht="12.5">
      <c r="B13" s="856"/>
      <c r="C13" s="857" t="s">
        <v>370</v>
      </c>
      <c r="D13" s="858" t="s">
        <v>216</v>
      </c>
      <c r="E13" s="859">
        <f>'02 - Monthly Asset Follow up'!C17</f>
        <v>10826314196.07</v>
      </c>
      <c r="F13" s="860">
        <v>2.5000000000000001E-3</v>
      </c>
      <c r="G13" s="865" t="s">
        <v>1306</v>
      </c>
      <c r="H13" s="861" t="s">
        <v>1368</v>
      </c>
      <c r="I13" s="862"/>
      <c r="J13" s="859">
        <f>'14 - Fees'!J53</f>
        <v>2255482.12</v>
      </c>
      <c r="K13" s="863">
        <f>J13</f>
        <v>2255482.12</v>
      </c>
      <c r="L13" s="864"/>
      <c r="M13" s="847"/>
      <c r="N13" s="864"/>
      <c r="O13" s="864"/>
      <c r="P13" s="864"/>
      <c r="Q13" s="864"/>
      <c r="R13" s="864"/>
      <c r="S13" s="864"/>
    </row>
    <row r="14" spans="1:19" s="842" customFormat="1" ht="12.5">
      <c r="B14" s="856"/>
      <c r="C14" s="857" t="s">
        <v>371</v>
      </c>
      <c r="D14" s="858" t="s">
        <v>216</v>
      </c>
      <c r="E14" s="859">
        <f>'14 - Fees'!E54</f>
        <v>17429.433355833331</v>
      </c>
      <c r="F14" s="860">
        <v>3.5000000000000001E-3</v>
      </c>
      <c r="G14" s="865">
        <v>0.2</v>
      </c>
      <c r="H14" s="861" t="s">
        <v>1368</v>
      </c>
      <c r="I14" s="862"/>
      <c r="J14" s="866">
        <f>'14 - Fees'!J54</f>
        <v>17429.43</v>
      </c>
      <c r="K14" s="867">
        <f>J14</f>
        <v>17429.43</v>
      </c>
      <c r="L14" s="864"/>
      <c r="M14" s="864"/>
      <c r="N14" s="864"/>
      <c r="O14" s="864"/>
      <c r="P14" s="864"/>
      <c r="Q14" s="864"/>
      <c r="R14" s="864"/>
      <c r="S14" s="864"/>
    </row>
    <row r="15" spans="1:19" s="842" customFormat="1" ht="12.5">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ht="12.5">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ht="12.5">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ht="12.5">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ht="12.5">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ht="12.5">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ht="12.5">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ht="12.5">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ht="12.5">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ht="12.5">
      <c r="B25" s="872"/>
      <c r="C25" s="857" t="s">
        <v>380</v>
      </c>
      <c r="D25" s="858" t="s">
        <v>1361</v>
      </c>
      <c r="E25" s="1608" t="s">
        <v>1306</v>
      </c>
      <c r="F25" s="1599">
        <v>0.2</v>
      </c>
      <c r="G25" s="865">
        <v>0</v>
      </c>
      <c r="H25" s="861" t="s">
        <v>1368</v>
      </c>
      <c r="I25" s="870"/>
      <c r="J25" s="866">
        <f>'14 - Fees'!J60</f>
        <v>0</v>
      </c>
      <c r="K25" s="867">
        <f t="shared" si="0"/>
        <v>0</v>
      </c>
      <c r="L25" s="864"/>
      <c r="M25" s="876"/>
      <c r="N25" s="876"/>
      <c r="O25" s="874"/>
      <c r="P25" s="876"/>
      <c r="Q25" s="876"/>
      <c r="R25" s="876"/>
      <c r="S25" s="876"/>
    </row>
    <row r="26" spans="2:19" s="842" customFormat="1" ht="12.5">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f>'14 - Fees'!J49</f>
        <v>0</v>
      </c>
      <c r="K27" s="867">
        <f t="shared" si="0"/>
        <v>0</v>
      </c>
      <c r="L27" s="864"/>
      <c r="M27" s="887"/>
      <c r="N27" s="887"/>
      <c r="O27" s="890"/>
      <c r="P27" s="889"/>
      <c r="Q27" s="876"/>
      <c r="R27" s="876"/>
      <c r="S27" s="876"/>
    </row>
    <row r="28" spans="2:19" s="842" customFormat="1" ht="12.5">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2292358.2200000002</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defaultColWidth="11.453125" defaultRowHeight="12.5" outlineLevelRow="1"/>
  <cols>
    <col min="1" max="1" width="2.7265625" style="592" customWidth="1"/>
    <col min="2" max="2" width="1.26953125" style="592" customWidth="1"/>
    <col min="3" max="3" width="7.54296875" style="592" bestFit="1" customWidth="1"/>
    <col min="4" max="4" width="31.1796875" style="592" customWidth="1"/>
    <col min="5" max="6" width="30.7265625" style="592" customWidth="1"/>
    <col min="7" max="7" width="2.54296875" style="592" customWidth="1"/>
    <col min="8" max="9" width="21" style="592" customWidth="1"/>
    <col min="10" max="10" width="20.81640625" style="592" customWidth="1"/>
    <col min="11" max="11" width="23.7265625" style="592" customWidth="1"/>
    <col min="12" max="12" width="2.81640625" style="592" customWidth="1"/>
    <col min="13" max="13" width="5.453125" style="592" customWidth="1"/>
    <col min="14" max="16384" width="11.453125" style="592"/>
  </cols>
  <sheetData>
    <row r="1" spans="1:12" ht="14.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46203</v>
      </c>
      <c r="L2" s="535"/>
    </row>
    <row r="3" spans="1:12" ht="14">
      <c r="A3" s="596"/>
      <c r="B3" s="759"/>
      <c r="C3" s="596"/>
      <c r="D3" s="596"/>
      <c r="E3" s="596"/>
      <c r="F3" s="596"/>
      <c r="G3" s="540"/>
      <c r="H3" s="540"/>
      <c r="I3" s="540"/>
      <c r="J3" s="540" t="s">
        <v>233</v>
      </c>
      <c r="K3" s="621">
        <f>'Cover Page'!$C$17</f>
        <v>46218</v>
      </c>
      <c r="L3" s="541"/>
    </row>
    <row r="4" spans="1:12" ht="14.25" customHeight="1">
      <c r="A4" s="596"/>
      <c r="B4" s="759"/>
      <c r="C4" s="760"/>
      <c r="D4" s="760"/>
      <c r="E4" s="760"/>
      <c r="G4" s="540"/>
      <c r="H4" s="540"/>
      <c r="I4" s="540"/>
      <c r="J4" s="540" t="s">
        <v>234</v>
      </c>
      <c r="K4" s="621">
        <f>'Cover Page'!$C$18</f>
        <v>46223</v>
      </c>
      <c r="L4" s="541"/>
    </row>
    <row r="5" spans="1:12" ht="14.25" customHeight="1">
      <c r="A5" s="596"/>
      <c r="B5" s="759"/>
      <c r="C5" s="760"/>
      <c r="D5" s="760"/>
      <c r="E5" s="928"/>
      <c r="F5" s="928"/>
      <c r="G5" s="540"/>
      <c r="H5" s="540"/>
      <c r="I5" s="540"/>
      <c r="J5" s="540" t="s">
        <v>235</v>
      </c>
      <c r="K5" s="621">
        <f>'Cover Page'!$C$19</f>
        <v>46230</v>
      </c>
      <c r="L5" s="541"/>
    </row>
    <row r="6" spans="1:12" ht="14">
      <c r="A6" s="596"/>
      <c r="B6" s="759"/>
      <c r="C6" s="596"/>
      <c r="D6" s="596"/>
      <c r="F6" s="596"/>
      <c r="G6" s="540"/>
      <c r="H6" s="540"/>
      <c r="I6" s="540"/>
      <c r="J6" s="540" t="s">
        <v>236</v>
      </c>
      <c r="K6" s="624">
        <f>'00 - Cover'!$F$29</f>
        <v>21</v>
      </c>
      <c r="L6" s="543"/>
    </row>
    <row r="7" spans="1:12" ht="14">
      <c r="A7" s="785"/>
      <c r="B7" s="812"/>
      <c r="C7" s="599"/>
      <c r="D7" s="599"/>
      <c r="E7" s="599"/>
      <c r="F7" s="599"/>
      <c r="G7" s="599"/>
      <c r="H7" s="599"/>
      <c r="I7" s="599"/>
      <c r="J7" s="599"/>
      <c r="K7" s="599"/>
      <c r="L7" s="627"/>
    </row>
    <row r="8" spans="1:12" ht="14">
      <c r="A8" s="785"/>
      <c r="B8" s="817"/>
      <c r="C8" s="596"/>
      <c r="D8" s="596"/>
      <c r="E8" s="596"/>
      <c r="F8" s="596"/>
      <c r="G8" s="596"/>
      <c r="H8" s="596"/>
      <c r="I8" s="596"/>
      <c r="J8" s="596"/>
      <c r="K8" s="596"/>
      <c r="L8" s="766"/>
    </row>
    <row r="9" spans="1:12" ht="14">
      <c r="A9" s="785"/>
      <c r="B9" s="817"/>
      <c r="C9" s="596"/>
      <c r="D9" s="596"/>
      <c r="E9" s="596"/>
      <c r="F9" s="596"/>
      <c r="G9" s="596"/>
      <c r="H9" s="596"/>
      <c r="I9" s="596"/>
      <c r="J9" s="596"/>
      <c r="K9" s="596"/>
      <c r="L9" s="766"/>
    </row>
    <row r="10" spans="1:12" ht="15.5">
      <c r="A10" s="813"/>
      <c r="B10" s="817"/>
      <c r="C10" s="1174" t="s">
        <v>634</v>
      </c>
      <c r="D10" s="827"/>
      <c r="E10" s="827"/>
      <c r="F10" s="827"/>
      <c r="G10" s="629"/>
      <c r="H10" s="629"/>
      <c r="I10" s="629"/>
      <c r="J10" s="629"/>
      <c r="K10" s="629"/>
      <c r="L10" s="772"/>
    </row>
    <row r="11" spans="1:12" ht="15.5">
      <c r="A11" s="813"/>
      <c r="B11" s="817"/>
      <c r="C11" s="764"/>
      <c r="D11" s="827"/>
      <c r="E11" s="827"/>
      <c r="F11" s="827"/>
      <c r="G11" s="629"/>
      <c r="H11" s="629"/>
      <c r="I11" s="629"/>
      <c r="J11" s="629"/>
      <c r="K11" s="629"/>
      <c r="L11" s="772"/>
    </row>
    <row r="12" spans="1:12" ht="26">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110368449.09120145</v>
      </c>
      <c r="K15" s="822"/>
      <c r="L15" s="772"/>
    </row>
    <row r="16" spans="1:12" ht="13">
      <c r="A16" s="813"/>
      <c r="B16" s="817"/>
      <c r="C16" s="828"/>
      <c r="D16" s="2128"/>
      <c r="E16" s="2128"/>
      <c r="F16" s="829"/>
      <c r="G16" s="830"/>
      <c r="H16" s="830"/>
      <c r="I16" s="830"/>
      <c r="J16" s="830"/>
      <c r="K16" s="831"/>
      <c r="L16" s="772"/>
    </row>
    <row r="17" spans="1:16" ht="42.75" customHeight="1">
      <c r="A17" s="813"/>
      <c r="B17" s="817"/>
      <c r="C17" s="832" t="str">
        <f>+LEFT(D17,3)</f>
        <v>(A)</v>
      </c>
      <c r="D17" s="2121"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21"/>
      <c r="F17" s="2121"/>
      <c r="G17" s="833"/>
      <c r="H17" s="934">
        <f>'15 - Priority of Payments'!I28</f>
        <v>2292358.2200000007</v>
      </c>
      <c r="I17" s="934">
        <f>'15 - Priority of Payments'!J28</f>
        <v>2292358.2200000007</v>
      </c>
      <c r="J17" s="934">
        <f>'15 - Priority of Payments'!L28</f>
        <v>108076390.87120146</v>
      </c>
      <c r="K17" s="834">
        <f>'15 - Priority of Payments'!K28</f>
        <v>0</v>
      </c>
      <c r="L17" s="772"/>
    </row>
    <row r="18" spans="1:16" ht="42.75" customHeight="1">
      <c r="A18" s="813"/>
      <c r="B18" s="817"/>
      <c r="C18" s="832" t="str">
        <f t="shared" ref="C18:C24" si="0">+LEFT(D18,3)</f>
        <v>(B)</v>
      </c>
      <c r="D18" s="2121" t="str">
        <f>+'15 - Priority of Payments'!F29</f>
        <v>(B)	 on a pro rata and pari passu basis, any due and payable Class A Notes Interest Amounts on the Class A Notes;</v>
      </c>
      <c r="E18" s="2121"/>
      <c r="F18" s="2121"/>
      <c r="G18" s="835"/>
      <c r="H18" s="934">
        <f>'15 - Priority of Payments'!I29</f>
        <v>4733776.5600000005</v>
      </c>
      <c r="I18" s="934">
        <f>'15 - Priority of Payments'!J29</f>
        <v>4733776.5600000005</v>
      </c>
      <c r="J18" s="934">
        <f>'15 - Priority of Payments'!L29</f>
        <v>103342614.31120145</v>
      </c>
      <c r="K18" s="834">
        <f>'15 - Priority of Payments'!K29</f>
        <v>0</v>
      </c>
      <c r="L18" s="772"/>
      <c r="P18" s="807"/>
    </row>
    <row r="19" spans="1:16" ht="42.75" customHeight="1">
      <c r="A19" s="813"/>
      <c r="B19" s="817"/>
      <c r="C19" s="832" t="str">
        <f t="shared" si="0"/>
        <v>(C)</v>
      </c>
      <c r="D19" s="2121" t="str">
        <f>+'15 - Priority of Payments'!F30</f>
        <v>(C) 	in transfer to the credit of the General Reserve Account of an amount equal to the General Reserve Replenishment Amount applicable on such Payment Date;;</v>
      </c>
      <c r="E19" s="2121"/>
      <c r="F19" s="2121"/>
      <c r="G19" s="835"/>
      <c r="H19" s="934">
        <f>'15 - Priority of Payments'!I30</f>
        <v>0</v>
      </c>
      <c r="I19" s="934">
        <f>'15 - Priority of Payments'!J30</f>
        <v>0</v>
      </c>
      <c r="J19" s="934">
        <f>'15 - Priority of Payments'!L30</f>
        <v>103342614.31120145</v>
      </c>
      <c r="K19" s="834">
        <f>'15 - Priority of Payments'!K30</f>
        <v>0</v>
      </c>
      <c r="L19" s="772"/>
      <c r="P19" s="807"/>
    </row>
    <row r="20" spans="1:16" ht="42.75" customHeight="1">
      <c r="A20" s="813"/>
      <c r="B20" s="817"/>
      <c r="C20" s="832" t="str">
        <f t="shared" si="0"/>
        <v>(D)</v>
      </c>
      <c r="D20" s="2121" t="str">
        <f>+'15 - Priority of Payments'!F31</f>
        <v>(D) 	on a pro rata and pari passu basis, the Class A Notes Amortisation Amount in respect of the redemption of the Class A Notes;</v>
      </c>
      <c r="E20" s="2121"/>
      <c r="F20" s="2121"/>
      <c r="G20" s="971"/>
      <c r="H20" s="934">
        <f>'15 - Priority of Payments'!I31</f>
        <v>90159440</v>
      </c>
      <c r="I20" s="934">
        <f>'15 - Priority of Payments'!J31</f>
        <v>90159440</v>
      </c>
      <c r="J20" s="934">
        <f>'15 - Priority of Payments'!L31</f>
        <v>13183174.311201453</v>
      </c>
      <c r="K20" s="834">
        <f>'15 - Priority of Payments'!K31</f>
        <v>0</v>
      </c>
      <c r="L20" s="772"/>
      <c r="P20" s="807"/>
    </row>
    <row r="21" spans="1:16" ht="61.5" customHeight="1">
      <c r="A21" s="813"/>
      <c r="B21" s="817"/>
      <c r="C21" s="832" t="str">
        <f t="shared" si="0"/>
        <v>(E)</v>
      </c>
      <c r="D21" s="2121"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21"/>
      <c r="F21" s="2121"/>
      <c r="G21" s="1341"/>
      <c r="H21" s="934">
        <f>'15 - Priority of Payments'!I32</f>
        <v>622908</v>
      </c>
      <c r="I21" s="934">
        <f>'15 - Priority of Payments'!J32</f>
        <v>622908</v>
      </c>
      <c r="J21" s="934">
        <f>'15 - Priority of Payments'!L32</f>
        <v>12560266.311201453</v>
      </c>
      <c r="K21" s="834">
        <f>'15 - Priority of Payments'!K32</f>
        <v>0</v>
      </c>
      <c r="L21" s="772"/>
      <c r="P21" s="807"/>
    </row>
    <row r="22" spans="1:16" ht="42.75" customHeight="1">
      <c r="A22" s="813"/>
      <c r="B22" s="817"/>
      <c r="C22" s="832" t="str">
        <f t="shared" si="0"/>
        <v>(F)</v>
      </c>
      <c r="D22" s="2121" t="str">
        <f>+'15 - Priority of Payments'!F33</f>
        <v xml:space="preserve">(F) 	 on a pro rata and pari passu basis, the Class B Notes Amortisation Amount in respect of the redemption of the Class B Notes; </v>
      </c>
      <c r="E22" s="2121"/>
      <c r="F22" s="2121"/>
      <c r="G22" s="1341"/>
      <c r="H22" s="934">
        <f>'15 - Priority of Payments'!I33</f>
        <v>4745252.16</v>
      </c>
      <c r="I22" s="934">
        <f>'15 - Priority of Payments'!J33</f>
        <v>4745252.16</v>
      </c>
      <c r="J22" s="934">
        <f>'15 - Priority of Payments'!L33</f>
        <v>7815014.1512014531</v>
      </c>
      <c r="K22" s="834">
        <f>'15 - Priority of Payments'!K33</f>
        <v>0</v>
      </c>
      <c r="L22" s="772"/>
      <c r="P22" s="807"/>
    </row>
    <row r="23" spans="1:16" ht="42.75" customHeight="1">
      <c r="A23" s="813"/>
      <c r="B23" s="817"/>
      <c r="C23" s="832" t="str">
        <f t="shared" si="0"/>
        <v>(G)</v>
      </c>
      <c r="D23" s="2121"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21"/>
      <c r="F23" s="2121"/>
      <c r="G23" s="1341"/>
      <c r="H23" s="934">
        <f>'15 - Priority of Payments'!I34</f>
        <v>450000</v>
      </c>
      <c r="I23" s="934">
        <f>'15 - Priority of Payments'!J34</f>
        <v>450000</v>
      </c>
      <c r="J23" s="934">
        <f>'15 - Priority of Payments'!L34</f>
        <v>7365014.1512014531</v>
      </c>
      <c r="K23" s="834">
        <f>'15 - Priority of Payments'!K34</f>
        <v>0</v>
      </c>
      <c r="L23" s="772"/>
      <c r="P23" s="807"/>
    </row>
    <row r="24" spans="1:16" ht="42.75" customHeight="1">
      <c r="A24" s="813"/>
      <c r="B24" s="817"/>
      <c r="C24" s="832" t="str">
        <f t="shared" si="0"/>
        <v>(H)</v>
      </c>
      <c r="D24" s="2121" t="str">
        <f>+'15 - Priority of Payments'!F35</f>
        <v>(H)	 on any Payment Date which is not the Issuer Liquidation Date, the Excess Spread as interest payment to the Unitholders.</v>
      </c>
      <c r="E24" s="2121"/>
      <c r="F24" s="2121"/>
      <c r="G24" s="1342"/>
      <c r="H24" s="934">
        <f>'15 - Priority of Payments'!I35</f>
        <v>7364599.2012008429</v>
      </c>
      <c r="I24" s="934">
        <f>'15 - Priority of Payments'!J35</f>
        <v>7364299.2012008429</v>
      </c>
      <c r="J24" s="934">
        <f>'15 - Priority of Payments'!L35</f>
        <v>714.95000061020255</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714.95000061020255</v>
      </c>
      <c r="L26" s="772"/>
      <c r="P26" s="807"/>
    </row>
    <row r="27" spans="1:16" ht="13" thickBot="1">
      <c r="B27" s="612"/>
      <c r="C27" s="613"/>
      <c r="D27" s="613"/>
      <c r="E27" s="613"/>
      <c r="F27" s="613"/>
      <c r="G27" s="613"/>
      <c r="H27" s="613"/>
      <c r="I27" s="613"/>
      <c r="J27" s="613"/>
      <c r="K27" s="613"/>
      <c r="L27" s="614"/>
    </row>
    <row r="28" spans="1:16" ht="13"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 hidden="1" outlineLevel="1">
      <c r="A32" s="785"/>
      <c r="B32" s="812"/>
      <c r="C32" s="599"/>
      <c r="D32" s="599"/>
      <c r="E32" s="599"/>
      <c r="F32" s="599"/>
      <c r="G32" s="599"/>
      <c r="H32" s="599"/>
      <c r="I32" s="599"/>
      <c r="J32" s="599"/>
      <c r="K32" s="599"/>
      <c r="L32" s="627"/>
    </row>
    <row r="33" spans="1:12" ht="15.5" hidden="1" outlineLevel="1">
      <c r="A33" s="813"/>
      <c r="B33" s="814"/>
      <c r="C33" s="764"/>
      <c r="D33" s="827"/>
      <c r="E33" s="827"/>
      <c r="F33" s="827"/>
      <c r="G33" s="629"/>
      <c r="H33" s="629"/>
      <c r="I33" s="629"/>
      <c r="J33" s="629"/>
      <c r="K33" s="629"/>
      <c r="L33" s="772"/>
    </row>
    <row r="34" spans="1:12" ht="15.5" hidden="1" outlineLevel="1">
      <c r="A34" s="813"/>
      <c r="B34" s="817"/>
      <c r="C34" s="764"/>
      <c r="D34" s="827"/>
      <c r="E34" s="827"/>
      <c r="F34" s="827"/>
      <c r="G34" s="629"/>
      <c r="H34" s="629"/>
      <c r="I34" s="629"/>
      <c r="J34" s="629"/>
      <c r="K34" s="629"/>
      <c r="L34" s="772"/>
    </row>
    <row r="35" spans="1:12" ht="26"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t="13" hidden="1" outlineLevel="1">
      <c r="A39" s="813"/>
      <c r="B39" s="817"/>
      <c r="C39" s="828"/>
      <c r="D39" s="2128"/>
      <c r="E39" s="2128"/>
      <c r="F39" s="829"/>
      <c r="G39" s="830"/>
      <c r="H39" s="830"/>
      <c r="I39" s="830"/>
      <c r="J39" s="830"/>
      <c r="K39" s="831"/>
      <c r="L39" s="772"/>
    </row>
    <row r="40" spans="1:12" ht="40.5" hidden="1" customHeight="1" outlineLevel="1">
      <c r="A40" s="813"/>
      <c r="B40" s="817"/>
      <c r="C40" s="832" t="s">
        <v>27</v>
      </c>
      <c r="D40" s="2137"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7"/>
      <c r="F40" s="2137"/>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7"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7"/>
      <c r="F41" s="2137"/>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7" t="str">
        <f>'15 - Priority of Payments'!F49</f>
        <v>(C)	on a pro rata and pari passu basis, the Class A Notes Amortisation Amount in respect of the redemption of the Class A Notes until redeemed in full;</v>
      </c>
      <c r="E42" s="2137"/>
      <c r="F42" s="2137"/>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7"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7"/>
      <c r="F43" s="2137"/>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7" t="str">
        <f>'15 - Priority of Payments'!F51</f>
        <v xml:space="preserve">(E)	on a pro rata and pari passu basis, the Class B Notes Amortisation Amount in respect of the redemption of the Class B Notes until redeemed in full; </v>
      </c>
      <c r="E44" s="2137"/>
      <c r="F44" s="2137"/>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7"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7"/>
      <c r="F45" s="2137"/>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7"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7"/>
      <c r="F46" s="2137"/>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 hidden="1" outlineLevel="1" thickBot="1">
      <c r="B49" s="612"/>
      <c r="C49" s="613"/>
      <c r="D49" s="613"/>
      <c r="E49" s="613"/>
      <c r="F49" s="613"/>
      <c r="G49" s="613"/>
      <c r="H49" s="613"/>
      <c r="I49" s="613"/>
      <c r="J49" s="613"/>
      <c r="K49" s="613"/>
      <c r="L49" s="614"/>
    </row>
    <row r="50" spans="1:12" ht="13" hidden="1" outlineLevel="1" thickTop="1"/>
    <row r="51" spans="1:12" collapsed="1"/>
    <row r="52" spans="1:12" ht="13" thickBot="1"/>
    <row r="53" spans="1:12" ht="22.5" customHeight="1" thickTop="1">
      <c r="A53" s="813"/>
      <c r="B53" s="935"/>
      <c r="C53" s="1175" t="s">
        <v>1058</v>
      </c>
      <c r="D53" s="936"/>
      <c r="E53" s="936"/>
      <c r="F53" s="936"/>
      <c r="G53" s="937"/>
      <c r="H53" s="937"/>
      <c r="I53" s="937"/>
      <c r="J53" s="937"/>
      <c r="K53" s="937"/>
      <c r="L53" s="938"/>
    </row>
    <row r="54" spans="1:12" ht="15.5">
      <c r="A54" s="813"/>
      <c r="B54" s="817"/>
      <c r="C54" s="764"/>
      <c r="D54" s="827"/>
      <c r="E54" s="827"/>
      <c r="F54" s="827"/>
      <c r="G54" s="629"/>
      <c r="H54" s="629"/>
      <c r="I54" s="629"/>
      <c r="J54" s="629"/>
      <c r="K54" s="629"/>
      <c r="L54" s="772"/>
    </row>
    <row r="55" spans="1:12" ht="15.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5">
      <c r="A57" s="813"/>
      <c r="B57" s="817"/>
      <c r="C57" s="764"/>
      <c r="D57" s="930" t="s">
        <v>394</v>
      </c>
      <c r="E57" s="827"/>
      <c r="F57" s="827"/>
      <c r="G57" s="629"/>
      <c r="H57" s="633"/>
      <c r="I57" s="923"/>
      <c r="J57" s="924">
        <f>'13 - Issuer Account'!I12</f>
        <v>97729.300014212728</v>
      </c>
      <c r="K57" s="633"/>
      <c r="L57" s="772"/>
    </row>
    <row r="58" spans="1:12" ht="81" customHeight="1">
      <c r="A58" s="813"/>
      <c r="B58" s="817"/>
      <c r="C58" s="764"/>
      <c r="D58" s="2138"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8"/>
      <c r="F58" s="2138"/>
      <c r="G58" s="833"/>
      <c r="H58" s="934"/>
      <c r="I58" s="934">
        <f>'13 - Issuer Account'!H13</f>
        <v>0</v>
      </c>
      <c r="J58" s="934">
        <f>'13 - Issuer Account'!I13</f>
        <v>97729.300014212728</v>
      </c>
      <c r="K58" s="633"/>
      <c r="L58" s="772"/>
    </row>
    <row r="59" spans="1:12" ht="45.75" customHeight="1">
      <c r="A59" s="813"/>
      <c r="B59" s="817"/>
      <c r="C59" s="764"/>
      <c r="D59" s="2138" t="str">
        <f>'13 - Issuer Account'!F14</f>
        <v>(ii) 	the Available Collections in respect of the Purchased Home Loan Receivables reconciled between the Initial Cut-Off Date (excluded) and the Purchase Date;</v>
      </c>
      <c r="E59" s="2138"/>
      <c r="F59" s="2138"/>
      <c r="G59" s="833"/>
      <c r="H59" s="934"/>
      <c r="I59" s="934">
        <f>'13 - Issuer Account'!H14</f>
        <v>0</v>
      </c>
      <c r="J59" s="934">
        <f>'13 - Issuer Account'!I14</f>
        <v>97729.300014212728</v>
      </c>
      <c r="K59" s="633"/>
      <c r="L59" s="772"/>
    </row>
    <row r="60" spans="1:12" ht="45.75" customHeight="1">
      <c r="A60" s="813"/>
      <c r="B60" s="817"/>
      <c r="C60" s="764"/>
      <c r="D60" s="2138" t="str">
        <f>'13 - Issuer Account'!E15</f>
        <v>(b) 	pursuant to the terms of Servicing Agreement, with the amount any Available Collections on the second Business Day following the receipt of these Available Collections by the Servicer;</v>
      </c>
      <c r="E60" s="2138"/>
      <c r="F60" s="2138"/>
      <c r="G60" s="833"/>
      <c r="H60" s="934"/>
      <c r="I60" s="934">
        <f>'13 - Issuer Account'!H15</f>
        <v>94781986.410001457</v>
      </c>
      <c r="J60" s="934">
        <f>'13 - Issuer Account'!I15</f>
        <v>94879715.710015669</v>
      </c>
      <c r="K60" s="633"/>
      <c r="L60" s="772"/>
    </row>
    <row r="61" spans="1:12" ht="45.75" customHeight="1">
      <c r="A61" s="813"/>
      <c r="B61" s="817"/>
      <c r="C61" s="764"/>
      <c r="D61" s="2138" t="str">
        <f>'13 - Issuer Account'!E16</f>
        <v>(c)	 as at the relevant date, with the Financial Income (if positive) in respect of the preceding calendar month;</v>
      </c>
      <c r="E61" s="2138"/>
      <c r="F61" s="2138"/>
      <c r="G61" s="833"/>
      <c r="H61" s="934"/>
      <c r="I61" s="934">
        <f>'13 - Issuer Account'!H16</f>
        <v>0</v>
      </c>
      <c r="J61" s="934">
        <f>'13 - Issuer Account'!I16</f>
        <v>94879715.710015669</v>
      </c>
      <c r="K61" s="633"/>
      <c r="L61" s="772"/>
    </row>
    <row r="62" spans="1:12" ht="57.75" customHeight="1">
      <c r="A62" s="813"/>
      <c r="B62" s="817"/>
      <c r="C62" s="764"/>
      <c r="D62" s="2138"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8"/>
      <c r="F62" s="2138"/>
      <c r="G62" s="833"/>
      <c r="H62" s="934"/>
      <c r="I62" s="934">
        <f>'13 - Issuer Account'!H17</f>
        <v>7753809.8311999999</v>
      </c>
      <c r="J62" s="934">
        <f>'13 - Issuer Account'!I17</f>
        <v>102633525.54121567</v>
      </c>
      <c r="K62" s="633"/>
      <c r="L62" s="772"/>
    </row>
    <row r="63" spans="1:12" ht="81" customHeight="1">
      <c r="A63" s="813"/>
      <c r="B63" s="817"/>
      <c r="C63" s="764"/>
      <c r="D63" s="2138"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8"/>
      <c r="F63" s="2138"/>
      <c r="G63" s="833"/>
      <c r="H63" s="934"/>
      <c r="I63" s="934">
        <f>'13 - Issuer Account'!H18</f>
        <v>7382652.8500000006</v>
      </c>
      <c r="J63" s="934">
        <f>'13 - Issuer Account'!I18</f>
        <v>110016178.39121567</v>
      </c>
      <c r="K63" s="633"/>
      <c r="L63" s="772"/>
    </row>
    <row r="64" spans="1:12" ht="50.25" customHeight="1">
      <c r="A64" s="813"/>
      <c r="B64" s="817"/>
      <c r="C64" s="764"/>
      <c r="D64" s="2138" t="str">
        <f>'13 - Issuer Account'!E19</f>
        <v xml:space="preserve">(f)	 on any Payment Date during the Amortisation Period with an amount corresponding to the Liquidity Shortfall debited from the General Reserve Account; </v>
      </c>
      <c r="E64" s="2138"/>
      <c r="F64" s="2138"/>
      <c r="G64" s="833"/>
      <c r="H64" s="934"/>
      <c r="I64" s="934">
        <f>'13 - Issuer Account'!H19</f>
        <v>0</v>
      </c>
      <c r="J64" s="934">
        <f>'13 - Issuer Account'!I19</f>
        <v>110016178.39121567</v>
      </c>
      <c r="K64" s="633"/>
      <c r="L64" s="772"/>
    </row>
    <row r="65" spans="1:12" ht="42.75" customHeight="1">
      <c r="A65" s="813"/>
      <c r="B65" s="817"/>
      <c r="C65" s="764"/>
      <c r="D65" s="2138" t="str">
        <f>'13 - Issuer Account'!E20</f>
        <v>(g)	 on each Payment Date during the Amortisation Period, with the General Reserve Release Amount (if any);</v>
      </c>
      <c r="E65" s="2138"/>
      <c r="F65" s="2138"/>
      <c r="G65" s="833"/>
      <c r="H65" s="934"/>
      <c r="I65" s="934">
        <f>'13 - Issuer Account'!H20</f>
        <v>450000</v>
      </c>
      <c r="J65" s="934">
        <f>'13 - Issuer Account'!I20</f>
        <v>110466178.39121567</v>
      </c>
      <c r="K65" s="633"/>
      <c r="L65" s="772"/>
    </row>
    <row r="66" spans="1:12" ht="71.25" customHeight="1">
      <c r="A66" s="813"/>
      <c r="B66" s="817"/>
      <c r="C66" s="764"/>
      <c r="D66" s="2138"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8"/>
      <c r="F66" s="2138"/>
      <c r="G66" s="833"/>
      <c r="H66" s="934"/>
      <c r="I66" s="934">
        <f>'13 - Issuer Account'!H21</f>
        <v>0</v>
      </c>
      <c r="J66" s="934">
        <f>'13 - Issuer Account'!I21</f>
        <v>110466178.39121567</v>
      </c>
      <c r="K66" s="633"/>
      <c r="L66" s="772"/>
    </row>
    <row r="67" spans="1:12" ht="81" customHeight="1">
      <c r="A67" s="813"/>
      <c r="B67" s="817"/>
      <c r="C67" s="764"/>
      <c r="D67" s="2138"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8"/>
      <c r="F67" s="2138"/>
      <c r="G67" s="833"/>
      <c r="H67" s="934"/>
      <c r="I67" s="934">
        <f>'13 - Issuer Account'!H22</f>
        <v>0</v>
      </c>
      <c r="J67" s="934">
        <f>'13 - Issuer Account'!I22</f>
        <v>110466178.39121567</v>
      </c>
      <c r="K67" s="633"/>
      <c r="L67" s="772"/>
    </row>
    <row r="68" spans="1:12" ht="81" customHeight="1">
      <c r="A68" s="813"/>
      <c r="B68" s="817"/>
      <c r="C68" s="764"/>
      <c r="D68" s="2138"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8"/>
      <c r="F68" s="2138"/>
      <c r="G68" s="833"/>
      <c r="H68" s="934"/>
      <c r="I68" s="934">
        <f>'13 - Issuer Account'!H23</f>
        <v>0</v>
      </c>
      <c r="J68" s="934">
        <f>'13 - Issuer Account'!I23</f>
        <v>110466178.39121567</v>
      </c>
      <c r="K68" s="633"/>
      <c r="L68" s="772"/>
    </row>
    <row r="69" spans="1:12" ht="81" customHeight="1">
      <c r="A69" s="813"/>
      <c r="B69" s="817"/>
      <c r="C69" s="764"/>
      <c r="D69" s="2138"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8"/>
      <c r="F69" s="2138"/>
      <c r="G69" s="833"/>
      <c r="H69" s="934"/>
      <c r="I69" s="934">
        <f>'13 - Issuer Account'!H24</f>
        <v>0</v>
      </c>
      <c r="J69" s="934">
        <f>'13 - Issuer Account'!I24</f>
        <v>110466178.39121567</v>
      </c>
      <c r="K69" s="633"/>
      <c r="L69" s="772"/>
    </row>
    <row r="70" spans="1:12" ht="81" customHeight="1">
      <c r="A70" s="813"/>
      <c r="B70" s="817"/>
      <c r="C70" s="764"/>
      <c r="D70" s="2138" t="str">
        <f>'13 - Issuer Account'!E25</f>
        <v>(b)	on each Payment Date during the Amortisation Period and the Accelerated Amortisation Period in accordance with the applicable Priority of Payments;</v>
      </c>
      <c r="E70" s="2138"/>
      <c r="F70" s="2138"/>
      <c r="G70" s="833"/>
      <c r="H70" s="934"/>
      <c r="I70" s="934">
        <f>'13 - Issuer Account'!H25</f>
        <v>110368034.14120084</v>
      </c>
      <c r="J70" s="934">
        <f>'13 - Issuer Account'!I25</f>
        <v>98144.250014826655</v>
      </c>
      <c r="K70" s="633"/>
      <c r="L70" s="772"/>
    </row>
    <row r="71" spans="1:12" ht="81" customHeight="1">
      <c r="A71" s="813"/>
      <c r="B71" s="817"/>
      <c r="C71" s="832"/>
      <c r="D71" s="2138"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8"/>
      <c r="F71" s="2138"/>
      <c r="G71" s="833"/>
      <c r="H71" s="934"/>
      <c r="I71" s="934">
        <f>'13 - Issuer Account'!H26</f>
        <v>0</v>
      </c>
      <c r="J71" s="934">
        <f>'13 - Issuer Account'!I26</f>
        <v>98144.250014826655</v>
      </c>
      <c r="K71" s="633"/>
      <c r="L71" s="772"/>
    </row>
    <row r="72" spans="1:12" ht="81" customHeight="1">
      <c r="A72" s="813"/>
      <c r="B72" s="817"/>
      <c r="C72" s="828"/>
      <c r="D72" s="2138"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8"/>
      <c r="F72" s="2138"/>
      <c r="G72" s="835"/>
      <c r="H72" s="939"/>
      <c r="I72" s="934">
        <f>'13 - Issuer Account'!H27</f>
        <v>0</v>
      </c>
      <c r="J72" s="934">
        <f>'13 - Issuer Account'!I27</f>
        <v>98144.250014826655</v>
      </c>
      <c r="K72" s="633"/>
      <c r="L72" s="772"/>
    </row>
    <row r="73" spans="1:12" ht="81" customHeight="1">
      <c r="A73" s="813"/>
      <c r="B73" s="817"/>
      <c r="C73" s="832"/>
      <c r="D73" s="2138" t="str">
        <f>'13 - Issuer Account'!E28</f>
        <v>(e) 	as at the relevant date, with the Financial Income (if negative) in respect of the preceding calendar month</v>
      </c>
      <c r="E73" s="2138"/>
      <c r="F73" s="2138"/>
      <c r="G73" s="835"/>
      <c r="H73" s="939"/>
      <c r="I73" s="934">
        <f>'13 - Issuer Account'!H28</f>
        <v>0</v>
      </c>
      <c r="J73" s="934">
        <f>'13 - Issuer Account'!I28</f>
        <v>98144.250014826655</v>
      </c>
      <c r="K73" s="633"/>
      <c r="L73" s="772"/>
    </row>
    <row r="74" spans="1:12" ht="13">
      <c r="A74" s="813"/>
      <c r="B74" s="817"/>
      <c r="C74" s="828"/>
      <c r="D74" s="837"/>
      <c r="E74" s="837"/>
      <c r="F74" s="837"/>
      <c r="G74" s="837"/>
      <c r="H74" s="837"/>
      <c r="I74" s="837"/>
      <c r="J74" s="837"/>
      <c r="K74" s="633"/>
      <c r="L74" s="772"/>
    </row>
    <row r="75" spans="1:12" ht="13">
      <c r="A75" s="813"/>
      <c r="B75" s="817"/>
      <c r="C75" s="819"/>
      <c r="D75" s="2136" t="s">
        <v>1102</v>
      </c>
      <c r="E75" s="2136"/>
      <c r="F75" s="839"/>
      <c r="G75" s="819"/>
      <c r="H75" s="819"/>
      <c r="I75" s="819"/>
      <c r="J75" s="824">
        <f>J73</f>
        <v>98144.250014826655</v>
      </c>
      <c r="L75" s="772"/>
    </row>
    <row r="76" spans="1:12" ht="13" thickBot="1">
      <c r="B76" s="612"/>
      <c r="C76" s="613"/>
      <c r="D76" s="613"/>
      <c r="E76" s="613"/>
      <c r="F76" s="613"/>
      <c r="G76" s="613"/>
      <c r="H76" s="613"/>
      <c r="I76" s="613"/>
      <c r="J76" s="613"/>
      <c r="K76" s="613"/>
      <c r="L76" s="614"/>
    </row>
    <row r="77" spans="1:12" ht="13" thickTop="1"/>
    <row r="78" spans="1:12" ht="13" thickBot="1"/>
    <row r="79" spans="1:12" ht="22.5" customHeight="1" thickTop="1">
      <c r="A79" s="813"/>
      <c r="B79" s="935"/>
      <c r="C79" s="1175" t="s">
        <v>1057</v>
      </c>
      <c r="D79" s="936"/>
      <c r="E79" s="936"/>
      <c r="F79" s="936"/>
      <c r="G79" s="937"/>
      <c r="H79" s="937"/>
      <c r="I79" s="937"/>
      <c r="J79" s="937"/>
      <c r="K79" s="937"/>
      <c r="L79" s="938"/>
    </row>
    <row r="80" spans="1:12" ht="15.5">
      <c r="A80" s="813"/>
      <c r="B80" s="817"/>
      <c r="C80" s="764"/>
      <c r="D80" s="827"/>
      <c r="E80" s="827"/>
      <c r="F80" s="827"/>
      <c r="G80" s="629"/>
      <c r="H80" s="629"/>
      <c r="I80" s="629"/>
      <c r="J80" s="629"/>
      <c r="K80" s="629"/>
      <c r="L80" s="772"/>
    </row>
    <row r="81" spans="1:12" ht="15.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5">
      <c r="A83" s="813"/>
      <c r="B83" s="817"/>
      <c r="C83" s="764"/>
      <c r="D83" s="930" t="s">
        <v>1103</v>
      </c>
      <c r="E83" s="827"/>
      <c r="F83" s="827"/>
      <c r="G83" s="629"/>
      <c r="H83" s="633"/>
      <c r="I83" s="923"/>
      <c r="J83" s="924">
        <f>'13 - Issuer Account'!I35</f>
        <v>51430000</v>
      </c>
      <c r="K83" s="633"/>
      <c r="L83" s="772"/>
    </row>
    <row r="84" spans="1:12" ht="33.75" customHeight="1">
      <c r="A84" s="813"/>
      <c r="B84" s="817"/>
      <c r="C84" s="832"/>
      <c r="D84" s="2121" t="str">
        <f>'13 - Issuer Account'!E36</f>
        <v>(a)	 on the Issuer Establishment Date, with the applicable General Reserve Required Amount in accordance with General Reserve Deposit Agreement; and</v>
      </c>
      <c r="E84" s="2121"/>
      <c r="F84" s="2121"/>
      <c r="G84" s="833"/>
      <c r="H84" s="934"/>
      <c r="I84" s="934">
        <f>'13 - Issuer Account'!H36</f>
        <v>0</v>
      </c>
      <c r="J84" s="934">
        <f>'13 - Issuer Account'!I36</f>
        <v>51430000</v>
      </c>
      <c r="K84" s="633"/>
      <c r="L84" s="772"/>
    </row>
    <row r="85" spans="1:12" ht="33.75" customHeight="1">
      <c r="A85" s="813"/>
      <c r="B85" s="817"/>
      <c r="C85" s="832"/>
      <c r="D85" s="2121" t="str">
        <f>'13 - Issuer Account'!E37</f>
        <v>(c) 	on each Payment Date during the Amortisation Period, with the General Reserve Replenishment Amount (if any), subject to and in accordance with the applicable Priority of Payments.</v>
      </c>
      <c r="E85" s="2121"/>
      <c r="F85" s="2121"/>
      <c r="G85" s="833"/>
      <c r="H85" s="934"/>
      <c r="I85" s="934">
        <f>'13 - Issuer Account'!H37</f>
        <v>0</v>
      </c>
      <c r="J85" s="934">
        <f>'13 - Issuer Account'!I37</f>
        <v>51430000</v>
      </c>
      <c r="K85" s="633"/>
      <c r="L85" s="772"/>
    </row>
    <row r="86" spans="1:12" ht="33.75" customHeight="1">
      <c r="A86" s="813"/>
      <c r="B86" s="817"/>
      <c r="C86" s="832"/>
      <c r="D86" s="2121" t="str">
        <f>'13 - Issuer Account'!E38</f>
        <v>(a)	on any Payment Date during the Amortisation Period with an amount corresponding to the Liquidity Shortfall;</v>
      </c>
      <c r="E86" s="2121"/>
      <c r="F86" s="2121"/>
      <c r="G86" s="833"/>
      <c r="H86" s="934"/>
      <c r="I86" s="934">
        <f>'13 - Issuer Account'!H38</f>
        <v>0</v>
      </c>
      <c r="J86" s="934">
        <f>'13 - Issuer Account'!I38</f>
        <v>51430000</v>
      </c>
      <c r="K86" s="633"/>
      <c r="L86" s="772"/>
    </row>
    <row r="87" spans="1:12" ht="33.75" customHeight="1">
      <c r="A87" s="813"/>
      <c r="B87" s="817"/>
      <c r="C87" s="828"/>
      <c r="D87" s="2121" t="str">
        <f>'13 - Issuer Account'!E39</f>
        <v>(b) 	on each Payment Date during the Amortisation Period, with the General Reserve Release Amount (if any); and</v>
      </c>
      <c r="E87" s="2121"/>
      <c r="F87" s="2121"/>
      <c r="G87" s="835"/>
      <c r="H87" s="939"/>
      <c r="I87" s="934">
        <f>'13 - Issuer Account'!H39</f>
        <v>450000</v>
      </c>
      <c r="J87" s="934">
        <f>'13 - Issuer Account'!I39</f>
        <v>50980000</v>
      </c>
      <c r="K87" s="633"/>
      <c r="L87" s="772"/>
    </row>
    <row r="88" spans="1:12" ht="13">
      <c r="A88" s="813"/>
      <c r="B88" s="817"/>
      <c r="C88" s="828"/>
      <c r="D88" s="837"/>
      <c r="E88" s="837"/>
      <c r="F88" s="837"/>
      <c r="G88" s="837"/>
      <c r="H88" s="837"/>
      <c r="I88" s="837"/>
      <c r="J88" s="837"/>
      <c r="K88" s="633"/>
      <c r="L88" s="772"/>
    </row>
    <row r="89" spans="1:12" ht="13">
      <c r="A89" s="813"/>
      <c r="B89" s="817"/>
      <c r="C89" s="819"/>
      <c r="D89" s="2136" t="s">
        <v>1104</v>
      </c>
      <c r="E89" s="2136"/>
      <c r="F89" s="839"/>
      <c r="G89" s="819"/>
      <c r="H89" s="819"/>
      <c r="I89" s="819"/>
      <c r="J89" s="824">
        <f>J87</f>
        <v>50980000</v>
      </c>
      <c r="L89" s="772"/>
    </row>
    <row r="90" spans="1:12" ht="13" thickBot="1">
      <c r="B90" s="612"/>
      <c r="C90" s="613"/>
      <c r="D90" s="613"/>
      <c r="E90" s="613"/>
      <c r="F90" s="613"/>
      <c r="G90" s="613"/>
      <c r="H90" s="613"/>
      <c r="I90" s="613"/>
      <c r="J90" s="613"/>
      <c r="K90" s="613"/>
      <c r="L90" s="614"/>
    </row>
    <row r="91" spans="1:12" ht="13" thickTop="1"/>
    <row r="92" spans="1:12" ht="13" thickBot="1"/>
    <row r="93" spans="1:12" ht="22.5" customHeight="1" thickTop="1">
      <c r="A93" s="813"/>
      <c r="B93" s="935"/>
      <c r="C93" s="1175" t="s">
        <v>1059</v>
      </c>
      <c r="D93" s="936"/>
      <c r="E93" s="936"/>
      <c r="F93" s="936"/>
      <c r="G93" s="937"/>
      <c r="H93" s="937"/>
      <c r="I93" s="937"/>
      <c r="J93" s="937"/>
      <c r="K93" s="937"/>
      <c r="L93" s="938"/>
    </row>
    <row r="94" spans="1:12" ht="15.5">
      <c r="A94" s="813"/>
      <c r="B94" s="817"/>
      <c r="C94" s="764"/>
      <c r="D94" s="827"/>
      <c r="E94" s="827"/>
      <c r="F94" s="827"/>
      <c r="G94" s="629"/>
      <c r="H94" s="629"/>
      <c r="I94" s="629"/>
      <c r="J94" s="629"/>
      <c r="K94" s="629"/>
      <c r="L94" s="772"/>
    </row>
    <row r="95" spans="1:12" ht="15.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5">
      <c r="A97" s="813"/>
      <c r="B97" s="817"/>
      <c r="C97" s="764"/>
      <c r="D97" s="827"/>
      <c r="E97" s="827"/>
      <c r="F97" s="827"/>
      <c r="G97" s="629"/>
      <c r="H97" s="633"/>
      <c r="I97" s="923"/>
      <c r="J97" s="924">
        <f>'13 - Issuer Account'!I47</f>
        <v>0</v>
      </c>
      <c r="K97" s="633"/>
      <c r="L97" s="772"/>
    </row>
    <row r="98" spans="1:12" ht="54.75" customHeight="1">
      <c r="A98" s="813"/>
      <c r="B98" s="817"/>
      <c r="C98" s="832"/>
      <c r="D98" s="2121"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21"/>
      <c r="F98" s="2121"/>
      <c r="G98" s="833"/>
      <c r="H98" s="934"/>
      <c r="I98" s="934">
        <f>'13 - Issuer Account'!H47</f>
        <v>0</v>
      </c>
      <c r="J98" s="924">
        <f>'13 - Issuer Account'!I48</f>
        <v>0</v>
      </c>
      <c r="K98" s="633"/>
      <c r="L98" s="772"/>
    </row>
    <row r="99" spans="1:12" ht="75.75" customHeight="1">
      <c r="A99" s="813"/>
      <c r="B99" s="817"/>
      <c r="C99" s="832"/>
      <c r="D99" s="2121"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21"/>
      <c r="F99" s="2121"/>
      <c r="G99" s="833"/>
      <c r="H99" s="934"/>
      <c r="I99" s="934">
        <f>'13 - Issuer Account'!H48</f>
        <v>0</v>
      </c>
      <c r="J99" s="924">
        <f>'13 - Issuer Account'!I49</f>
        <v>0</v>
      </c>
      <c r="K99" s="633"/>
      <c r="L99" s="772"/>
    </row>
    <row r="100" spans="1:12" ht="72" customHeight="1">
      <c r="A100" s="813"/>
      <c r="B100" s="817"/>
      <c r="C100" s="832"/>
      <c r="D100" s="2121"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21"/>
      <c r="F100" s="2121"/>
      <c r="G100" s="833"/>
      <c r="H100" s="934"/>
      <c r="I100" s="934">
        <f>'13 - Issuer Account'!H49</f>
        <v>0</v>
      </c>
      <c r="J100" s="924">
        <f>'13 - Issuer Account'!I50</f>
        <v>0</v>
      </c>
      <c r="K100" s="633"/>
      <c r="L100" s="772"/>
    </row>
    <row r="101" spans="1:12" ht="66.75" customHeight="1">
      <c r="A101" s="813"/>
      <c r="B101" s="817"/>
      <c r="C101" s="828"/>
      <c r="D101" s="2121"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21"/>
      <c r="F101" s="2121"/>
      <c r="G101" s="833"/>
      <c r="H101" s="934"/>
      <c r="I101" s="934">
        <f>'13 - Issuer Account'!H50</f>
        <v>0</v>
      </c>
      <c r="J101" s="924">
        <f>'13 - Issuer Account'!I51</f>
        <v>0</v>
      </c>
      <c r="K101" s="633"/>
      <c r="L101" s="772"/>
    </row>
    <row r="102" spans="1:12" ht="54" customHeight="1">
      <c r="A102" s="813"/>
      <c r="B102" s="817"/>
      <c r="C102" s="832"/>
      <c r="D102" s="2121" t="str">
        <f>'13 - Issuer Account'!E51</f>
        <v>(d)	on the Issuer Liquidation Date, with any amount standing to the credit of the Commingling Reserve Account (if any) which shall be re-transferred to the Servicer (out of the Priority of Payments).</v>
      </c>
      <c r="E102" s="2121"/>
      <c r="F102" s="2121"/>
      <c r="G102" s="833"/>
      <c r="H102" s="934"/>
      <c r="I102" s="934">
        <f>'13 - Issuer Account'!H51</f>
        <v>0</v>
      </c>
      <c r="J102" s="924">
        <f>'13 - Issuer Account'!I52</f>
        <v>0</v>
      </c>
      <c r="K102" s="633"/>
      <c r="L102" s="772"/>
    </row>
    <row r="103" spans="1:12" ht="13">
      <c r="A103" s="813"/>
      <c r="B103" s="817"/>
      <c r="C103" s="828"/>
      <c r="D103" s="837"/>
      <c r="E103" s="837"/>
      <c r="F103" s="837"/>
      <c r="G103" s="837"/>
      <c r="H103" s="837"/>
      <c r="I103" s="837"/>
      <c r="J103" s="837"/>
      <c r="K103" s="633"/>
      <c r="L103" s="772"/>
    </row>
    <row r="104" spans="1:12" ht="13">
      <c r="A104" s="813"/>
      <c r="B104" s="817"/>
      <c r="C104" s="819"/>
      <c r="D104" s="2136" t="s">
        <v>1889</v>
      </c>
      <c r="E104" s="2136"/>
      <c r="F104" s="839"/>
      <c r="G104" s="819"/>
      <c r="H104" s="819"/>
      <c r="I104" s="819"/>
      <c r="J104" s="824">
        <f>J102</f>
        <v>0</v>
      </c>
      <c r="L104" s="772"/>
    </row>
    <row r="105" spans="1:12" ht="13" thickBot="1">
      <c r="B105" s="612"/>
      <c r="C105" s="613"/>
      <c r="D105" s="613"/>
      <c r="E105" s="613"/>
      <c r="F105" s="613"/>
      <c r="G105" s="613"/>
      <c r="H105" s="613"/>
      <c r="I105" s="613"/>
      <c r="J105" s="613"/>
      <c r="K105" s="613"/>
      <c r="L105" s="614"/>
    </row>
    <row r="106" spans="1:12" ht="13"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zoomScale="85" zoomScaleNormal="100" zoomScaleSheetLayoutView="85" workbookViewId="0"/>
  </sheetViews>
  <sheetFormatPr defaultColWidth="11.453125" defaultRowHeight="12.5"/>
  <cols>
    <col min="1" max="1" width="2.7265625" style="592" customWidth="1"/>
    <col min="2" max="2" width="1.26953125" style="592" customWidth="1"/>
    <col min="3" max="3" width="11.7265625" style="592" bestFit="1" customWidth="1"/>
    <col min="4" max="4" width="43" style="592" bestFit="1" customWidth="1"/>
    <col min="5" max="5" width="15.1796875" style="592" bestFit="1" customWidth="1"/>
    <col min="6" max="6" width="9.1796875" style="592" bestFit="1" customWidth="1"/>
    <col min="7" max="7" width="6.54296875" style="592" bestFit="1" customWidth="1"/>
    <col min="8" max="8" width="32.54296875" style="592" bestFit="1" customWidth="1"/>
    <col min="9" max="9" width="32.54296875" style="592" customWidth="1"/>
    <col min="10" max="10" width="17" style="592" bestFit="1" customWidth="1"/>
    <col min="11" max="11" width="34.1796875" style="592" bestFit="1" customWidth="1"/>
    <col min="12" max="12" width="11.453125" style="592" bestFit="1" customWidth="1"/>
    <col min="13" max="16384" width="11.453125" style="592"/>
  </cols>
  <sheetData>
    <row r="1" spans="1:12" ht="13"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46203</v>
      </c>
    </row>
    <row r="3" spans="1:12" ht="14">
      <c r="A3" s="596"/>
      <c r="B3" s="759"/>
      <c r="C3" s="596"/>
      <c r="D3" s="596"/>
      <c r="E3" s="596"/>
      <c r="F3" s="596"/>
      <c r="G3" s="596"/>
      <c r="H3" s="596"/>
      <c r="I3" s="596"/>
      <c r="J3" s="596"/>
      <c r="K3" s="540" t="s">
        <v>233</v>
      </c>
      <c r="L3" s="541">
        <f>'00 - Cover'!F18</f>
        <v>46218</v>
      </c>
    </row>
    <row r="4" spans="1:12" ht="23">
      <c r="A4" s="596"/>
      <c r="B4" s="759"/>
      <c r="C4" s="2122"/>
      <c r="D4" s="2122"/>
      <c r="E4" s="2139"/>
      <c r="F4" s="2139"/>
      <c r="G4" s="2139"/>
      <c r="H4" s="2139"/>
      <c r="I4" s="940"/>
      <c r="J4" s="940"/>
      <c r="K4" s="540" t="s">
        <v>234</v>
      </c>
      <c r="L4" s="541">
        <f>'00 - Cover'!F19</f>
        <v>46223</v>
      </c>
    </row>
    <row r="5" spans="1:12" ht="23">
      <c r="A5" s="596"/>
      <c r="B5" s="759"/>
      <c r="C5" s="2122"/>
      <c r="D5" s="2122"/>
      <c r="E5" s="2139"/>
      <c r="F5" s="2139"/>
      <c r="G5" s="2139"/>
      <c r="H5" s="2139"/>
      <c r="I5" s="940"/>
      <c r="J5" s="940"/>
      <c r="K5" s="540" t="s">
        <v>235</v>
      </c>
      <c r="L5" s="541">
        <f>'00 - Cover'!F20</f>
        <v>46230</v>
      </c>
    </row>
    <row r="6" spans="1:12" ht="23">
      <c r="A6" s="596"/>
      <c r="B6" s="759"/>
      <c r="C6" s="596"/>
      <c r="D6" s="596"/>
      <c r="E6" s="2139"/>
      <c r="F6" s="2139"/>
      <c r="G6" s="2139"/>
      <c r="H6" s="2139"/>
      <c r="I6" s="940"/>
      <c r="J6" s="940"/>
      <c r="K6" s="540" t="s">
        <v>236</v>
      </c>
      <c r="L6" s="543">
        <f>_xlfn.XLOOKUP(L2,Calendar!E23:E478,Calendar!B23:B478)</f>
        <v>21</v>
      </c>
    </row>
    <row r="7" spans="1:12">
      <c r="A7" s="707"/>
      <c r="B7" s="941"/>
      <c r="C7" s="942"/>
      <c r="D7" s="942"/>
      <c r="E7" s="942"/>
      <c r="F7" s="942"/>
      <c r="G7" s="942"/>
      <c r="H7" s="942"/>
      <c r="I7" s="1698"/>
      <c r="J7" s="942"/>
      <c r="K7" s="942"/>
      <c r="L7" s="943"/>
    </row>
    <row r="8" spans="1:12" ht="15.5">
      <c r="B8" s="594"/>
      <c r="F8" s="944"/>
      <c r="G8" s="944"/>
      <c r="L8" s="603"/>
    </row>
    <row r="9" spans="1:12">
      <c r="B9" s="594"/>
      <c r="L9" s="603"/>
    </row>
    <row r="10" spans="1:12" ht="14.5">
      <c r="B10" s="594"/>
      <c r="C10" s="945" t="s">
        <v>396</v>
      </c>
      <c r="D10" s="1598">
        <f>L5</f>
        <v>46230</v>
      </c>
      <c r="L10" s="603"/>
    </row>
    <row r="11" spans="1:12">
      <c r="B11" s="594"/>
      <c r="L11" s="603"/>
    </row>
    <row r="12" spans="1:12" ht="13">
      <c r="B12" s="594"/>
      <c r="D12" s="1176" t="s">
        <v>397</v>
      </c>
      <c r="E12" s="1177" t="s">
        <v>398</v>
      </c>
      <c r="F12" s="1177" t="s">
        <v>399</v>
      </c>
      <c r="G12" s="1177" t="s">
        <v>400</v>
      </c>
      <c r="H12" s="1177" t="s">
        <v>401</v>
      </c>
      <c r="I12" s="1177" t="s">
        <v>1987</v>
      </c>
      <c r="J12" s="1177" t="s">
        <v>402</v>
      </c>
      <c r="K12" s="1177" t="s">
        <v>403</v>
      </c>
      <c r="L12" s="603"/>
    </row>
    <row r="13" spans="1:12" ht="14.5">
      <c r="B13" s="594"/>
      <c r="D13" s="946" t="s">
        <v>370</v>
      </c>
      <c r="E13" s="1600">
        <f>'14 - Fees'!J53</f>
        <v>2255482.12</v>
      </c>
      <c r="F13" s="948" t="s">
        <v>404</v>
      </c>
      <c r="G13" s="1177" t="s">
        <v>400</v>
      </c>
      <c r="H13" s="949" t="s">
        <v>1357</v>
      </c>
      <c r="I13" s="949" t="s">
        <v>1985</v>
      </c>
      <c r="J13" s="949" t="s">
        <v>406</v>
      </c>
      <c r="K13" s="949" t="s">
        <v>2063</v>
      </c>
      <c r="L13" s="787"/>
    </row>
    <row r="14" spans="1:12" ht="14.5">
      <c r="B14" s="594"/>
      <c r="D14" s="946" t="s">
        <v>371</v>
      </c>
      <c r="E14" s="1600">
        <f>'14 - Fees'!J54</f>
        <v>17429.43</v>
      </c>
      <c r="F14" s="948" t="s">
        <v>404</v>
      </c>
      <c r="G14" s="1177" t="s">
        <v>400</v>
      </c>
      <c r="H14" s="949" t="s">
        <v>1357</v>
      </c>
      <c r="I14" s="949" t="s">
        <v>1985</v>
      </c>
      <c r="J14" s="949" t="s">
        <v>406</v>
      </c>
      <c r="K14" s="949" t="s">
        <v>2063</v>
      </c>
      <c r="L14" s="787"/>
    </row>
    <row r="15" spans="1:12" ht="14.5">
      <c r="B15" s="594"/>
      <c r="D15" s="946" t="s">
        <v>407</v>
      </c>
      <c r="E15" s="947">
        <f>SUM('14 - Fees'!J18:J30)</f>
        <v>5416.67</v>
      </c>
      <c r="F15" s="948" t="s">
        <v>404</v>
      </c>
      <c r="G15" s="1177" t="s">
        <v>400</v>
      </c>
      <c r="H15" s="949" t="s">
        <v>1357</v>
      </c>
      <c r="I15" s="949" t="s">
        <v>1988</v>
      </c>
      <c r="J15" s="949" t="s">
        <v>1350</v>
      </c>
      <c r="K15" s="950" t="s">
        <v>1365</v>
      </c>
      <c r="L15" s="787"/>
    </row>
    <row r="16" spans="1:12" ht="14.5">
      <c r="B16" s="594"/>
      <c r="D16" s="946" t="s">
        <v>372</v>
      </c>
      <c r="E16" s="947">
        <f>'14 - Fees'!J34</f>
        <v>12500</v>
      </c>
      <c r="F16" s="948" t="s">
        <v>404</v>
      </c>
      <c r="G16" s="1177" t="s">
        <v>400</v>
      </c>
      <c r="H16" s="949" t="s">
        <v>1357</v>
      </c>
      <c r="I16" s="949" t="s">
        <v>1985</v>
      </c>
      <c r="J16" s="949" t="s">
        <v>408</v>
      </c>
      <c r="K16" s="950" t="s">
        <v>1362</v>
      </c>
      <c r="L16" s="787"/>
    </row>
    <row r="17" spans="2:13" ht="14.5">
      <c r="B17" s="594"/>
      <c r="D17" s="946" t="s">
        <v>377</v>
      </c>
      <c r="E17" s="947">
        <f>SUM('14 - Fees'!J39:J45)</f>
        <v>480</v>
      </c>
      <c r="F17" s="948" t="s">
        <v>404</v>
      </c>
      <c r="G17" s="1177" t="s">
        <v>400</v>
      </c>
      <c r="H17" s="949" t="s">
        <v>1357</v>
      </c>
      <c r="I17" s="949" t="s">
        <v>1985</v>
      </c>
      <c r="J17" s="949" t="s">
        <v>408</v>
      </c>
      <c r="K17" s="950" t="s">
        <v>1362</v>
      </c>
      <c r="L17" s="787"/>
      <c r="M17" s="951"/>
    </row>
    <row r="18" spans="2:13" ht="14.5">
      <c r="B18" s="594"/>
      <c r="D18" s="946" t="s">
        <v>378</v>
      </c>
      <c r="E18" s="947">
        <f>'14 - Fees'!J36+'14 - Fees'!J37</f>
        <v>1050</v>
      </c>
      <c r="F18" s="948" t="s">
        <v>404</v>
      </c>
      <c r="G18" s="1177" t="s">
        <v>400</v>
      </c>
      <c r="H18" s="949" t="s">
        <v>1357</v>
      </c>
      <c r="I18" s="949" t="s">
        <v>1985</v>
      </c>
      <c r="J18" s="949" t="s">
        <v>406</v>
      </c>
      <c r="K18" s="950" t="s">
        <v>1357</v>
      </c>
      <c r="L18" s="787"/>
    </row>
    <row r="19" spans="2:13" ht="14.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14.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
      <c r="B21" s="594"/>
      <c r="D21" s="946" t="s">
        <v>186</v>
      </c>
      <c r="E21" s="1600">
        <f>'14 - Fees'!J58</f>
        <v>0</v>
      </c>
      <c r="F21" s="948" t="s">
        <v>404</v>
      </c>
      <c r="G21" s="1177" t="s">
        <v>400</v>
      </c>
      <c r="H21" s="949" t="s">
        <v>1357</v>
      </c>
      <c r="I21" s="949" t="s">
        <v>2067</v>
      </c>
      <c r="J21" s="949" t="s">
        <v>2068</v>
      </c>
      <c r="K21" s="950" t="s">
        <v>1366</v>
      </c>
      <c r="L21" s="787"/>
    </row>
    <row r="22" spans="2:13" ht="14.5">
      <c r="B22" s="594"/>
      <c r="D22" s="946" t="s">
        <v>380</v>
      </c>
      <c r="E22" s="1600">
        <f>'14 - Fees'!J60</f>
        <v>0</v>
      </c>
      <c r="F22" s="948" t="s">
        <v>404</v>
      </c>
      <c r="G22" s="1177" t="s">
        <v>400</v>
      </c>
      <c r="H22" s="949" t="s">
        <v>1357</v>
      </c>
      <c r="I22" s="949" t="s">
        <v>2069</v>
      </c>
      <c r="J22" s="949" t="s">
        <v>1361</v>
      </c>
      <c r="K22" s="950" t="s">
        <v>2070</v>
      </c>
      <c r="L22" s="787"/>
    </row>
    <row r="23" spans="2:13" ht="14.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14.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14.5">
      <c r="B25" s="594"/>
      <c r="D25" s="946" t="s">
        <v>409</v>
      </c>
      <c r="E25" s="1600">
        <f>'12 - Notes Interest'!K17</f>
        <v>3002787.16</v>
      </c>
      <c r="F25" s="948" t="s">
        <v>404</v>
      </c>
      <c r="G25" s="1177" t="s">
        <v>400</v>
      </c>
      <c r="H25" s="949" t="s">
        <v>1357</v>
      </c>
      <c r="I25" s="949" t="s">
        <v>1985</v>
      </c>
      <c r="J25" s="949" t="s">
        <v>406</v>
      </c>
      <c r="K25" s="950" t="s">
        <v>1363</v>
      </c>
      <c r="L25" s="787"/>
    </row>
    <row r="26" spans="2:13" ht="14.5">
      <c r="B26" s="594"/>
      <c r="D26" s="946" t="s">
        <v>410</v>
      </c>
      <c r="E26" s="1600">
        <f>'11 - Notes Follow-up'!F25</f>
        <v>57195205.599999994</v>
      </c>
      <c r="F26" s="948" t="s">
        <v>404</v>
      </c>
      <c r="G26" s="1177" t="s">
        <v>400</v>
      </c>
      <c r="H26" s="949" t="s">
        <v>1357</v>
      </c>
      <c r="I26" s="949" t="s">
        <v>1985</v>
      </c>
      <c r="J26" s="949" t="s">
        <v>406</v>
      </c>
      <c r="K26" s="950" t="s">
        <v>1363</v>
      </c>
      <c r="L26" s="787"/>
    </row>
    <row r="27" spans="2:13" ht="14.5">
      <c r="B27" s="594"/>
      <c r="D27" s="946" t="s">
        <v>2071</v>
      </c>
      <c r="E27" s="1600">
        <f>'12 - Notes Interest'!T17</f>
        <v>1730989.4</v>
      </c>
      <c r="F27" s="948" t="s">
        <v>404</v>
      </c>
      <c r="G27" s="1177" t="s">
        <v>400</v>
      </c>
      <c r="H27" s="949" t="s">
        <v>1357</v>
      </c>
      <c r="I27" s="949" t="s">
        <v>1985</v>
      </c>
      <c r="J27" s="949" t="s">
        <v>406</v>
      </c>
      <c r="K27" s="950" t="s">
        <v>1363</v>
      </c>
      <c r="L27" s="787"/>
    </row>
    <row r="28" spans="2:13" ht="14.5">
      <c r="B28" s="594"/>
      <c r="D28" s="946" t="s">
        <v>2072</v>
      </c>
      <c r="E28" s="1600">
        <f>'11 - Notes Follow-up'!N25</f>
        <v>32964234.399999999</v>
      </c>
      <c r="F28" s="948" t="s">
        <v>404</v>
      </c>
      <c r="G28" s="1177" t="s">
        <v>400</v>
      </c>
      <c r="H28" s="949" t="s">
        <v>1357</v>
      </c>
      <c r="I28" s="949" t="s">
        <v>1985</v>
      </c>
      <c r="J28" s="949" t="s">
        <v>406</v>
      </c>
      <c r="K28" s="950" t="s">
        <v>1363</v>
      </c>
      <c r="L28" s="787"/>
    </row>
    <row r="29" spans="2:13" ht="14.5">
      <c r="B29" s="594"/>
      <c r="D29" s="946" t="s">
        <v>411</v>
      </c>
      <c r="E29" s="1600">
        <f>'15 - Priority of Payments'!I32</f>
        <v>622908</v>
      </c>
      <c r="F29" s="948" t="s">
        <v>404</v>
      </c>
      <c r="G29" s="1177" t="s">
        <v>400</v>
      </c>
      <c r="H29" s="949" t="s">
        <v>1357</v>
      </c>
      <c r="I29" s="949" t="s">
        <v>1985</v>
      </c>
      <c r="J29" s="949" t="s">
        <v>406</v>
      </c>
      <c r="K29" s="950" t="s">
        <v>1364</v>
      </c>
      <c r="L29" s="787"/>
    </row>
    <row r="30" spans="2:13" ht="14.5">
      <c r="B30" s="594"/>
      <c r="D30" s="946" t="s">
        <v>412</v>
      </c>
      <c r="E30" s="1600">
        <f>'15 - Priority of Payments'!I33</f>
        <v>4745252.16</v>
      </c>
      <c r="F30" s="948" t="s">
        <v>404</v>
      </c>
      <c r="G30" s="1177" t="s">
        <v>400</v>
      </c>
      <c r="H30" s="949" t="s">
        <v>1357</v>
      </c>
      <c r="I30" s="949" t="s">
        <v>1985</v>
      </c>
      <c r="J30" s="949" t="s">
        <v>406</v>
      </c>
      <c r="K30" s="950" t="s">
        <v>1364</v>
      </c>
      <c r="L30" s="787"/>
    </row>
    <row r="31" spans="2:13" ht="25">
      <c r="B31" s="594"/>
      <c r="D31" s="946" t="s">
        <v>413</v>
      </c>
      <c r="E31" s="1600">
        <v>0</v>
      </c>
      <c r="F31" s="948" t="s">
        <v>404</v>
      </c>
      <c r="G31" s="1177" t="s">
        <v>400</v>
      </c>
      <c r="H31" s="949" t="s">
        <v>1360</v>
      </c>
      <c r="I31" s="949" t="s">
        <v>1985</v>
      </c>
      <c r="J31" s="949" t="s">
        <v>405</v>
      </c>
      <c r="K31" s="950" t="s">
        <v>1357</v>
      </c>
      <c r="L31" s="787"/>
    </row>
    <row r="32" spans="2:13" ht="14.5">
      <c r="B32" s="594"/>
      <c r="D32" s="946" t="s">
        <v>414</v>
      </c>
      <c r="E32" s="1600">
        <f>'15 - Priority of Payments'!J35</f>
        <v>7364299.2012008429</v>
      </c>
      <c r="F32" s="948" t="s">
        <v>404</v>
      </c>
      <c r="G32" s="1177" t="s">
        <v>400</v>
      </c>
      <c r="H32" s="949" t="s">
        <v>1357</v>
      </c>
      <c r="I32" s="949" t="s">
        <v>1985</v>
      </c>
      <c r="J32" s="949" t="s">
        <v>406</v>
      </c>
      <c r="K32" s="950" t="s">
        <v>1367</v>
      </c>
      <c r="L32" s="787"/>
    </row>
    <row r="33" spans="2:12" ht="14.5">
      <c r="B33" s="594"/>
      <c r="D33" s="946" t="s">
        <v>1358</v>
      </c>
      <c r="E33" s="952">
        <f>-MIN('10 - Reserve calculation'!K12,0)</f>
        <v>450000</v>
      </c>
      <c r="F33" s="948" t="s">
        <v>404</v>
      </c>
      <c r="G33" s="1177" t="s">
        <v>400</v>
      </c>
      <c r="H33" s="949" t="s">
        <v>1360</v>
      </c>
      <c r="I33" s="949" t="s">
        <v>1985</v>
      </c>
      <c r="J33" s="949" t="s">
        <v>406</v>
      </c>
      <c r="K33" s="950" t="s">
        <v>1986</v>
      </c>
      <c r="L33" s="787"/>
    </row>
    <row r="34" spans="2:12" ht="14.5">
      <c r="B34" s="594"/>
      <c r="D34" s="946" t="s">
        <v>1359</v>
      </c>
      <c r="E34" s="952">
        <v>0</v>
      </c>
      <c r="F34" s="948" t="s">
        <v>404</v>
      </c>
      <c r="G34" s="1177" t="s">
        <v>400</v>
      </c>
      <c r="H34" s="949"/>
      <c r="I34" s="949"/>
      <c r="J34" s="949" t="s">
        <v>405</v>
      </c>
      <c r="K34" s="950" t="s">
        <v>1357</v>
      </c>
      <c r="L34" s="787"/>
    </row>
    <row r="35" spans="2:12" ht="14.5">
      <c r="B35" s="594"/>
      <c r="D35" s="953" t="s">
        <v>415</v>
      </c>
      <c r="E35" s="952">
        <f>SUM(E13:E34)</f>
        <v>110368034.14120084</v>
      </c>
      <c r="G35" s="954"/>
      <c r="L35" s="603"/>
    </row>
    <row r="36" spans="2:12" ht="13" thickBot="1">
      <c r="B36" s="612"/>
      <c r="C36" s="613"/>
      <c r="D36" s="613"/>
      <c r="E36" s="613"/>
      <c r="F36" s="613"/>
      <c r="G36" s="613"/>
      <c r="H36" s="613"/>
      <c r="I36" s="613"/>
      <c r="J36" s="613"/>
      <c r="K36" s="613"/>
      <c r="L36" s="614"/>
    </row>
    <row r="37" spans="2:12" ht="13"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defaultColWidth="11.453125" defaultRowHeight="12.5"/>
  <cols>
    <col min="1" max="1" width="3.81640625" style="592" customWidth="1"/>
    <col min="2" max="2" width="11.453125" style="592"/>
    <col min="3" max="3" width="36.1796875" style="592" bestFit="1" customWidth="1"/>
    <col min="4" max="4" width="18.7265625" style="592" bestFit="1" customWidth="1"/>
    <col min="5" max="5" width="22.1796875" style="592" customWidth="1"/>
    <col min="6" max="6" width="12.26953125" style="592" customWidth="1"/>
    <col min="7" max="7" width="5.26953125" style="592" customWidth="1"/>
    <col min="8" max="8" width="21.7265625" style="592" customWidth="1"/>
    <col min="9" max="10" width="11.453125" style="592"/>
    <col min="11" max="11" width="19.81640625" style="592" bestFit="1" customWidth="1"/>
    <col min="12" max="12" width="12.1796875" style="592" bestFit="1" customWidth="1"/>
    <col min="13" max="13" width="1.453125" style="592" customWidth="1"/>
    <col min="14" max="14" width="4.54296875" style="592" customWidth="1"/>
    <col min="15" max="15" width="19.54296875" style="592" bestFit="1" customWidth="1"/>
    <col min="16" max="16384" width="11.453125" style="592"/>
  </cols>
  <sheetData>
    <row r="2" spans="1:13" ht="13" thickBot="1"/>
    <row r="3" spans="1:13" ht="28.5" thickTop="1">
      <c r="A3" s="808"/>
      <c r="B3" s="809"/>
      <c r="C3" s="1186"/>
      <c r="D3" s="810"/>
      <c r="E3" s="811"/>
      <c r="F3" s="811"/>
      <c r="G3" s="811"/>
      <c r="H3" s="534"/>
      <c r="I3" s="534"/>
      <c r="J3" s="534"/>
      <c r="K3" s="534"/>
      <c r="L3" s="618"/>
      <c r="M3" s="535"/>
    </row>
    <row r="4" spans="1:13" ht="14">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
      <c r="A7" s="596"/>
      <c r="B7" s="759"/>
      <c r="C7" s="596"/>
      <c r="D7" s="596"/>
      <c r="F7" s="596"/>
      <c r="G7" s="596"/>
      <c r="H7" s="540"/>
      <c r="I7" s="540"/>
      <c r="J7" s="540"/>
      <c r="K7" s="540"/>
      <c r="L7" s="624"/>
      <c r="M7" s="543"/>
    </row>
    <row r="8" spans="1:13" ht="14">
      <c r="A8" s="785"/>
      <c r="B8" s="812"/>
      <c r="C8" s="599"/>
      <c r="D8" s="599"/>
      <c r="E8" s="599"/>
      <c r="F8" s="599"/>
      <c r="G8" s="599"/>
      <c r="H8" s="599"/>
      <c r="I8" s="599"/>
      <c r="J8" s="599"/>
      <c r="K8" s="599"/>
      <c r="L8" s="599"/>
      <c r="M8" s="943"/>
    </row>
    <row r="9" spans="1:13" ht="15.5">
      <c r="A9" s="813"/>
      <c r="B9" s="1200" t="s">
        <v>416</v>
      </c>
      <c r="C9" s="764"/>
      <c r="D9" s="827"/>
      <c r="E9" s="827"/>
      <c r="F9" s="827"/>
      <c r="G9" s="827"/>
      <c r="H9" s="629"/>
      <c r="I9" s="629"/>
      <c r="J9" s="629"/>
      <c r="K9" s="629"/>
      <c r="L9" s="629"/>
      <c r="M9" s="772"/>
    </row>
    <row r="10" spans="1:13" ht="15.5">
      <c r="A10" s="813"/>
      <c r="B10" s="817"/>
      <c r="C10" s="764"/>
      <c r="D10" s="827"/>
      <c r="E10" s="827"/>
      <c r="F10" s="827"/>
      <c r="G10" s="827"/>
      <c r="H10" s="629"/>
      <c r="I10" s="633"/>
      <c r="J10" s="923"/>
      <c r="K10" s="929"/>
      <c r="L10" s="633"/>
      <c r="M10" s="772"/>
    </row>
    <row r="11" spans="1:13" ht="22.5" customHeight="1">
      <c r="A11" s="813"/>
      <c r="B11" s="817"/>
      <c r="C11" s="2140" t="s">
        <v>417</v>
      </c>
      <c r="D11" s="2140"/>
      <c r="E11" s="2140"/>
      <c r="F11" s="827"/>
      <c r="G11" s="956"/>
      <c r="H11" s="2140" t="s">
        <v>418</v>
      </c>
      <c r="I11" s="2140"/>
      <c r="J11" s="2140"/>
      <c r="K11" s="955"/>
      <c r="L11" s="813"/>
      <c r="M11" s="772"/>
    </row>
    <row r="12" spans="1:13" ht="15.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4">
      <c r="A14" s="813"/>
      <c r="B14" s="817"/>
      <c r="C14" s="958" t="s">
        <v>1349</v>
      </c>
      <c r="D14" s="959"/>
      <c r="E14" s="960">
        <f>'16 - Simplified Balance Sheet'!E14</f>
        <v>10731409727.809999</v>
      </c>
      <c r="F14" s="829"/>
      <c r="G14" s="961"/>
      <c r="H14" s="962" t="s">
        <v>419</v>
      </c>
      <c r="I14" s="830"/>
      <c r="J14" s="830"/>
      <c r="K14" s="963">
        <f>K15+K17</f>
        <v>7003963080.96</v>
      </c>
      <c r="L14" s="831"/>
      <c r="M14" s="772"/>
    </row>
    <row r="15" spans="1:13" ht="22.5" customHeight="1">
      <c r="A15" s="813"/>
      <c r="B15" s="817"/>
      <c r="C15" s="832"/>
      <c r="D15" s="964"/>
      <c r="E15" s="965"/>
      <c r="F15" s="964"/>
      <c r="G15" s="966"/>
      <c r="H15" s="967" t="s">
        <v>118</v>
      </c>
      <c r="I15" s="968"/>
      <c r="J15" s="968"/>
      <c r="K15" s="969">
        <f>'16 - Simplified Balance Sheet'!J13</f>
        <v>6467392569.1199999</v>
      </c>
      <c r="L15" s="831"/>
      <c r="M15" s="772"/>
    </row>
    <row r="16" spans="1:13" ht="31.5" customHeight="1">
      <c r="A16" s="813"/>
      <c r="B16" s="817"/>
      <c r="C16" s="958" t="s">
        <v>420</v>
      </c>
      <c r="D16" s="967"/>
      <c r="E16" s="969">
        <f>'16 - Simplified Balance Sheet'!E16</f>
        <v>918196.36</v>
      </c>
      <c r="F16" s="967"/>
      <c r="G16" s="970"/>
      <c r="H16" s="967" t="s">
        <v>118</v>
      </c>
      <c r="K16" s="969">
        <f>'16 - Simplified Balance Sheet'!J14</f>
        <v>3727447061.8000002</v>
      </c>
      <c r="L16" s="831"/>
      <c r="M16" s="772"/>
    </row>
    <row r="17" spans="1:15" ht="31.5" customHeight="1">
      <c r="A17" s="813"/>
      <c r="B17" s="817"/>
      <c r="C17" s="832"/>
      <c r="D17" s="971"/>
      <c r="E17" s="971"/>
      <c r="F17" s="971"/>
      <c r="G17" s="972"/>
      <c r="H17" s="967" t="s">
        <v>119</v>
      </c>
      <c r="I17" s="968"/>
      <c r="J17" s="968"/>
      <c r="K17" s="969">
        <f>'16 - Simplified Balance Sheet'!J15</f>
        <v>536570511.84000009</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10731409727.809999</v>
      </c>
      <c r="F19" s="971"/>
      <c r="G19" s="972"/>
      <c r="H19" s="801" t="s">
        <v>421</v>
      </c>
      <c r="I19" s="968"/>
      <c r="J19" s="968"/>
      <c r="K19" s="974">
        <f>SUM(K15:K18)</f>
        <v>10731410442.76</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714.95000061392784</v>
      </c>
      <c r="F21" s="975"/>
      <c r="G21" s="977"/>
      <c r="H21" s="1389" t="s">
        <v>1014</v>
      </c>
      <c r="I21" s="968"/>
      <c r="J21" s="968"/>
      <c r="K21" s="969">
        <f>'16 - Simplified Balance Sheet'!J22</f>
        <v>50980000</v>
      </c>
      <c r="L21" s="831"/>
      <c r="M21" s="772"/>
    </row>
    <row r="22" spans="1:15" ht="45" customHeight="1">
      <c r="A22" s="813"/>
      <c r="B22" s="817"/>
      <c r="C22" s="828" t="s">
        <v>1014</v>
      </c>
      <c r="D22" s="967"/>
      <c r="E22" s="965">
        <f>'16 - Simplified Balance Sheet'!E21</f>
        <v>50980000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10782390442.76</v>
      </c>
      <c r="F26" s="837"/>
      <c r="G26" s="978"/>
      <c r="H26" s="958" t="s">
        <v>415</v>
      </c>
      <c r="I26" s="837"/>
      <c r="K26" s="829">
        <f>+K19+K24+K21</f>
        <v>10782390442.76</v>
      </c>
      <c r="L26" s="831"/>
      <c r="M26" s="772"/>
      <c r="O26" s="1488">
        <f>E26-K26</f>
        <v>0</v>
      </c>
    </row>
    <row r="27" spans="1:15" ht="12.75" customHeight="1">
      <c r="A27" s="813"/>
      <c r="B27" s="817"/>
      <c r="C27" s="819"/>
      <c r="D27" s="930"/>
      <c r="E27" s="930"/>
      <c r="F27" s="839"/>
      <c r="G27" s="839"/>
      <c r="H27" s="819"/>
      <c r="I27" s="819"/>
      <c r="J27" s="819"/>
      <c r="K27" s="924"/>
      <c r="M27" s="772"/>
    </row>
    <row r="28" spans="1:15" ht="13" thickBot="1">
      <c r="B28" s="612"/>
      <c r="C28" s="613"/>
      <c r="D28" s="613"/>
      <c r="E28" s="613"/>
      <c r="F28" s="613"/>
      <c r="G28" s="613"/>
      <c r="H28" s="613"/>
      <c r="I28" s="613"/>
      <c r="J28" s="613"/>
      <c r="K28" s="613"/>
      <c r="L28" s="613"/>
      <c r="M28" s="614"/>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85" zoomScaleNormal="85" workbookViewId="0"/>
  </sheetViews>
  <sheetFormatPr defaultColWidth="11.453125" defaultRowHeight="12.5"/>
  <cols>
    <col min="1" max="1" width="2.7265625" style="707" customWidth="1"/>
    <col min="2" max="2" width="1.26953125" style="707" customWidth="1"/>
    <col min="3" max="3" width="6.81640625" style="707" customWidth="1"/>
    <col min="4" max="4" width="31.7265625" style="708" customWidth="1"/>
    <col min="5" max="5" width="21" style="707" bestFit="1" customWidth="1"/>
    <col min="6" max="6" width="67.1796875" style="707" bestFit="1" customWidth="1"/>
    <col min="7" max="7" width="33.1796875" style="979" customWidth="1"/>
    <col min="8" max="8" width="25.7265625" style="707" customWidth="1"/>
    <col min="9" max="11" width="24.7265625" style="707" customWidth="1"/>
    <col min="12" max="12" width="30.26953125" style="707" customWidth="1"/>
    <col min="13" max="13" width="13.7265625" style="707" customWidth="1"/>
    <col min="14" max="14" width="4.7265625" style="707" customWidth="1"/>
    <col min="15" max="16384" width="11.453125" style="707"/>
  </cols>
  <sheetData>
    <row r="1" spans="2:13" ht="15" customHeight="1" thickBot="1"/>
    <row r="2" spans="2:13" s="592" customFormat="1" ht="40" customHeight="1" thickTop="1">
      <c r="B2" s="593"/>
      <c r="C2" s="755"/>
      <c r="D2" s="617"/>
      <c r="E2" s="810"/>
      <c r="F2" s="811"/>
      <c r="G2" s="980"/>
      <c r="H2" s="617"/>
      <c r="I2" s="617"/>
      <c r="J2" s="617"/>
      <c r="K2" s="617"/>
      <c r="L2" s="534"/>
      <c r="M2" s="535"/>
    </row>
    <row r="3" spans="2:13" ht="14">
      <c r="B3" s="594"/>
      <c r="C3" s="592"/>
      <c r="D3" s="596"/>
      <c r="E3" s="596"/>
      <c r="F3" s="596"/>
      <c r="L3" s="540"/>
      <c r="M3" s="541"/>
    </row>
    <row r="4" spans="2:13" ht="15" customHeight="1">
      <c r="B4" s="594"/>
      <c r="C4" s="2122"/>
      <c r="D4" s="2122"/>
      <c r="E4" s="2122"/>
      <c r="F4" s="2141"/>
      <c r="G4" s="2141"/>
      <c r="H4" s="2141"/>
      <c r="I4" s="2141"/>
      <c r="J4" s="2141"/>
      <c r="K4" s="2141"/>
      <c r="L4" s="540"/>
      <c r="M4" s="541"/>
    </row>
    <row r="5" spans="2:13" ht="15" customHeight="1">
      <c r="B5" s="594"/>
      <c r="C5" s="2122"/>
      <c r="D5" s="2122"/>
      <c r="E5" s="2122"/>
      <c r="F5" s="2141"/>
      <c r="G5" s="2141"/>
      <c r="H5" s="2141"/>
      <c r="I5" s="2141"/>
      <c r="J5" s="2141"/>
      <c r="K5" s="2141"/>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
      <c r="B9" s="987"/>
      <c r="D9" s="1201" t="s">
        <v>635</v>
      </c>
      <c r="M9" s="787"/>
    </row>
    <row r="10" spans="2:13">
      <c r="B10" s="987"/>
      <c r="M10" s="787"/>
    </row>
    <row r="11" spans="2:13">
      <c r="B11" s="987"/>
      <c r="M11" s="787"/>
    </row>
    <row r="12" spans="2:13">
      <c r="B12" s="987"/>
      <c r="M12" s="787"/>
    </row>
    <row r="13" spans="2:13" s="629" customFormat="1" ht="30" customHeight="1">
      <c r="B13" s="767"/>
      <c r="D13" s="2104" t="s">
        <v>422</v>
      </c>
      <c r="E13" s="2105"/>
      <c r="F13" s="2106"/>
      <c r="G13" s="988"/>
      <c r="M13" s="772"/>
    </row>
    <row r="14" spans="2:13" s="629" customFormat="1">
      <c r="B14" s="767"/>
      <c r="C14" s="629" t="s">
        <v>335</v>
      </c>
      <c r="D14" s="2142" t="s">
        <v>423</v>
      </c>
      <c r="E14" s="2143"/>
      <c r="F14" s="989">
        <f>INPUT_DATA!DW4</f>
        <v>46203</v>
      </c>
      <c r="G14" s="993"/>
      <c r="M14" s="772"/>
    </row>
    <row r="15" spans="2:13" s="629" customFormat="1">
      <c r="B15" s="767"/>
      <c r="C15" s="629" t="s">
        <v>337</v>
      </c>
      <c r="D15" s="2144" t="s">
        <v>424</v>
      </c>
      <c r="E15" s="2145"/>
      <c r="F15" s="990">
        <f>INPUT_DATA!EA4</f>
        <v>61257</v>
      </c>
      <c r="G15" s="993"/>
      <c r="M15" s="772"/>
    </row>
    <row r="16" spans="2:13" s="629" customFormat="1">
      <c r="B16" s="767"/>
      <c r="C16" s="629" t="s">
        <v>339</v>
      </c>
      <c r="D16" s="2144" t="s">
        <v>425</v>
      </c>
      <c r="E16" s="2145"/>
      <c r="F16" s="991">
        <f>G116</f>
        <v>73168</v>
      </c>
      <c r="G16" s="993"/>
      <c r="M16" s="772"/>
    </row>
    <row r="17" spans="2:13" s="629" customFormat="1">
      <c r="B17" s="767"/>
      <c r="C17" s="629" t="s">
        <v>340</v>
      </c>
      <c r="D17" s="2144" t="s">
        <v>426</v>
      </c>
      <c r="E17" s="2145"/>
      <c r="F17" s="992">
        <f>E116</f>
        <v>10731409727.809998</v>
      </c>
      <c r="G17" s="1634"/>
      <c r="M17" s="772"/>
    </row>
    <row r="18" spans="2:13" s="629" customFormat="1">
      <c r="B18" s="767"/>
      <c r="C18" s="629" t="s">
        <v>343</v>
      </c>
      <c r="D18" s="2144" t="s">
        <v>427</v>
      </c>
      <c r="E18" s="2145"/>
      <c r="F18" s="992">
        <f>F17/F16</f>
        <v>146668.07522154492</v>
      </c>
      <c r="G18" s="993"/>
      <c r="M18" s="772"/>
    </row>
    <row r="19" spans="2:13" s="629" customFormat="1">
      <c r="B19" s="767"/>
      <c r="C19" s="629" t="s">
        <v>345</v>
      </c>
      <c r="D19" s="2146" t="s">
        <v>428</v>
      </c>
      <c r="E19" s="2147"/>
      <c r="F19" s="994">
        <f>F17/F15</f>
        <v>175186.66810013546</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_xlfn.XLOOKUP(_xlfn.CONCAT($C27,"-",E$25),INPUT_DATA!$DX:$DX,INPUT_DATA!$DZ:$DZ)</f>
        <v>10270.41</v>
      </c>
      <c r="F27" s="1000">
        <f>_xlfn.XLOOKUP(_xlfn.CONCAT($C27,"-",F$25),INPUT_DATA!$DX:$DX,INPUT_DATA!$DZ:$DZ)</f>
        <v>202895.37</v>
      </c>
      <c r="G27" s="996">
        <f>_xlfn.XLOOKUP(_xlfn.CONCAT($C27,"-",G$25),INPUT_DATA!$DX:$DX,INPUT_DATA!$DZ:$DZ)</f>
        <v>3400000</v>
      </c>
      <c r="H27" s="995" t="s">
        <v>434</v>
      </c>
      <c r="I27" s="1506">
        <v>10587</v>
      </c>
      <c r="J27" s="1506">
        <v>187788.11</v>
      </c>
      <c r="K27" s="1534">
        <v>3400000</v>
      </c>
      <c r="M27" s="772"/>
    </row>
    <row r="28" spans="2:13" s="629" customFormat="1">
      <c r="B28" s="767"/>
      <c r="C28" s="1331" t="s">
        <v>951</v>
      </c>
      <c r="D28" s="1001" t="s">
        <v>435</v>
      </c>
      <c r="E28" s="997">
        <f>_xlfn.XLOOKUP(_xlfn.CONCAT($C28,"-",E$25),INPUT_DATA!$DX:$DX,INPUT_DATA!$DZ:$DZ)</f>
        <v>133.44999999999999</v>
      </c>
      <c r="F28" s="1000">
        <f>_xlfn.XLOOKUP(_xlfn.CONCAT($C28,"-",F$25),INPUT_DATA!$DX:$DX,INPUT_DATA!$DZ:$DZ)</f>
        <v>146678.39999999999</v>
      </c>
      <c r="G28" s="997">
        <f>_xlfn.XLOOKUP(_xlfn.CONCAT($C28,"-",G$25),INPUT_DATA!$DX:$DX,INPUT_DATA!$DZ:$DZ)</f>
        <v>2349919.2200000002</v>
      </c>
      <c r="H28" s="1001" t="s">
        <v>435</v>
      </c>
      <c r="I28" s="1507">
        <v>10000.61</v>
      </c>
      <c r="J28" s="1507">
        <v>143623.4</v>
      </c>
      <c r="K28" s="1535">
        <v>2366094.88</v>
      </c>
      <c r="M28" s="772"/>
    </row>
    <row r="29" spans="2:13" s="629" customFormat="1">
      <c r="B29" s="767"/>
      <c r="C29" s="1331" t="s">
        <v>1274</v>
      </c>
      <c r="D29" s="1001" t="s">
        <v>123</v>
      </c>
      <c r="E29" s="998">
        <f>_xlfn.XLOOKUP(_xlfn.CONCAT($C29,"-",E$25),INPUT_DATA!$DX:$DX,INPUT_DATA!$DZ:$DZ)</f>
        <v>0</v>
      </c>
      <c r="F29" s="1000">
        <f>_xlfn.XLOOKUP(_xlfn.CONCAT($C29,"-",F$25),INPUT_DATA!$DX:$DX,INPUT_DATA!$DZ:$DZ)</f>
        <v>1.68</v>
      </c>
      <c r="G29" s="998">
        <f>_xlfn.XLOOKUP(_xlfn.CONCAT($C29,"-",G$25),INPUT_DATA!$DX:$DX,INPUT_DATA!$DZ:$DZ)</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_xlfn.XLOOKUP(_xlfn.CONCAT($C30,"-",E$25),INPUT_DATA!$DX:$DX,INPUT_DATA!$DZ:$DZ)</f>
        <v>3.2</v>
      </c>
      <c r="F30" s="1000">
        <f>_xlfn.XLOOKUP(_xlfn.CONCAT($C30,"-",F$25),INPUT_DATA!$DX:$DX,INPUT_DATA!$DZ:$DZ)</f>
        <v>92.44</v>
      </c>
      <c r="G30" s="998">
        <f>_xlfn.XLOOKUP(_xlfn.CONCAT($C30,"-",G$25),INPUT_DATA!$DX:$DX,INPUT_DATA!$DZ:$DZ)</f>
        <v>120</v>
      </c>
      <c r="H30" s="1001" t="s">
        <v>436</v>
      </c>
      <c r="I30" s="1508">
        <v>3.2</v>
      </c>
      <c r="J30" s="1538">
        <v>92.664978000000005</v>
      </c>
      <c r="K30" s="1508">
        <v>120</v>
      </c>
      <c r="M30" s="772"/>
    </row>
    <row r="31" spans="2:13" s="629" customFormat="1">
      <c r="B31" s="767"/>
      <c r="C31" s="1331" t="s">
        <v>953</v>
      </c>
      <c r="D31" s="1001" t="s">
        <v>1275</v>
      </c>
      <c r="E31" s="998">
        <f>_xlfn.XLOOKUP(_xlfn.CONCAT($C31,"-",E$25),INPUT_DATA!$DX:$DX,INPUT_DATA!$DZ:$DZ)</f>
        <v>0.02</v>
      </c>
      <c r="F31" s="1000">
        <f>_xlfn.XLOOKUP(_xlfn.CONCAT($C31,"-",F$25),INPUT_DATA!$DX:$DX,INPUT_DATA!$DZ:$DZ)</f>
        <v>68.91</v>
      </c>
      <c r="G31" s="998">
        <f>_xlfn.XLOOKUP(_xlfn.CONCAT($C31,"-",G$25),INPUT_DATA!$DX:$DX,INPUT_DATA!$DZ:$DZ)</f>
        <v>118.79</v>
      </c>
      <c r="H31" s="1001" t="s">
        <v>1275</v>
      </c>
      <c r="I31" s="1508">
        <v>1.03</v>
      </c>
      <c r="J31" s="1508">
        <v>71.495692000000005</v>
      </c>
      <c r="K31" s="1508">
        <v>119.77</v>
      </c>
      <c r="M31" s="772"/>
    </row>
    <row r="32" spans="2:13" s="629" customFormat="1">
      <c r="B32" s="767"/>
      <c r="C32" s="1331" t="s">
        <v>954</v>
      </c>
      <c r="D32" s="1001" t="s">
        <v>437</v>
      </c>
      <c r="E32" s="998">
        <f>_xlfn.XLOOKUP(_xlfn.CONCAT($C32,"-",E$25),INPUT_DATA!$DX:$DX,INPUT_DATA!$DZ:$DZ)</f>
        <v>0</v>
      </c>
      <c r="F32" s="1000">
        <f>_xlfn.XLOOKUP(_xlfn.CONCAT($C32,"-",F$25),INPUT_DATA!$DX:$DX,INPUT_DATA!$DZ:$DZ)</f>
        <v>21.59</v>
      </c>
      <c r="G32" s="998">
        <f>_xlfn.XLOOKUP(_xlfn.CONCAT($C32,"-",G$25),INPUT_DATA!$DX:$DX,INPUT_DATA!$DZ:$DZ)</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_xlfn.XLOOKUP(_xlfn.CONCAT($C33,"-",E$25),INPUT_DATA!$DX:$DX,INPUT_DATA!$DZ:$DZ)</f>
        <v>0.83</v>
      </c>
      <c r="F33" s="1000">
        <f>_xlfn.XLOOKUP(_xlfn.CONCAT($C33,"-",F$25),INPUT_DATA!$DX:$DX,INPUT_DATA!$DZ:$DZ)</f>
        <v>5.49</v>
      </c>
      <c r="G33" s="998">
        <f>_xlfn.XLOOKUP(_xlfn.CONCAT($C33,"-",G$25),INPUT_DATA!$DX:$DX,INPUT_DATA!$DZ:$DZ)</f>
        <v>16.5</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_xlfn.XLOOKUP(_xlfn.CONCAT($C34,"-",E$25),INPUT_DATA!$DX:$DX,INPUT_DATA!$DZ:$DZ)</f>
        <v>-1</v>
      </c>
      <c r="F34" s="1000">
        <f>_xlfn.XLOOKUP(_xlfn.CONCAT($C34,"-",F$25),INPUT_DATA!$DX:$DX,INPUT_DATA!$DZ:$DZ)</f>
        <v>16.190000000000001</v>
      </c>
      <c r="G34" s="998">
        <f>_xlfn.XLOOKUP(_xlfn.CONCAT($C34,"-",G$25),INPUT_DATA!$DX:$DX,INPUT_DATA!$DZ:$DZ)</f>
        <v>25.17</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_xlfn.XLOOKUP(_xlfn.CONCAT($C35,"-",E$25),INPUT_DATA!$DX:$DX,INPUT_DATA!$DZ:$DZ)</f>
        <v>0.34</v>
      </c>
      <c r="F35" s="999">
        <f>_xlfn.XLOOKUP(_xlfn.CONCAT($C35,"-",F$25),INPUT_DATA!$DX:$DX,INPUT_DATA!$DZ:$DZ)</f>
        <v>32.71</v>
      </c>
      <c r="G35" s="999">
        <f>_xlfn.XLOOKUP(_xlfn.CONCAT($C35,"-",G$25),INPUT_DATA!$DX:$DX,INPUT_DATA!$DZ:$DZ)</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5"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6">
      <c r="B44" s="767"/>
      <c r="C44" s="1009"/>
      <c r="D44" s="1179" t="s">
        <v>442</v>
      </c>
      <c r="E44" s="2104" t="s">
        <v>443</v>
      </c>
      <c r="F44" s="2106"/>
      <c r="G44" s="2104" t="s">
        <v>444</v>
      </c>
      <c r="H44" s="2106"/>
      <c r="M44" s="772"/>
    </row>
    <row r="45" spans="1:13" s="629" customFormat="1" ht="15.5">
      <c r="B45" s="767"/>
      <c r="C45" s="1332" t="s">
        <v>790</v>
      </c>
      <c r="D45" s="1010" t="s">
        <v>445</v>
      </c>
      <c r="E45" s="1011">
        <f>_xlfn.XLOOKUP($C45,INPUT_DATA!$DX:$DX,INPUT_DATA!$DZ:$DZ)</f>
        <v>60384559.649999999</v>
      </c>
      <c r="F45" s="1012">
        <f>E45/$E$76</f>
        <v>5.6268990916930467E-3</v>
      </c>
      <c r="G45" s="1013">
        <f>_xlfn.XLOOKUP($C45,INPUT_DATA!$DX:$DX,INPUT_DATA!$EA:$EA)</f>
        <v>2650</v>
      </c>
      <c r="H45" s="1014">
        <f>G45/$G$76</f>
        <v>3.6218018806035424E-2</v>
      </c>
      <c r="M45" s="772"/>
    </row>
    <row r="46" spans="1:13" s="629" customFormat="1" ht="15.5">
      <c r="B46" s="767"/>
      <c r="C46" s="1332" t="s">
        <v>791</v>
      </c>
      <c r="D46" s="1015" t="s">
        <v>446</v>
      </c>
      <c r="E46" s="1011">
        <f>_xlfn.XLOOKUP($C46,INPUT_DATA!$DX:$DX,INPUT_DATA!$DZ:$DZ)</f>
        <v>582417873.32000005</v>
      </c>
      <c r="F46" s="1012">
        <f t="shared" ref="F46:F75" si="0">E46/$E$76</f>
        <v>5.4272261342392748E-2</v>
      </c>
      <c r="G46" s="1013">
        <f>_xlfn.XLOOKUP($C46,INPUT_DATA!$DX:$DX,INPUT_DATA!$EA:$EA)</f>
        <v>12486</v>
      </c>
      <c r="H46" s="1014">
        <f t="shared" ref="H46:H75" si="1">G46/$G$76</f>
        <v>0.17064837087251258</v>
      </c>
      <c r="M46" s="772"/>
    </row>
    <row r="47" spans="1:13" s="629" customFormat="1" ht="15.5">
      <c r="B47" s="767"/>
      <c r="C47" s="1332" t="s">
        <v>792</v>
      </c>
      <c r="D47" s="1015" t="s">
        <v>447</v>
      </c>
      <c r="E47" s="1011">
        <f>_xlfn.XLOOKUP($C47,INPUT_DATA!$DX:$DX,INPUT_DATA!$DZ:$DZ)</f>
        <v>2115541685.1300001</v>
      </c>
      <c r="F47" s="1012">
        <f t="shared" si="0"/>
        <v>0.19713548720888577</v>
      </c>
      <c r="G47" s="1013">
        <f>_xlfn.XLOOKUP($C47,INPUT_DATA!$DX:$DX,INPUT_DATA!$EA:$EA)</f>
        <v>23849</v>
      </c>
      <c r="H47" s="1014">
        <f t="shared" si="1"/>
        <v>0.32594850207741088</v>
      </c>
      <c r="M47" s="772"/>
    </row>
    <row r="48" spans="1:13" s="629" customFormat="1" ht="15.5">
      <c r="B48" s="767"/>
      <c r="C48" s="1332" t="s">
        <v>793</v>
      </c>
      <c r="D48" s="1015" t="s">
        <v>448</v>
      </c>
      <c r="E48" s="1011">
        <f>_xlfn.XLOOKUP($C48,INPUT_DATA!$DX:$DX,INPUT_DATA!$DZ:$DZ)</f>
        <v>1312306302.03</v>
      </c>
      <c r="F48" s="1012">
        <f t="shared" si="0"/>
        <v>0.12228647822747959</v>
      </c>
      <c r="G48" s="1013">
        <f>_xlfn.XLOOKUP($C48,INPUT_DATA!$DX:$DX,INPUT_DATA!$EA:$EA)</f>
        <v>10897</v>
      </c>
      <c r="H48" s="1014">
        <f t="shared" si="1"/>
        <v>0.14893122676579926</v>
      </c>
      <c r="M48" s="772"/>
    </row>
    <row r="49" spans="2:13" s="629" customFormat="1" ht="15.5">
      <c r="B49" s="767"/>
      <c r="C49" s="1332" t="s">
        <v>794</v>
      </c>
      <c r="D49" s="1015" t="s">
        <v>449</v>
      </c>
      <c r="E49" s="1011">
        <f>_xlfn.XLOOKUP($C49,INPUT_DATA!$DX:$DX,INPUT_DATA!$DZ:$DZ)</f>
        <v>1172410317.8099999</v>
      </c>
      <c r="F49" s="1012">
        <f t="shared" si="0"/>
        <v>0.10925035457100737</v>
      </c>
      <c r="G49" s="1013">
        <f>_xlfn.XLOOKUP($C49,INPUT_DATA!$DX:$DX,INPUT_DATA!$EA:$EA)</f>
        <v>7249</v>
      </c>
      <c r="H49" s="1014">
        <f t="shared" si="1"/>
        <v>9.9073365405641808E-2</v>
      </c>
      <c r="M49" s="772"/>
    </row>
    <row r="50" spans="2:13" s="629" customFormat="1" ht="15.5">
      <c r="B50" s="767"/>
      <c r="C50" s="1332" t="s">
        <v>795</v>
      </c>
      <c r="D50" s="1015" t="s">
        <v>450</v>
      </c>
      <c r="E50" s="1011">
        <f>_xlfn.XLOOKUP($C50,INPUT_DATA!$DX:$DX,INPUT_DATA!$DZ:$DZ)</f>
        <v>1003770213.4299999</v>
      </c>
      <c r="F50" s="1012">
        <f t="shared" si="0"/>
        <v>9.353572726132818E-2</v>
      </c>
      <c r="G50" s="1013">
        <f>_xlfn.XLOOKUP($C50,INPUT_DATA!$DX:$DX,INPUT_DATA!$EA:$EA)</f>
        <v>5050</v>
      </c>
      <c r="H50" s="1014">
        <f t="shared" si="1"/>
        <v>6.9019243385086373E-2</v>
      </c>
      <c r="M50" s="772"/>
    </row>
    <row r="51" spans="2:13" s="629" customFormat="1" ht="15.5">
      <c r="B51" s="767"/>
      <c r="C51" s="1332" t="s">
        <v>796</v>
      </c>
      <c r="D51" s="1015" t="s">
        <v>451</v>
      </c>
      <c r="E51" s="1011">
        <f>_xlfn.XLOOKUP($C51,INPUT_DATA!$DX:$DX,INPUT_DATA!$DZ:$DZ)</f>
        <v>674844381.62</v>
      </c>
      <c r="F51" s="1012">
        <f t="shared" si="0"/>
        <v>6.2884970263614962E-2</v>
      </c>
      <c r="G51" s="1013">
        <f>_xlfn.XLOOKUP($C51,INPUT_DATA!$DX:$DX,INPUT_DATA!$EA:$EA)</f>
        <v>2860</v>
      </c>
      <c r="H51" s="1014">
        <f t="shared" si="1"/>
        <v>3.9088125956702385E-2</v>
      </c>
      <c r="M51" s="772"/>
    </row>
    <row r="52" spans="2:13" s="629" customFormat="1" ht="15.5">
      <c r="B52" s="767"/>
      <c r="C52" s="1332" t="s">
        <v>797</v>
      </c>
      <c r="D52" s="1015" t="s">
        <v>452</v>
      </c>
      <c r="E52" s="1011">
        <f>_xlfn.XLOOKUP($C52,INPUT_DATA!$DX:$DX,INPUT_DATA!$DZ:$DZ)</f>
        <v>494133582.69999999</v>
      </c>
      <c r="F52" s="1012">
        <f t="shared" si="0"/>
        <v>4.6045542499367403E-2</v>
      </c>
      <c r="G52" s="1013">
        <f>_xlfn.XLOOKUP($C52,INPUT_DATA!$DX:$DX,INPUT_DATA!$EA:$EA)</f>
        <v>1795</v>
      </c>
      <c r="H52" s="1014">
        <f t="shared" si="1"/>
        <v>2.4532582549748525E-2</v>
      </c>
      <c r="M52" s="772"/>
    </row>
    <row r="53" spans="2:13" s="629" customFormat="1" ht="15.5">
      <c r="B53" s="767"/>
      <c r="C53" s="1332" t="s">
        <v>798</v>
      </c>
      <c r="D53" s="1015" t="s">
        <v>453</v>
      </c>
      <c r="E53" s="1011">
        <f>_xlfn.XLOOKUP($C53,INPUT_DATA!$DX:$DX,INPUT_DATA!$DZ:$DZ)</f>
        <v>333221751.97000003</v>
      </c>
      <c r="F53" s="1012">
        <f t="shared" si="0"/>
        <v>3.1051069749621976E-2</v>
      </c>
      <c r="G53" s="1013">
        <f>_xlfn.XLOOKUP($C53,INPUT_DATA!$DX:$DX,INPUT_DATA!$EA:$EA)</f>
        <v>1098</v>
      </c>
      <c r="H53" s="1014">
        <f t="shared" si="1"/>
        <v>1.500656024491581E-2</v>
      </c>
      <c r="M53" s="772"/>
    </row>
    <row r="54" spans="2:13" s="629" customFormat="1" ht="15.5">
      <c r="B54" s="767"/>
      <c r="C54" s="1332" t="s">
        <v>799</v>
      </c>
      <c r="D54" s="1015" t="s">
        <v>454</v>
      </c>
      <c r="E54" s="1011">
        <f>_xlfn.XLOOKUP($C54,INPUT_DATA!$DX:$DX,INPUT_DATA!$DZ:$DZ)</f>
        <v>279299004.67000002</v>
      </c>
      <c r="F54" s="1012">
        <f t="shared" si="0"/>
        <v>2.6026310778742179E-2</v>
      </c>
      <c r="G54" s="1013">
        <f>_xlfn.XLOOKUP($C54,INPUT_DATA!$DX:$DX,INPUT_DATA!$EA:$EA)</f>
        <v>793</v>
      </c>
      <c r="H54" s="1014">
        <f t="shared" si="1"/>
        <v>1.0838071287994753E-2</v>
      </c>
      <c r="M54" s="772"/>
    </row>
    <row r="55" spans="2:13" s="629" customFormat="1" ht="15.5">
      <c r="B55" s="767"/>
      <c r="C55" s="1332" t="s">
        <v>800</v>
      </c>
      <c r="D55" s="1015" t="s">
        <v>455</v>
      </c>
      <c r="E55" s="1011">
        <f>_xlfn.XLOOKUP($C55,INPUT_DATA!$DX:$DX,INPUT_DATA!$DZ:$DZ)</f>
        <v>296373628.31999999</v>
      </c>
      <c r="F55" s="1012">
        <f t="shared" si="0"/>
        <v>2.7617399375960847E-2</v>
      </c>
      <c r="G55" s="1013">
        <f>_xlfn.XLOOKUP($C55,INPUT_DATA!$DX:$DX,INPUT_DATA!$EA:$EA)</f>
        <v>725</v>
      </c>
      <c r="H55" s="1014">
        <f t="shared" si="1"/>
        <v>9.9087032582549743E-3</v>
      </c>
      <c r="M55" s="772"/>
    </row>
    <row r="56" spans="2:13" s="629" customFormat="1" ht="15.5">
      <c r="B56" s="767"/>
      <c r="C56" s="1332" t="s">
        <v>801</v>
      </c>
      <c r="D56" s="1015" t="s">
        <v>456</v>
      </c>
      <c r="E56" s="1011">
        <f>_xlfn.XLOOKUP($C56,INPUT_DATA!$DX:$DX,INPUT_DATA!$DZ:$DZ)</f>
        <v>294292419.60000002</v>
      </c>
      <c r="F56" s="1012">
        <f t="shared" si="0"/>
        <v>2.7423463185582558E-2</v>
      </c>
      <c r="G56" s="1013">
        <f>_xlfn.XLOOKUP($C56,INPUT_DATA!$DX:$DX,INPUT_DATA!$EA:$EA)</f>
        <v>639</v>
      </c>
      <c r="H56" s="1014">
        <f t="shared" si="1"/>
        <v>8.7333260441723164E-3</v>
      </c>
      <c r="M56" s="772"/>
    </row>
    <row r="57" spans="2:13" s="629" customFormat="1" ht="15.5">
      <c r="B57" s="767"/>
      <c r="C57" s="1332" t="s">
        <v>802</v>
      </c>
      <c r="D57" s="1015" t="s">
        <v>457</v>
      </c>
      <c r="E57" s="1011">
        <f>_xlfn.XLOOKUP($C57,INPUT_DATA!$DX:$DX,INPUT_DATA!$DZ:$DZ)</f>
        <v>330927232.57999998</v>
      </c>
      <c r="F57" s="1012">
        <f t="shared" si="0"/>
        <v>3.0837256331981804E-2</v>
      </c>
      <c r="G57" s="1013">
        <f>_xlfn.XLOOKUP($C57,INPUT_DATA!$DX:$DX,INPUT_DATA!$EA:$EA)</f>
        <v>670</v>
      </c>
      <c r="H57" s="1014">
        <f t="shared" si="1"/>
        <v>9.1570085283183902E-3</v>
      </c>
      <c r="M57" s="772"/>
    </row>
    <row r="58" spans="2:13" s="629" customFormat="1" ht="15.5">
      <c r="B58" s="767"/>
      <c r="C58" s="1332" t="s">
        <v>803</v>
      </c>
      <c r="D58" s="1015" t="s">
        <v>458</v>
      </c>
      <c r="E58" s="1011">
        <f>_xlfn.XLOOKUP($C58,INPUT_DATA!$DX:$DX,INPUT_DATA!$DZ:$DZ)</f>
        <v>247983715.72</v>
      </c>
      <c r="F58" s="1012">
        <f t="shared" si="0"/>
        <v>2.3108214298943466E-2</v>
      </c>
      <c r="G58" s="1013">
        <f>_xlfn.XLOOKUP($C58,INPUT_DATA!$DX:$DX,INPUT_DATA!$EA:$EA)</f>
        <v>468</v>
      </c>
      <c r="H58" s="1014">
        <f t="shared" si="1"/>
        <v>6.3962387929149354E-3</v>
      </c>
      <c r="M58" s="772"/>
    </row>
    <row r="59" spans="2:13" s="629" customFormat="1" ht="15.5">
      <c r="B59" s="767"/>
      <c r="C59" s="1332" t="s">
        <v>804</v>
      </c>
      <c r="D59" s="1015" t="s">
        <v>459</v>
      </c>
      <c r="E59" s="1011">
        <f>_xlfn.XLOOKUP($C59,INPUT_DATA!$DX:$DX,INPUT_DATA!$DZ:$DZ)</f>
        <v>202962525.22999999</v>
      </c>
      <c r="F59" s="1012">
        <f t="shared" si="0"/>
        <v>1.8912941577846117E-2</v>
      </c>
      <c r="G59" s="1013">
        <f>_xlfn.XLOOKUP($C59,INPUT_DATA!$DX:$DX,INPUT_DATA!$EA:$EA)</f>
        <v>351</v>
      </c>
      <c r="H59" s="1014">
        <f t="shared" si="1"/>
        <v>4.797179094686202E-3</v>
      </c>
      <c r="M59" s="772"/>
    </row>
    <row r="60" spans="2:13" s="629" customFormat="1" ht="15.5">
      <c r="B60" s="767"/>
      <c r="C60" s="1332" t="s">
        <v>805</v>
      </c>
      <c r="D60" s="1015" t="s">
        <v>460</v>
      </c>
      <c r="E60" s="1011">
        <f>_xlfn.XLOOKUP($C60,INPUT_DATA!$DX:$DX,INPUT_DATA!$DZ:$DZ)</f>
        <v>169836556.65000001</v>
      </c>
      <c r="F60" s="1012">
        <f t="shared" si="0"/>
        <v>1.5826117999192195E-2</v>
      </c>
      <c r="G60" s="1013">
        <f>_xlfn.XLOOKUP($C60,INPUT_DATA!$DX:$DX,INPUT_DATA!$EA:$EA)</f>
        <v>281</v>
      </c>
      <c r="H60" s="1014">
        <f t="shared" si="1"/>
        <v>3.8404767111305488E-3</v>
      </c>
      <c r="M60" s="772"/>
    </row>
    <row r="61" spans="2:13" s="629" customFormat="1" ht="15.5">
      <c r="B61" s="767"/>
      <c r="C61" s="1332" t="s">
        <v>806</v>
      </c>
      <c r="D61" s="1015" t="s">
        <v>461</v>
      </c>
      <c r="E61" s="1011">
        <f>_xlfn.XLOOKUP($C61,INPUT_DATA!$DX:$DX,INPUT_DATA!$DZ:$DZ)</f>
        <v>145147300.53</v>
      </c>
      <c r="F61" s="1012">
        <f t="shared" si="0"/>
        <v>1.3525464427460715E-2</v>
      </c>
      <c r="G61" s="1013">
        <f>_xlfn.XLOOKUP($C61,INPUT_DATA!$DX:$DX,INPUT_DATA!$EA:$EA)</f>
        <v>228</v>
      </c>
      <c r="H61" s="1014">
        <f t="shared" si="1"/>
        <v>3.1161163350098406E-3</v>
      </c>
      <c r="M61" s="772"/>
    </row>
    <row r="62" spans="2:13" s="629" customFormat="1" ht="15.5">
      <c r="B62" s="767"/>
      <c r="C62" s="1332" t="s">
        <v>807</v>
      </c>
      <c r="D62" s="1015" t="s">
        <v>462</v>
      </c>
      <c r="E62" s="1011">
        <f>_xlfn.XLOOKUP($C62,INPUT_DATA!$DX:$DX,INPUT_DATA!$DZ:$DZ)</f>
        <v>106765926.75</v>
      </c>
      <c r="F62" s="1012">
        <f t="shared" si="0"/>
        <v>9.9489190570480768E-3</v>
      </c>
      <c r="G62" s="1013">
        <f>_xlfn.XLOOKUP($C62,INPUT_DATA!$DX:$DX,INPUT_DATA!$EA:$EA)</f>
        <v>155</v>
      </c>
      <c r="H62" s="1014">
        <f t="shared" si="1"/>
        <v>2.1184124207303738E-3</v>
      </c>
      <c r="M62" s="772"/>
    </row>
    <row r="63" spans="2:13" s="629" customFormat="1" ht="15.5">
      <c r="B63" s="767"/>
      <c r="C63" s="1332" t="s">
        <v>808</v>
      </c>
      <c r="D63" s="1015" t="s">
        <v>463</v>
      </c>
      <c r="E63" s="1011">
        <f>_xlfn.XLOOKUP($C63,INPUT_DATA!$DX:$DX,INPUT_DATA!$DZ:$DZ)</f>
        <v>94063009.700000003</v>
      </c>
      <c r="F63" s="1012">
        <f t="shared" si="0"/>
        <v>8.765205325842667E-3</v>
      </c>
      <c r="G63" s="1013">
        <f>_xlfn.XLOOKUP($C63,INPUT_DATA!$DX:$DX,INPUT_DATA!$EA:$EA)</f>
        <v>130</v>
      </c>
      <c r="H63" s="1014">
        <f t="shared" si="1"/>
        <v>1.7767329980319265E-3</v>
      </c>
      <c r="M63" s="772"/>
    </row>
    <row r="64" spans="2:13" s="629" customFormat="1" ht="15.5">
      <c r="B64" s="767"/>
      <c r="C64" s="1332" t="s">
        <v>809</v>
      </c>
      <c r="D64" s="1015" t="s">
        <v>464</v>
      </c>
      <c r="E64" s="1011">
        <f>_xlfn.XLOOKUP($C64,INPUT_DATA!$DX:$DX,INPUT_DATA!$DZ:$DZ)</f>
        <v>73725222.680000007</v>
      </c>
      <c r="F64" s="1012">
        <f t="shared" si="0"/>
        <v>6.8700408007853981E-3</v>
      </c>
      <c r="G64" s="1013">
        <f>_xlfn.XLOOKUP($C64,INPUT_DATA!$DX:$DX,INPUT_DATA!$EA:$EA)</f>
        <v>98</v>
      </c>
      <c r="H64" s="1014">
        <f t="shared" si="1"/>
        <v>1.3393833369779139E-3</v>
      </c>
      <c r="M64" s="772"/>
    </row>
    <row r="65" spans="2:13" s="629" customFormat="1" ht="15.5">
      <c r="B65" s="767"/>
      <c r="C65" s="1332" t="s">
        <v>810</v>
      </c>
      <c r="D65" s="1015" t="s">
        <v>465</v>
      </c>
      <c r="E65" s="1011">
        <f>_xlfn.XLOOKUP($C65,INPUT_DATA!$DX:$DX,INPUT_DATA!$DZ:$DZ)</f>
        <v>83925511.260000005</v>
      </c>
      <c r="F65" s="1012">
        <f t="shared" si="0"/>
        <v>7.8205485941432815E-3</v>
      </c>
      <c r="G65" s="1013">
        <f>_xlfn.XLOOKUP($C65,INPUT_DATA!$DX:$DX,INPUT_DATA!$EA:$EA)</f>
        <v>106</v>
      </c>
      <c r="H65" s="1014">
        <f t="shared" si="1"/>
        <v>1.4487207522414171E-3</v>
      </c>
      <c r="M65" s="772"/>
    </row>
    <row r="66" spans="2:13" s="629" customFormat="1" ht="15.5">
      <c r="B66" s="767"/>
      <c r="C66" s="1332" t="s">
        <v>811</v>
      </c>
      <c r="D66" s="1015" t="s">
        <v>466</v>
      </c>
      <c r="E66" s="1011">
        <f>_xlfn.XLOOKUP($C66,INPUT_DATA!$DX:$DX,INPUT_DATA!$DZ:$DZ)</f>
        <v>50067437.43</v>
      </c>
      <c r="F66" s="1012">
        <f t="shared" si="0"/>
        <v>4.6655042254376269E-3</v>
      </c>
      <c r="G66" s="1013">
        <f>_xlfn.XLOOKUP($C66,INPUT_DATA!$DX:$DX,INPUT_DATA!$EA:$EA)</f>
        <v>59</v>
      </c>
      <c r="H66" s="1014">
        <f t="shared" si="1"/>
        <v>8.0636343756833589E-4</v>
      </c>
      <c r="M66" s="772"/>
    </row>
    <row r="67" spans="2:13" s="629" customFormat="1" ht="15.5">
      <c r="B67" s="767"/>
      <c r="C67" s="1332" t="s">
        <v>812</v>
      </c>
      <c r="D67" s="1015" t="s">
        <v>467</v>
      </c>
      <c r="E67" s="1011">
        <f>_xlfn.XLOOKUP($C67,INPUT_DATA!$DX:$DX,INPUT_DATA!$DZ:$DZ)</f>
        <v>55281250.159999996</v>
      </c>
      <c r="F67" s="1012">
        <f t="shared" si="0"/>
        <v>5.1513502477443353E-3</v>
      </c>
      <c r="G67" s="1013">
        <f>_xlfn.XLOOKUP($C67,INPUT_DATA!$DX:$DX,INPUT_DATA!$EA:$EA)</f>
        <v>67</v>
      </c>
      <c r="H67" s="1014">
        <f t="shared" si="1"/>
        <v>9.1570085283183909E-4</v>
      </c>
      <c r="M67" s="772"/>
    </row>
    <row r="68" spans="2:13" s="629" customFormat="1" ht="15.5">
      <c r="B68" s="767"/>
      <c r="C68" s="1332" t="s">
        <v>813</v>
      </c>
      <c r="D68" s="1015" t="s">
        <v>468</v>
      </c>
      <c r="E68" s="1011">
        <f>_xlfn.XLOOKUP($C68,INPUT_DATA!$DX:$DX,INPUT_DATA!$DZ:$DZ)</f>
        <v>42739383.960000001</v>
      </c>
      <c r="F68" s="1012">
        <f t="shared" si="0"/>
        <v>3.9826439437162372E-3</v>
      </c>
      <c r="G68" s="1013">
        <f>_xlfn.XLOOKUP($C68,INPUT_DATA!$DX:$DX,INPUT_DATA!$EA:$EA)</f>
        <v>46</v>
      </c>
      <c r="H68" s="1014">
        <f t="shared" si="1"/>
        <v>6.2869013776514326E-4</v>
      </c>
      <c r="M68" s="772"/>
    </row>
    <row r="69" spans="2:13" s="629" customFormat="1" ht="15.5">
      <c r="B69" s="767"/>
      <c r="C69" s="1332" t="s">
        <v>814</v>
      </c>
      <c r="D69" s="1015" t="s">
        <v>469</v>
      </c>
      <c r="E69" s="1011">
        <f>_xlfn.XLOOKUP($C69,INPUT_DATA!$DX:$DX,INPUT_DATA!$DZ:$DZ)</f>
        <v>46536070.100000001</v>
      </c>
      <c r="F69" s="1012">
        <f t="shared" si="0"/>
        <v>4.3364358719249841E-3</v>
      </c>
      <c r="G69" s="1013">
        <f>_xlfn.XLOOKUP($C69,INPUT_DATA!$DX:$DX,INPUT_DATA!$EA:$EA)</f>
        <v>53</v>
      </c>
      <c r="H69" s="1014">
        <f t="shared" si="1"/>
        <v>7.2436037612070854E-4</v>
      </c>
      <c r="M69" s="772"/>
    </row>
    <row r="70" spans="2:13" s="629" customFormat="1" ht="15.5">
      <c r="B70" s="767"/>
      <c r="C70" s="1332" t="s">
        <v>815</v>
      </c>
      <c r="D70" s="1015" t="s">
        <v>470</v>
      </c>
      <c r="E70" s="1011">
        <f>_xlfn.XLOOKUP($C70,INPUT_DATA!$DX:$DX,INPUT_DATA!$DZ:$DZ)</f>
        <v>36405956.140000001</v>
      </c>
      <c r="F70" s="1012">
        <f t="shared" si="0"/>
        <v>3.3924672585797832E-3</v>
      </c>
      <c r="G70" s="1013">
        <f>_xlfn.XLOOKUP($C70,INPUT_DATA!$DX:$DX,INPUT_DATA!$EA:$EA)</f>
        <v>38</v>
      </c>
      <c r="H70" s="1014">
        <f t="shared" si="1"/>
        <v>5.1935272250164006E-4</v>
      </c>
      <c r="M70" s="772"/>
    </row>
    <row r="71" spans="2:13" s="629" customFormat="1" ht="15.5">
      <c r="B71" s="767"/>
      <c r="C71" s="1332" t="s">
        <v>816</v>
      </c>
      <c r="D71" s="1015" t="s">
        <v>471</v>
      </c>
      <c r="E71" s="1011">
        <f>_xlfn.XLOOKUP($C71,INPUT_DATA!$DX:$DX,INPUT_DATA!$DZ:$DZ)</f>
        <v>50983779.219999999</v>
      </c>
      <c r="F71" s="1012">
        <f t="shared" si="0"/>
        <v>4.7508929873283723E-3</v>
      </c>
      <c r="G71" s="1013">
        <f>_xlfn.XLOOKUP($C71,INPUT_DATA!$DX:$DX,INPUT_DATA!$EA:$EA)</f>
        <v>48</v>
      </c>
      <c r="H71" s="1014">
        <f t="shared" si="1"/>
        <v>6.5602449158101901E-4</v>
      </c>
      <c r="M71" s="772"/>
    </row>
    <row r="72" spans="2:13" s="629" customFormat="1" ht="15.5">
      <c r="B72" s="767"/>
      <c r="C72" s="1332" t="s">
        <v>817</v>
      </c>
      <c r="D72" s="1015" t="s">
        <v>472</v>
      </c>
      <c r="E72" s="1011">
        <f>_xlfn.XLOOKUP($C72,INPUT_DATA!$DX:$DX,INPUT_DATA!$DZ:$DZ)</f>
        <v>30903115.66</v>
      </c>
      <c r="F72" s="1012">
        <f t="shared" si="0"/>
        <v>2.8796883581768268E-3</v>
      </c>
      <c r="G72" s="1013">
        <f>_xlfn.XLOOKUP($C72,INPUT_DATA!$DX:$DX,INPUT_DATA!$EA:$EA)</f>
        <v>30</v>
      </c>
      <c r="H72" s="1014">
        <f t="shared" si="1"/>
        <v>4.1001530723813691E-4</v>
      </c>
      <c r="M72" s="772"/>
    </row>
    <row r="73" spans="2:13" s="629" customFormat="1" ht="15.5">
      <c r="B73" s="767"/>
      <c r="C73" s="1332" t="s">
        <v>818</v>
      </c>
      <c r="D73" s="1015" t="s">
        <v>473</v>
      </c>
      <c r="E73" s="1011">
        <f>_xlfn.XLOOKUP($C73,INPUT_DATA!$DX:$DX,INPUT_DATA!$DZ:$DZ)</f>
        <v>23725432.48</v>
      </c>
      <c r="F73" s="1012">
        <f t="shared" si="0"/>
        <v>2.210840242034235E-3</v>
      </c>
      <c r="G73" s="1013">
        <f>_xlfn.XLOOKUP($C73,INPUT_DATA!$DX:$DX,INPUT_DATA!$EA:$EA)</f>
        <v>21</v>
      </c>
      <c r="H73" s="1014">
        <f t="shared" si="1"/>
        <v>2.8701071506669583E-4</v>
      </c>
      <c r="M73" s="772"/>
    </row>
    <row r="74" spans="2:13" s="629" customFormat="1" ht="15.5">
      <c r="B74" s="767"/>
      <c r="C74" s="1332" t="s">
        <v>819</v>
      </c>
      <c r="D74" s="1015" t="s">
        <v>474</v>
      </c>
      <c r="E74" s="1011">
        <f>_xlfn.XLOOKUP($C74,INPUT_DATA!$DX:$DX,INPUT_DATA!$DZ:$DZ)</f>
        <v>23481367.5</v>
      </c>
      <c r="F74" s="1012">
        <f t="shared" si="0"/>
        <v>2.1880971927806486E-3</v>
      </c>
      <c r="G74" s="1013">
        <f>_xlfn.XLOOKUP($C74,INPUT_DATA!$DX:$DX,INPUT_DATA!$EA:$EA)</f>
        <v>21</v>
      </c>
      <c r="H74" s="1014">
        <f t="shared" si="1"/>
        <v>2.8701071506669583E-4</v>
      </c>
      <c r="M74" s="772"/>
    </row>
    <row r="75" spans="2:13" s="629" customFormat="1" ht="15.5">
      <c r="B75" s="767"/>
      <c r="C75" s="1332" t="s">
        <v>820</v>
      </c>
      <c r="D75" s="1016" t="s">
        <v>475</v>
      </c>
      <c r="E75" s="1011">
        <f>_xlfn.XLOOKUP($C75,INPUT_DATA!$DX:$DX,INPUT_DATA!$DZ:$DZ)</f>
        <v>296953213.81</v>
      </c>
      <c r="F75" s="1012">
        <f t="shared" si="0"/>
        <v>2.767140770335683E-2</v>
      </c>
      <c r="G75" s="1013">
        <f>_xlfn.XLOOKUP($C75,INPUT_DATA!$DX:$DX,INPUT_DATA!$EA:$EA)</f>
        <v>207</v>
      </c>
      <c r="H75" s="1014">
        <f t="shared" si="1"/>
        <v>2.8291056199431447E-3</v>
      </c>
      <c r="M75" s="772"/>
    </row>
    <row r="76" spans="2:13" s="629" customFormat="1" ht="15.5">
      <c r="B76" s="767"/>
      <c r="C76" s="1009"/>
      <c r="D76" s="1017" t="s">
        <v>415</v>
      </c>
      <c r="E76" s="1018">
        <f>SUM(E45:E75)</f>
        <v>10731409727.809998</v>
      </c>
      <c r="F76" s="1019">
        <f>SUM(F45:F75)</f>
        <v>1.0000000000000004</v>
      </c>
      <c r="G76" s="1020">
        <f>SUM(G45:G75)</f>
        <v>73168</v>
      </c>
      <c r="H76" s="1021">
        <f>SUM(H45:H75)</f>
        <v>0.99999999999999989</v>
      </c>
      <c r="M76" s="772"/>
    </row>
    <row r="77" spans="2:13" s="629" customFormat="1" ht="15.5">
      <c r="B77" s="767"/>
      <c r="C77" s="1009"/>
      <c r="D77" s="813"/>
      <c r="G77" s="988"/>
      <c r="M77" s="772"/>
    </row>
    <row r="78" spans="2:13" s="629" customFormat="1" ht="15.5">
      <c r="B78" s="767"/>
      <c r="C78" s="1009"/>
      <c r="D78" s="813"/>
      <c r="G78" s="988"/>
      <c r="M78" s="772"/>
    </row>
    <row r="79" spans="2:13" s="629" customFormat="1" ht="15.5">
      <c r="B79" s="767"/>
      <c r="C79" s="1009"/>
      <c r="D79" s="813"/>
      <c r="G79" s="988"/>
      <c r="M79" s="772"/>
    </row>
    <row r="80" spans="2:13" s="629" customFormat="1" ht="15.5">
      <c r="B80" s="767"/>
      <c r="C80" s="1009"/>
      <c r="D80" s="813"/>
      <c r="G80" s="988"/>
      <c r="M80" s="772"/>
    </row>
    <row r="81" spans="1:13" s="629" customFormat="1" ht="15.5">
      <c r="B81" s="767"/>
      <c r="C81" s="1009"/>
      <c r="D81" s="813"/>
      <c r="G81" s="988"/>
      <c r="M81" s="772"/>
    </row>
    <row r="82" spans="1:13" s="629" customFormat="1" ht="24.65"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6">
      <c r="B84" s="767"/>
      <c r="C84" s="1009"/>
      <c r="D84" s="1179" t="s">
        <v>477</v>
      </c>
      <c r="E84" s="2104" t="s">
        <v>443</v>
      </c>
      <c r="F84" s="2106"/>
      <c r="G84" s="2104" t="s">
        <v>444</v>
      </c>
      <c r="H84" s="2106"/>
      <c r="M84" s="772"/>
    </row>
    <row r="85" spans="1:13" s="629" customFormat="1" ht="15.5">
      <c r="B85" s="767"/>
      <c r="C85" s="1332" t="s">
        <v>821</v>
      </c>
      <c r="D85" s="1010" t="s">
        <v>445</v>
      </c>
      <c r="E85" s="1011">
        <f>_xlfn.XLOOKUP($C85,INPUT_DATA!$DX:$DX,INPUT_DATA!$DZ:$DZ)</f>
        <v>421683279.88</v>
      </c>
      <c r="F85" s="1012">
        <f>E85/$E$116</f>
        <v>3.9294304343559398E-2</v>
      </c>
      <c r="G85" s="1013">
        <f>_xlfn.XLOOKUP($C85,INPUT_DATA!$DX:$DX,INPUT_DATA!$EA:$EA)</f>
        <v>14439</v>
      </c>
      <c r="H85" s="1014">
        <f>G85/$G$116</f>
        <v>0.1973403673737153</v>
      </c>
      <c r="M85" s="772"/>
    </row>
    <row r="86" spans="1:13" s="629" customFormat="1" ht="15.5">
      <c r="B86" s="767"/>
      <c r="C86" s="1332" t="s">
        <v>822</v>
      </c>
      <c r="D86" s="1015" t="s">
        <v>446</v>
      </c>
      <c r="E86" s="1011">
        <f>_xlfn.XLOOKUP($C86,INPUT_DATA!$DX:$DX,INPUT_DATA!$DZ:$DZ)</f>
        <v>1445040810.6500001</v>
      </c>
      <c r="F86" s="1012">
        <f>E86/$E$116</f>
        <v>0.13465526406146228</v>
      </c>
      <c r="G86" s="1013">
        <f>_xlfn.XLOOKUP($C86,INPUT_DATA!$DX:$DX,INPUT_DATA!$EA:$EA)</f>
        <v>19186</v>
      </c>
      <c r="H86" s="1014">
        <f t="shared" ref="H86:H115" si="2">G86/$G$116</f>
        <v>0.2622184561556965</v>
      </c>
      <c r="M86" s="772"/>
    </row>
    <row r="87" spans="1:13" s="629" customFormat="1" ht="15.5">
      <c r="B87" s="767"/>
      <c r="C87" s="1332" t="s">
        <v>823</v>
      </c>
      <c r="D87" s="1015" t="s">
        <v>447</v>
      </c>
      <c r="E87" s="1011">
        <f>_xlfn.XLOOKUP($C87,INPUT_DATA!$DX:$DX,INPUT_DATA!$DZ:$DZ)</f>
        <v>2172733374.46</v>
      </c>
      <c r="F87" s="1012">
        <f t="shared" ref="F87:F115" si="3">E87/$E$116</f>
        <v>0.20246486058858165</v>
      </c>
      <c r="G87" s="1013">
        <f>_xlfn.XLOOKUP($C87,INPUT_DATA!$DX:$DX,INPUT_DATA!$EA:$EA)</f>
        <v>17619</v>
      </c>
      <c r="H87" s="1014">
        <f t="shared" si="2"/>
        <v>0.24080198994095781</v>
      </c>
      <c r="M87" s="772"/>
    </row>
    <row r="88" spans="1:13" s="629" customFormat="1" ht="15.5">
      <c r="B88" s="767"/>
      <c r="C88" s="1332" t="s">
        <v>824</v>
      </c>
      <c r="D88" s="1015" t="s">
        <v>448</v>
      </c>
      <c r="E88" s="1011">
        <f>_xlfn.XLOOKUP($C88,INPUT_DATA!$DX:$DX,INPUT_DATA!$DZ:$DZ)</f>
        <v>1311852940.46</v>
      </c>
      <c r="F88" s="1012">
        <f t="shared" si="3"/>
        <v>0.12224423200060923</v>
      </c>
      <c r="G88" s="1013">
        <f>_xlfn.XLOOKUP($C88,INPUT_DATA!$DX:$DX,INPUT_DATA!$EA:$EA)</f>
        <v>7579</v>
      </c>
      <c r="H88" s="1014">
        <f t="shared" si="2"/>
        <v>0.10358353378526132</v>
      </c>
      <c r="M88" s="772"/>
    </row>
    <row r="89" spans="1:13" s="629" customFormat="1" ht="15.5">
      <c r="B89" s="767"/>
      <c r="C89" s="1332" t="s">
        <v>825</v>
      </c>
      <c r="D89" s="1015" t="s">
        <v>449</v>
      </c>
      <c r="E89" s="1011">
        <f>_xlfn.XLOOKUP($C89,INPUT_DATA!$DX:$DX,INPUT_DATA!$DZ:$DZ)</f>
        <v>1088113182.47</v>
      </c>
      <c r="F89" s="1012">
        <f t="shared" si="3"/>
        <v>0.1013951764091348</v>
      </c>
      <c r="G89" s="1013">
        <f>_xlfn.XLOOKUP($C89,INPUT_DATA!$DX:$DX,INPUT_DATA!$EA:$EA)</f>
        <v>4883</v>
      </c>
      <c r="H89" s="1014">
        <f t="shared" si="2"/>
        <v>6.6736824841460748E-2</v>
      </c>
      <c r="M89" s="772"/>
    </row>
    <row r="90" spans="1:13" s="629" customFormat="1" ht="15.5">
      <c r="B90" s="767"/>
      <c r="C90" s="1332" t="s">
        <v>826</v>
      </c>
      <c r="D90" s="1015" t="s">
        <v>450</v>
      </c>
      <c r="E90" s="1011">
        <f>_xlfn.XLOOKUP($C90,INPUT_DATA!$DX:$DX,INPUT_DATA!$DZ:$DZ)</f>
        <v>760755350.82000005</v>
      </c>
      <c r="F90" s="1012">
        <f t="shared" si="3"/>
        <v>7.0890532568944273E-2</v>
      </c>
      <c r="G90" s="1013">
        <f>_xlfn.XLOOKUP($C90,INPUT_DATA!$DX:$DX,INPUT_DATA!$EA:$EA)</f>
        <v>2793</v>
      </c>
      <c r="H90" s="1014">
        <f t="shared" si="2"/>
        <v>3.8172425103870547E-2</v>
      </c>
      <c r="M90" s="772"/>
    </row>
    <row r="91" spans="1:13" s="629" customFormat="1" ht="15.5">
      <c r="B91" s="767"/>
      <c r="C91" s="1332" t="s">
        <v>827</v>
      </c>
      <c r="D91" s="1015" t="s">
        <v>451</v>
      </c>
      <c r="E91" s="1011">
        <f>_xlfn.XLOOKUP($C91,INPUT_DATA!$DX:$DX,INPUT_DATA!$DZ:$DZ)</f>
        <v>499398486.92000002</v>
      </c>
      <c r="F91" s="1012">
        <f t="shared" si="3"/>
        <v>4.6536149451626083E-2</v>
      </c>
      <c r="G91" s="1013">
        <f>_xlfn.XLOOKUP($C91,INPUT_DATA!$DX:$DX,INPUT_DATA!$EA:$EA)</f>
        <v>1547</v>
      </c>
      <c r="H91" s="1014">
        <f t="shared" si="2"/>
        <v>2.1143122676579924E-2</v>
      </c>
      <c r="M91" s="772"/>
    </row>
    <row r="92" spans="1:13" s="629" customFormat="1" ht="15.5">
      <c r="B92" s="767"/>
      <c r="C92" s="1332" t="s">
        <v>828</v>
      </c>
      <c r="D92" s="1015" t="s">
        <v>452</v>
      </c>
      <c r="E92" s="1011">
        <f>_xlfn.XLOOKUP($C92,INPUT_DATA!$DX:$DX,INPUT_DATA!$DZ:$DZ)</f>
        <v>332991900.62</v>
      </c>
      <c r="F92" s="1012">
        <f t="shared" si="3"/>
        <v>3.1029651188982699E-2</v>
      </c>
      <c r="G92" s="1013">
        <f>_xlfn.XLOOKUP($C92,INPUT_DATA!$DX:$DX,INPUT_DATA!$EA:$EA)</f>
        <v>894</v>
      </c>
      <c r="H92" s="1014">
        <f t="shared" si="2"/>
        <v>1.2218456155696479E-2</v>
      </c>
      <c r="M92" s="772"/>
    </row>
    <row r="93" spans="1:13" s="629" customFormat="1" ht="15.5">
      <c r="B93" s="767"/>
      <c r="C93" s="1332" t="s">
        <v>829</v>
      </c>
      <c r="D93" s="1015" t="s">
        <v>453</v>
      </c>
      <c r="E93" s="1011">
        <f>_xlfn.XLOOKUP($C93,INPUT_DATA!$DX:$DX,INPUT_DATA!$DZ:$DZ)</f>
        <v>252000073.91</v>
      </c>
      <c r="F93" s="1012">
        <f t="shared" si="3"/>
        <v>2.3482476235806408E-2</v>
      </c>
      <c r="G93" s="1013">
        <f>_xlfn.XLOOKUP($C93,INPUT_DATA!$DX:$DX,INPUT_DATA!$EA:$EA)</f>
        <v>593</v>
      </c>
      <c r="H93" s="1014">
        <f t="shared" si="2"/>
        <v>8.1046359064071722E-3</v>
      </c>
      <c r="M93" s="772"/>
    </row>
    <row r="94" spans="1:13" s="629" customFormat="1" ht="15.5">
      <c r="B94" s="767"/>
      <c r="C94" s="1332" t="s">
        <v>830</v>
      </c>
      <c r="D94" s="1015" t="s">
        <v>454</v>
      </c>
      <c r="E94" s="1011">
        <f>_xlfn.XLOOKUP($C94,INPUT_DATA!$DX:$DX,INPUT_DATA!$DZ:$DZ)</f>
        <v>389650490.12</v>
      </c>
      <c r="F94" s="1012">
        <f t="shared" si="3"/>
        <v>3.6309347979719492E-2</v>
      </c>
      <c r="G94" s="1013">
        <f>_xlfn.XLOOKUP($C94,INPUT_DATA!$DX:$DX,INPUT_DATA!$EA:$EA)</f>
        <v>819</v>
      </c>
      <c r="H94" s="1014">
        <f t="shared" si="2"/>
        <v>1.1193417887601137E-2</v>
      </c>
      <c r="M94" s="772"/>
    </row>
    <row r="95" spans="1:13" s="629" customFormat="1" ht="15.5">
      <c r="B95" s="767"/>
      <c r="C95" s="1332" t="s">
        <v>831</v>
      </c>
      <c r="D95" s="1015" t="s">
        <v>455</v>
      </c>
      <c r="E95" s="1011">
        <f>_xlfn.XLOOKUP($C95,INPUT_DATA!$DX:$DX,INPUT_DATA!$DZ:$DZ)</f>
        <v>345122112.80000001</v>
      </c>
      <c r="F95" s="1012">
        <f t="shared" si="3"/>
        <v>3.2159997759253434E-2</v>
      </c>
      <c r="G95" s="1013">
        <f>_xlfn.XLOOKUP($C95,INPUT_DATA!$DX:$DX,INPUT_DATA!$EA:$EA)</f>
        <v>660</v>
      </c>
      <c r="H95" s="1014">
        <f t="shared" si="2"/>
        <v>9.0203367592390123E-3</v>
      </c>
      <c r="M95" s="772"/>
    </row>
    <row r="96" spans="1:13" s="629" customFormat="1" ht="15.5">
      <c r="B96" s="767"/>
      <c r="C96" s="1332" t="s">
        <v>832</v>
      </c>
      <c r="D96" s="1015" t="s">
        <v>456</v>
      </c>
      <c r="E96" s="1011">
        <f>_xlfn.XLOOKUP($C96,INPUT_DATA!$DX:$DX,INPUT_DATA!$DZ:$DZ)</f>
        <v>291238788.24000001</v>
      </c>
      <c r="F96" s="1012">
        <f t="shared" si="3"/>
        <v>2.7138912372832707E-2</v>
      </c>
      <c r="G96" s="1013">
        <f>_xlfn.XLOOKUP($C96,INPUT_DATA!$DX:$DX,INPUT_DATA!$EA:$EA)</f>
        <v>507</v>
      </c>
      <c r="H96" s="1014">
        <f t="shared" si="2"/>
        <v>6.9292586923245135E-3</v>
      </c>
      <c r="M96" s="772"/>
    </row>
    <row r="97" spans="2:13" s="629" customFormat="1" ht="15.5">
      <c r="B97" s="767"/>
      <c r="C97" s="1332" t="s">
        <v>833</v>
      </c>
      <c r="D97" s="1015" t="s">
        <v>457</v>
      </c>
      <c r="E97" s="1011">
        <f>_xlfn.XLOOKUP($C97,INPUT_DATA!$DX:$DX,INPUT_DATA!$DZ:$DZ)</f>
        <v>241332939.28</v>
      </c>
      <c r="F97" s="1012">
        <f t="shared" si="3"/>
        <v>2.248846567237069E-2</v>
      </c>
      <c r="G97" s="1013">
        <f>_xlfn.XLOOKUP($C97,INPUT_DATA!$DX:$DX,INPUT_DATA!$EA:$EA)</f>
        <v>387</v>
      </c>
      <c r="H97" s="1014">
        <f t="shared" si="2"/>
        <v>5.2891974633719656E-3</v>
      </c>
      <c r="M97" s="772"/>
    </row>
    <row r="98" spans="2:13" s="629" customFormat="1" ht="15.5">
      <c r="B98" s="767"/>
      <c r="C98" s="1332" t="s">
        <v>834</v>
      </c>
      <c r="D98" s="1015" t="s">
        <v>458</v>
      </c>
      <c r="E98" s="1011">
        <f>_xlfn.XLOOKUP($C98,INPUT_DATA!$DX:$DX,INPUT_DATA!$DZ:$DZ)</f>
        <v>162843690.18000001</v>
      </c>
      <c r="F98" s="1012">
        <f t="shared" si="3"/>
        <v>1.5174491917683232E-2</v>
      </c>
      <c r="G98" s="1013">
        <f>_xlfn.XLOOKUP($C98,INPUT_DATA!$DX:$DX,INPUT_DATA!$EA:$EA)</f>
        <v>242</v>
      </c>
      <c r="H98" s="1014">
        <f t="shared" si="2"/>
        <v>3.3074568117209711E-3</v>
      </c>
      <c r="M98" s="772"/>
    </row>
    <row r="99" spans="2:13" s="629" customFormat="1" ht="15.5">
      <c r="B99" s="767"/>
      <c r="C99" s="1332" t="s">
        <v>835</v>
      </c>
      <c r="D99" s="1015" t="s">
        <v>459</v>
      </c>
      <c r="E99" s="1011">
        <f>_xlfn.XLOOKUP($C99,INPUT_DATA!$DX:$DX,INPUT_DATA!$DZ:$DZ)</f>
        <v>122422182.97</v>
      </c>
      <c r="F99" s="1012">
        <f t="shared" si="3"/>
        <v>1.1407837933235189E-2</v>
      </c>
      <c r="G99" s="1013">
        <f>_xlfn.XLOOKUP($C99,INPUT_DATA!$DX:$DX,INPUT_DATA!$EA:$EA)</f>
        <v>169</v>
      </c>
      <c r="H99" s="1014">
        <f t="shared" si="2"/>
        <v>2.3097528974415043E-3</v>
      </c>
      <c r="M99" s="772"/>
    </row>
    <row r="100" spans="2:13" s="629" customFormat="1" ht="15.5">
      <c r="B100" s="767"/>
      <c r="C100" s="1332" t="s">
        <v>836</v>
      </c>
      <c r="D100" s="1015" t="s">
        <v>460</v>
      </c>
      <c r="E100" s="1011">
        <f>_xlfn.XLOOKUP($C100,INPUT_DATA!$DX:$DX,INPUT_DATA!$DZ:$DZ)</f>
        <v>114353475.73</v>
      </c>
      <c r="F100" s="1012">
        <f t="shared" si="3"/>
        <v>1.0655960272736374E-2</v>
      </c>
      <c r="G100" s="1013">
        <f>_xlfn.XLOOKUP($C100,INPUT_DATA!$DX:$DX,INPUT_DATA!$EA:$EA)</f>
        <v>148</v>
      </c>
      <c r="H100" s="1014">
        <f t="shared" si="2"/>
        <v>2.0227421823748085E-3</v>
      </c>
      <c r="M100" s="772"/>
    </row>
    <row r="101" spans="2:13" s="629" customFormat="1" ht="15.5">
      <c r="B101" s="767"/>
      <c r="C101" s="1332" t="s">
        <v>837</v>
      </c>
      <c r="D101" s="1015" t="s">
        <v>461</v>
      </c>
      <c r="E101" s="1011">
        <f>_xlfn.XLOOKUP($C101,INPUT_DATA!$DX:$DX,INPUT_DATA!$DZ:$DZ)</f>
        <v>94030232.950000003</v>
      </c>
      <c r="F101" s="1012">
        <f t="shared" si="3"/>
        <v>8.7621510439886193E-3</v>
      </c>
      <c r="G101" s="1013">
        <f>_xlfn.XLOOKUP($C101,INPUT_DATA!$DX:$DX,INPUT_DATA!$EA:$EA)</f>
        <v>114</v>
      </c>
      <c r="H101" s="1014">
        <f t="shared" si="2"/>
        <v>1.5580581675049203E-3</v>
      </c>
      <c r="M101" s="772"/>
    </row>
    <row r="102" spans="2:13" s="629" customFormat="1" ht="15.5">
      <c r="B102" s="767"/>
      <c r="C102" s="1332" t="s">
        <v>838</v>
      </c>
      <c r="D102" s="1015" t="s">
        <v>462</v>
      </c>
      <c r="E102" s="1011">
        <f>_xlfn.XLOOKUP($C102,INPUT_DATA!$DX:$DX,INPUT_DATA!$DZ:$DZ)</f>
        <v>83000301.079999998</v>
      </c>
      <c r="F102" s="1012">
        <f t="shared" si="3"/>
        <v>7.7343334366321145E-3</v>
      </c>
      <c r="G102" s="1013">
        <f>_xlfn.XLOOKUP($C102,INPUT_DATA!$DX:$DX,INPUT_DATA!$EA:$EA)</f>
        <v>95</v>
      </c>
      <c r="H102" s="1014">
        <f t="shared" si="2"/>
        <v>1.2983818062541001E-3</v>
      </c>
      <c r="M102" s="772"/>
    </row>
    <row r="103" spans="2:13" s="629" customFormat="1" ht="15.5">
      <c r="B103" s="767"/>
      <c r="C103" s="1332" t="s">
        <v>839</v>
      </c>
      <c r="D103" s="1015" t="s">
        <v>463</v>
      </c>
      <c r="E103" s="1011">
        <f>_xlfn.XLOOKUP($C103,INPUT_DATA!$DX:$DX,INPUT_DATA!$DZ:$DZ)</f>
        <v>69708017.319999993</v>
      </c>
      <c r="F103" s="1012">
        <f t="shared" si="3"/>
        <v>6.4956999208924619E-3</v>
      </c>
      <c r="G103" s="1013">
        <f>_xlfn.XLOOKUP($C103,INPUT_DATA!$DX:$DX,INPUT_DATA!$EA:$EA)</f>
        <v>75</v>
      </c>
      <c r="H103" s="1014">
        <f t="shared" si="2"/>
        <v>1.0250382680953422E-3</v>
      </c>
      <c r="M103" s="772"/>
    </row>
    <row r="104" spans="2:13" s="629" customFormat="1" ht="15.5">
      <c r="B104" s="767"/>
      <c r="C104" s="1332" t="s">
        <v>840</v>
      </c>
      <c r="D104" s="1015" t="s">
        <v>464</v>
      </c>
      <c r="E104" s="1011">
        <f>_xlfn.XLOOKUP($C104,INPUT_DATA!$DX:$DX,INPUT_DATA!$DZ:$DZ)</f>
        <v>58369916.899999999</v>
      </c>
      <c r="F104" s="1012">
        <f t="shared" si="3"/>
        <v>5.439165811434523E-3</v>
      </c>
      <c r="G104" s="1013">
        <f>_xlfn.XLOOKUP($C104,INPUT_DATA!$DX:$DX,INPUT_DATA!$EA:$EA)</f>
        <v>60</v>
      </c>
      <c r="H104" s="1014">
        <f t="shared" si="2"/>
        <v>8.2003061447627381E-4</v>
      </c>
      <c r="M104" s="772"/>
    </row>
    <row r="105" spans="2:13" s="629" customFormat="1" ht="15.5">
      <c r="B105" s="767"/>
      <c r="C105" s="1332" t="s">
        <v>841</v>
      </c>
      <c r="D105" s="1015" t="s">
        <v>465</v>
      </c>
      <c r="E105" s="1011">
        <f>_xlfn.XLOOKUP($C105,INPUT_DATA!$DX:$DX,INPUT_DATA!$DZ:$DZ)</f>
        <v>44039880.810000002</v>
      </c>
      <c r="F105" s="1012">
        <f t="shared" si="3"/>
        <v>4.1038299652162661E-3</v>
      </c>
      <c r="G105" s="1013">
        <f>_xlfn.XLOOKUP($C105,INPUT_DATA!$DX:$DX,INPUT_DATA!$EA:$EA)</f>
        <v>43</v>
      </c>
      <c r="H105" s="1014">
        <f t="shared" si="2"/>
        <v>5.8768860704132959E-4</v>
      </c>
      <c r="M105" s="772"/>
    </row>
    <row r="106" spans="2:13" s="629" customFormat="1" ht="15.5">
      <c r="B106" s="767"/>
      <c r="C106" s="1332" t="s">
        <v>842</v>
      </c>
      <c r="D106" s="1015" t="s">
        <v>466</v>
      </c>
      <c r="E106" s="1011">
        <f>_xlfn.XLOOKUP($C106,INPUT_DATA!$DX:$DX,INPUT_DATA!$DZ:$DZ)</f>
        <v>40888199.630000003</v>
      </c>
      <c r="F106" s="1012">
        <f t="shared" si="3"/>
        <v>3.8101424386061743E-3</v>
      </c>
      <c r="G106" s="1013">
        <f>_xlfn.XLOOKUP($C106,INPUT_DATA!$DX:$DX,INPUT_DATA!$EA:$EA)</f>
        <v>38</v>
      </c>
      <c r="H106" s="1014">
        <f t="shared" si="2"/>
        <v>5.1935272250164006E-4</v>
      </c>
      <c r="M106" s="772"/>
    </row>
    <row r="107" spans="2:13" s="629" customFormat="1" ht="15.5">
      <c r="B107" s="767"/>
      <c r="C107" s="1332" t="s">
        <v>843</v>
      </c>
      <c r="D107" s="1015" t="s">
        <v>467</v>
      </c>
      <c r="E107" s="1011">
        <f>_xlfn.XLOOKUP($C107,INPUT_DATA!$DX:$DX,INPUT_DATA!$DZ:$DZ)</f>
        <v>34875513.649999999</v>
      </c>
      <c r="F107" s="1012">
        <f t="shared" si="3"/>
        <v>3.2498538900831986E-3</v>
      </c>
      <c r="G107" s="1013">
        <f>_xlfn.XLOOKUP($C107,INPUT_DATA!$DX:$DX,INPUT_DATA!$EA:$EA)</f>
        <v>31</v>
      </c>
      <c r="H107" s="1014">
        <f t="shared" si="2"/>
        <v>4.2368248414607478E-4</v>
      </c>
      <c r="M107" s="772"/>
    </row>
    <row r="108" spans="2:13" s="629" customFormat="1" ht="15.5">
      <c r="B108" s="767"/>
      <c r="C108" s="1332" t="s">
        <v>844</v>
      </c>
      <c r="D108" s="1015" t="s">
        <v>468</v>
      </c>
      <c r="E108" s="1011">
        <f>_xlfn.XLOOKUP($C108,INPUT_DATA!$DX:$DX,INPUT_DATA!$DZ:$DZ)</f>
        <v>30492851.16</v>
      </c>
      <c r="F108" s="1012">
        <f t="shared" si="3"/>
        <v>2.8414581060099736E-3</v>
      </c>
      <c r="G108" s="1013">
        <f>_xlfn.XLOOKUP($C108,INPUT_DATA!$DX:$DX,INPUT_DATA!$EA:$EA)</f>
        <v>26</v>
      </c>
      <c r="H108" s="1014">
        <f t="shared" si="2"/>
        <v>3.553465996063853E-4</v>
      </c>
      <c r="M108" s="772"/>
    </row>
    <row r="109" spans="2:13" s="629" customFormat="1" ht="15.5">
      <c r="B109" s="767"/>
      <c r="C109" s="1332" t="s">
        <v>845</v>
      </c>
      <c r="D109" s="1015" t="s">
        <v>469</v>
      </c>
      <c r="E109" s="1011">
        <f>_xlfn.XLOOKUP($C109,INPUT_DATA!$DX:$DX,INPUT_DATA!$DZ:$DZ)</f>
        <v>36722956.729999997</v>
      </c>
      <c r="F109" s="1012">
        <f t="shared" si="3"/>
        <v>3.4220067690486178E-3</v>
      </c>
      <c r="G109" s="1013">
        <f>_xlfn.XLOOKUP($C109,INPUT_DATA!$DX:$DX,INPUT_DATA!$EA:$EA)</f>
        <v>30</v>
      </c>
      <c r="H109" s="1014">
        <f t="shared" si="2"/>
        <v>4.1001530723813691E-4</v>
      </c>
      <c r="M109" s="772"/>
    </row>
    <row r="110" spans="2:13" s="629" customFormat="1" ht="15.5">
      <c r="B110" s="767"/>
      <c r="C110" s="1332" t="s">
        <v>846</v>
      </c>
      <c r="D110" s="1015" t="s">
        <v>470</v>
      </c>
      <c r="E110" s="1011">
        <f>_xlfn.XLOOKUP($C110,INPUT_DATA!$DX:$DX,INPUT_DATA!$DZ:$DZ)</f>
        <v>41984400.119999997</v>
      </c>
      <c r="F110" s="1012">
        <f t="shared" si="3"/>
        <v>3.9122912259327109E-3</v>
      </c>
      <c r="G110" s="1013">
        <f>_xlfn.XLOOKUP($C110,INPUT_DATA!$DX:$DX,INPUT_DATA!$EA:$EA)</f>
        <v>33</v>
      </c>
      <c r="H110" s="1014">
        <f t="shared" si="2"/>
        <v>4.5101683796195058E-4</v>
      </c>
      <c r="M110" s="772"/>
    </row>
    <row r="111" spans="2:13" s="629" customFormat="1" ht="15.5">
      <c r="B111" s="767"/>
      <c r="C111" s="1332" t="s">
        <v>847</v>
      </c>
      <c r="D111" s="1015" t="s">
        <v>471</v>
      </c>
      <c r="E111" s="1011">
        <f>_xlfn.XLOOKUP($C111,INPUT_DATA!$DX:$DX,INPUT_DATA!$DZ:$DZ)</f>
        <v>27895469.940000001</v>
      </c>
      <c r="F111" s="1012">
        <f t="shared" si="3"/>
        <v>2.5994226897990916E-3</v>
      </c>
      <c r="G111" s="1013">
        <f>_xlfn.XLOOKUP($C111,INPUT_DATA!$DX:$DX,INPUT_DATA!$EA:$EA)</f>
        <v>21</v>
      </c>
      <c r="H111" s="1014">
        <f t="shared" si="2"/>
        <v>2.8701071506669583E-4</v>
      </c>
      <c r="M111" s="772"/>
    </row>
    <row r="112" spans="2:13" s="629" customFormat="1" ht="15.5">
      <c r="B112" s="767"/>
      <c r="C112" s="1332" t="s">
        <v>848</v>
      </c>
      <c r="D112" s="1015" t="s">
        <v>472</v>
      </c>
      <c r="E112" s="1011">
        <f>_xlfn.XLOOKUP($C112,INPUT_DATA!$DX:$DX,INPUT_DATA!$DZ:$DZ)</f>
        <v>27435420.219999999</v>
      </c>
      <c r="F112" s="1012">
        <f t="shared" si="3"/>
        <v>2.5565532316692988E-3</v>
      </c>
      <c r="G112" s="1013">
        <f>_xlfn.XLOOKUP($C112,INPUT_DATA!$DX:$DX,INPUT_DATA!$EA:$EA)</f>
        <v>20</v>
      </c>
      <c r="H112" s="1014">
        <f t="shared" si="2"/>
        <v>2.733435381587579E-4</v>
      </c>
      <c r="M112" s="772"/>
    </row>
    <row r="113" spans="1:13" s="629" customFormat="1" ht="15.5">
      <c r="B113" s="767"/>
      <c r="C113" s="1332" t="s">
        <v>849</v>
      </c>
      <c r="D113" s="1015" t="s">
        <v>473</v>
      </c>
      <c r="E113" s="1011">
        <f>_xlfn.XLOOKUP($C113,INPUT_DATA!$DX:$DX,INPUT_DATA!$DZ:$DZ)</f>
        <v>31378609.140000001</v>
      </c>
      <c r="F113" s="1012">
        <f t="shared" si="3"/>
        <v>2.9239969338495813E-3</v>
      </c>
      <c r="G113" s="1013">
        <f>_xlfn.XLOOKUP($C113,INPUT_DATA!$DX:$DX,INPUT_DATA!$EA:$EA)</f>
        <v>22</v>
      </c>
      <c r="H113" s="1014">
        <f t="shared" si="2"/>
        <v>3.006778919746337E-4</v>
      </c>
      <c r="M113" s="772"/>
    </row>
    <row r="114" spans="1:13" s="629" customFormat="1" ht="15.5">
      <c r="B114" s="767"/>
      <c r="C114" s="1332" t="s">
        <v>850</v>
      </c>
      <c r="D114" s="1015" t="s">
        <v>474</v>
      </c>
      <c r="E114" s="1011">
        <f>_xlfn.XLOOKUP($C114,INPUT_DATA!$DX:$DX,INPUT_DATA!$DZ:$DZ)</f>
        <v>23569916.379999999</v>
      </c>
      <c r="F114" s="1012">
        <f t="shared" si="3"/>
        <v>2.1963485672268717E-3</v>
      </c>
      <c r="G114" s="1013">
        <f>_xlfn.XLOOKUP($C114,INPUT_DATA!$DX:$DX,INPUT_DATA!$EA:$EA)</f>
        <v>16</v>
      </c>
      <c r="H114" s="1014">
        <f t="shared" si="2"/>
        <v>2.1867483052700635E-4</v>
      </c>
      <c r="M114" s="772"/>
    </row>
    <row r="115" spans="1:13" s="629" customFormat="1" ht="15.5">
      <c r="B115" s="767"/>
      <c r="C115" s="1332" t="s">
        <v>851</v>
      </c>
      <c r="D115" s="1016" t="s">
        <v>475</v>
      </c>
      <c r="E115" s="1011">
        <f>_xlfn.XLOOKUP($C115,INPUT_DATA!$DX:$DX,INPUT_DATA!$DZ:$DZ)</f>
        <v>135484962.27000001</v>
      </c>
      <c r="F115" s="1012">
        <f t="shared" si="3"/>
        <v>1.2625085213072838E-2</v>
      </c>
      <c r="G115" s="1013">
        <f>_xlfn.XLOOKUP($C115,INPUT_DATA!$DX:$DX,INPUT_DATA!$EA:$EA)</f>
        <v>79</v>
      </c>
      <c r="H115" s="1014">
        <f t="shared" si="2"/>
        <v>1.0797069757270939E-3</v>
      </c>
      <c r="M115" s="772"/>
    </row>
    <row r="116" spans="1:13" s="629" customFormat="1" ht="15.5">
      <c r="B116" s="767"/>
      <c r="C116" s="1009"/>
      <c r="D116" s="1017" t="s">
        <v>415</v>
      </c>
      <c r="E116" s="1018">
        <f>SUM(E85:E115)</f>
        <v>10731409727.809998</v>
      </c>
      <c r="F116" s="1019">
        <f>SUM(F85:F115)</f>
        <v>1.0000000000000007</v>
      </c>
      <c r="G116" s="1020">
        <f>SUM(G85:G115)</f>
        <v>73168</v>
      </c>
      <c r="H116" s="1021">
        <f>SUM(H85:H115)</f>
        <v>0.99999999999999967</v>
      </c>
      <c r="M116" s="772"/>
    </row>
    <row r="117" spans="1:13" s="629" customFormat="1" ht="15.5">
      <c r="B117" s="767"/>
      <c r="C117" s="1009"/>
      <c r="D117" s="813"/>
      <c r="E117" s="1874"/>
      <c r="G117" s="988"/>
      <c r="M117" s="772"/>
    </row>
    <row r="118" spans="1:13" s="629" customFormat="1" ht="15.5">
      <c r="B118" s="767"/>
      <c r="C118" s="1009"/>
      <c r="D118" s="813"/>
      <c r="G118" s="988"/>
      <c r="M118" s="772"/>
    </row>
    <row r="119" spans="1:13" s="629" customFormat="1" ht="15.5">
      <c r="B119" s="767"/>
      <c r="C119" s="1009"/>
      <c r="D119" s="813"/>
      <c r="G119" s="988"/>
      <c r="M119" s="772"/>
    </row>
    <row r="120" spans="1:13" s="629" customFormat="1" ht="15.5">
      <c r="B120" s="767"/>
      <c r="C120" s="1009"/>
      <c r="D120" s="813"/>
      <c r="G120" s="988"/>
      <c r="M120" s="772"/>
    </row>
    <row r="121" spans="1:13" s="629" customFormat="1" ht="15.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104" t="s">
        <v>443</v>
      </c>
      <c r="F124" s="2106"/>
      <c r="G124" s="2104" t="s">
        <v>444</v>
      </c>
      <c r="H124" s="2106"/>
      <c r="M124" s="772"/>
    </row>
    <row r="125" spans="1:13" s="629" customFormat="1" ht="15.5">
      <c r="B125" s="767"/>
      <c r="C125" s="1332" t="s">
        <v>852</v>
      </c>
      <c r="D125" s="1010" t="s">
        <v>480</v>
      </c>
      <c r="E125" s="1011">
        <f>_xlfn.XLOOKUP($C125,INPUT_DATA!$DX:$DX,INPUT_DATA!$DZ:$DZ)</f>
        <v>1292391.3799999999</v>
      </c>
      <c r="F125" s="1012">
        <f>E125/$E$137</f>
        <v>1.2043071812371693E-4</v>
      </c>
      <c r="G125" s="1013">
        <f>_xlfn.XLOOKUP($C125,INPUT_DATA!$DX:$DX,INPUT_DATA!$EA:$EA)</f>
        <v>25</v>
      </c>
      <c r="H125" s="1025">
        <f>G125/$G$137</f>
        <v>3.4167942269844743E-4</v>
      </c>
      <c r="M125" s="772"/>
    </row>
    <row r="126" spans="1:13" s="629" customFormat="1" ht="15.5">
      <c r="B126" s="767"/>
      <c r="C126" s="1332" t="s">
        <v>853</v>
      </c>
      <c r="D126" s="1015" t="s">
        <v>481</v>
      </c>
      <c r="E126" s="1011">
        <f>_xlfn.XLOOKUP($C126,INPUT_DATA!$DX:$DX,INPUT_DATA!$DZ:$DZ)</f>
        <v>11259777.279999999</v>
      </c>
      <c r="F126" s="1012">
        <f t="shared" ref="F126:F136" si="4">E126/$E$137</f>
        <v>1.0492356144804309E-3</v>
      </c>
      <c r="G126" s="1013">
        <f>_xlfn.XLOOKUP($C126,INPUT_DATA!$DX:$DX,INPUT_DATA!$EA:$EA)</f>
        <v>217</v>
      </c>
      <c r="H126" s="1025">
        <f t="shared" ref="H126:H136" si="5">G126/$G$137</f>
        <v>2.9657773890225236E-3</v>
      </c>
      <c r="M126" s="772"/>
    </row>
    <row r="127" spans="1:13" s="629" customFormat="1" ht="15.5">
      <c r="B127" s="767"/>
      <c r="C127" s="1332" t="s">
        <v>854</v>
      </c>
      <c r="D127" s="1015" t="s">
        <v>482</v>
      </c>
      <c r="E127" s="1011">
        <f>_xlfn.XLOOKUP($C127,INPUT_DATA!$DX:$DX,INPUT_DATA!$DZ:$DZ)</f>
        <v>44500478.100000001</v>
      </c>
      <c r="F127" s="1012">
        <f t="shared" si="4"/>
        <v>4.1467504483291579E-3</v>
      </c>
      <c r="G127" s="1013">
        <f>_xlfn.XLOOKUP($C127,INPUT_DATA!$DX:$DX,INPUT_DATA!$EA:$EA)</f>
        <v>598</v>
      </c>
      <c r="H127" s="1025">
        <f t="shared" si="5"/>
        <v>8.1729717909468612E-3</v>
      </c>
      <c r="M127" s="772"/>
    </row>
    <row r="128" spans="1:13" s="629" customFormat="1" ht="15.5">
      <c r="B128" s="767"/>
      <c r="C128" s="1332" t="s">
        <v>855</v>
      </c>
      <c r="D128" s="1015" t="s">
        <v>483</v>
      </c>
      <c r="E128" s="1011">
        <f>_xlfn.XLOOKUP($C128,INPUT_DATA!$DX:$DX,INPUT_DATA!$DZ:$DZ)</f>
        <v>117253234.12</v>
      </c>
      <c r="F128" s="1012">
        <f t="shared" si="4"/>
        <v>1.0926172524765609E-2</v>
      </c>
      <c r="G128" s="1013">
        <f>_xlfn.XLOOKUP($C128,INPUT_DATA!$DX:$DX,INPUT_DATA!$EA:$EA)</f>
        <v>1188</v>
      </c>
      <c r="H128" s="1025">
        <f t="shared" si="5"/>
        <v>1.6236606166630221E-2</v>
      </c>
      <c r="M128" s="772"/>
    </row>
    <row r="129" spans="1:13" s="629" customFormat="1" ht="15.5">
      <c r="B129" s="767"/>
      <c r="C129" s="1332" t="s">
        <v>856</v>
      </c>
      <c r="D129" s="1015" t="s">
        <v>484</v>
      </c>
      <c r="E129" s="1011">
        <f>_xlfn.XLOOKUP($C129,INPUT_DATA!$DX:$DX,INPUT_DATA!$DZ:$DZ)</f>
        <v>186077212.80000001</v>
      </c>
      <c r="F129" s="1012">
        <f t="shared" si="4"/>
        <v>1.7339493833488501E-2</v>
      </c>
      <c r="G129" s="1013">
        <f>_xlfn.XLOOKUP($C129,INPUT_DATA!$DX:$DX,INPUT_DATA!$EA:$EA)</f>
        <v>1708</v>
      </c>
      <c r="H129" s="1025">
        <f t="shared" si="5"/>
        <v>2.3343538158757927E-2</v>
      </c>
      <c r="M129" s="772"/>
    </row>
    <row r="130" spans="1:13" s="629" customFormat="1" ht="15.5">
      <c r="B130" s="767"/>
      <c r="C130" s="1332" t="s">
        <v>857</v>
      </c>
      <c r="D130" s="1015" t="s">
        <v>485</v>
      </c>
      <c r="E130" s="1011">
        <f>_xlfn.XLOOKUP($C130,INPUT_DATA!$DX:$DX,INPUT_DATA!$DZ:$DZ)</f>
        <v>341791022.58999997</v>
      </c>
      <c r="F130" s="1012">
        <f t="shared" si="4"/>
        <v>3.1849592109437663E-2</v>
      </c>
      <c r="G130" s="1013">
        <f>_xlfn.XLOOKUP($C130,INPUT_DATA!$DX:$DX,INPUT_DATA!$EA:$EA)</f>
        <v>2758</v>
      </c>
      <c r="H130" s="1025">
        <f t="shared" si="5"/>
        <v>3.7694073912092715E-2</v>
      </c>
      <c r="M130" s="772"/>
    </row>
    <row r="131" spans="1:13" s="629" customFormat="1" ht="15.5">
      <c r="B131" s="767"/>
      <c r="C131" s="1332" t="s">
        <v>858</v>
      </c>
      <c r="D131" s="1015" t="s">
        <v>486</v>
      </c>
      <c r="E131" s="1011">
        <f>_xlfn.XLOOKUP($C131,INPUT_DATA!$DX:$DX,INPUT_DATA!$DZ:$DZ)</f>
        <v>526534101.75999999</v>
      </c>
      <c r="F131" s="1012">
        <f t="shared" si="4"/>
        <v>4.9064765498190686E-2</v>
      </c>
      <c r="G131" s="1013">
        <f>_xlfn.XLOOKUP($C131,INPUT_DATA!$DX:$DX,INPUT_DATA!$EA:$EA)</f>
        <v>3735</v>
      </c>
      <c r="H131" s="1025">
        <f t="shared" si="5"/>
        <v>5.1046905751148043E-2</v>
      </c>
      <c r="M131" s="772"/>
    </row>
    <row r="132" spans="1:13" s="629" customFormat="1" ht="15.5">
      <c r="B132" s="767"/>
      <c r="C132" s="1332" t="s">
        <v>859</v>
      </c>
      <c r="D132" s="1015" t="s">
        <v>487</v>
      </c>
      <c r="E132" s="1011">
        <f>_xlfn.XLOOKUP($C132,INPUT_DATA!$DX:$DX,INPUT_DATA!$DZ:$DZ)</f>
        <v>794943177.58000004</v>
      </c>
      <c r="F132" s="1012">
        <f t="shared" si="4"/>
        <v>7.4076304767297999E-2</v>
      </c>
      <c r="G132" s="1013">
        <f>_xlfn.XLOOKUP($C132,INPUT_DATA!$DX:$DX,INPUT_DATA!$EA:$EA)</f>
        <v>5042</v>
      </c>
      <c r="H132" s="1025">
        <f t="shared" si="5"/>
        <v>6.8909905969822868E-2</v>
      </c>
      <c r="M132" s="772"/>
    </row>
    <row r="133" spans="1:13" s="629" customFormat="1" ht="15.5">
      <c r="B133" s="767"/>
      <c r="C133" s="1332" t="s">
        <v>860</v>
      </c>
      <c r="D133" s="1015" t="s">
        <v>488</v>
      </c>
      <c r="E133" s="1011">
        <f>_xlfn.XLOOKUP($C133,INPUT_DATA!$DX:$DX,INPUT_DATA!$DZ:$DZ)</f>
        <v>1271239108.6099999</v>
      </c>
      <c r="F133" s="1012">
        <f t="shared" si="4"/>
        <v>0.11845965635955888</v>
      </c>
      <c r="G133" s="1013">
        <f>_xlfn.XLOOKUP($C133,INPUT_DATA!$DX:$DX,INPUT_DATA!$EA:$EA)</f>
        <v>7566</v>
      </c>
      <c r="H133" s="1025">
        <f t="shared" si="5"/>
        <v>0.10340586048545812</v>
      </c>
      <c r="M133" s="772"/>
    </row>
    <row r="134" spans="1:13" s="629" customFormat="1" ht="15.5">
      <c r="B134" s="767"/>
      <c r="C134" s="1332" t="s">
        <v>861</v>
      </c>
      <c r="D134" s="1015" t="s">
        <v>489</v>
      </c>
      <c r="E134" s="1011">
        <f>_xlfn.XLOOKUP($C134,INPUT_DATA!$DX:$DX,INPUT_DATA!$DZ:$DZ)</f>
        <v>2428943169.2399998</v>
      </c>
      <c r="F134" s="1012">
        <f t="shared" si="4"/>
        <v>0.22633961714699002</v>
      </c>
      <c r="G134" s="1013">
        <f>_xlfn.XLOOKUP($C134,INPUT_DATA!$DX:$DX,INPUT_DATA!$EA:$EA)</f>
        <v>13757</v>
      </c>
      <c r="H134" s="1025">
        <f t="shared" si="5"/>
        <v>0.18801935272250164</v>
      </c>
      <c r="M134" s="772"/>
    </row>
    <row r="135" spans="1:13" s="629" customFormat="1" ht="15.5">
      <c r="B135" s="767"/>
      <c r="C135" s="1332" t="s">
        <v>862</v>
      </c>
      <c r="D135" s="1026" t="s">
        <v>490</v>
      </c>
      <c r="E135" s="1011">
        <f>_xlfn.XLOOKUP($C135,INPUT_DATA!$DX:$DX,INPUT_DATA!$DZ:$DZ)</f>
        <v>4178129707.9400001</v>
      </c>
      <c r="F135" s="1012">
        <f t="shared" si="4"/>
        <v>0.38933651905141148</v>
      </c>
      <c r="G135" s="1013">
        <f>_xlfn.XLOOKUP($C135,INPUT_DATA!$DX:$DX,INPUT_DATA!$EA:$EA)</f>
        <v>29066</v>
      </c>
      <c r="H135" s="1025">
        <f t="shared" si="5"/>
        <v>0.3972501640061229</v>
      </c>
      <c r="M135" s="772"/>
    </row>
    <row r="136" spans="1:13" s="629" customFormat="1" ht="15.5">
      <c r="B136" s="767"/>
      <c r="C136" s="1332" t="s">
        <v>863</v>
      </c>
      <c r="D136" s="1016" t="s">
        <v>1198</v>
      </c>
      <c r="E136" s="1011">
        <f>_xlfn.XLOOKUP($C136,INPUT_DATA!$DX:$DX,INPUT_DATA!$DZ:$DZ)</f>
        <v>829446346.40999997</v>
      </c>
      <c r="F136" s="1012">
        <f t="shared" si="4"/>
        <v>7.7291461927925881E-2</v>
      </c>
      <c r="G136" s="1013">
        <f>_xlfn.XLOOKUP($C136,INPUT_DATA!$DX:$DX,INPUT_DATA!$EA:$EA)</f>
        <v>7508</v>
      </c>
      <c r="H136" s="1025">
        <f t="shared" si="5"/>
        <v>0.10261316422479773</v>
      </c>
      <c r="M136" s="772"/>
    </row>
    <row r="137" spans="1:13" s="629" customFormat="1" ht="15.5">
      <c r="B137" s="767"/>
      <c r="C137" s="1009"/>
      <c r="D137" s="1017" t="s">
        <v>415</v>
      </c>
      <c r="E137" s="1018">
        <f>SUM(E125:E136)</f>
        <v>10731409727.809999</v>
      </c>
      <c r="F137" s="1019">
        <f>SUM(F125:F136)</f>
        <v>1</v>
      </c>
      <c r="G137" s="1020">
        <f>SUM(G125:G136)</f>
        <v>73168</v>
      </c>
      <c r="H137" s="1021">
        <f>SUM(H125:H136)</f>
        <v>1</v>
      </c>
      <c r="M137" s="772"/>
    </row>
    <row r="138" spans="1:13" s="629" customFormat="1" ht="15.5">
      <c r="B138" s="767"/>
      <c r="C138" s="1009"/>
      <c r="D138" s="813"/>
      <c r="G138" s="988"/>
      <c r="M138" s="772"/>
    </row>
    <row r="139" spans="1:13" s="629" customFormat="1" ht="15.5">
      <c r="B139" s="767"/>
      <c r="C139" s="1009"/>
      <c r="D139" s="813"/>
      <c r="G139" s="988"/>
      <c r="M139" s="772"/>
    </row>
    <row r="140" spans="1:13" s="629" customFormat="1" ht="15.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104" t="s">
        <v>443</v>
      </c>
      <c r="F143" s="2106"/>
      <c r="G143" s="2104" t="s">
        <v>444</v>
      </c>
      <c r="H143" s="2106"/>
      <c r="M143" s="772"/>
    </row>
    <row r="144" spans="1:13" s="629" customFormat="1" ht="15.5">
      <c r="B144" s="767"/>
      <c r="C144" s="1332" t="s">
        <v>864</v>
      </c>
      <c r="D144" s="1010" t="s">
        <v>480</v>
      </c>
      <c r="E144" s="1011">
        <f>_xlfn.XLOOKUP($C144,INPUT_DATA!$DX:$DX,INPUT_DATA!$DZ:$DZ)</f>
        <v>45994452.590000004</v>
      </c>
      <c r="F144" s="1012">
        <f>E144/$E$137</f>
        <v>4.2859655680471597E-3</v>
      </c>
      <c r="G144" s="1013">
        <f>_xlfn.XLOOKUP($C144,INPUT_DATA!$DX:$DX,INPUT_DATA!$EA:$EA)</f>
        <v>2234</v>
      </c>
      <c r="H144" s="1025">
        <f>G144/$G$137</f>
        <v>3.053247321233326E-2</v>
      </c>
      <c r="M144" s="772"/>
    </row>
    <row r="145" spans="2:13" s="629" customFormat="1" ht="15.5">
      <c r="B145" s="767"/>
      <c r="C145" s="1332" t="s">
        <v>865</v>
      </c>
      <c r="D145" s="1015" t="s">
        <v>481</v>
      </c>
      <c r="E145" s="1011">
        <f>_xlfn.XLOOKUP($C145,INPUT_DATA!$DX:$DX,INPUT_DATA!$DZ:$DZ)</f>
        <v>170547784.44999999</v>
      </c>
      <c r="F145" s="1012">
        <f t="shared" ref="F145:F155" si="6">E145/$E$137</f>
        <v>1.5892393336546691E-2</v>
      </c>
      <c r="G145" s="1013">
        <f>_xlfn.XLOOKUP($C145,INPUT_DATA!$DX:$DX,INPUT_DATA!$EA:$EA)</f>
        <v>3523</v>
      </c>
      <c r="H145" s="1025">
        <f t="shared" ref="H145:H155" si="7">G145/$G$137</f>
        <v>4.8149464246665212E-2</v>
      </c>
      <c r="M145" s="772"/>
    </row>
    <row r="146" spans="2:13" s="629" customFormat="1" ht="15.5">
      <c r="B146" s="767"/>
      <c r="C146" s="1332" t="s">
        <v>866</v>
      </c>
      <c r="D146" s="1015" t="s">
        <v>482</v>
      </c>
      <c r="E146" s="1011">
        <f>_xlfn.XLOOKUP($C146,INPUT_DATA!$DX:$DX,INPUT_DATA!$DZ:$DZ)</f>
        <v>371027522.02999997</v>
      </c>
      <c r="F146" s="1012">
        <f t="shared" si="6"/>
        <v>3.4573977831495677E-2</v>
      </c>
      <c r="G146" s="1013">
        <f>_xlfn.XLOOKUP($C146,INPUT_DATA!$DX:$DX,INPUT_DATA!$EA:$EA)</f>
        <v>4924</v>
      </c>
      <c r="H146" s="1025">
        <f t="shared" si="7"/>
        <v>6.7297179094686202E-2</v>
      </c>
      <c r="M146" s="772"/>
    </row>
    <row r="147" spans="2:13" s="629" customFormat="1" ht="15.5">
      <c r="B147" s="767"/>
      <c r="C147" s="1332" t="s">
        <v>867</v>
      </c>
      <c r="D147" s="1015" t="s">
        <v>483</v>
      </c>
      <c r="E147" s="1011">
        <f>_xlfn.XLOOKUP($C147,INPUT_DATA!$DX:$DX,INPUT_DATA!$DZ:$DZ)</f>
        <v>650530921.10000002</v>
      </c>
      <c r="F147" s="1012">
        <f t="shared" si="6"/>
        <v>6.0619334980210132E-2</v>
      </c>
      <c r="G147" s="1013">
        <f>_xlfn.XLOOKUP($C147,INPUT_DATA!$DX:$DX,INPUT_DATA!$EA:$EA)</f>
        <v>6174</v>
      </c>
      <c r="H147" s="1025">
        <f t="shared" si="7"/>
        <v>8.438115022960857E-2</v>
      </c>
      <c r="M147" s="772"/>
    </row>
    <row r="148" spans="2:13" s="629" customFormat="1" ht="15.5">
      <c r="B148" s="767"/>
      <c r="C148" s="1332" t="s">
        <v>868</v>
      </c>
      <c r="D148" s="1015" t="s">
        <v>484</v>
      </c>
      <c r="E148" s="1011">
        <f>_xlfn.XLOOKUP($C148,INPUT_DATA!$DX:$DX,INPUT_DATA!$DZ:$DZ)</f>
        <v>980465347.39999998</v>
      </c>
      <c r="F148" s="1012">
        <f t="shared" si="6"/>
        <v>9.136407725251279E-2</v>
      </c>
      <c r="G148" s="1013">
        <f>_xlfn.XLOOKUP($C148,INPUT_DATA!$DX:$DX,INPUT_DATA!$EA:$EA)</f>
        <v>7498</v>
      </c>
      <c r="H148" s="1025">
        <f t="shared" si="7"/>
        <v>0.10247649245571834</v>
      </c>
      <c r="M148" s="772"/>
    </row>
    <row r="149" spans="2:13" s="629" customFormat="1" ht="15.5">
      <c r="B149" s="767"/>
      <c r="C149" s="1332" t="s">
        <v>869</v>
      </c>
      <c r="D149" s="1015" t="s">
        <v>485</v>
      </c>
      <c r="E149" s="1011">
        <f>_xlfn.XLOOKUP($C149,INPUT_DATA!$DX:$DX,INPUT_DATA!$DZ:$DZ)</f>
        <v>1270190481.51</v>
      </c>
      <c r="F149" s="1012">
        <f t="shared" si="6"/>
        <v>0.11836194067013903</v>
      </c>
      <c r="G149" s="1013">
        <f>_xlfn.XLOOKUP($C149,INPUT_DATA!$DX:$DX,INPUT_DATA!$EA:$EA)</f>
        <v>8561</v>
      </c>
      <c r="H149" s="1025">
        <f t="shared" si="7"/>
        <v>0.11700470150885633</v>
      </c>
      <c r="M149" s="772"/>
    </row>
    <row r="150" spans="2:13" s="629" customFormat="1" ht="15.5">
      <c r="B150" s="767"/>
      <c r="C150" s="1332" t="s">
        <v>870</v>
      </c>
      <c r="D150" s="1015" t="s">
        <v>486</v>
      </c>
      <c r="E150" s="1011">
        <f>_xlfn.XLOOKUP($C150,INPUT_DATA!$DX:$DX,INPUT_DATA!$DZ:$DZ)</f>
        <v>1533783413.99</v>
      </c>
      <c r="F150" s="1012">
        <f t="shared" si="6"/>
        <v>0.14292469050131079</v>
      </c>
      <c r="G150" s="1013">
        <f>_xlfn.XLOOKUP($C150,INPUT_DATA!$DX:$DX,INPUT_DATA!$EA:$EA)</f>
        <v>9222</v>
      </c>
      <c r="H150" s="1025">
        <f t="shared" si="7"/>
        <v>0.12603870544500329</v>
      </c>
      <c r="M150" s="772"/>
    </row>
    <row r="151" spans="2:13" s="629" customFormat="1" ht="15.5">
      <c r="B151" s="767"/>
      <c r="C151" s="1332" t="s">
        <v>871</v>
      </c>
      <c r="D151" s="1015" t="s">
        <v>487</v>
      </c>
      <c r="E151" s="1011">
        <f>_xlfn.XLOOKUP($C151,INPUT_DATA!$DX:$DX,INPUT_DATA!$DZ:$DZ)</f>
        <v>1799692133.0799999</v>
      </c>
      <c r="F151" s="1012">
        <f t="shared" si="6"/>
        <v>0.16770323552330438</v>
      </c>
      <c r="G151" s="1013">
        <f>_xlfn.XLOOKUP($C151,INPUT_DATA!$DX:$DX,INPUT_DATA!$EA:$EA)</f>
        <v>10215</v>
      </c>
      <c r="H151" s="1025">
        <f t="shared" si="7"/>
        <v>0.1396102121145856</v>
      </c>
      <c r="M151" s="772"/>
    </row>
    <row r="152" spans="2:13" s="629" customFormat="1" ht="15.5">
      <c r="B152" s="767"/>
      <c r="C152" s="1332" t="s">
        <v>872</v>
      </c>
      <c r="D152" s="1015" t="s">
        <v>488</v>
      </c>
      <c r="E152" s="1011">
        <f>_xlfn.XLOOKUP($C152,INPUT_DATA!$DX:$DX,INPUT_DATA!$DZ:$DZ)</f>
        <v>1939596798.28</v>
      </c>
      <c r="F152" s="1012">
        <f t="shared" si="6"/>
        <v>0.1807401681117082</v>
      </c>
      <c r="G152" s="1013">
        <f>_xlfn.XLOOKUP($C152,INPUT_DATA!$DX:$DX,INPUT_DATA!$EA:$EA)</f>
        <v>10341</v>
      </c>
      <c r="H152" s="1025">
        <f t="shared" si="7"/>
        <v>0.14133227640498577</v>
      </c>
      <c r="M152" s="772"/>
    </row>
    <row r="153" spans="2:13" s="629" customFormat="1" ht="15.5">
      <c r="B153" s="767"/>
      <c r="C153" s="1332" t="s">
        <v>873</v>
      </c>
      <c r="D153" s="1015" t="s">
        <v>489</v>
      </c>
      <c r="E153" s="1011">
        <f>_xlfn.XLOOKUP($C153,INPUT_DATA!$DX:$DX,INPUT_DATA!$DZ:$DZ)</f>
        <v>1615213383.6900001</v>
      </c>
      <c r="F153" s="1012">
        <f t="shared" si="6"/>
        <v>0.15051269354707816</v>
      </c>
      <c r="G153" s="1013">
        <f>_xlfn.XLOOKUP($C153,INPUT_DATA!$DX:$DX,INPUT_DATA!$EA:$EA)</f>
        <v>8453</v>
      </c>
      <c r="H153" s="1025">
        <f t="shared" si="7"/>
        <v>0.11552864640279904</v>
      </c>
      <c r="M153" s="772"/>
    </row>
    <row r="154" spans="2:13" s="629" customFormat="1" ht="15.5">
      <c r="B154" s="767"/>
      <c r="C154" s="1332" t="s">
        <v>874</v>
      </c>
      <c r="D154" s="1026" t="s">
        <v>490</v>
      </c>
      <c r="E154" s="1011">
        <f>_xlfn.XLOOKUP($C154,INPUT_DATA!$DX:$DX,INPUT_DATA!$DZ:$DZ)</f>
        <v>354367489.69</v>
      </c>
      <c r="F154" s="1012">
        <f t="shared" si="6"/>
        <v>3.3021522677647047E-2</v>
      </c>
      <c r="G154" s="1013">
        <f>_xlfn.XLOOKUP($C154,INPUT_DATA!$DX:$DX,INPUT_DATA!$EA:$EA)</f>
        <v>2023</v>
      </c>
      <c r="H154" s="1025">
        <f t="shared" si="7"/>
        <v>2.7648698884758363E-2</v>
      </c>
      <c r="M154" s="772"/>
    </row>
    <row r="155" spans="2:13" s="629" customFormat="1" ht="15.5">
      <c r="B155" s="767"/>
      <c r="C155" s="1332" t="s">
        <v>875</v>
      </c>
      <c r="D155" s="1016" t="s">
        <v>1198</v>
      </c>
      <c r="E155" s="1011">
        <f>_xlfn.XLOOKUP($C155,INPUT_DATA!$DX:$DX,INPUT_DATA!$DZ:$DZ)</f>
        <v>0</v>
      </c>
      <c r="F155" s="1012">
        <f t="shared" si="6"/>
        <v>0</v>
      </c>
      <c r="G155" s="1013">
        <f>_xlfn.XLOOKUP($C155,INPUT_DATA!$DX:$DX,INPUT_DATA!$EA:$EA)</f>
        <v>0</v>
      </c>
      <c r="H155" s="1025">
        <f t="shared" si="7"/>
        <v>0</v>
      </c>
      <c r="M155" s="772"/>
    </row>
    <row r="156" spans="2:13" s="629" customFormat="1" ht="15.5">
      <c r="B156" s="767"/>
      <c r="C156" s="1009"/>
      <c r="D156" s="1017" t="s">
        <v>415</v>
      </c>
      <c r="E156" s="1018">
        <f>SUM(E144:E155)</f>
        <v>10731409727.810001</v>
      </c>
      <c r="F156" s="1019">
        <f>SUM(F144:F155)</f>
        <v>1.0000000000000002</v>
      </c>
      <c r="G156" s="1020">
        <f>SUM(G144:G155)</f>
        <v>73168</v>
      </c>
      <c r="H156" s="1021">
        <f>SUM(H144:H155)</f>
        <v>1</v>
      </c>
      <c r="M156" s="772"/>
    </row>
    <row r="157" spans="2:13" s="629" customFormat="1" ht="15.5">
      <c r="B157" s="767"/>
      <c r="C157" s="1009"/>
      <c r="D157" s="813"/>
      <c r="G157" s="988"/>
      <c r="M157" s="772"/>
    </row>
    <row r="158" spans="2:13" s="629" customFormat="1" ht="15.5">
      <c r="B158" s="767"/>
      <c r="C158" s="1009"/>
      <c r="D158" s="813"/>
      <c r="G158" s="988"/>
      <c r="M158" s="772"/>
    </row>
    <row r="159" spans="2:13" s="629" customFormat="1" ht="15.5">
      <c r="B159" s="767"/>
      <c r="C159" s="1009"/>
      <c r="D159" s="813"/>
      <c r="G159" s="988"/>
      <c r="M159" s="772"/>
    </row>
    <row r="160" spans="2:13" s="629" customFormat="1" ht="15.5">
      <c r="B160" s="767"/>
      <c r="C160" s="1009"/>
      <c r="D160" s="813"/>
      <c r="G160" s="988"/>
      <c r="M160" s="772"/>
    </row>
    <row r="161" spans="1:13" s="629" customFormat="1" ht="15.5">
      <c r="B161" s="767"/>
      <c r="C161" s="1009"/>
      <c r="D161" s="813"/>
      <c r="G161" s="988"/>
      <c r="M161" s="772"/>
    </row>
    <row r="162" spans="1:13" s="629" customFormat="1" ht="15.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104" t="s">
        <v>443</v>
      </c>
      <c r="F165" s="2106"/>
      <c r="G165" s="2104" t="s">
        <v>444</v>
      </c>
      <c r="H165" s="2106"/>
      <c r="M165" s="772"/>
    </row>
    <row r="166" spans="1:13" s="629" customFormat="1" ht="15.5">
      <c r="B166" s="767"/>
      <c r="C166" s="1332" t="s">
        <v>876</v>
      </c>
      <c r="D166" s="1010" t="s">
        <v>492</v>
      </c>
      <c r="E166" s="1011">
        <f>_xlfn.XLOOKUP($C166,INPUT_DATA!$DX:$DX,INPUT_DATA!$DZ:$DZ)</f>
        <v>806087.48</v>
      </c>
      <c r="F166" s="1012">
        <f>E166/$E$193</f>
        <v>7.5114779925982886E-5</v>
      </c>
      <c r="G166" s="1013">
        <f>_xlfn.XLOOKUP($C166,INPUT_DATA!$DX:$DX,INPUT_DATA!$EA:$EA)</f>
        <v>9</v>
      </c>
      <c r="H166" s="1025">
        <f>G166/$G$193</f>
        <v>1.2300459217144108E-4</v>
      </c>
      <c r="M166" s="772"/>
    </row>
    <row r="167" spans="1:13" s="629" customFormat="1" ht="15.5">
      <c r="B167" s="767"/>
      <c r="C167" s="1332" t="s">
        <v>877</v>
      </c>
      <c r="D167" s="1015" t="s">
        <v>493</v>
      </c>
      <c r="E167" s="1011">
        <f>_xlfn.XLOOKUP($C167,INPUT_DATA!$DX:$DX,INPUT_DATA!$DZ:$DZ)</f>
        <v>1267586.3</v>
      </c>
      <c r="F167" s="1012">
        <f t="shared" ref="F167:F192" si="8">E167/$E$193</f>
        <v>1.1811927157296988E-4</v>
      </c>
      <c r="G167" s="1013">
        <f>_xlfn.XLOOKUP($C167,INPUT_DATA!$DX:$DX,INPUT_DATA!$EA:$EA)</f>
        <v>37</v>
      </c>
      <c r="H167" s="1025">
        <f t="shared" ref="H167:H192" si="9">G167/$G$193</f>
        <v>5.0568554559370213E-4</v>
      </c>
      <c r="M167" s="772"/>
    </row>
    <row r="168" spans="1:13" s="629" customFormat="1" ht="15.5">
      <c r="B168" s="767"/>
      <c r="C168" s="1332" t="s">
        <v>878</v>
      </c>
      <c r="D168" s="1015" t="s">
        <v>494</v>
      </c>
      <c r="E168" s="1011">
        <f>_xlfn.XLOOKUP($C168,INPUT_DATA!$DX:$DX,INPUT_DATA!$DZ:$DZ)</f>
        <v>2513951.4700000002</v>
      </c>
      <c r="F168" s="1012">
        <f t="shared" si="8"/>
        <v>2.3426106483337414E-4</v>
      </c>
      <c r="G168" s="1013">
        <f>_xlfn.XLOOKUP($C168,INPUT_DATA!$DX:$DX,INPUT_DATA!$EA:$EA)</f>
        <v>76</v>
      </c>
      <c r="H168" s="1025">
        <f t="shared" si="9"/>
        <v>1.0387054450032801E-3</v>
      </c>
      <c r="M168" s="772"/>
    </row>
    <row r="169" spans="1:13" s="629" customFormat="1" ht="15.5">
      <c r="B169" s="767"/>
      <c r="C169" s="1332" t="s">
        <v>879</v>
      </c>
      <c r="D169" s="1015" t="s">
        <v>495</v>
      </c>
      <c r="E169" s="1011">
        <f>_xlfn.XLOOKUP($C169,INPUT_DATA!$DX:$DX,INPUT_DATA!$DZ:$DZ)</f>
        <v>11629887.359999999</v>
      </c>
      <c r="F169" s="1012">
        <f t="shared" si="8"/>
        <v>1.0837241010248292E-3</v>
      </c>
      <c r="G169" s="1013">
        <f>_xlfn.XLOOKUP($C169,INPUT_DATA!$DX:$DX,INPUT_DATA!$EA:$EA)</f>
        <v>285</v>
      </c>
      <c r="H169" s="1025">
        <f t="shared" si="9"/>
        <v>3.8951454187623005E-3</v>
      </c>
      <c r="M169" s="772"/>
    </row>
    <row r="170" spans="1:13" s="629" customFormat="1" ht="15.5">
      <c r="B170" s="767"/>
      <c r="C170" s="1332" t="s">
        <v>880</v>
      </c>
      <c r="D170" s="1015" t="s">
        <v>496</v>
      </c>
      <c r="E170" s="1011">
        <f>_xlfn.XLOOKUP($C170,INPUT_DATA!$DX:$DX,INPUT_DATA!$DZ:$DZ)</f>
        <v>9917791.0999999996</v>
      </c>
      <c r="F170" s="1012">
        <f t="shared" si="8"/>
        <v>9.2418343456763738E-4</v>
      </c>
      <c r="G170" s="1013">
        <f>_xlfn.XLOOKUP($C170,INPUT_DATA!$DX:$DX,INPUT_DATA!$EA:$EA)</f>
        <v>233</v>
      </c>
      <c r="H170" s="1025">
        <f t="shared" si="9"/>
        <v>3.18445221954953E-3</v>
      </c>
      <c r="M170" s="772"/>
    </row>
    <row r="171" spans="1:13" s="629" customFormat="1" ht="15.5">
      <c r="B171" s="767"/>
      <c r="C171" s="1332" t="s">
        <v>881</v>
      </c>
      <c r="D171" s="1015" t="s">
        <v>497</v>
      </c>
      <c r="E171" s="1011">
        <f>_xlfn.XLOOKUP($C171,INPUT_DATA!$DX:$DX,INPUT_DATA!$DZ:$DZ)</f>
        <v>14353356.460000001</v>
      </c>
      <c r="F171" s="1012">
        <f t="shared" si="8"/>
        <v>1.3375089409552482E-3</v>
      </c>
      <c r="G171" s="1013">
        <f>_xlfn.XLOOKUP($C171,INPUT_DATA!$DX:$DX,INPUT_DATA!$EA:$EA)</f>
        <v>370</v>
      </c>
      <c r="H171" s="1025">
        <f t="shared" si="9"/>
        <v>5.0568554559370215E-3</v>
      </c>
      <c r="M171" s="772"/>
    </row>
    <row r="172" spans="1:13" s="629" customFormat="1" ht="15.5">
      <c r="B172" s="767"/>
      <c r="C172" s="1332" t="s">
        <v>882</v>
      </c>
      <c r="D172" s="1015" t="s">
        <v>498</v>
      </c>
      <c r="E172" s="1011">
        <f>_xlfn.XLOOKUP($C172,INPUT_DATA!$DX:$DX,INPUT_DATA!$DZ:$DZ)</f>
        <v>137980971</v>
      </c>
      <c r="F172" s="1012">
        <f t="shared" si="8"/>
        <v>1.2857674294405895E-2</v>
      </c>
      <c r="G172" s="1013">
        <f>_xlfn.XLOOKUP($C172,INPUT_DATA!$DX:$DX,INPUT_DATA!$EA:$EA)</f>
        <v>2392</v>
      </c>
      <c r="H172" s="1025">
        <f t="shared" si="9"/>
        <v>3.2691887163787445E-2</v>
      </c>
      <c r="M172" s="772"/>
    </row>
    <row r="173" spans="1:13" s="629" customFormat="1" ht="15.5">
      <c r="B173" s="767"/>
      <c r="C173" s="1332" t="s">
        <v>883</v>
      </c>
      <c r="D173" s="1015" t="s">
        <v>499</v>
      </c>
      <c r="E173" s="1011">
        <f>_xlfn.XLOOKUP($C173,INPUT_DATA!$DX:$DX,INPUT_DATA!$DZ:$DZ)</f>
        <v>33317101.109999999</v>
      </c>
      <c r="F173" s="1012">
        <f t="shared" si="8"/>
        <v>3.1046341491985088E-3</v>
      </c>
      <c r="G173" s="1013">
        <f>_xlfn.XLOOKUP($C173,INPUT_DATA!$DX:$DX,INPUT_DATA!$EA:$EA)</f>
        <v>612</v>
      </c>
      <c r="H173" s="1025">
        <f t="shared" si="9"/>
        <v>8.3643122676579917E-3</v>
      </c>
      <c r="M173" s="772"/>
    </row>
    <row r="174" spans="1:13" s="629" customFormat="1" ht="15.5">
      <c r="B174" s="767"/>
      <c r="C174" s="1332" t="s">
        <v>884</v>
      </c>
      <c r="D174" s="1015" t="s">
        <v>500</v>
      </c>
      <c r="E174" s="1011">
        <f>_xlfn.XLOOKUP($C174,INPUT_DATA!$DX:$DX,INPUT_DATA!$DZ:$DZ)</f>
        <v>159007099.58000001</v>
      </c>
      <c r="F174" s="1012">
        <f t="shared" si="8"/>
        <v>1.4816981516225194E-2</v>
      </c>
      <c r="G174" s="1013">
        <f>_xlfn.XLOOKUP($C174,INPUT_DATA!$DX:$DX,INPUT_DATA!$EA:$EA)</f>
        <v>2363</v>
      </c>
      <c r="H174" s="1025">
        <f t="shared" si="9"/>
        <v>3.2295539033457249E-2</v>
      </c>
      <c r="M174" s="772"/>
    </row>
    <row r="175" spans="1:13" s="629" customFormat="1" ht="15.5">
      <c r="B175" s="767"/>
      <c r="C175" s="1332" t="s">
        <v>885</v>
      </c>
      <c r="D175" s="1015" t="s">
        <v>501</v>
      </c>
      <c r="E175" s="1011">
        <f>_xlfn.XLOOKUP($C175,INPUT_DATA!$DX:$DX,INPUT_DATA!$DZ:$DZ)</f>
        <v>72981124.370000005</v>
      </c>
      <c r="F175" s="1012">
        <f t="shared" si="8"/>
        <v>6.8007024446072985E-3</v>
      </c>
      <c r="G175" s="1013">
        <f>_xlfn.XLOOKUP($C175,INPUT_DATA!$DX:$DX,INPUT_DATA!$EA:$EA)</f>
        <v>954</v>
      </c>
      <c r="H175" s="1025">
        <f t="shared" si="9"/>
        <v>1.3038486770172754E-2</v>
      </c>
      <c r="M175" s="772"/>
    </row>
    <row r="176" spans="1:13" s="629" customFormat="1" ht="15.5">
      <c r="B176" s="767"/>
      <c r="C176" s="1332" t="s">
        <v>886</v>
      </c>
      <c r="D176" s="1015" t="s">
        <v>502</v>
      </c>
      <c r="E176" s="1011">
        <f>_xlfn.XLOOKUP($C176,INPUT_DATA!$DX:$DX,INPUT_DATA!$DZ:$DZ)</f>
        <v>103632440.27</v>
      </c>
      <c r="F176" s="1012">
        <f t="shared" si="8"/>
        <v>9.6569269926802676E-3</v>
      </c>
      <c r="G176" s="1013">
        <f>_xlfn.XLOOKUP($C176,INPUT_DATA!$DX:$DX,INPUT_DATA!$EA:$EA)</f>
        <v>1244</v>
      </c>
      <c r="H176" s="1025">
        <f t="shared" si="9"/>
        <v>1.7001968073474743E-2</v>
      </c>
      <c r="M176" s="772"/>
    </row>
    <row r="177" spans="2:13" s="629" customFormat="1" ht="15.5">
      <c r="B177" s="767"/>
      <c r="C177" s="1332" t="s">
        <v>887</v>
      </c>
      <c r="D177" s="1015" t="s">
        <v>503</v>
      </c>
      <c r="E177" s="1011">
        <f>_xlfn.XLOOKUP($C177,INPUT_DATA!$DX:$DX,INPUT_DATA!$DZ:$DZ)</f>
        <v>798266537.39999998</v>
      </c>
      <c r="F177" s="1012">
        <f t="shared" si="8"/>
        <v>7.4385990065343008E-2</v>
      </c>
      <c r="G177" s="1013">
        <f>_xlfn.XLOOKUP($C177,INPUT_DATA!$DX:$DX,INPUT_DATA!$EA:$EA)</f>
        <v>8845</v>
      </c>
      <c r="H177" s="1025">
        <f t="shared" si="9"/>
        <v>0.1208861797507107</v>
      </c>
      <c r="M177" s="772"/>
    </row>
    <row r="178" spans="2:13" s="629" customFormat="1" ht="15.5">
      <c r="B178" s="767"/>
      <c r="C178" s="1332" t="s">
        <v>888</v>
      </c>
      <c r="D178" s="1015" t="s">
        <v>504</v>
      </c>
      <c r="E178" s="1011">
        <f>_xlfn.XLOOKUP($C178,INPUT_DATA!$DX:$DX,INPUT_DATA!$DZ:$DZ)</f>
        <v>148752115.52000001</v>
      </c>
      <c r="F178" s="1012">
        <f t="shared" si="8"/>
        <v>1.386137695726174E-2</v>
      </c>
      <c r="G178" s="1013">
        <f>_xlfn.XLOOKUP($C178,INPUT_DATA!$DX:$DX,INPUT_DATA!$EA:$EA)</f>
        <v>1421</v>
      </c>
      <c r="H178" s="1025">
        <f t="shared" si="9"/>
        <v>1.9421058386179749E-2</v>
      </c>
      <c r="M178" s="772"/>
    </row>
    <row r="179" spans="2:13" s="629" customFormat="1" ht="15.5">
      <c r="B179" s="767"/>
      <c r="C179" s="1332" t="s">
        <v>889</v>
      </c>
      <c r="D179" s="1015" t="s">
        <v>505</v>
      </c>
      <c r="E179" s="1011">
        <f>_xlfn.XLOOKUP($C179,INPUT_DATA!$DX:$DX,INPUT_DATA!$DZ:$DZ)</f>
        <v>324581908.79000002</v>
      </c>
      <c r="F179" s="1012">
        <f t="shared" si="8"/>
        <v>3.0245971127992585E-2</v>
      </c>
      <c r="G179" s="1013">
        <f>_xlfn.XLOOKUP($C179,INPUT_DATA!$DX:$DX,INPUT_DATA!$EA:$EA)</f>
        <v>2889</v>
      </c>
      <c r="H179" s="1025">
        <f t="shared" si="9"/>
        <v>3.9484474087032581E-2</v>
      </c>
      <c r="M179" s="772"/>
    </row>
    <row r="180" spans="2:13" s="629" customFormat="1" ht="15.5">
      <c r="B180" s="767"/>
      <c r="C180" s="1332" t="s">
        <v>890</v>
      </c>
      <c r="D180" s="1015" t="s">
        <v>506</v>
      </c>
      <c r="E180" s="1011">
        <f>_xlfn.XLOOKUP($C180,INPUT_DATA!$DX:$DX,INPUT_DATA!$DZ:$DZ)</f>
        <v>231458975.94</v>
      </c>
      <c r="F180" s="1012">
        <f t="shared" si="8"/>
        <v>2.1568366301417393E-2</v>
      </c>
      <c r="G180" s="1013">
        <f>_xlfn.XLOOKUP($C180,INPUT_DATA!$DX:$DX,INPUT_DATA!$EA:$EA)</f>
        <v>1709</v>
      </c>
      <c r="H180" s="1025">
        <f t="shared" si="9"/>
        <v>2.3357205335665866E-2</v>
      </c>
      <c r="M180" s="772"/>
    </row>
    <row r="181" spans="2:13" s="629" customFormat="1" ht="15.5">
      <c r="B181" s="767"/>
      <c r="C181" s="1332" t="s">
        <v>891</v>
      </c>
      <c r="D181" s="1015" t="s">
        <v>507</v>
      </c>
      <c r="E181" s="1011">
        <f>_xlfn.XLOOKUP($C181,INPUT_DATA!$DX:$DX,INPUT_DATA!$DZ:$DZ)</f>
        <v>209080176.96000001</v>
      </c>
      <c r="F181" s="1012">
        <f t="shared" si="8"/>
        <v>1.9483011297031876E-2</v>
      </c>
      <c r="G181" s="1013">
        <f>_xlfn.XLOOKUP($C181,INPUT_DATA!$DX:$DX,INPUT_DATA!$EA:$EA)</f>
        <v>1423</v>
      </c>
      <c r="H181" s="1025">
        <f t="shared" si="9"/>
        <v>1.9448392739995626E-2</v>
      </c>
      <c r="M181" s="772"/>
    </row>
    <row r="182" spans="2:13" s="629" customFormat="1" ht="15.5">
      <c r="B182" s="767"/>
      <c r="C182" s="1332" t="s">
        <v>892</v>
      </c>
      <c r="D182" s="1015" t="s">
        <v>508</v>
      </c>
      <c r="E182" s="1011">
        <f>_xlfn.XLOOKUP($C182,INPUT_DATA!$DX:$DX,INPUT_DATA!$DZ:$DZ)</f>
        <v>2678048371.25</v>
      </c>
      <c r="F182" s="1012">
        <f t="shared" si="8"/>
        <v>0.24955233647541661</v>
      </c>
      <c r="G182" s="1013">
        <f>_xlfn.XLOOKUP($C182,INPUT_DATA!$DX:$DX,INPUT_DATA!$EA:$EA)</f>
        <v>18712</v>
      </c>
      <c r="H182" s="1025">
        <f t="shared" si="9"/>
        <v>0.25574021430133392</v>
      </c>
      <c r="M182" s="772"/>
    </row>
    <row r="183" spans="2:13" s="629" customFormat="1" ht="15.5">
      <c r="B183" s="767"/>
      <c r="C183" s="1332" t="s">
        <v>893</v>
      </c>
      <c r="D183" s="1015" t="s">
        <v>509</v>
      </c>
      <c r="E183" s="1011">
        <f>_xlfn.XLOOKUP($C183,INPUT_DATA!$DX:$DX,INPUT_DATA!$DZ:$DZ)</f>
        <v>294356038.19</v>
      </c>
      <c r="F183" s="1012">
        <f t="shared" si="8"/>
        <v>2.7429391445859031E-2</v>
      </c>
      <c r="G183" s="1013">
        <f>_xlfn.XLOOKUP($C183,INPUT_DATA!$DX:$DX,INPUT_DATA!$EA:$EA)</f>
        <v>1824</v>
      </c>
      <c r="H183" s="1025">
        <f t="shared" si="9"/>
        <v>2.4928930680078724E-2</v>
      </c>
      <c r="M183" s="772"/>
    </row>
    <row r="184" spans="2:13" s="629" customFormat="1" ht="15.5">
      <c r="B184" s="767"/>
      <c r="C184" s="1332" t="s">
        <v>894</v>
      </c>
      <c r="D184" s="1015" t="s">
        <v>510</v>
      </c>
      <c r="E184" s="1011">
        <f>_xlfn.XLOOKUP($C184,INPUT_DATA!$DX:$DX,INPUT_DATA!$DZ:$DZ)</f>
        <v>469767936.62</v>
      </c>
      <c r="F184" s="1012">
        <f t="shared" si="8"/>
        <v>4.3775044335751717E-2</v>
      </c>
      <c r="G184" s="1013">
        <f>_xlfn.XLOOKUP($C184,INPUT_DATA!$DX:$DX,INPUT_DATA!$EA:$EA)</f>
        <v>2657</v>
      </c>
      <c r="H184" s="1025">
        <f t="shared" si="9"/>
        <v>3.6313689044390994E-2</v>
      </c>
      <c r="M184" s="772"/>
    </row>
    <row r="185" spans="2:13" s="629" customFormat="1" ht="15.5">
      <c r="B185" s="767"/>
      <c r="C185" s="1332" t="s">
        <v>895</v>
      </c>
      <c r="D185" s="1015" t="s">
        <v>511</v>
      </c>
      <c r="E185" s="1011">
        <f>_xlfn.XLOOKUP($C185,INPUT_DATA!$DX:$DX,INPUT_DATA!$DZ:$DZ)</f>
        <v>205518406.56999999</v>
      </c>
      <c r="F185" s="1012">
        <f t="shared" si="8"/>
        <v>1.9151109852548788E-2</v>
      </c>
      <c r="G185" s="1013">
        <f>_xlfn.XLOOKUP($C185,INPUT_DATA!$DX:$DX,INPUT_DATA!$EA:$EA)</f>
        <v>1108</v>
      </c>
      <c r="H185" s="1025">
        <f t="shared" si="9"/>
        <v>1.514323201399519E-2</v>
      </c>
      <c r="M185" s="772"/>
    </row>
    <row r="186" spans="2:13" s="629" customFormat="1" ht="15.5">
      <c r="B186" s="767"/>
      <c r="C186" s="1332" t="s">
        <v>896</v>
      </c>
      <c r="D186" s="1015" t="s">
        <v>512</v>
      </c>
      <c r="E186" s="1011">
        <f>_xlfn.XLOOKUP($C186,INPUT_DATA!$DX:$DX,INPUT_DATA!$DZ:$DZ)</f>
        <v>156930930.62</v>
      </c>
      <c r="F186" s="1012">
        <f t="shared" si="8"/>
        <v>1.4623514952869617E-2</v>
      </c>
      <c r="G186" s="1013">
        <f>_xlfn.XLOOKUP($C186,INPUT_DATA!$DX:$DX,INPUT_DATA!$EA:$EA)</f>
        <v>779</v>
      </c>
      <c r="H186" s="1025">
        <f t="shared" si="9"/>
        <v>1.0646730811283622E-2</v>
      </c>
      <c r="M186" s="772"/>
    </row>
    <row r="187" spans="2:13" s="629" customFormat="1" ht="15.5">
      <c r="B187" s="767"/>
      <c r="C187" s="1332" t="s">
        <v>897</v>
      </c>
      <c r="D187" s="1015" t="s">
        <v>513</v>
      </c>
      <c r="E187" s="1011">
        <f>_xlfn.XLOOKUP($C187,INPUT_DATA!$DX:$DX,INPUT_DATA!$DZ:$DZ)</f>
        <v>4095110068.2800002</v>
      </c>
      <c r="F187" s="1012">
        <f t="shared" si="8"/>
        <v>0.38160038356076309</v>
      </c>
      <c r="G187" s="1013">
        <f>_xlfn.XLOOKUP($C187,INPUT_DATA!$DX:$DX,INPUT_DATA!$EA:$EA)</f>
        <v>20196</v>
      </c>
      <c r="H187" s="1025">
        <f t="shared" si="9"/>
        <v>0.27602230483271373</v>
      </c>
      <c r="M187" s="772"/>
    </row>
    <row r="188" spans="2:13" s="629" customFormat="1" ht="15.5">
      <c r="B188" s="767"/>
      <c r="C188" s="1332" t="s">
        <v>898</v>
      </c>
      <c r="D188" s="1015" t="s">
        <v>514</v>
      </c>
      <c r="E188" s="1011">
        <f>_xlfn.XLOOKUP($C188,INPUT_DATA!$DX:$DX,INPUT_DATA!$DZ:$DZ)</f>
        <v>174565652.78</v>
      </c>
      <c r="F188" s="1012">
        <f t="shared" si="8"/>
        <v>1.6266795994902741E-2</v>
      </c>
      <c r="G188" s="1013">
        <f>_xlfn.XLOOKUP($C188,INPUT_DATA!$DX:$DX,INPUT_DATA!$EA:$EA)</f>
        <v>946</v>
      </c>
      <c r="H188" s="1025">
        <f t="shared" si="9"/>
        <v>1.292914935490925E-2</v>
      </c>
      <c r="M188" s="772"/>
    </row>
    <row r="189" spans="2:13" s="629" customFormat="1" ht="15.5">
      <c r="B189" s="767"/>
      <c r="C189" s="1332" t="s">
        <v>899</v>
      </c>
      <c r="D189" s="1015" t="s">
        <v>515</v>
      </c>
      <c r="E189" s="1011">
        <f>_xlfn.XLOOKUP($C189,INPUT_DATA!$DX:$DX,INPUT_DATA!$DZ:$DZ)</f>
        <v>340662430.23000002</v>
      </c>
      <c r="F189" s="1012">
        <f t="shared" si="8"/>
        <v>3.1744424905069797E-2</v>
      </c>
      <c r="G189" s="1013">
        <f>_xlfn.XLOOKUP($C189,INPUT_DATA!$DX:$DX,INPUT_DATA!$EA:$EA)</f>
        <v>1614</v>
      </c>
      <c r="H189" s="1025">
        <f t="shared" si="9"/>
        <v>2.2058823529411766E-2</v>
      </c>
      <c r="M189" s="772"/>
    </row>
    <row r="190" spans="2:13" s="629" customFormat="1" ht="15.5">
      <c r="B190" s="767"/>
      <c r="C190" s="1332" t="s">
        <v>900</v>
      </c>
      <c r="D190" s="1015" t="s">
        <v>516</v>
      </c>
      <c r="E190" s="1011">
        <f>_xlfn.XLOOKUP($C190,INPUT_DATA!$DX:$DX,INPUT_DATA!$DZ:$DZ)</f>
        <v>28861171.449999999</v>
      </c>
      <c r="F190" s="1012">
        <f t="shared" si="8"/>
        <v>2.6894110076896498E-3</v>
      </c>
      <c r="G190" s="1013">
        <f>_xlfn.XLOOKUP($C190,INPUT_DATA!$DX:$DX,INPUT_DATA!$EA:$EA)</f>
        <v>173</v>
      </c>
      <c r="H190" s="1025">
        <f t="shared" si="9"/>
        <v>2.3644216050732561E-3</v>
      </c>
      <c r="M190" s="772"/>
    </row>
    <row r="191" spans="2:13" s="629" customFormat="1" ht="16.899999999999999" customHeight="1">
      <c r="B191" s="767"/>
      <c r="C191" s="1332" t="s">
        <v>901</v>
      </c>
      <c r="D191" s="1015" t="s">
        <v>517</v>
      </c>
      <c r="E191" s="1011">
        <f>_xlfn.XLOOKUP($C191,INPUT_DATA!$DX:$DX,INPUT_DATA!$DZ:$DZ)</f>
        <v>3168477.96</v>
      </c>
      <c r="F191" s="1012">
        <f t="shared" si="8"/>
        <v>2.9525272451288688E-4</v>
      </c>
      <c r="G191" s="1013">
        <f>_xlfn.XLOOKUP($C191,INPUT_DATA!$DX:$DX,INPUT_DATA!$EA:$EA)</f>
        <v>28</v>
      </c>
      <c r="H191" s="1025">
        <f t="shared" si="9"/>
        <v>3.8268095342226111E-4</v>
      </c>
      <c r="M191" s="772"/>
    </row>
    <row r="192" spans="2:13" s="629" customFormat="1" ht="15.5">
      <c r="B192" s="767"/>
      <c r="C192" s="1332" t="s">
        <v>902</v>
      </c>
      <c r="D192" s="1016" t="s">
        <v>518</v>
      </c>
      <c r="E192" s="1011">
        <f>_xlfn.XLOOKUP($C192,INPUT_DATA!$DX:$DX,INPUT_DATA!$DZ:$DZ)</f>
        <v>24873132.75</v>
      </c>
      <c r="F192" s="1012">
        <f t="shared" si="8"/>
        <v>2.3177880055723077E-3</v>
      </c>
      <c r="G192" s="1013">
        <f>_xlfn.XLOOKUP($C192,INPUT_DATA!$DX:$DX,INPUT_DATA!$EA:$EA)</f>
        <v>269</v>
      </c>
      <c r="H192" s="1025">
        <f t="shared" si="9"/>
        <v>3.6764705882352941E-3</v>
      </c>
      <c r="M192" s="772"/>
    </row>
    <row r="193" spans="1:13" s="629" customFormat="1" ht="15.5">
      <c r="B193" s="767"/>
      <c r="C193" s="1009"/>
      <c r="D193" s="1017" t="s">
        <v>415</v>
      </c>
      <c r="E193" s="1018">
        <f>SUM(E166:E192)</f>
        <v>10731409727.809999</v>
      </c>
      <c r="F193" s="1019">
        <f>SUM(F166:F192)</f>
        <v>1</v>
      </c>
      <c r="G193" s="1020">
        <f>SUM(G166:G192)</f>
        <v>73168</v>
      </c>
      <c r="H193" s="1019">
        <f>SUM(H166:H192)</f>
        <v>1</v>
      </c>
      <c r="M193" s="772"/>
    </row>
    <row r="194" spans="1:13" s="629" customFormat="1" ht="15.5">
      <c r="B194" s="767"/>
      <c r="C194" s="1009"/>
      <c r="D194" s="813"/>
      <c r="G194" s="988"/>
      <c r="M194" s="772"/>
    </row>
    <row r="195" spans="1:13" s="629" customFormat="1" ht="15.5">
      <c r="B195" s="767"/>
      <c r="C195" s="1009"/>
      <c r="D195" s="813"/>
      <c r="G195" s="988"/>
      <c r="M195" s="772"/>
    </row>
    <row r="196" spans="1:13" s="629" customFormat="1" ht="15.5">
      <c r="B196" s="767"/>
      <c r="C196" s="1009"/>
      <c r="D196" s="813"/>
      <c r="G196" s="988"/>
      <c r="M196" s="772"/>
    </row>
    <row r="197" spans="1:13" s="629" customFormat="1" ht="15.5">
      <c r="B197" s="767"/>
      <c r="C197" s="1009"/>
      <c r="D197" s="813"/>
      <c r="G197" s="988"/>
      <c r="M197" s="772"/>
    </row>
    <row r="198" spans="1:13" s="629" customFormat="1" ht="24.65"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104" t="s">
        <v>443</v>
      </c>
      <c r="F200" s="2106"/>
      <c r="G200" s="2104" t="s">
        <v>444</v>
      </c>
      <c r="H200" s="2106"/>
      <c r="M200" s="772"/>
    </row>
    <row r="201" spans="1:13" s="629" customFormat="1" ht="15.5">
      <c r="B201" s="767"/>
      <c r="C201" s="1332" t="s">
        <v>903</v>
      </c>
      <c r="D201" s="1010" t="s">
        <v>520</v>
      </c>
      <c r="E201" s="1011">
        <f>_xlfn.XLOOKUP($C201,INPUT_DATA!$DX:$DX,INPUT_DATA!$DZ:$DZ)</f>
        <v>8396141.9900000002</v>
      </c>
      <c r="F201" s="1012">
        <f t="shared" ref="F201:F226" si="10">E201/$E$227</f>
        <v>7.8238947192946608E-4</v>
      </c>
      <c r="G201" s="1013">
        <f>_xlfn.XLOOKUP($C201,INPUT_DATA!$DX:$DX,INPUT_DATA!$EA:$EA)</f>
        <v>1160</v>
      </c>
      <c r="H201" s="1025">
        <f t="shared" ref="H201:H226" si="11">G201/$G$227</f>
        <v>1.585392521320796E-2</v>
      </c>
      <c r="M201" s="772"/>
    </row>
    <row r="202" spans="1:13" s="629" customFormat="1" ht="15.5">
      <c r="B202" s="767"/>
      <c r="C202" s="1332" t="s">
        <v>904</v>
      </c>
      <c r="D202" s="1015" t="s">
        <v>521</v>
      </c>
      <c r="E202" s="1011">
        <f>_xlfn.XLOOKUP($C202,INPUT_DATA!$DX:$DX,INPUT_DATA!$DZ:$DZ)</f>
        <v>25482170.379999999</v>
      </c>
      <c r="F202" s="1012">
        <f t="shared" si="10"/>
        <v>2.3745408130270173E-3</v>
      </c>
      <c r="G202" s="1013">
        <f>_xlfn.XLOOKUP($C202,INPUT_DATA!$DX:$DX,INPUT_DATA!$EA:$EA)</f>
        <v>1436</v>
      </c>
      <c r="H202" s="1025">
        <f t="shared" si="11"/>
        <v>1.9626066039798818E-2</v>
      </c>
      <c r="M202" s="772"/>
    </row>
    <row r="203" spans="1:13" s="629" customFormat="1" ht="15.5">
      <c r="B203" s="767"/>
      <c r="C203" s="1332" t="s">
        <v>905</v>
      </c>
      <c r="D203" s="1015" t="s">
        <v>522</v>
      </c>
      <c r="E203" s="1011">
        <f>_xlfn.XLOOKUP($C203,INPUT_DATA!$DX:$DX,INPUT_DATA!$DZ:$DZ)</f>
        <v>53132184.100000001</v>
      </c>
      <c r="F203" s="1012">
        <f t="shared" si="10"/>
        <v>4.9510908117048379E-3</v>
      </c>
      <c r="G203" s="1013">
        <f>_xlfn.XLOOKUP($C203,INPUT_DATA!$DX:$DX,INPUT_DATA!$EA:$EA)</f>
        <v>1729</v>
      </c>
      <c r="H203" s="1025">
        <f t="shared" si="11"/>
        <v>2.3630548873824622E-2</v>
      </c>
      <c r="M203" s="772"/>
    </row>
    <row r="204" spans="1:13" s="629" customFormat="1" ht="15.5">
      <c r="B204" s="767"/>
      <c r="C204" s="1332" t="s">
        <v>906</v>
      </c>
      <c r="D204" s="1015" t="s">
        <v>523</v>
      </c>
      <c r="E204" s="1011">
        <f>_xlfn.XLOOKUP($C204,INPUT_DATA!$DX:$DX,INPUT_DATA!$DZ:$DZ)</f>
        <v>81880695.489999995</v>
      </c>
      <c r="F204" s="1012">
        <f t="shared" si="10"/>
        <v>7.6300036590541869E-3</v>
      </c>
      <c r="G204" s="1013">
        <f>_xlfn.XLOOKUP($C204,INPUT_DATA!$DX:$DX,INPUT_DATA!$EA:$EA)</f>
        <v>2024</v>
      </c>
      <c r="H204" s="1025">
        <f t="shared" si="11"/>
        <v>2.7662366061666301E-2</v>
      </c>
      <c r="M204" s="772"/>
    </row>
    <row r="205" spans="1:13" s="629" customFormat="1" ht="15.5">
      <c r="B205" s="767"/>
      <c r="C205" s="1332" t="s">
        <v>907</v>
      </c>
      <c r="D205" s="1015" t="s">
        <v>524</v>
      </c>
      <c r="E205" s="1011">
        <f>_xlfn.XLOOKUP($C205,INPUT_DATA!$DX:$DX,INPUT_DATA!$DZ:$DZ)</f>
        <v>126408655.17</v>
      </c>
      <c r="F205" s="1012">
        <f t="shared" si="10"/>
        <v>1.1779314961986519E-2</v>
      </c>
      <c r="G205" s="1013">
        <f>_xlfn.XLOOKUP($C205,INPUT_DATA!$DX:$DX,INPUT_DATA!$EA:$EA)</f>
        <v>2433</v>
      </c>
      <c r="H205" s="1025">
        <f t="shared" si="11"/>
        <v>3.3252241417012905E-2</v>
      </c>
      <c r="M205" s="772"/>
    </row>
    <row r="206" spans="1:13" s="629" customFormat="1" ht="15.5">
      <c r="B206" s="767"/>
      <c r="C206" s="1332" t="s">
        <v>908</v>
      </c>
      <c r="D206" s="1015" t="s">
        <v>493</v>
      </c>
      <c r="E206" s="1011">
        <f>_xlfn.XLOOKUP($C206,INPUT_DATA!$DX:$DX,INPUT_DATA!$DZ:$DZ)</f>
        <v>174701764.63</v>
      </c>
      <c r="F206" s="1012">
        <f t="shared" si="10"/>
        <v>1.6279479496274164E-2</v>
      </c>
      <c r="G206" s="1013">
        <f>_xlfn.XLOOKUP($C206,INPUT_DATA!$DX:$DX,INPUT_DATA!$EA:$EA)</f>
        <v>2848</v>
      </c>
      <c r="H206" s="1025">
        <f t="shared" si="11"/>
        <v>3.8924119833807128E-2</v>
      </c>
      <c r="M206" s="772"/>
    </row>
    <row r="207" spans="1:13" s="629" customFormat="1" ht="15.5">
      <c r="B207" s="767"/>
      <c r="C207" s="1332" t="s">
        <v>909</v>
      </c>
      <c r="D207" s="1015" t="s">
        <v>494</v>
      </c>
      <c r="E207" s="1011">
        <f>_xlfn.XLOOKUP($C207,INPUT_DATA!$DX:$DX,INPUT_DATA!$DZ:$DZ)</f>
        <v>197064729.69999999</v>
      </c>
      <c r="F207" s="1012">
        <f t="shared" si="10"/>
        <v>1.836335902722221E-2</v>
      </c>
      <c r="G207" s="1013">
        <f>_xlfn.XLOOKUP($C207,INPUT_DATA!$DX:$DX,INPUT_DATA!$EA:$EA)</f>
        <v>2761</v>
      </c>
      <c r="H207" s="1025">
        <f t="shared" si="11"/>
        <v>3.7735075442816533E-2</v>
      </c>
      <c r="M207" s="772"/>
    </row>
    <row r="208" spans="1:13" s="629" customFormat="1" ht="15.5">
      <c r="B208" s="767"/>
      <c r="C208" s="1332" t="s">
        <v>910</v>
      </c>
      <c r="D208" s="1015" t="s">
        <v>495</v>
      </c>
      <c r="E208" s="1011">
        <f>_xlfn.XLOOKUP($C208,INPUT_DATA!$DX:$DX,INPUT_DATA!$DZ:$DZ)</f>
        <v>257875734.74000001</v>
      </c>
      <c r="F208" s="1012">
        <f t="shared" si="10"/>
        <v>2.402999617764345E-2</v>
      </c>
      <c r="G208" s="1013">
        <f>_xlfn.XLOOKUP($C208,INPUT_DATA!$DX:$DX,INPUT_DATA!$EA:$EA)</f>
        <v>3048</v>
      </c>
      <c r="H208" s="1025">
        <f t="shared" si="11"/>
        <v>4.1657555215394708E-2</v>
      </c>
      <c r="M208" s="772"/>
    </row>
    <row r="209" spans="2:13" s="629" customFormat="1" ht="15.5">
      <c r="B209" s="767"/>
      <c r="C209" s="1332" t="s">
        <v>911</v>
      </c>
      <c r="D209" s="1015" t="s">
        <v>496</v>
      </c>
      <c r="E209" s="1011">
        <f>_xlfn.XLOOKUP($C209,INPUT_DATA!$DX:$DX,INPUT_DATA!$DZ:$DZ)</f>
        <v>338026066.61000001</v>
      </c>
      <c r="F209" s="1012">
        <f t="shared" si="10"/>
        <v>3.1498756937219499E-2</v>
      </c>
      <c r="G209" s="1013">
        <f>_xlfn.XLOOKUP($C209,INPUT_DATA!$DX:$DX,INPUT_DATA!$EA:$EA)</f>
        <v>3490</v>
      </c>
      <c r="H209" s="1025">
        <f t="shared" si="11"/>
        <v>4.7698447408703257E-2</v>
      </c>
      <c r="M209" s="772"/>
    </row>
    <row r="210" spans="2:13" s="629" customFormat="1" ht="15.5">
      <c r="B210" s="767"/>
      <c r="C210" s="1332" t="s">
        <v>912</v>
      </c>
      <c r="D210" s="1015" t="s">
        <v>497</v>
      </c>
      <c r="E210" s="1011">
        <f>_xlfn.XLOOKUP($C210,INPUT_DATA!$DX:$DX,INPUT_DATA!$DZ:$DZ)</f>
        <v>349442725.17000002</v>
      </c>
      <c r="F210" s="1012">
        <f t="shared" si="10"/>
        <v>3.2562611439989453E-2</v>
      </c>
      <c r="G210" s="1013">
        <f>_xlfn.XLOOKUP($C210,INPUT_DATA!$DX:$DX,INPUT_DATA!$EA:$EA)</f>
        <v>3353</v>
      </c>
      <c r="H210" s="1025">
        <f t="shared" si="11"/>
        <v>4.5826044172315769E-2</v>
      </c>
      <c r="M210" s="772"/>
    </row>
    <row r="211" spans="2:13" s="629" customFormat="1" ht="15.5">
      <c r="B211" s="767"/>
      <c r="C211" s="1332" t="s">
        <v>913</v>
      </c>
      <c r="D211" s="1015" t="s">
        <v>498</v>
      </c>
      <c r="E211" s="1011">
        <f>_xlfn.XLOOKUP($C211,INPUT_DATA!$DX:$DX,INPUT_DATA!$DZ:$DZ)</f>
        <v>427920351.11000001</v>
      </c>
      <c r="F211" s="1012">
        <f t="shared" si="10"/>
        <v>3.9875502097460908E-2</v>
      </c>
      <c r="G211" s="1013">
        <f>_xlfn.XLOOKUP($C211,INPUT_DATA!$DX:$DX,INPUT_DATA!$EA:$EA)</f>
        <v>3653</v>
      </c>
      <c r="H211" s="1025">
        <f t="shared" si="11"/>
        <v>4.9926197244697136E-2</v>
      </c>
      <c r="M211" s="772"/>
    </row>
    <row r="212" spans="2:13" s="629" customFormat="1" ht="15.5">
      <c r="B212" s="767"/>
      <c r="C212" s="1332" t="s">
        <v>914</v>
      </c>
      <c r="D212" s="1015" t="s">
        <v>499</v>
      </c>
      <c r="E212" s="1011">
        <f>_xlfn.XLOOKUP($C212,INPUT_DATA!$DX:$DX,INPUT_DATA!$DZ:$DZ)</f>
        <v>456523741.05000001</v>
      </c>
      <c r="F212" s="1012">
        <f t="shared" si="10"/>
        <v>4.2540891889248977E-2</v>
      </c>
      <c r="G212" s="1013">
        <f>_xlfn.XLOOKUP($C212,INPUT_DATA!$DX:$DX,INPUT_DATA!$EA:$EA)</f>
        <v>3514</v>
      </c>
      <c r="H212" s="1025">
        <f t="shared" si="11"/>
        <v>4.8026459654493765E-2</v>
      </c>
      <c r="M212" s="772"/>
    </row>
    <row r="213" spans="2:13" s="629" customFormat="1" ht="15.5">
      <c r="B213" s="767"/>
      <c r="C213" s="1332" t="s">
        <v>1199</v>
      </c>
      <c r="D213" s="1015" t="s">
        <v>500</v>
      </c>
      <c r="E213" s="1011">
        <f>_xlfn.XLOOKUP($C213,INPUT_DATA!$DX:$DX,INPUT_DATA!$DZ:$DZ)</f>
        <v>477434943.43000001</v>
      </c>
      <c r="F213" s="1012">
        <f t="shared" si="10"/>
        <v>4.4489489781826833E-2</v>
      </c>
      <c r="G213" s="1013">
        <f>_xlfn.XLOOKUP($C213,INPUT_DATA!$DX:$DX,INPUT_DATA!$EA:$EA)</f>
        <v>3422</v>
      </c>
      <c r="H213" s="1025">
        <f t="shared" si="11"/>
        <v>4.6769079378963484E-2</v>
      </c>
      <c r="M213" s="772"/>
    </row>
    <row r="214" spans="2:13" s="629" customFormat="1" ht="15.5">
      <c r="B214" s="767"/>
      <c r="C214" s="1332" t="s">
        <v>1200</v>
      </c>
      <c r="D214" s="1015" t="s">
        <v>501</v>
      </c>
      <c r="E214" s="1011">
        <f>_xlfn.XLOOKUP($C214,INPUT_DATA!$DX:$DX,INPUT_DATA!$DZ:$DZ)</f>
        <v>637916554.10000002</v>
      </c>
      <c r="F214" s="1012">
        <f t="shared" si="10"/>
        <v>5.9443872732476699E-2</v>
      </c>
      <c r="G214" s="1013">
        <f>_xlfn.XLOOKUP($C214,INPUT_DATA!$DX:$DX,INPUT_DATA!$EA:$EA)</f>
        <v>4062</v>
      </c>
      <c r="H214" s="1025">
        <f t="shared" si="11"/>
        <v>5.5516072600043737E-2</v>
      </c>
      <c r="M214" s="772"/>
    </row>
    <row r="215" spans="2:13" s="629" customFormat="1" ht="15.5">
      <c r="B215" s="767"/>
      <c r="C215" s="1332" t="s">
        <v>1201</v>
      </c>
      <c r="D215" s="1015" t="s">
        <v>502</v>
      </c>
      <c r="E215" s="1011">
        <f>_xlfn.XLOOKUP($C215,INPUT_DATA!$DX:$DX,INPUT_DATA!$DZ:$DZ)</f>
        <v>537210838.07000005</v>
      </c>
      <c r="F215" s="1012">
        <f t="shared" si="10"/>
        <v>5.0059670788437108E-2</v>
      </c>
      <c r="G215" s="1013">
        <f>_xlfn.XLOOKUP($C215,INPUT_DATA!$DX:$DX,INPUT_DATA!$EA:$EA)</f>
        <v>3321</v>
      </c>
      <c r="H215" s="1025">
        <f t="shared" si="11"/>
        <v>4.5388694511261755E-2</v>
      </c>
      <c r="M215" s="772"/>
    </row>
    <row r="216" spans="2:13" s="629" customFormat="1" ht="15.5">
      <c r="B216" s="767"/>
      <c r="C216" s="1332" t="s">
        <v>1202</v>
      </c>
      <c r="D216" s="1015" t="s">
        <v>503</v>
      </c>
      <c r="E216" s="1011">
        <f>_xlfn.XLOOKUP($C216,INPUT_DATA!$DX:$DX,INPUT_DATA!$DZ:$DZ)</f>
        <v>715067811.22000003</v>
      </c>
      <c r="F216" s="1012">
        <f t="shared" si="10"/>
        <v>6.6633166504390537E-2</v>
      </c>
      <c r="G216" s="1013">
        <f>_xlfn.XLOOKUP($C216,INPUT_DATA!$DX:$DX,INPUT_DATA!$EA:$EA)</f>
        <v>4050</v>
      </c>
      <c r="H216" s="1025">
        <f t="shared" si="11"/>
        <v>5.5352066477148479E-2</v>
      </c>
      <c r="M216" s="772"/>
    </row>
    <row r="217" spans="2:13" s="629" customFormat="1" ht="15.5">
      <c r="B217" s="767"/>
      <c r="C217" s="1332" t="s">
        <v>1203</v>
      </c>
      <c r="D217" s="1015" t="s">
        <v>504</v>
      </c>
      <c r="E217" s="1011">
        <f>_xlfn.XLOOKUP($C217,INPUT_DATA!$DX:$DX,INPUT_DATA!$DZ:$DZ)</f>
        <v>666901838.95000005</v>
      </c>
      <c r="F217" s="1012">
        <f t="shared" si="10"/>
        <v>6.2144849173147478E-2</v>
      </c>
      <c r="G217" s="1013">
        <f>_xlfn.XLOOKUP($C217,INPUT_DATA!$DX:$DX,INPUT_DATA!$EA:$EA)</f>
        <v>3666</v>
      </c>
      <c r="H217" s="1025">
        <f t="shared" si="11"/>
        <v>5.0103870544500329E-2</v>
      </c>
      <c r="M217" s="772"/>
    </row>
    <row r="218" spans="2:13" s="629" customFormat="1" ht="15.5">
      <c r="B218" s="767"/>
      <c r="C218" s="1332" t="s">
        <v>1204</v>
      </c>
      <c r="D218" s="1015" t="s">
        <v>505</v>
      </c>
      <c r="E218" s="1011">
        <f>_xlfn.XLOOKUP($C218,INPUT_DATA!$DX:$DX,INPUT_DATA!$DZ:$DZ)</f>
        <v>570312659.12</v>
      </c>
      <c r="F218" s="1012">
        <f t="shared" si="10"/>
        <v>5.3144244193943931E-2</v>
      </c>
      <c r="G218" s="1013">
        <f>_xlfn.XLOOKUP($C218,INPUT_DATA!$DX:$DX,INPUT_DATA!$EA:$EA)</f>
        <v>3146</v>
      </c>
      <c r="H218" s="1025">
        <f t="shared" si="11"/>
        <v>4.2996938552372625E-2</v>
      </c>
      <c r="M218" s="772"/>
    </row>
    <row r="219" spans="2:13" s="629" customFormat="1" ht="15.5">
      <c r="B219" s="767"/>
      <c r="C219" s="1332" t="s">
        <v>1205</v>
      </c>
      <c r="D219" s="1015" t="s">
        <v>506</v>
      </c>
      <c r="E219" s="1011">
        <f>_xlfn.XLOOKUP($C219,INPUT_DATA!$DX:$DX,INPUT_DATA!$DZ:$DZ)</f>
        <v>802965926.05999994</v>
      </c>
      <c r="F219" s="1012">
        <f t="shared" si="10"/>
        <v>7.4823899788221418E-2</v>
      </c>
      <c r="G219" s="1013">
        <f>_xlfn.XLOOKUP($C219,INPUT_DATA!$DX:$DX,INPUT_DATA!$EA:$EA)</f>
        <v>4063</v>
      </c>
      <c r="H219" s="1025">
        <f t="shared" si="11"/>
        <v>5.5529739776951671E-2</v>
      </c>
      <c r="M219" s="772"/>
    </row>
    <row r="220" spans="2:13" s="629" customFormat="1" ht="15.5">
      <c r="B220" s="767"/>
      <c r="C220" s="1332" t="s">
        <v>1206</v>
      </c>
      <c r="D220" s="1015" t="s">
        <v>507</v>
      </c>
      <c r="E220" s="1011">
        <f>_xlfn.XLOOKUP($C220,INPUT_DATA!$DX:$DX,INPUT_DATA!$DZ:$DZ)</f>
        <v>497259537.45999998</v>
      </c>
      <c r="F220" s="1012">
        <f t="shared" si="10"/>
        <v>4.6336832724909634E-2</v>
      </c>
      <c r="G220" s="1013">
        <f>_xlfn.XLOOKUP($C220,INPUT_DATA!$DX:$DX,INPUT_DATA!$EA:$EA)</f>
        <v>2362</v>
      </c>
      <c r="H220" s="1025">
        <f t="shared" si="11"/>
        <v>3.2281871856549314E-2</v>
      </c>
      <c r="M220" s="772"/>
    </row>
    <row r="221" spans="2:13" s="629" customFormat="1" ht="15.5">
      <c r="B221" s="767"/>
      <c r="C221" s="1332" t="s">
        <v>1207</v>
      </c>
      <c r="D221" s="1015" t="s">
        <v>508</v>
      </c>
      <c r="E221" s="1011">
        <f>_xlfn.XLOOKUP($C221,INPUT_DATA!$DX:$DX,INPUT_DATA!$DZ:$DZ)</f>
        <v>984853940.75999999</v>
      </c>
      <c r="F221" s="1012">
        <f t="shared" si="10"/>
        <v>9.1773025701161345E-2</v>
      </c>
      <c r="G221" s="1013">
        <f>_xlfn.XLOOKUP($C221,INPUT_DATA!$DX:$DX,INPUT_DATA!$EA:$EA)</f>
        <v>3954</v>
      </c>
      <c r="H221" s="1025">
        <f t="shared" si="11"/>
        <v>5.4040017493986445E-2</v>
      </c>
      <c r="M221" s="772"/>
    </row>
    <row r="222" spans="2:13" s="629" customFormat="1" ht="15.5">
      <c r="B222" s="767"/>
      <c r="C222" s="1332" t="s">
        <v>1208</v>
      </c>
      <c r="D222" s="1015" t="s">
        <v>509</v>
      </c>
      <c r="E222" s="1011">
        <f>_xlfn.XLOOKUP($C222,INPUT_DATA!$DX:$DX,INPUT_DATA!$DZ:$DZ)</f>
        <v>862130474.17999995</v>
      </c>
      <c r="F222" s="1012">
        <f t="shared" si="10"/>
        <v>8.0337112834842642E-2</v>
      </c>
      <c r="G222" s="1013">
        <f>_xlfn.XLOOKUP($C222,INPUT_DATA!$DX:$DX,INPUT_DATA!$EA:$EA)</f>
        <v>3496</v>
      </c>
      <c r="H222" s="1025">
        <f t="shared" si="11"/>
        <v>4.7780450470150886E-2</v>
      </c>
      <c r="M222" s="772"/>
    </row>
    <row r="223" spans="2:13" s="629" customFormat="1" ht="15.5">
      <c r="B223" s="767"/>
      <c r="C223" s="1332" t="s">
        <v>1209</v>
      </c>
      <c r="D223" s="1015" t="s">
        <v>510</v>
      </c>
      <c r="E223" s="1011">
        <f>_xlfn.XLOOKUP($C223,INPUT_DATA!$DX:$DX,INPUT_DATA!$DZ:$DZ)</f>
        <v>499519307.30000001</v>
      </c>
      <c r="F223" s="1012">
        <f t="shared" si="10"/>
        <v>4.6547408026507142E-2</v>
      </c>
      <c r="G223" s="1013">
        <f>_xlfn.XLOOKUP($C223,INPUT_DATA!$DX:$DX,INPUT_DATA!$EA:$EA)</f>
        <v>2213</v>
      </c>
      <c r="H223" s="1025">
        <f t="shared" si="11"/>
        <v>3.0245462497266565E-2</v>
      </c>
      <c r="M223" s="772"/>
    </row>
    <row r="224" spans="2:13" s="629" customFormat="1" ht="15.5">
      <c r="B224" s="767"/>
      <c r="C224" s="1332" t="s">
        <v>1210</v>
      </c>
      <c r="D224" s="1015" t="s">
        <v>511</v>
      </c>
      <c r="E224" s="1011">
        <f>_xlfn.XLOOKUP($C224,INPUT_DATA!$DX:$DX,INPUT_DATA!$DZ:$DZ)</f>
        <v>724500075.54999995</v>
      </c>
      <c r="F224" s="1012">
        <f t="shared" si="10"/>
        <v>6.7512106417154896E-2</v>
      </c>
      <c r="G224" s="1013">
        <f>_xlfn.XLOOKUP($C224,INPUT_DATA!$DX:$DX,INPUT_DATA!$EA:$EA)</f>
        <v>2987</v>
      </c>
      <c r="H224" s="1025">
        <f t="shared" si="11"/>
        <v>4.0823857424010498E-2</v>
      </c>
      <c r="M224" s="772"/>
    </row>
    <row r="225" spans="1:13" s="629" customFormat="1" ht="15.5">
      <c r="B225" s="767"/>
      <c r="C225" s="1332" t="s">
        <v>1211</v>
      </c>
      <c r="D225" s="1015" t="s">
        <v>512</v>
      </c>
      <c r="E225" s="1011">
        <f>_xlfn.XLOOKUP($C225,INPUT_DATA!$DX:$DX,INPUT_DATA!$DZ:$DZ)</f>
        <v>258015904.28</v>
      </c>
      <c r="F225" s="1012">
        <f t="shared" si="10"/>
        <v>2.4043057792431741E-2</v>
      </c>
      <c r="G225" s="1013">
        <f>_xlfn.XLOOKUP($C225,INPUT_DATA!$DX:$DX,INPUT_DATA!$EA:$EA)</f>
        <v>975</v>
      </c>
      <c r="H225" s="1025">
        <f t="shared" si="11"/>
        <v>1.332549748523945E-2</v>
      </c>
      <c r="M225" s="772"/>
    </row>
    <row r="226" spans="1:13" s="629" customFormat="1" ht="15.5">
      <c r="B226" s="767"/>
      <c r="C226" s="1332" t="s">
        <v>1212</v>
      </c>
      <c r="D226" s="1015" t="s">
        <v>1213</v>
      </c>
      <c r="E226" s="1011">
        <f>_xlfn.XLOOKUP($C226,INPUT_DATA!$DX:$DX,INPUT_DATA!$DZ:$DZ)</f>
        <v>464957.19</v>
      </c>
      <c r="F226" s="1012">
        <f t="shared" si="10"/>
        <v>4.3326757787943077E-5</v>
      </c>
      <c r="G226" s="1013">
        <f>_xlfn.XLOOKUP($C226,INPUT_DATA!$DX:$DX,INPUT_DATA!$EA:$EA)</f>
        <v>2</v>
      </c>
      <c r="H226" s="1025">
        <f t="shared" si="11"/>
        <v>2.7334353815875794E-5</v>
      </c>
      <c r="M226" s="772"/>
    </row>
    <row r="227" spans="1:13" s="629" customFormat="1" ht="15.5">
      <c r="B227" s="767"/>
      <c r="C227" s="1009"/>
      <c r="D227" s="1017" t="s">
        <v>415</v>
      </c>
      <c r="E227" s="1018">
        <f>SUM(E201:E226)</f>
        <v>10731409727.809999</v>
      </c>
      <c r="F227" s="1019">
        <f>SUM(F201:F226)</f>
        <v>1</v>
      </c>
      <c r="G227" s="1020">
        <f>SUM(G201:G226)</f>
        <v>73168</v>
      </c>
      <c r="H227" s="1019">
        <f>SUM(H201:H226)</f>
        <v>1</v>
      </c>
      <c r="M227" s="772"/>
    </row>
    <row r="228" spans="1:13" s="629" customFormat="1" ht="15.5">
      <c r="B228" s="767"/>
      <c r="C228" s="1009"/>
      <c r="D228" s="813"/>
      <c r="G228" s="988"/>
      <c r="M228" s="772"/>
    </row>
    <row r="229" spans="1:13" s="629" customFormat="1" ht="15.5">
      <c r="B229" s="767"/>
      <c r="C229" s="1009"/>
      <c r="D229" s="813"/>
      <c r="G229" s="988"/>
      <c r="M229" s="772"/>
    </row>
    <row r="230" spans="1:13" s="629" customFormat="1" ht="15.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104" t="s">
        <v>443</v>
      </c>
      <c r="F233" s="2106"/>
      <c r="G233" s="2104" t="s">
        <v>444</v>
      </c>
      <c r="H233" s="2106"/>
      <c r="M233" s="772"/>
    </row>
    <row r="234" spans="1:13" s="629" customFormat="1" ht="15.5">
      <c r="B234" s="767"/>
      <c r="C234" s="1332" t="s">
        <v>915</v>
      </c>
      <c r="D234" s="1027">
        <v>2010</v>
      </c>
      <c r="E234" s="1011">
        <f>_xlfn.XLOOKUP($C234,INPUT_DATA!$DX:$DX,INPUT_DATA!$DZ:$DZ)</f>
        <v>80068505.079999998</v>
      </c>
      <c r="F234" s="1012">
        <f>E234/$E$250</f>
        <v>7.4611357790678517E-3</v>
      </c>
      <c r="G234" s="1013">
        <f>_xlfn.XLOOKUP($C234,INPUT_DATA!$DX:$DX,INPUT_DATA!$EA:$EA)</f>
        <v>1586</v>
      </c>
      <c r="H234" s="1025">
        <f>G234/$G$250</f>
        <v>2.1676142575989505E-2</v>
      </c>
      <c r="M234" s="772"/>
    </row>
    <row r="235" spans="1:13" s="629" customFormat="1" ht="15.5">
      <c r="B235" s="767"/>
      <c r="C235" s="1332" t="s">
        <v>916</v>
      </c>
      <c r="D235" s="1028">
        <v>2011</v>
      </c>
      <c r="E235" s="1011">
        <f>_xlfn.XLOOKUP($C235,INPUT_DATA!$DX:$DX,INPUT_DATA!$DZ:$DZ)</f>
        <v>71307707.200000003</v>
      </c>
      <c r="F235" s="1012">
        <f t="shared" ref="F235:F245" si="12">E235/$E$250</f>
        <v>6.6447660660284968E-3</v>
      </c>
      <c r="G235" s="1013">
        <f>_xlfn.XLOOKUP($C235,INPUT_DATA!$DX:$DX,INPUT_DATA!$EA:$EA)</f>
        <v>1403</v>
      </c>
      <c r="H235" s="1025">
        <f t="shared" ref="H235:H245" si="13">G235/$G$250</f>
        <v>1.917504920183687E-2</v>
      </c>
      <c r="M235" s="772"/>
    </row>
    <row r="236" spans="1:13" s="629" customFormat="1" ht="15.5">
      <c r="B236" s="767"/>
      <c r="C236" s="1332" t="s">
        <v>1214</v>
      </c>
      <c r="D236" s="1028">
        <v>2012</v>
      </c>
      <c r="E236" s="1011">
        <f>_xlfn.XLOOKUP($C236,INPUT_DATA!$DX:$DX,INPUT_DATA!$DZ:$DZ)</f>
        <v>83637470.390000001</v>
      </c>
      <c r="F236" s="1012">
        <f t="shared" si="12"/>
        <v>7.7937076778698492E-3</v>
      </c>
      <c r="G236" s="1013">
        <f>_xlfn.XLOOKUP($C236,INPUT_DATA!$DX:$DX,INPUT_DATA!$EA:$EA)</f>
        <v>1698</v>
      </c>
      <c r="H236" s="1025">
        <f t="shared" si="13"/>
        <v>2.3206866389678549E-2</v>
      </c>
      <c r="M236" s="772"/>
    </row>
    <row r="237" spans="1:13" s="629" customFormat="1" ht="15.5">
      <c r="B237" s="767"/>
      <c r="C237" s="1332" t="s">
        <v>1215</v>
      </c>
      <c r="D237" s="1028">
        <v>2013</v>
      </c>
      <c r="E237" s="1011">
        <f>_xlfn.XLOOKUP($C237,INPUT_DATA!$DX:$DX,INPUT_DATA!$DZ:$DZ)</f>
        <v>87205823.890000001</v>
      </c>
      <c r="F237" s="1012">
        <f t="shared" si="12"/>
        <v>8.1262225655227508E-3</v>
      </c>
      <c r="G237" s="1013">
        <f>_xlfn.XLOOKUP($C237,INPUT_DATA!$DX:$DX,INPUT_DATA!$EA:$EA)</f>
        <v>1547</v>
      </c>
      <c r="H237" s="1025">
        <f t="shared" si="13"/>
        <v>2.1143122676579924E-2</v>
      </c>
      <c r="M237" s="772"/>
    </row>
    <row r="238" spans="1:13" s="629" customFormat="1" ht="15.5">
      <c r="B238" s="767"/>
      <c r="C238" s="1332" t="s">
        <v>1216</v>
      </c>
      <c r="D238" s="1028">
        <v>2014</v>
      </c>
      <c r="E238" s="1011">
        <f>_xlfn.XLOOKUP($C238,INPUT_DATA!$DX:$DX,INPUT_DATA!$DZ:$DZ)</f>
        <v>122848729.34</v>
      </c>
      <c r="F238" s="1012">
        <f t="shared" si="12"/>
        <v>1.1447585401724308E-2</v>
      </c>
      <c r="G238" s="1013">
        <f>_xlfn.XLOOKUP($C238,INPUT_DATA!$DX:$DX,INPUT_DATA!$EA:$EA)</f>
        <v>1999</v>
      </c>
      <c r="H238" s="1025">
        <f t="shared" si="13"/>
        <v>2.7320686638967855E-2</v>
      </c>
      <c r="M238" s="772"/>
    </row>
    <row r="239" spans="1:13" s="629" customFormat="1" ht="15.5">
      <c r="B239" s="767"/>
      <c r="C239" s="1332" t="s">
        <v>1217</v>
      </c>
      <c r="D239" s="1028">
        <v>2015</v>
      </c>
      <c r="E239" s="1011">
        <f>_xlfn.XLOOKUP($C239,INPUT_DATA!$DX:$DX,INPUT_DATA!$DZ:$DZ)</f>
        <v>293429203.69</v>
      </c>
      <c r="F239" s="1012">
        <f t="shared" si="12"/>
        <v>2.7343024927059718E-2</v>
      </c>
      <c r="G239" s="1013">
        <f>_xlfn.XLOOKUP($C239,INPUT_DATA!$DX:$DX,INPUT_DATA!$EA:$EA)</f>
        <v>3868</v>
      </c>
      <c r="H239" s="1025">
        <f t="shared" si="13"/>
        <v>5.2864640279903785E-2</v>
      </c>
      <c r="M239" s="772"/>
    </row>
    <row r="240" spans="1:13" s="629" customFormat="1" ht="15.5">
      <c r="B240" s="767"/>
      <c r="C240" s="1332" t="s">
        <v>1218</v>
      </c>
      <c r="D240" s="1028">
        <v>2016</v>
      </c>
      <c r="E240" s="1011">
        <f>_xlfn.XLOOKUP($C240,INPUT_DATA!$DX:$DX,INPUT_DATA!$DZ:$DZ)</f>
        <v>320275340.54000002</v>
      </c>
      <c r="F240" s="1012">
        <f t="shared" si="12"/>
        <v>2.984466614018285E-2</v>
      </c>
      <c r="G240" s="1013">
        <f>_xlfn.XLOOKUP($C240,INPUT_DATA!$DX:$DX,INPUT_DATA!$EA:$EA)</f>
        <v>3930</v>
      </c>
      <c r="H240" s="1025">
        <f t="shared" si="13"/>
        <v>5.3712005248195929E-2</v>
      </c>
      <c r="M240" s="772"/>
    </row>
    <row r="241" spans="1:13" s="629" customFormat="1" ht="15.5">
      <c r="B241" s="767"/>
      <c r="C241" s="1332" t="s">
        <v>1219</v>
      </c>
      <c r="D241" s="1028">
        <v>2017</v>
      </c>
      <c r="E241" s="1011">
        <f>_xlfn.XLOOKUP($C241,INPUT_DATA!$DX:$DX,INPUT_DATA!$DZ:$DZ)</f>
        <v>536459598.02999997</v>
      </c>
      <c r="F241" s="1012">
        <f t="shared" si="12"/>
        <v>4.9989666934418434E-2</v>
      </c>
      <c r="G241" s="1013">
        <f>_xlfn.XLOOKUP($C241,INPUT_DATA!$DX:$DX,INPUT_DATA!$EA:$EA)</f>
        <v>5472</v>
      </c>
      <c r="H241" s="1025">
        <f t="shared" si="13"/>
        <v>7.4786792040236166E-2</v>
      </c>
      <c r="M241" s="772"/>
    </row>
    <row r="242" spans="1:13" s="629" customFormat="1" ht="15.5">
      <c r="B242" s="767"/>
      <c r="C242" s="1332" t="s">
        <v>1220</v>
      </c>
      <c r="D242" s="1028">
        <v>2018</v>
      </c>
      <c r="E242" s="1011">
        <f>_xlfn.XLOOKUP($C242,INPUT_DATA!$DX:$DX,INPUT_DATA!$DZ:$DZ)</f>
        <v>629429824.91999996</v>
      </c>
      <c r="F242" s="1012">
        <f t="shared" si="12"/>
        <v>5.8653041947402194E-2</v>
      </c>
      <c r="G242" s="1013">
        <f>_xlfn.XLOOKUP($C242,INPUT_DATA!$DX:$DX,INPUT_DATA!$EA:$EA)</f>
        <v>5426</v>
      </c>
      <c r="H242" s="1025">
        <f t="shared" si="13"/>
        <v>7.4158101902471033E-2</v>
      </c>
      <c r="M242" s="772"/>
    </row>
    <row r="243" spans="1:13" s="629" customFormat="1" ht="15.5">
      <c r="B243" s="767"/>
      <c r="C243" s="1332" t="s">
        <v>1221</v>
      </c>
      <c r="D243" s="1028">
        <v>2019</v>
      </c>
      <c r="E243" s="1011">
        <f>_xlfn.XLOOKUP($C243,INPUT_DATA!$DX:$DX,INPUT_DATA!$DZ:$DZ)</f>
        <v>1109190302.4300001</v>
      </c>
      <c r="F243" s="1012">
        <f t="shared" si="12"/>
        <v>0.10335923523221555</v>
      </c>
      <c r="G243" s="1013">
        <f>_xlfn.XLOOKUP($C243,INPUT_DATA!$DX:$DX,INPUT_DATA!$EA:$EA)</f>
        <v>7884</v>
      </c>
      <c r="H243" s="1025">
        <f t="shared" si="13"/>
        <v>0.10775202274218237</v>
      </c>
      <c r="M243" s="772"/>
    </row>
    <row r="244" spans="1:13" s="629" customFormat="1" ht="15.5">
      <c r="B244" s="767"/>
      <c r="C244" s="1332" t="s">
        <v>1222</v>
      </c>
      <c r="D244" s="1028">
        <v>2020</v>
      </c>
      <c r="E244" s="1011">
        <f>_xlfn.XLOOKUP($C244,INPUT_DATA!$DX:$DX,INPUT_DATA!$DZ:$DZ)</f>
        <v>1060800913.89</v>
      </c>
      <c r="F244" s="1012">
        <f t="shared" si="12"/>
        <v>9.8850098989415963E-2</v>
      </c>
      <c r="G244" s="1013">
        <f>_xlfn.XLOOKUP($C244,INPUT_DATA!$DX:$DX,INPUT_DATA!$EA:$EA)</f>
        <v>6629</v>
      </c>
      <c r="H244" s="1025">
        <f t="shared" si="13"/>
        <v>9.0599715722720311E-2</v>
      </c>
      <c r="M244" s="772"/>
    </row>
    <row r="245" spans="1:13" s="629" customFormat="1" ht="15.5">
      <c r="B245" s="767"/>
      <c r="C245" s="1332" t="s">
        <v>1223</v>
      </c>
      <c r="D245" s="1028">
        <v>2021</v>
      </c>
      <c r="E245" s="1011">
        <f>_xlfn.XLOOKUP($C245,INPUT_DATA!$DX:$DX,INPUT_DATA!$DZ:$DZ)</f>
        <v>1874258067.3199999</v>
      </c>
      <c r="F245" s="1012">
        <f t="shared" si="12"/>
        <v>0.17465161752821143</v>
      </c>
      <c r="G245" s="1013">
        <f>_xlfn.XLOOKUP($C245,INPUT_DATA!$DX:$DX,INPUT_DATA!$EA:$EA)</f>
        <v>9652</v>
      </c>
      <c r="H245" s="1025">
        <f t="shared" si="13"/>
        <v>0.13191559151541657</v>
      </c>
      <c r="M245" s="772"/>
    </row>
    <row r="246" spans="1:13" s="629" customFormat="1" ht="15.5">
      <c r="B246" s="767"/>
      <c r="C246" s="1332" t="s">
        <v>1224</v>
      </c>
      <c r="D246" s="1028">
        <v>2022</v>
      </c>
      <c r="E246" s="1011">
        <f>_xlfn.XLOOKUP($C246,INPUT_DATA!$DX:$DX,INPUT_DATA!$DZ:$DZ)</f>
        <v>2011377955.1199999</v>
      </c>
      <c r="F246" s="1012">
        <f>E246/$E$250</f>
        <v>0.18742905229940085</v>
      </c>
      <c r="G246" s="1013">
        <f>_xlfn.XLOOKUP($C246,INPUT_DATA!$DX:$DX,INPUT_DATA!$EA:$EA)</f>
        <v>9521</v>
      </c>
      <c r="H246" s="1025">
        <f>G246/$G$250</f>
        <v>0.1301251913404767</v>
      </c>
      <c r="M246" s="772"/>
    </row>
    <row r="247" spans="1:13" s="629" customFormat="1" ht="15.5">
      <c r="B247" s="767"/>
      <c r="C247" s="1332" t="s">
        <v>1281</v>
      </c>
      <c r="D247" s="1028">
        <v>2023</v>
      </c>
      <c r="E247" s="1011">
        <f>_xlfn.XLOOKUP($C247,INPUT_DATA!$DX:$DX,INPUT_DATA!$DZ:$DZ)</f>
        <v>718345298.70000005</v>
      </c>
      <c r="F247" s="1012">
        <f>E247/$E$250</f>
        <v>6.6938577215856193E-2</v>
      </c>
      <c r="G247" s="1013">
        <f>_xlfn.XLOOKUP($C247,INPUT_DATA!$DX:$DX,INPUT_DATA!$EA:$EA)</f>
        <v>4103</v>
      </c>
      <c r="H247" s="1025">
        <f>G247/$G$250</f>
        <v>5.607642685326919E-2</v>
      </c>
      <c r="M247" s="772"/>
    </row>
    <row r="248" spans="1:13" s="629" customFormat="1" ht="15.5">
      <c r="B248" s="767"/>
      <c r="C248" s="1332" t="s">
        <v>1282</v>
      </c>
      <c r="D248" s="1028">
        <v>2024</v>
      </c>
      <c r="E248" s="1011">
        <f>_xlfn.XLOOKUP($C248,INPUT_DATA!$DX:$DX,INPUT_DATA!$DZ:$DZ)</f>
        <v>770423812.76999998</v>
      </c>
      <c r="F248" s="1012">
        <f>E248/$E$250</f>
        <v>7.179148241572389E-2</v>
      </c>
      <c r="G248" s="1013">
        <f>_xlfn.XLOOKUP($C248,INPUT_DATA!$DX:$DX,INPUT_DATA!$EA:$EA)</f>
        <v>4268</v>
      </c>
      <c r="H248" s="1025">
        <f>G248/$G$250</f>
        <v>5.8331511043078939E-2</v>
      </c>
      <c r="M248" s="772"/>
    </row>
    <row r="249" spans="1:13" s="629" customFormat="1" ht="15.5">
      <c r="B249" s="767"/>
      <c r="C249" s="1332" t="s">
        <v>2052</v>
      </c>
      <c r="D249" s="1028">
        <v>2025</v>
      </c>
      <c r="E249" s="1011">
        <f>_xlfn.XLOOKUP($C249,INPUT_DATA!$DX:$DX,INPUT_DATA!$DZ:$DZ)</f>
        <v>962351174.5</v>
      </c>
      <c r="F249" s="1012">
        <f>E249/$E$250</f>
        <v>8.9676118879899541E-2</v>
      </c>
      <c r="G249" s="1013">
        <f>_xlfn.XLOOKUP($C249,INPUT_DATA!$DX:$DX,INPUT_DATA!$EA:$EA)</f>
        <v>4182</v>
      </c>
      <c r="H249" s="1025">
        <f>G249/$G$250</f>
        <v>5.7156133828996279E-2</v>
      </c>
      <c r="M249" s="772"/>
    </row>
    <row r="250" spans="1:13" s="629" customFormat="1" ht="15.5">
      <c r="B250" s="767"/>
      <c r="C250" s="1009"/>
      <c r="D250" s="1017" t="s">
        <v>415</v>
      </c>
      <c r="E250" s="1018">
        <f>SUM(E234:E249)</f>
        <v>10731409727.810001</v>
      </c>
      <c r="F250" s="1019">
        <f>SUM(F234:F249)</f>
        <v>0.99999999999999989</v>
      </c>
      <c r="G250" s="1020">
        <f>SUM(G234:G249)</f>
        <v>73168</v>
      </c>
      <c r="H250" s="1019">
        <f>SUM(H234:H249)</f>
        <v>1</v>
      </c>
      <c r="M250" s="772"/>
    </row>
    <row r="251" spans="1:13" s="629" customFormat="1" ht="15.5">
      <c r="B251" s="767"/>
      <c r="C251" s="1009"/>
      <c r="D251" s="813"/>
      <c r="G251" s="988"/>
      <c r="M251" s="772"/>
    </row>
    <row r="252" spans="1:13" s="629" customFormat="1" ht="15.5">
      <c r="B252" s="767"/>
      <c r="C252" s="1009"/>
      <c r="D252" s="813"/>
      <c r="G252" s="988"/>
      <c r="M252" s="772"/>
    </row>
    <row r="253" spans="1:13" s="629" customFormat="1" ht="15.5">
      <c r="B253" s="767"/>
      <c r="C253" s="1009"/>
      <c r="D253" s="813"/>
      <c r="G253" s="988"/>
      <c r="M253" s="772"/>
    </row>
    <row r="254" spans="1:13" s="629" customFormat="1" ht="15.5">
      <c r="B254" s="767"/>
      <c r="C254" s="1009"/>
      <c r="D254" s="813"/>
      <c r="G254" s="988"/>
      <c r="M254" s="772"/>
    </row>
    <row r="255" spans="1:13" s="629" customFormat="1" ht="24.65"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104" t="s">
        <v>443</v>
      </c>
      <c r="F257" s="2106"/>
      <c r="G257" s="2104" t="s">
        <v>444</v>
      </c>
      <c r="H257" s="2106"/>
      <c r="M257" s="772"/>
    </row>
    <row r="258" spans="1:13" s="629" customFormat="1" ht="15.5">
      <c r="B258" s="767"/>
      <c r="C258" s="1332" t="s">
        <v>917</v>
      </c>
      <c r="D258" s="1010" t="s">
        <v>148</v>
      </c>
      <c r="E258" s="1011">
        <f>_xlfn.XLOOKUP($C258,INPUT_DATA!$DX:$DX,INPUT_DATA!$DZ:$DZ)</f>
        <v>10731409727.809999</v>
      </c>
      <c r="F258" s="1012">
        <f>E258/$E$259</f>
        <v>1</v>
      </c>
      <c r="G258" s="1013">
        <f>_xlfn.XLOOKUP($C258,INPUT_DATA!$DX:$DX,INPUT_DATA!$EA:$EA)</f>
        <v>73168</v>
      </c>
      <c r="H258" s="1025">
        <f>G258/$G$259</f>
        <v>1</v>
      </c>
      <c r="M258" s="772"/>
    </row>
    <row r="259" spans="1:13" s="629" customFormat="1" ht="15.5">
      <c r="B259" s="767"/>
      <c r="C259" s="1009"/>
      <c r="D259" s="1017" t="s">
        <v>415</v>
      </c>
      <c r="E259" s="1018">
        <f>SUM(E258:E258)</f>
        <v>10731409727.809999</v>
      </c>
      <c r="F259" s="1019">
        <f>SUM(F258:F258)</f>
        <v>1</v>
      </c>
      <c r="G259" s="1020">
        <f>SUM(G258:G258)</f>
        <v>73168</v>
      </c>
      <c r="H259" s="1019">
        <f>SUM(H258:H258)</f>
        <v>1</v>
      </c>
      <c r="M259" s="772"/>
    </row>
    <row r="260" spans="1:13" s="629" customFormat="1" ht="15.5">
      <c r="B260" s="767"/>
      <c r="C260" s="1009"/>
      <c r="D260" s="1029"/>
      <c r="E260" s="1030"/>
      <c r="F260" s="1031"/>
      <c r="G260" s="1032"/>
      <c r="H260" s="1031"/>
      <c r="M260" s="772"/>
    </row>
    <row r="261" spans="1:13" s="629" customFormat="1" ht="15.5">
      <c r="B261" s="767"/>
      <c r="C261" s="1009"/>
      <c r="D261" s="1029"/>
      <c r="E261" s="1030"/>
      <c r="F261" s="1031"/>
      <c r="G261" s="1032"/>
      <c r="H261" s="1031"/>
      <c r="M261" s="772"/>
    </row>
    <row r="262" spans="1:13" s="629" customFormat="1" ht="15.5">
      <c r="B262" s="767"/>
      <c r="C262" s="1009"/>
      <c r="D262" s="1029"/>
      <c r="E262" s="1030"/>
      <c r="F262" s="1031"/>
      <c r="G262" s="1032"/>
      <c r="H262" s="1031"/>
      <c r="M262" s="772"/>
    </row>
    <row r="263" spans="1:13" s="629" customFormat="1" ht="24.65"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104" t="s">
        <v>443</v>
      </c>
      <c r="F265" s="2106"/>
      <c r="G265" s="2104" t="s">
        <v>444</v>
      </c>
      <c r="H265" s="2106"/>
      <c r="M265" s="772"/>
    </row>
    <row r="266" spans="1:13" s="629" customFormat="1" ht="15.5">
      <c r="B266" s="767"/>
      <c r="C266" s="1332" t="s">
        <v>918</v>
      </c>
      <c r="D266" s="1010" t="s">
        <v>1118</v>
      </c>
      <c r="E266" s="1011">
        <f>_xlfn.XLOOKUP($C266,INPUT_DATA!$DX:$DX,INPUT_DATA!$DZ:$DZ)</f>
        <v>2635645073.7399998</v>
      </c>
      <c r="F266" s="1012">
        <f t="shared" ref="F266:F275" si="14">E266/$E$276</f>
        <v>0.24560101054662331</v>
      </c>
      <c r="G266" s="1013">
        <f>_xlfn.XLOOKUP($C266,INPUT_DATA!$DX:$DX,INPUT_DATA!$EA:$EA)</f>
        <v>18445</v>
      </c>
      <c r="H266" s="1025">
        <f>G266/$G$276</f>
        <v>0.2520910780669145</v>
      </c>
      <c r="M266" s="772"/>
    </row>
    <row r="267" spans="1:13" s="629" customFormat="1" ht="15.5">
      <c r="B267" s="767"/>
      <c r="C267" s="1332" t="s">
        <v>919</v>
      </c>
      <c r="D267" s="1015" t="s">
        <v>1119</v>
      </c>
      <c r="E267" s="1011">
        <f>_xlfn.XLOOKUP($C267,INPUT_DATA!$DX:$DX,INPUT_DATA!$DZ:$DZ)</f>
        <v>3626624855.4400001</v>
      </c>
      <c r="F267" s="1012">
        <f t="shared" si="14"/>
        <v>0.3379448690736086</v>
      </c>
      <c r="G267" s="1013">
        <f>_xlfn.XLOOKUP($C267,INPUT_DATA!$DX:$DX,INPUT_DATA!$EA:$EA)</f>
        <v>23448</v>
      </c>
      <c r="H267" s="1025">
        <f t="shared" ref="H267:H275" si="15">G267/$G$276</f>
        <v>0.32046796413732781</v>
      </c>
      <c r="M267" s="772"/>
    </row>
    <row r="268" spans="1:13" s="629" customFormat="1" ht="15.5">
      <c r="B268" s="767"/>
      <c r="C268" s="1332" t="s">
        <v>920</v>
      </c>
      <c r="D268" s="1015" t="s">
        <v>1120</v>
      </c>
      <c r="E268" s="1011">
        <f>_xlfn.XLOOKUP($C268,INPUT_DATA!$DX:$DX,INPUT_DATA!$DZ:$DZ)</f>
        <v>1551711654.4000001</v>
      </c>
      <c r="F268" s="1012">
        <f t="shared" si="14"/>
        <v>0.14459532286599813</v>
      </c>
      <c r="G268" s="1013">
        <f>_xlfn.XLOOKUP($C268,INPUT_DATA!$DX:$DX,INPUT_DATA!$EA:$EA)</f>
        <v>12430</v>
      </c>
      <c r="H268" s="1025">
        <f t="shared" si="15"/>
        <v>0.16988300896566805</v>
      </c>
      <c r="M268" s="772"/>
    </row>
    <row r="269" spans="1:13" s="629" customFormat="1" ht="15.5">
      <c r="B269" s="767"/>
      <c r="C269" s="1332" t="s">
        <v>921</v>
      </c>
      <c r="D269" s="1015" t="s">
        <v>1121</v>
      </c>
      <c r="E269" s="1011">
        <f>_xlfn.XLOOKUP($C269,INPUT_DATA!$DX:$DX,INPUT_DATA!$DZ:$DZ)</f>
        <v>613349108.02999997</v>
      </c>
      <c r="F269" s="1012">
        <f t="shared" si="14"/>
        <v>5.7154569957433593E-2</v>
      </c>
      <c r="G269" s="1013">
        <f>_xlfn.XLOOKUP($C269,INPUT_DATA!$DX:$DX,INPUT_DATA!$EA:$EA)</f>
        <v>5310</v>
      </c>
      <c r="H269" s="1025">
        <f t="shared" si="15"/>
        <v>7.2572709381150236E-2</v>
      </c>
      <c r="M269" s="772"/>
    </row>
    <row r="270" spans="1:13" s="629" customFormat="1" ht="15.5">
      <c r="B270" s="767"/>
      <c r="C270" s="1332" t="s">
        <v>922</v>
      </c>
      <c r="D270" s="1015" t="s">
        <v>1122</v>
      </c>
      <c r="E270" s="1011">
        <f>_xlfn.XLOOKUP($C270,INPUT_DATA!$DX:$DX,INPUT_DATA!$DZ:$DZ)</f>
        <v>826159092.46000004</v>
      </c>
      <c r="F270" s="1012">
        <f t="shared" si="14"/>
        <v>7.6985141133791887E-2</v>
      </c>
      <c r="G270" s="1013">
        <f>_xlfn.XLOOKUP($C270,INPUT_DATA!$DX:$DX,INPUT_DATA!$EA:$EA)</f>
        <v>4798</v>
      </c>
      <c r="H270" s="1025">
        <f t="shared" si="15"/>
        <v>6.557511480428603E-2</v>
      </c>
      <c r="M270" s="772"/>
    </row>
    <row r="271" spans="1:13" s="629" customFormat="1" ht="15.5">
      <c r="B271" s="767"/>
      <c r="C271" s="1332" t="s">
        <v>923</v>
      </c>
      <c r="D271" s="1015" t="s">
        <v>1123</v>
      </c>
      <c r="E271" s="1011">
        <f>_xlfn.XLOOKUP($C271,INPUT_DATA!$DX:$DX,INPUT_DATA!$DZ:$DZ)</f>
        <v>737263051.41999996</v>
      </c>
      <c r="F271" s="1012">
        <f t="shared" si="14"/>
        <v>6.8701416693597445E-2</v>
      </c>
      <c r="G271" s="1013">
        <f>_xlfn.XLOOKUP($C271,INPUT_DATA!$DX:$DX,INPUT_DATA!$EA:$EA)</f>
        <v>4129</v>
      </c>
      <c r="H271" s="1025">
        <f t="shared" si="15"/>
        <v>5.6431773452875575E-2</v>
      </c>
      <c r="M271" s="772"/>
    </row>
    <row r="272" spans="1:13" s="629" customFormat="1" ht="15.5">
      <c r="B272" s="767"/>
      <c r="C272" s="1332" t="s">
        <v>924</v>
      </c>
      <c r="D272" s="1015" t="s">
        <v>1124</v>
      </c>
      <c r="E272" s="1011">
        <f>_xlfn.XLOOKUP($C272,INPUT_DATA!$DX:$DX,INPUT_DATA!$DZ:$DZ)</f>
        <v>522411014.85000002</v>
      </c>
      <c r="F272" s="1012">
        <f t="shared" si="14"/>
        <v>4.8680558109359458E-2</v>
      </c>
      <c r="G272" s="1013">
        <f>_xlfn.XLOOKUP($C272,INPUT_DATA!$DX:$DX,INPUT_DATA!$EA:$EA)</f>
        <v>2949</v>
      </c>
      <c r="H272" s="1025">
        <f t="shared" si="15"/>
        <v>4.0304504701508856E-2</v>
      </c>
      <c r="M272" s="772"/>
    </row>
    <row r="273" spans="1:13" s="629" customFormat="1" ht="15.5">
      <c r="B273" s="767"/>
      <c r="C273" s="1332" t="s">
        <v>925</v>
      </c>
      <c r="D273" s="1015" t="s">
        <v>1125</v>
      </c>
      <c r="E273" s="1011">
        <f>_xlfn.XLOOKUP($C273,INPUT_DATA!$DX:$DX,INPUT_DATA!$DZ:$DZ)</f>
        <v>174194627.63999999</v>
      </c>
      <c r="F273" s="1012">
        <f t="shared" si="14"/>
        <v>1.6232222239039286E-2</v>
      </c>
      <c r="G273" s="1013">
        <f>_xlfn.XLOOKUP($C273,INPUT_DATA!$DX:$DX,INPUT_DATA!$EA:$EA)</f>
        <v>1298</v>
      </c>
      <c r="H273" s="1025">
        <f t="shared" si="15"/>
        <v>1.7739995626503389E-2</v>
      </c>
      <c r="M273" s="772"/>
    </row>
    <row r="274" spans="1:13" s="629" customFormat="1" ht="15.5">
      <c r="B274" s="767"/>
      <c r="C274" s="1332" t="s">
        <v>926</v>
      </c>
      <c r="D274" s="1015" t="s">
        <v>1126</v>
      </c>
      <c r="E274" s="1011">
        <f>_xlfn.XLOOKUP($C274,INPUT_DATA!$DX:$DX,INPUT_DATA!$DZ:$DZ)</f>
        <v>43616783.960000001</v>
      </c>
      <c r="F274" s="1012">
        <f t="shared" si="14"/>
        <v>4.0644039381861384E-3</v>
      </c>
      <c r="G274" s="1013">
        <f>_xlfn.XLOOKUP($C274,INPUT_DATA!$DX:$DX,INPUT_DATA!$EA:$EA)</f>
        <v>355</v>
      </c>
      <c r="H274" s="1025">
        <f t="shared" si="15"/>
        <v>4.8518478023179528E-3</v>
      </c>
      <c r="M274" s="772"/>
    </row>
    <row r="275" spans="1:13" s="629" customFormat="1" ht="15.5">
      <c r="B275" s="767"/>
      <c r="C275" s="1332" t="s">
        <v>927</v>
      </c>
      <c r="D275" s="1015" t="s">
        <v>1127</v>
      </c>
      <c r="E275" s="1011">
        <f>_xlfn.XLOOKUP($C275,INPUT_DATA!$DX:$DX,INPUT_DATA!$DZ:$DZ)</f>
        <v>434465.87</v>
      </c>
      <c r="F275" s="1012">
        <f t="shared" si="14"/>
        <v>4.0485442362162339E-5</v>
      </c>
      <c r="G275" s="1013">
        <f>_xlfn.XLOOKUP($C275,INPUT_DATA!$DX:$DX,INPUT_DATA!$EA:$EA)</f>
        <v>6</v>
      </c>
      <c r="H275" s="1025">
        <f t="shared" si="15"/>
        <v>8.2003061447627376E-5</v>
      </c>
      <c r="M275" s="772"/>
    </row>
    <row r="276" spans="1:13" s="629" customFormat="1" ht="15.5">
      <c r="B276" s="767"/>
      <c r="C276" s="1009"/>
      <c r="D276" s="1017" t="s">
        <v>415</v>
      </c>
      <c r="E276" s="1018">
        <f>SUM(E266:E275)</f>
        <v>10731409727.809999</v>
      </c>
      <c r="F276" s="1019">
        <f>SUM(F266:F275)</f>
        <v>1.0000000000000002</v>
      </c>
      <c r="G276" s="1020">
        <f>SUM(G266:G275)</f>
        <v>73168</v>
      </c>
      <c r="H276" s="1019">
        <f>SUM(H266:H275)</f>
        <v>1</v>
      </c>
      <c r="M276" s="772"/>
    </row>
    <row r="277" spans="1:13" s="629" customFormat="1" ht="15.5">
      <c r="B277" s="767"/>
      <c r="C277" s="1009"/>
      <c r="D277" s="813"/>
      <c r="E277" s="1035"/>
      <c r="F277" s="1035"/>
      <c r="G277" s="1036"/>
      <c r="H277" s="1035"/>
      <c r="M277" s="772"/>
    </row>
    <row r="278" spans="1:13" s="629" customFormat="1" ht="15.5">
      <c r="B278" s="767"/>
      <c r="C278" s="1009"/>
      <c r="D278" s="813"/>
      <c r="E278" s="1035"/>
      <c r="F278" s="1035"/>
      <c r="G278" s="1036"/>
      <c r="H278" s="1035"/>
      <c r="M278" s="772"/>
    </row>
    <row r="279" spans="1:13" s="629" customFormat="1" ht="24.65"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104" t="s">
        <v>443</v>
      </c>
      <c r="F281" s="2106"/>
      <c r="G281" s="2104" t="s">
        <v>444</v>
      </c>
      <c r="H281" s="2106"/>
      <c r="M281" s="772"/>
    </row>
    <row r="282" spans="1:13" s="629" customFormat="1" ht="15.5">
      <c r="B282" s="767"/>
      <c r="C282" s="1332" t="s">
        <v>928</v>
      </c>
      <c r="D282" s="1010" t="s">
        <v>1225</v>
      </c>
      <c r="E282" s="1011">
        <f>_xlfn.XLOOKUP($C282,INPUT_DATA!$DX:$DX,INPUT_DATA!$DZ:$DZ)</f>
        <v>53138625.259999998</v>
      </c>
      <c r="F282" s="1012">
        <f t="shared" ref="F282:F292" si="16">E282/$E$276</f>
        <v>4.9516910273487624E-3</v>
      </c>
      <c r="G282" s="1013">
        <f>_xlfn.XLOOKUP($C282,INPUT_DATA!$DX:$DX,INPUT_DATA!$EA:$EA)</f>
        <v>638</v>
      </c>
      <c r="H282" s="1025">
        <f>G282/$G$293</f>
        <v>8.7196588672643783E-3</v>
      </c>
      <c r="M282" s="772"/>
    </row>
    <row r="283" spans="1:13" s="629" customFormat="1" ht="15.5">
      <c r="B283" s="767"/>
      <c r="C283" s="1332" t="s">
        <v>929</v>
      </c>
      <c r="D283" s="1015" t="s">
        <v>1226</v>
      </c>
      <c r="E283" s="1011">
        <f>_xlfn.XLOOKUP($C283,INPUT_DATA!$DX:$DX,INPUT_DATA!$DZ:$DZ)</f>
        <v>161553713.91999999</v>
      </c>
      <c r="F283" s="1012">
        <f t="shared" si="16"/>
        <v>1.5054286251072895E-2</v>
      </c>
      <c r="G283" s="1013">
        <f>_xlfn.XLOOKUP($C283,INPUT_DATA!$DX:$DX,INPUT_DATA!$EA:$EA)</f>
        <v>1616</v>
      </c>
      <c r="H283" s="1025">
        <f t="shared" ref="H283:H291" si="17">G283/$G$293</f>
        <v>2.2086157883227639E-2</v>
      </c>
      <c r="M283" s="772"/>
    </row>
    <row r="284" spans="1:13" s="629" customFormat="1" ht="15.5">
      <c r="B284" s="767"/>
      <c r="C284" s="1332" t="s">
        <v>930</v>
      </c>
      <c r="D284" s="1015" t="s">
        <v>1227</v>
      </c>
      <c r="E284" s="1011">
        <f>_xlfn.XLOOKUP($C284,INPUT_DATA!$DX:$DX,INPUT_DATA!$DZ:$DZ)</f>
        <v>415282937.31</v>
      </c>
      <c r="F284" s="1012">
        <f t="shared" si="16"/>
        <v>3.869789224744738E-2</v>
      </c>
      <c r="G284" s="1013">
        <f>_xlfn.XLOOKUP($C284,INPUT_DATA!$DX:$DX,INPUT_DATA!$EA:$EA)</f>
        <v>3666</v>
      </c>
      <c r="H284" s="1025">
        <f t="shared" si="17"/>
        <v>5.0103870544500329E-2</v>
      </c>
      <c r="M284" s="772"/>
    </row>
    <row r="285" spans="1:13" s="629" customFormat="1" ht="15.5">
      <c r="B285" s="767"/>
      <c r="C285" s="1332" t="s">
        <v>931</v>
      </c>
      <c r="D285" s="1015" t="s">
        <v>1228</v>
      </c>
      <c r="E285" s="1011">
        <f>_xlfn.XLOOKUP($C285,INPUT_DATA!$DX:$DX,INPUT_DATA!$DZ:$DZ)</f>
        <v>1004189447.95</v>
      </c>
      <c r="F285" s="1012">
        <f t="shared" si="16"/>
        <v>9.3574793379446228E-2</v>
      </c>
      <c r="G285" s="1013">
        <f>_xlfn.XLOOKUP($C285,INPUT_DATA!$DX:$DX,INPUT_DATA!$EA:$EA)</f>
        <v>8184</v>
      </c>
      <c r="H285" s="1025">
        <f t="shared" si="17"/>
        <v>0.11185217581456375</v>
      </c>
      <c r="M285" s="772"/>
    </row>
    <row r="286" spans="1:13" s="629" customFormat="1" ht="15.5">
      <c r="B286" s="767"/>
      <c r="C286" s="1332" t="s">
        <v>1229</v>
      </c>
      <c r="D286" s="1015" t="s">
        <v>1230</v>
      </c>
      <c r="E286" s="1011">
        <f>_xlfn.XLOOKUP($C286,INPUT_DATA!$DX:$DX,INPUT_DATA!$DZ:$DZ)</f>
        <v>1999944866.05</v>
      </c>
      <c r="F286" s="1012">
        <f t="shared" si="16"/>
        <v>0.18636366672937912</v>
      </c>
      <c r="G286" s="1013">
        <f>_xlfn.XLOOKUP($C286,INPUT_DATA!$DX:$DX,INPUT_DATA!$EA:$EA)</f>
        <v>14639</v>
      </c>
      <c r="H286" s="1025">
        <f t="shared" si="17"/>
        <v>0.20007380275530287</v>
      </c>
      <c r="M286" s="772"/>
    </row>
    <row r="287" spans="1:13" s="629" customFormat="1" ht="15.5">
      <c r="B287" s="767"/>
      <c r="C287" s="1332" t="s">
        <v>1231</v>
      </c>
      <c r="D287" s="1015" t="s">
        <v>1232</v>
      </c>
      <c r="E287" s="1011">
        <f>_xlfn.XLOOKUP($C287,INPUT_DATA!$DX:$DX,INPUT_DATA!$DZ:$DZ)</f>
        <v>3816538697.8699999</v>
      </c>
      <c r="F287" s="1012">
        <f t="shared" si="16"/>
        <v>0.35564187694554233</v>
      </c>
      <c r="G287" s="1013">
        <f>_xlfn.XLOOKUP($C287,INPUT_DATA!$DX:$DX,INPUT_DATA!$EA:$EA)</f>
        <v>23914</v>
      </c>
      <c r="H287" s="1025">
        <f t="shared" si="17"/>
        <v>0.32683686857642685</v>
      </c>
      <c r="M287" s="772"/>
    </row>
    <row r="288" spans="1:13" s="629" customFormat="1" ht="15.5">
      <c r="B288" s="767"/>
      <c r="C288" s="1332" t="s">
        <v>1233</v>
      </c>
      <c r="D288" s="1015" t="s">
        <v>1234</v>
      </c>
      <c r="E288" s="1011">
        <f>_xlfn.XLOOKUP($C288,INPUT_DATA!$DX:$DX,INPUT_DATA!$DZ:$DZ)</f>
        <v>1658789885.48</v>
      </c>
      <c r="F288" s="1012">
        <f t="shared" si="16"/>
        <v>0.15457334381533447</v>
      </c>
      <c r="G288" s="1013">
        <f>_xlfn.XLOOKUP($C288,INPUT_DATA!$DX:$DX,INPUT_DATA!$EA:$EA)</f>
        <v>10502</v>
      </c>
      <c r="H288" s="1025">
        <f t="shared" si="17"/>
        <v>0.14353269188716378</v>
      </c>
      <c r="M288" s="772"/>
    </row>
    <row r="289" spans="1:13" s="629" customFormat="1" ht="15.5">
      <c r="B289" s="767"/>
      <c r="C289" s="1332" t="s">
        <v>1235</v>
      </c>
      <c r="D289" s="1015" t="s">
        <v>1236</v>
      </c>
      <c r="E289" s="1011">
        <f>_xlfn.XLOOKUP($C289,INPUT_DATA!$DX:$DX,INPUT_DATA!$DZ:$DZ)</f>
        <v>825070429.49000001</v>
      </c>
      <c r="F289" s="1012">
        <f t="shared" si="16"/>
        <v>7.688369472576044E-2</v>
      </c>
      <c r="G289" s="1013">
        <f>_xlfn.XLOOKUP($C289,INPUT_DATA!$DX:$DX,INPUT_DATA!$EA:$EA)</f>
        <v>4862</v>
      </c>
      <c r="H289" s="1025">
        <f t="shared" si="17"/>
        <v>6.6449814126394058E-2</v>
      </c>
      <c r="M289" s="772"/>
    </row>
    <row r="290" spans="1:13" s="629" customFormat="1" ht="15.5">
      <c r="B290" s="767"/>
      <c r="C290" s="1332" t="s">
        <v>1237</v>
      </c>
      <c r="D290" s="1015" t="s">
        <v>1238</v>
      </c>
      <c r="E290" s="1011">
        <f>_xlfn.XLOOKUP($C290,INPUT_DATA!$DX:$DX,INPUT_DATA!$DZ:$DZ)</f>
        <v>450808632.81999999</v>
      </c>
      <c r="F290" s="1012">
        <f t="shared" si="16"/>
        <v>4.2008332945460865E-2</v>
      </c>
      <c r="G290" s="1013">
        <f>_xlfn.XLOOKUP($C290,INPUT_DATA!$DX:$DX,INPUT_DATA!$EA:$EA)</f>
        <v>2854</v>
      </c>
      <c r="H290" s="1025">
        <f t="shared" si="17"/>
        <v>3.9006122895254756E-2</v>
      </c>
      <c r="M290" s="772"/>
    </row>
    <row r="291" spans="1:13" s="629" customFormat="1" ht="15.5">
      <c r="B291" s="767"/>
      <c r="C291" s="1332" t="s">
        <v>1239</v>
      </c>
      <c r="D291" s="1015" t="s">
        <v>1240</v>
      </c>
      <c r="E291" s="1011">
        <f>_xlfn.XLOOKUP($C291,INPUT_DATA!$DX:$DX,INPUT_DATA!$DZ:$DZ)</f>
        <v>210447977.41</v>
      </c>
      <c r="F291" s="1012">
        <f t="shared" si="16"/>
        <v>1.9610468964262249E-2</v>
      </c>
      <c r="G291" s="1013">
        <f>_xlfn.XLOOKUP($C291,INPUT_DATA!$DX:$DX,INPUT_DATA!$EA:$EA)</f>
        <v>1372</v>
      </c>
      <c r="H291" s="1025">
        <f t="shared" si="17"/>
        <v>1.8751366717690794E-2</v>
      </c>
      <c r="M291" s="772"/>
    </row>
    <row r="292" spans="1:13" s="629" customFormat="1" ht="15.5">
      <c r="B292" s="767"/>
      <c r="C292" s="1332" t="s">
        <v>1241</v>
      </c>
      <c r="D292" s="1015" t="s">
        <v>1242</v>
      </c>
      <c r="E292" s="1011">
        <f>_xlfn.XLOOKUP($C292,INPUT_DATA!$DX:$DX,INPUT_DATA!$DZ:$DZ)</f>
        <v>135644514.25</v>
      </c>
      <c r="F292" s="1012">
        <f t="shared" si="16"/>
        <v>1.2639952968945255E-2</v>
      </c>
      <c r="G292" s="1013">
        <f>_xlfn.XLOOKUP($C292,INPUT_DATA!$DX:$DX,INPUT_DATA!$EA:$EA)</f>
        <v>921</v>
      </c>
      <c r="H292" s="1025">
        <f>G292/$G$293</f>
        <v>1.2587469932210802E-2</v>
      </c>
      <c r="M292" s="772"/>
    </row>
    <row r="293" spans="1:13" s="629" customFormat="1" ht="15.5">
      <c r="B293" s="767"/>
      <c r="C293" s="1009"/>
      <c r="D293" s="1017" t="s">
        <v>415</v>
      </c>
      <c r="E293" s="1018">
        <f>SUM(E282:E292)</f>
        <v>10731409727.809999</v>
      </c>
      <c r="F293" s="1019">
        <f>SUM(F282:F292)</f>
        <v>1</v>
      </c>
      <c r="G293" s="1020">
        <f>SUM(G282:G292)</f>
        <v>73168</v>
      </c>
      <c r="H293" s="1019">
        <f>SUM(H282:H292)</f>
        <v>1</v>
      </c>
      <c r="M293" s="772"/>
    </row>
    <row r="294" spans="1:13" s="629" customFormat="1" ht="15.5">
      <c r="B294" s="767"/>
      <c r="C294" s="1009"/>
      <c r="D294" s="813"/>
      <c r="E294" s="1035"/>
      <c r="F294" s="1035"/>
      <c r="G294" s="1036"/>
      <c r="H294" s="1035"/>
      <c r="M294" s="772"/>
    </row>
    <row r="295" spans="1:13" s="629" customFormat="1" ht="15.5">
      <c r="B295" s="767"/>
      <c r="C295" s="1009"/>
      <c r="D295" s="813"/>
      <c r="E295" s="1035"/>
      <c r="F295" s="1035"/>
      <c r="G295" s="1036"/>
      <c r="H295" s="1035"/>
      <c r="M295" s="772"/>
    </row>
    <row r="296" spans="1:13" s="629" customFormat="1" ht="15.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104" t="s">
        <v>443</v>
      </c>
      <c r="F299" s="2106"/>
      <c r="G299" s="2104" t="s">
        <v>444</v>
      </c>
      <c r="H299" s="2106"/>
      <c r="M299" s="772"/>
    </row>
    <row r="300" spans="1:13" s="629" customFormat="1" ht="15.5">
      <c r="B300" s="767"/>
      <c r="C300" s="1332" t="s">
        <v>932</v>
      </c>
      <c r="D300" s="1010" t="s">
        <v>530</v>
      </c>
      <c r="E300" s="1011">
        <f>_xlfn.XLOOKUP($C300,INPUT_DATA!$DX:$DX,INPUT_DATA!$DZ:$DZ)</f>
        <v>4053698849.1900001</v>
      </c>
      <c r="F300" s="1012">
        <f>E300/$E$313</f>
        <v>0.37774150386644995</v>
      </c>
      <c r="G300" s="1013">
        <f>_xlfn.XLOOKUP($C300,INPUT_DATA!$DX:$DX,INPUT_DATA!$EA:$EA)</f>
        <v>23196</v>
      </c>
      <c r="H300" s="1025">
        <f>G300/$G$313</f>
        <v>0.31702383555652747</v>
      </c>
      <c r="M300" s="772"/>
    </row>
    <row r="301" spans="1:13" s="629" customFormat="1" ht="15.5">
      <c r="B301" s="767"/>
      <c r="C301" s="1332" t="s">
        <v>933</v>
      </c>
      <c r="D301" s="1015" t="s">
        <v>531</v>
      </c>
      <c r="E301" s="1011">
        <f>_xlfn.XLOOKUP($C301,INPUT_DATA!$DX:$DX,INPUT_DATA!$DZ:$DZ)</f>
        <v>319906832.13</v>
      </c>
      <c r="F301" s="1012">
        <f t="shared" ref="F301:F312" si="18">E301/$E$313</f>
        <v>2.9810326904299887E-2</v>
      </c>
      <c r="G301" s="1013">
        <f>_xlfn.XLOOKUP($C301,INPUT_DATA!$DX:$DX,INPUT_DATA!$EA:$EA)</f>
        <v>2822</v>
      </c>
      <c r="H301" s="1025">
        <f t="shared" ref="H301:H312" si="19">G301/$G$313</f>
        <v>3.8568773234200743E-2</v>
      </c>
      <c r="M301" s="772"/>
    </row>
    <row r="302" spans="1:13" s="629" customFormat="1" ht="15.5">
      <c r="B302" s="767"/>
      <c r="C302" s="1332" t="s">
        <v>934</v>
      </c>
      <c r="D302" s="1015" t="s">
        <v>532</v>
      </c>
      <c r="E302" s="1011">
        <f>_xlfn.XLOOKUP($C302,INPUT_DATA!$DX:$DX,INPUT_DATA!$DZ:$DZ)</f>
        <v>1262335313.6099999</v>
      </c>
      <c r="F302" s="1012">
        <f t="shared" si="18"/>
        <v>0.1176299615453793</v>
      </c>
      <c r="G302" s="1013">
        <f>_xlfn.XLOOKUP($C302,INPUT_DATA!$DX:$DX,INPUT_DATA!$EA:$EA)</f>
        <v>10297</v>
      </c>
      <c r="H302" s="1025">
        <f t="shared" si="19"/>
        <v>0.14073092062103651</v>
      </c>
      <c r="M302" s="772"/>
    </row>
    <row r="303" spans="1:13" s="629" customFormat="1" ht="15.5">
      <c r="B303" s="767"/>
      <c r="C303" s="1332" t="s">
        <v>935</v>
      </c>
      <c r="D303" s="1015" t="s">
        <v>533</v>
      </c>
      <c r="E303" s="1011">
        <f>_xlfn.XLOOKUP($C303,INPUT_DATA!$DX:$DX,INPUT_DATA!$DZ:$DZ)</f>
        <v>467876725.73000002</v>
      </c>
      <c r="F303" s="1012">
        <f t="shared" si="18"/>
        <v>4.3598812979576858E-2</v>
      </c>
      <c r="G303" s="1013">
        <f>_xlfn.XLOOKUP($C303,INPUT_DATA!$DX:$DX,INPUT_DATA!$EA:$EA)</f>
        <v>4004</v>
      </c>
      <c r="H303" s="1025">
        <f t="shared" si="19"/>
        <v>5.4723376339383338E-2</v>
      </c>
      <c r="M303" s="772"/>
    </row>
    <row r="304" spans="1:13" s="629" customFormat="1" ht="15.5">
      <c r="B304" s="767"/>
      <c r="C304" s="1332" t="s">
        <v>936</v>
      </c>
      <c r="D304" s="1015" t="s">
        <v>534</v>
      </c>
      <c r="E304" s="1011">
        <f>_xlfn.XLOOKUP($C304,INPUT_DATA!$DX:$DX,INPUT_DATA!$DZ:$DZ)</f>
        <v>137255600.61000001</v>
      </c>
      <c r="F304" s="1012">
        <f t="shared" si="18"/>
        <v>1.2790081088257011E-2</v>
      </c>
      <c r="G304" s="1013">
        <f>_xlfn.XLOOKUP($C304,INPUT_DATA!$DX:$DX,INPUT_DATA!$EA:$EA)</f>
        <v>1295</v>
      </c>
      <c r="H304" s="1025">
        <f t="shared" si="19"/>
        <v>1.7698994095779574E-2</v>
      </c>
      <c r="M304" s="772"/>
    </row>
    <row r="305" spans="1:13" s="629" customFormat="1" ht="15.5">
      <c r="B305" s="767"/>
      <c r="C305" s="1332" t="s">
        <v>937</v>
      </c>
      <c r="D305" s="1015" t="s">
        <v>535</v>
      </c>
      <c r="E305" s="1011">
        <f>_xlfn.XLOOKUP($C305,INPUT_DATA!$DX:$DX,INPUT_DATA!$DZ:$DZ)</f>
        <v>348285924.24000001</v>
      </c>
      <c r="F305" s="1012">
        <f t="shared" si="18"/>
        <v>3.2454815636889865E-2</v>
      </c>
      <c r="G305" s="1013">
        <f>_xlfn.XLOOKUP($C305,INPUT_DATA!$DX:$DX,INPUT_DATA!$EA:$EA)</f>
        <v>2722</v>
      </c>
      <c r="H305" s="1025">
        <f t="shared" si="19"/>
        <v>3.7202055543406956E-2</v>
      </c>
      <c r="M305" s="772"/>
    </row>
    <row r="306" spans="1:13" s="629" customFormat="1" ht="15.5">
      <c r="B306" s="767"/>
      <c r="C306" s="1332" t="s">
        <v>938</v>
      </c>
      <c r="D306" s="1015" t="s">
        <v>536</v>
      </c>
      <c r="E306" s="1011">
        <f>_xlfn.XLOOKUP($C306,INPUT_DATA!$DX:$DX,INPUT_DATA!$DZ:$DZ)</f>
        <v>275837247.93000001</v>
      </c>
      <c r="F306" s="1012">
        <f t="shared" si="18"/>
        <v>2.5703729046443847E-2</v>
      </c>
      <c r="G306" s="1013">
        <f>_xlfn.XLOOKUP($C306,INPUT_DATA!$DX:$DX,INPUT_DATA!$EA:$EA)</f>
        <v>1993</v>
      </c>
      <c r="H306" s="1025">
        <f t="shared" si="19"/>
        <v>2.7238683577520226E-2</v>
      </c>
      <c r="M306" s="772"/>
    </row>
    <row r="307" spans="1:13" s="629" customFormat="1" ht="15.5">
      <c r="B307" s="767"/>
      <c r="C307" s="1332" t="s">
        <v>939</v>
      </c>
      <c r="D307" s="1015" t="s">
        <v>537</v>
      </c>
      <c r="E307" s="1011">
        <f>_xlfn.XLOOKUP($C307,INPUT_DATA!$DX:$DX,INPUT_DATA!$DZ:$DZ)</f>
        <v>772453968.23000002</v>
      </c>
      <c r="F307" s="1012">
        <f t="shared" si="18"/>
        <v>7.1980661238589899E-2</v>
      </c>
      <c r="G307" s="1013">
        <f>_xlfn.XLOOKUP($C307,INPUT_DATA!$DX:$DX,INPUT_DATA!$EA:$EA)</f>
        <v>5458</v>
      </c>
      <c r="H307" s="1025">
        <f t="shared" si="19"/>
        <v>7.4595451563525039E-2</v>
      </c>
      <c r="M307" s="772"/>
    </row>
    <row r="308" spans="1:13" s="629" customFormat="1" ht="15.5">
      <c r="B308" s="767"/>
      <c r="C308" s="1332" t="s">
        <v>940</v>
      </c>
      <c r="D308" s="1015" t="s">
        <v>538</v>
      </c>
      <c r="E308" s="1011">
        <f>_xlfn.XLOOKUP($C308,INPUT_DATA!$DX:$DX,INPUT_DATA!$DZ:$DZ)</f>
        <v>1028102222.1</v>
      </c>
      <c r="F308" s="1012">
        <f t="shared" si="18"/>
        <v>9.5803090943002198E-2</v>
      </c>
      <c r="G308" s="1013">
        <f>_xlfn.XLOOKUP($C308,INPUT_DATA!$DX:$DX,INPUT_DATA!$EA:$EA)</f>
        <v>6858</v>
      </c>
      <c r="H308" s="1025">
        <f t="shared" si="19"/>
        <v>9.3729499234638095E-2</v>
      </c>
      <c r="M308" s="772"/>
    </row>
    <row r="309" spans="1:13" s="629" customFormat="1" ht="15.5">
      <c r="B309" s="767"/>
      <c r="C309" s="1332" t="s">
        <v>941</v>
      </c>
      <c r="D309" s="1015" t="s">
        <v>539</v>
      </c>
      <c r="E309" s="1011">
        <f>_xlfn.XLOOKUP($C309,INPUT_DATA!$DX:$DX,INPUT_DATA!$DZ:$DZ)</f>
        <v>1162343300.6300001</v>
      </c>
      <c r="F309" s="1012">
        <f t="shared" si="18"/>
        <v>0.10831226559338573</v>
      </c>
      <c r="G309" s="1013">
        <f>_xlfn.XLOOKUP($C309,INPUT_DATA!$DX:$DX,INPUT_DATA!$EA:$EA)</f>
        <v>7128</v>
      </c>
      <c r="H309" s="1025">
        <f t="shared" si="19"/>
        <v>9.7419636999781331E-2</v>
      </c>
      <c r="M309" s="772"/>
    </row>
    <row r="310" spans="1:13" s="629" customFormat="1" ht="15.5">
      <c r="B310" s="767"/>
      <c r="C310" s="1332" t="s">
        <v>942</v>
      </c>
      <c r="D310" s="1015" t="s">
        <v>540</v>
      </c>
      <c r="E310" s="1011">
        <f>_xlfn.XLOOKUP($C310,INPUT_DATA!$DX:$DX,INPUT_DATA!$DZ:$DZ)</f>
        <v>83456545.530000001</v>
      </c>
      <c r="F310" s="1012">
        <f t="shared" si="18"/>
        <v>7.7768483029518332E-3</v>
      </c>
      <c r="G310" s="1013">
        <f>_xlfn.XLOOKUP($C310,INPUT_DATA!$DX:$DX,INPUT_DATA!$EA:$EA)</f>
        <v>567</v>
      </c>
      <c r="H310" s="1025">
        <f t="shared" si="19"/>
        <v>7.7492893068007874E-3</v>
      </c>
      <c r="M310" s="772"/>
    </row>
    <row r="311" spans="1:13" s="629" customFormat="1" ht="15.5">
      <c r="B311" s="767"/>
      <c r="C311" s="1332" t="s">
        <v>943</v>
      </c>
      <c r="D311" s="1015" t="s">
        <v>541</v>
      </c>
      <c r="E311" s="1011">
        <f>_xlfn.XLOOKUP($C311,INPUT_DATA!$DX:$DX,INPUT_DATA!$DZ:$DZ)</f>
        <v>159066852.41</v>
      </c>
      <c r="F311" s="1012">
        <f t="shared" si="18"/>
        <v>1.4822549547967112E-2</v>
      </c>
      <c r="G311" s="1013">
        <f>_xlfn.XLOOKUP($C311,INPUT_DATA!$DX:$DX,INPUT_DATA!$EA:$EA)</f>
        <v>1555</v>
      </c>
      <c r="H311" s="1025">
        <f t="shared" si="19"/>
        <v>2.1252460091843429E-2</v>
      </c>
      <c r="M311" s="772"/>
    </row>
    <row r="312" spans="1:13" s="629" customFormat="1" ht="15.5">
      <c r="B312" s="767"/>
      <c r="C312" s="1332" t="s">
        <v>944</v>
      </c>
      <c r="D312" s="1016" t="s">
        <v>542</v>
      </c>
      <c r="E312" s="1011">
        <f>_xlfn.XLOOKUP($C312,INPUT_DATA!$DX:$DX,INPUT_DATA!$DZ:$DZ)</f>
        <v>660790345.47000003</v>
      </c>
      <c r="F312" s="1012">
        <f t="shared" si="18"/>
        <v>6.1575353306806406E-2</v>
      </c>
      <c r="G312" s="1013">
        <f>_xlfn.XLOOKUP($C312,INPUT_DATA!$DX:$DX,INPUT_DATA!$EA:$EA)</f>
        <v>5273</v>
      </c>
      <c r="H312" s="1025">
        <f t="shared" si="19"/>
        <v>7.2067023835556521E-2</v>
      </c>
      <c r="M312" s="772"/>
    </row>
    <row r="313" spans="1:13" s="629" customFormat="1" ht="15.5">
      <c r="B313" s="767"/>
      <c r="C313" s="1009"/>
      <c r="D313" s="1017" t="s">
        <v>415</v>
      </c>
      <c r="E313" s="1018">
        <f>SUM(E300:E312)</f>
        <v>10731409727.810001</v>
      </c>
      <c r="F313" s="1019">
        <f>SUM(F300:F312)</f>
        <v>0.99999999999999989</v>
      </c>
      <c r="G313" s="1020">
        <f>SUM(G300:G312)</f>
        <v>73168</v>
      </c>
      <c r="H313" s="1019">
        <f>SUM(H300:H312)</f>
        <v>1</v>
      </c>
      <c r="M313" s="772"/>
    </row>
    <row r="314" spans="1:13" s="629" customFormat="1" ht="15.5">
      <c r="B314" s="767"/>
      <c r="C314" s="1009"/>
      <c r="D314" s="813"/>
      <c r="E314" s="1035"/>
      <c r="F314" s="1035"/>
      <c r="G314" s="1036"/>
      <c r="H314" s="1035"/>
      <c r="M314" s="772"/>
    </row>
    <row r="315" spans="1:13" s="629" customFormat="1" ht="15.5">
      <c r="B315" s="767"/>
      <c r="C315" s="1009"/>
      <c r="D315" s="813"/>
      <c r="E315" s="1035"/>
      <c r="F315" s="1035"/>
      <c r="G315" s="1036"/>
      <c r="H315" s="1035"/>
      <c r="M315" s="772"/>
    </row>
    <row r="316" spans="1:13" s="629" customFormat="1" ht="15.5">
      <c r="B316" s="767"/>
      <c r="C316" s="1009"/>
      <c r="D316" s="813"/>
      <c r="E316" s="1035"/>
      <c r="F316" s="1035"/>
      <c r="G316" s="1036"/>
      <c r="H316" s="1035"/>
      <c r="M316" s="772"/>
    </row>
    <row r="317" spans="1:13" s="629" customFormat="1" ht="15.5">
      <c r="B317" s="767"/>
      <c r="C317" s="1009"/>
      <c r="D317" s="813"/>
      <c r="E317" s="1035"/>
      <c r="F317" s="1035"/>
      <c r="G317" s="1036"/>
      <c r="H317" s="1035"/>
      <c r="M317" s="772"/>
    </row>
    <row r="318" spans="1:13" s="629" customFormat="1" ht="24.65"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104" t="s">
        <v>443</v>
      </c>
      <c r="F320" s="2106"/>
      <c r="G320" s="2104" t="s">
        <v>444</v>
      </c>
      <c r="H320" s="2106"/>
      <c r="M320" s="772"/>
    </row>
    <row r="321" spans="1:13" s="629" customFormat="1" ht="15.5">
      <c r="B321" s="767"/>
      <c r="C321" s="1332" t="s">
        <v>945</v>
      </c>
      <c r="D321" s="1010" t="s">
        <v>544</v>
      </c>
      <c r="E321" s="1011">
        <f>_xlfn.XLOOKUP($C321,INPUT_DATA!$DX:$DX,INPUT_DATA!$DZ:$DZ)</f>
        <v>1898483403.26</v>
      </c>
      <c r="F321" s="1012">
        <f>E321/$E$324</f>
        <v>0.17690904097531188</v>
      </c>
      <c r="G321" s="1013">
        <f>_xlfn.XLOOKUP($C321,INPUT_DATA!$DX:$DX,INPUT_DATA!$EA:$EA)</f>
        <v>15100</v>
      </c>
      <c r="H321" s="1025">
        <f>G321/$G$324</f>
        <v>0.20637437130986225</v>
      </c>
      <c r="M321" s="772"/>
    </row>
    <row r="322" spans="1:13" s="629" customFormat="1" ht="15.5">
      <c r="B322" s="767"/>
      <c r="C322" s="1332" t="s">
        <v>946</v>
      </c>
      <c r="D322" s="1015" t="s">
        <v>545</v>
      </c>
      <c r="E322" s="1011">
        <f>_xlfn.XLOOKUP($C322,INPUT_DATA!$DX:$DX,INPUT_DATA!$DZ:$DZ)</f>
        <v>1323018858.1700001</v>
      </c>
      <c r="F322" s="1012">
        <f>E322/$E$324</f>
        <v>0.1232847213671706</v>
      </c>
      <c r="G322" s="1013">
        <f>_xlfn.XLOOKUP($C322,INPUT_DATA!$DX:$DX,INPUT_DATA!$EA:$EA)</f>
        <v>10228</v>
      </c>
      <c r="H322" s="1025">
        <f>G322/$G$324</f>
        <v>0.1397878854143888</v>
      </c>
      <c r="M322" s="772"/>
    </row>
    <row r="323" spans="1:13" s="629" customFormat="1" ht="15.5">
      <c r="B323" s="767"/>
      <c r="C323" s="1332" t="s">
        <v>947</v>
      </c>
      <c r="D323" s="1015" t="s">
        <v>546</v>
      </c>
      <c r="E323" s="1011">
        <f>_xlfn.XLOOKUP($C323,INPUT_DATA!$DX:$DX,INPUT_DATA!$DZ:$DZ)</f>
        <v>7509907466.3800001</v>
      </c>
      <c r="F323" s="1012">
        <f>E323/$E$324</f>
        <v>0.69980623765751737</v>
      </c>
      <c r="G323" s="1013">
        <f>_xlfn.XLOOKUP($C323,INPUT_DATA!$DX:$DX,INPUT_DATA!$EA:$EA)</f>
        <v>47840</v>
      </c>
      <c r="H323" s="1025">
        <f>G323/$G$324</f>
        <v>0.65383774327574895</v>
      </c>
      <c r="M323" s="772"/>
    </row>
    <row r="324" spans="1:13" s="629" customFormat="1" ht="15.5">
      <c r="B324" s="767"/>
      <c r="C324" s="1009"/>
      <c r="D324" s="1017" t="s">
        <v>415</v>
      </c>
      <c r="E324" s="1018">
        <f>SUM(E321:E323)</f>
        <v>10731409727.810001</v>
      </c>
      <c r="F324" s="1019">
        <f>SUM(F321:F323)</f>
        <v>0.99999999999999978</v>
      </c>
      <c r="G324" s="1020">
        <f>SUM(G321:G323)</f>
        <v>73168</v>
      </c>
      <c r="H324" s="1019">
        <f>SUM(H321:H323)</f>
        <v>1</v>
      </c>
      <c r="M324" s="772"/>
    </row>
    <row r="325" spans="1:13" s="629" customFormat="1" ht="15.5">
      <c r="B325" s="767"/>
      <c r="C325" s="1009"/>
      <c r="D325" s="813"/>
      <c r="E325" s="1035"/>
      <c r="F325" s="1035"/>
      <c r="G325" s="1036"/>
      <c r="H325" s="1035"/>
      <c r="M325" s="772"/>
    </row>
    <row r="326" spans="1:13" s="629" customFormat="1" ht="15.5">
      <c r="B326" s="767"/>
      <c r="C326" s="1009"/>
      <c r="D326" s="813"/>
      <c r="E326" s="1035"/>
      <c r="F326" s="1035"/>
      <c r="G326" s="1036"/>
      <c r="H326" s="1035"/>
      <c r="M326" s="772"/>
    </row>
    <row r="327" spans="1:13" s="629" customFormat="1" ht="24.65"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104" t="s">
        <v>443</v>
      </c>
      <c r="F329" s="2106"/>
      <c r="G329" s="2104" t="s">
        <v>444</v>
      </c>
      <c r="H329" s="2106"/>
      <c r="M329" s="772"/>
    </row>
    <row r="330" spans="1:13" s="629" customFormat="1" ht="15.5">
      <c r="B330" s="767"/>
      <c r="C330" s="1332" t="s">
        <v>948</v>
      </c>
      <c r="D330" s="1010" t="s">
        <v>1243</v>
      </c>
      <c r="E330" s="1011">
        <f>_xlfn.XLOOKUP($C330,INPUT_DATA!$DX:$DX,INPUT_DATA!$DZ:$DZ)</f>
        <v>1131231414.8299999</v>
      </c>
      <c r="F330" s="1012">
        <f>E330/$E$332</f>
        <v>0.10541312311452064</v>
      </c>
      <c r="G330" s="1013">
        <f>_xlfn.XLOOKUP($C330,INPUT_DATA!$DX:$DX,INPUT_DATA!$EA:$EA)</f>
        <v>8467</v>
      </c>
      <c r="H330" s="1025">
        <f>G330/$G$332</f>
        <v>0.11571998687951017</v>
      </c>
      <c r="M330" s="772"/>
    </row>
    <row r="331" spans="1:13" s="629" customFormat="1" ht="15.5">
      <c r="B331" s="767"/>
      <c r="C331" s="1332" t="s">
        <v>949</v>
      </c>
      <c r="D331" s="1015" t="s">
        <v>1293</v>
      </c>
      <c r="E331" s="1011">
        <f>_xlfn.XLOOKUP($C331,INPUT_DATA!$DX:$DX,INPUT_DATA!$DZ:$DZ)</f>
        <v>9600178312.9799995</v>
      </c>
      <c r="F331" s="1012">
        <f>E331/$E$332</f>
        <v>0.89458687688547933</v>
      </c>
      <c r="G331" s="1013">
        <f>_xlfn.XLOOKUP($C331,INPUT_DATA!$DX:$DX,INPUT_DATA!$EA:$EA)</f>
        <v>64701</v>
      </c>
      <c r="H331" s="1025">
        <f>G331/$G$332</f>
        <v>0.88428001312048987</v>
      </c>
      <c r="M331" s="772"/>
    </row>
    <row r="332" spans="1:13" s="629" customFormat="1" ht="15.5">
      <c r="B332" s="767"/>
      <c r="C332" s="1009"/>
      <c r="D332" s="1017" t="s">
        <v>415</v>
      </c>
      <c r="E332" s="1018">
        <f>SUM(E330:E331)</f>
        <v>10731409727.809999</v>
      </c>
      <c r="F332" s="1019">
        <f>SUM(F330:F331)</f>
        <v>1</v>
      </c>
      <c r="G332" s="1020">
        <f>SUM(G330:G331)</f>
        <v>73168</v>
      </c>
      <c r="H332" s="1019">
        <f>SUM(H330:H331)</f>
        <v>1</v>
      </c>
      <c r="M332" s="772"/>
    </row>
    <row r="333" spans="1:13" s="629" customFormat="1" ht="15.5">
      <c r="B333" s="767"/>
      <c r="C333" s="1009"/>
      <c r="D333" s="813"/>
      <c r="E333" s="1035"/>
      <c r="F333" s="1035"/>
      <c r="G333" s="1036"/>
      <c r="H333" s="1035"/>
      <c r="M333" s="772"/>
    </row>
    <row r="334" spans="1:13" s="629" customFormat="1" ht="15.5">
      <c r="B334" s="767"/>
      <c r="C334" s="1009"/>
      <c r="D334" s="813"/>
      <c r="E334" s="1035"/>
      <c r="F334" s="1035"/>
      <c r="G334" s="1036"/>
      <c r="H334" s="1035"/>
      <c r="M334" s="772"/>
    </row>
    <row r="335" spans="1:13" s="629" customFormat="1" ht="15.5">
      <c r="B335" s="767"/>
      <c r="C335" s="1009"/>
      <c r="D335" s="813"/>
      <c r="E335" s="1035"/>
      <c r="F335" s="1035"/>
      <c r="G335" s="1036"/>
      <c r="H335" s="1035"/>
      <c r="M335" s="772"/>
    </row>
    <row r="336" spans="1:13" s="629" customFormat="1" ht="15.5">
      <c r="B336" s="767"/>
      <c r="C336" s="1009"/>
      <c r="D336" s="813"/>
      <c r="E336" s="1035"/>
      <c r="F336" s="1035"/>
      <c r="G336" s="1036"/>
      <c r="H336" s="1035"/>
      <c r="M336" s="772"/>
    </row>
    <row r="337" spans="1:13" s="629" customFormat="1" ht="24.65"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104" t="s">
        <v>443</v>
      </c>
      <c r="F339" s="2106"/>
      <c r="G339" s="2104" t="s">
        <v>444</v>
      </c>
      <c r="H339" s="2106"/>
      <c r="M339" s="772"/>
    </row>
    <row r="340" spans="1:13" s="629" customFormat="1" ht="15.5">
      <c r="B340" s="767"/>
      <c r="C340" s="1332" t="s">
        <v>1244</v>
      </c>
      <c r="D340" s="1010" t="s">
        <v>549</v>
      </c>
      <c r="E340" s="1011">
        <f>_xlfn.XLOOKUP($C340,INPUT_DATA!$DX:$DX,INPUT_DATA!$DZ:$DZ)</f>
        <v>2383552.44</v>
      </c>
      <c r="F340" s="1014">
        <f>E340/$F$17</f>
        <v>2.2210990917839285E-4</v>
      </c>
      <c r="G340" s="1013">
        <f>_xlfn.XLOOKUP($C340,INPUT_DATA!$DX:$DX,INPUT_DATA!$EA:$EA)</f>
        <v>2</v>
      </c>
      <c r="H340" s="1025">
        <f>G340/$F$16</f>
        <v>2.7334353815875794E-5</v>
      </c>
      <c r="M340" s="772"/>
    </row>
    <row r="341" spans="1:13" s="629" customFormat="1" ht="15.5">
      <c r="B341" s="767"/>
      <c r="C341" s="1332" t="s">
        <v>1245</v>
      </c>
      <c r="D341" s="1015" t="s">
        <v>550</v>
      </c>
      <c r="E341" s="1011">
        <f>_xlfn.XLOOKUP($C341,INPUT_DATA!$DX:$DX,INPUT_DATA!$DZ:$DZ)</f>
        <v>2349919.2200000002</v>
      </c>
      <c r="F341" s="1014">
        <f t="shared" ref="F341:F359" si="20">E341/$F$17</f>
        <v>2.1897581767941292E-4</v>
      </c>
      <c r="G341" s="1013">
        <f>_xlfn.XLOOKUP($C341,INPUT_DATA!$DX:$DX,INPUT_DATA!$EA:$EA)</f>
        <v>1</v>
      </c>
      <c r="H341" s="1025">
        <f t="shared" ref="H341:H359" si="21">G341/$F$16</f>
        <v>1.3667176907937897E-5</v>
      </c>
      <c r="M341" s="772"/>
    </row>
    <row r="342" spans="1:13" s="629" customFormat="1" ht="15.5">
      <c r="B342" s="767"/>
      <c r="C342" s="1332" t="s">
        <v>1246</v>
      </c>
      <c r="D342" s="1015" t="s">
        <v>551</v>
      </c>
      <c r="E342" s="1011">
        <f>_xlfn.XLOOKUP($C342,INPUT_DATA!$DX:$DX,INPUT_DATA!$DZ:$DZ)</f>
        <v>2328326.27</v>
      </c>
      <c r="F342" s="1014">
        <f t="shared" si="20"/>
        <v>2.169636915424299E-4</v>
      </c>
      <c r="G342" s="1013">
        <f>_xlfn.XLOOKUP($C342,INPUT_DATA!$DX:$DX,INPUT_DATA!$EA:$EA)</f>
        <v>1</v>
      </c>
      <c r="H342" s="1025">
        <f t="shared" si="21"/>
        <v>1.3667176907937897E-5</v>
      </c>
      <c r="M342" s="772"/>
    </row>
    <row r="343" spans="1:13" s="629" customFormat="1" ht="15.5">
      <c r="B343" s="767"/>
      <c r="C343" s="1332" t="s">
        <v>1247</v>
      </c>
      <c r="D343" s="1015" t="s">
        <v>552</v>
      </c>
      <c r="E343" s="1011">
        <f>_xlfn.XLOOKUP($C343,INPUT_DATA!$DX:$DX,INPUT_DATA!$DZ:$DZ)</f>
        <v>2291913.96</v>
      </c>
      <c r="F343" s="1014">
        <f t="shared" si="20"/>
        <v>2.135706322032045E-4</v>
      </c>
      <c r="G343" s="1013">
        <f>_xlfn.XLOOKUP($C343,INPUT_DATA!$DX:$DX,INPUT_DATA!$EA:$EA)</f>
        <v>1</v>
      </c>
      <c r="H343" s="1025">
        <f t="shared" si="21"/>
        <v>1.3667176907937897E-5</v>
      </c>
      <c r="M343" s="772"/>
    </row>
    <row r="344" spans="1:13" s="629" customFormat="1" ht="15.5">
      <c r="B344" s="767"/>
      <c r="C344" s="1332" t="s">
        <v>1248</v>
      </c>
      <c r="D344" s="1015" t="s">
        <v>553</v>
      </c>
      <c r="E344" s="1011">
        <f>_xlfn.XLOOKUP($C344,INPUT_DATA!$DX:$DX,INPUT_DATA!$DZ:$DZ)</f>
        <v>2251245.14</v>
      </c>
      <c r="F344" s="1014">
        <f t="shared" si="20"/>
        <v>2.0978093252426965E-4</v>
      </c>
      <c r="G344" s="1013">
        <f>_xlfn.XLOOKUP($C344,INPUT_DATA!$DX:$DX,INPUT_DATA!$EA:$EA)</f>
        <v>1</v>
      </c>
      <c r="H344" s="1025">
        <f t="shared" si="21"/>
        <v>1.3667176907937897E-5</v>
      </c>
      <c r="M344" s="772"/>
    </row>
    <row r="345" spans="1:13" s="629" customFormat="1" ht="15.5">
      <c r="B345" s="767"/>
      <c r="C345" s="1332" t="s">
        <v>1249</v>
      </c>
      <c r="D345" s="1015" t="s">
        <v>554</v>
      </c>
      <c r="E345" s="1011">
        <f>_xlfn.XLOOKUP($C345,INPUT_DATA!$DX:$DX,INPUT_DATA!$DZ:$DZ)</f>
        <v>2125029.14</v>
      </c>
      <c r="F345" s="1014">
        <f t="shared" si="20"/>
        <v>1.9801957001912586E-4</v>
      </c>
      <c r="G345" s="1013">
        <f>_xlfn.XLOOKUP($C345,INPUT_DATA!$DX:$DX,INPUT_DATA!$EA:$EA)</f>
        <v>1</v>
      </c>
      <c r="H345" s="1025">
        <f t="shared" si="21"/>
        <v>1.3667176907937897E-5</v>
      </c>
      <c r="M345" s="772"/>
    </row>
    <row r="346" spans="1:13" s="629" customFormat="1" ht="15.5">
      <c r="B346" s="767"/>
      <c r="C346" s="1332" t="s">
        <v>1250</v>
      </c>
      <c r="D346" s="1015" t="s">
        <v>555</v>
      </c>
      <c r="E346" s="1011">
        <f>_xlfn.XLOOKUP($C346,INPUT_DATA!$DX:$DX,INPUT_DATA!$DZ:$DZ)</f>
        <v>2121801.94</v>
      </c>
      <c r="F346" s="1014">
        <f t="shared" si="20"/>
        <v>1.9771884531642094E-4</v>
      </c>
      <c r="G346" s="1013">
        <f>_xlfn.XLOOKUP($C346,INPUT_DATA!$DX:$DX,INPUT_DATA!$EA:$EA)</f>
        <v>1</v>
      </c>
      <c r="H346" s="1025">
        <f t="shared" si="21"/>
        <v>1.3667176907937897E-5</v>
      </c>
      <c r="M346" s="772"/>
    </row>
    <row r="347" spans="1:13" s="629" customFormat="1" ht="15.5">
      <c r="B347" s="767"/>
      <c r="C347" s="1332" t="s">
        <v>1251</v>
      </c>
      <c r="D347" s="1015" t="s">
        <v>556</v>
      </c>
      <c r="E347" s="1011">
        <f>_xlfn.XLOOKUP($C347,INPUT_DATA!$DX:$DX,INPUT_DATA!$DZ:$DZ)</f>
        <v>2086127.91</v>
      </c>
      <c r="F347" s="1014">
        <f t="shared" si="20"/>
        <v>1.9439458215763462E-4</v>
      </c>
      <c r="G347" s="1013">
        <f>_xlfn.XLOOKUP($C347,INPUT_DATA!$DX:$DX,INPUT_DATA!$EA:$EA)</f>
        <v>1</v>
      </c>
      <c r="H347" s="1025">
        <f t="shared" si="21"/>
        <v>1.3667176907937897E-5</v>
      </c>
      <c r="M347" s="772"/>
    </row>
    <row r="348" spans="1:13" s="629" customFormat="1" ht="15.5">
      <c r="B348" s="767"/>
      <c r="C348" s="1332" t="s">
        <v>1252</v>
      </c>
      <c r="D348" s="1015" t="s">
        <v>557</v>
      </c>
      <c r="E348" s="1011">
        <f>_xlfn.XLOOKUP($C348,INPUT_DATA!$DX:$DX,INPUT_DATA!$DZ:$DZ)</f>
        <v>2078606.46</v>
      </c>
      <c r="F348" s="1014">
        <f t="shared" si="20"/>
        <v>1.9369370033588213E-4</v>
      </c>
      <c r="G348" s="1013">
        <f>_xlfn.XLOOKUP($C348,INPUT_DATA!$DX:$DX,INPUT_DATA!$EA:$EA)</f>
        <v>1</v>
      </c>
      <c r="H348" s="1025">
        <f t="shared" si="21"/>
        <v>1.3667176907937897E-5</v>
      </c>
      <c r="M348" s="772"/>
    </row>
    <row r="349" spans="1:13" s="629" customFormat="1" ht="15.5">
      <c r="B349" s="767"/>
      <c r="C349" s="1332" t="s">
        <v>1253</v>
      </c>
      <c r="D349" s="1015" t="s">
        <v>558</v>
      </c>
      <c r="E349" s="1011">
        <f>_xlfn.XLOOKUP($C349,INPUT_DATA!$DX:$DX,INPUT_DATA!$DZ:$DZ)</f>
        <v>2014154.78</v>
      </c>
      <c r="F349" s="1014">
        <f t="shared" si="20"/>
        <v>1.8768780906579333E-4</v>
      </c>
      <c r="G349" s="1013">
        <f>_xlfn.XLOOKUP($C349,INPUT_DATA!$DX:$DX,INPUT_DATA!$EA:$EA)</f>
        <v>1</v>
      </c>
      <c r="H349" s="1025">
        <f t="shared" si="21"/>
        <v>1.3667176907937897E-5</v>
      </c>
      <c r="M349" s="772"/>
    </row>
    <row r="350" spans="1:13" s="629" customFormat="1" ht="15.5">
      <c r="B350" s="767"/>
      <c r="C350" s="1332" t="s">
        <v>1254</v>
      </c>
      <c r="D350" s="1015" t="s">
        <v>559</v>
      </c>
      <c r="E350" s="1011">
        <f>_xlfn.XLOOKUP($C350,INPUT_DATA!$DX:$DX,INPUT_DATA!$DZ:$DZ)</f>
        <v>2004791.23</v>
      </c>
      <c r="F350" s="1014">
        <f t="shared" si="20"/>
        <v>1.8681527225679098E-4</v>
      </c>
      <c r="G350" s="1013">
        <f>_xlfn.XLOOKUP($C350,INPUT_DATA!$DX:$DX,INPUT_DATA!$EA:$EA)</f>
        <v>7</v>
      </c>
      <c r="H350" s="1025">
        <f t="shared" si="21"/>
        <v>9.5670238355565276E-5</v>
      </c>
      <c r="M350" s="772"/>
    </row>
    <row r="351" spans="1:13" s="629" customFormat="1" ht="15.5">
      <c r="B351" s="767"/>
      <c r="C351" s="1332" t="s">
        <v>1255</v>
      </c>
      <c r="D351" s="1015" t="s">
        <v>560</v>
      </c>
      <c r="E351" s="1011">
        <f>_xlfn.XLOOKUP($C351,INPUT_DATA!$DX:$DX,INPUT_DATA!$DZ:$DZ)</f>
        <v>1984343.36</v>
      </c>
      <c r="F351" s="1014">
        <f t="shared" si="20"/>
        <v>1.8490984971505258E-4</v>
      </c>
      <c r="G351" s="1013">
        <f>_xlfn.XLOOKUP($C351,INPUT_DATA!$DX:$DX,INPUT_DATA!$EA:$EA)</f>
        <v>1</v>
      </c>
      <c r="H351" s="1025">
        <f t="shared" si="21"/>
        <v>1.3667176907937897E-5</v>
      </c>
      <c r="M351" s="772"/>
    </row>
    <row r="352" spans="1:13" s="629" customFormat="1" ht="15.5">
      <c r="B352" s="767"/>
      <c r="C352" s="1332" t="s">
        <v>1256</v>
      </c>
      <c r="D352" s="1015" t="s">
        <v>561</v>
      </c>
      <c r="E352" s="1011">
        <f>_xlfn.XLOOKUP($C352,INPUT_DATA!$DX:$DX,INPUT_DATA!$DZ:$DZ)</f>
        <v>1978300.35</v>
      </c>
      <c r="F352" s="1014">
        <f t="shared" si="20"/>
        <v>1.8434673544085432E-4</v>
      </c>
      <c r="G352" s="1013">
        <f>_xlfn.XLOOKUP($C352,INPUT_DATA!$DX:$DX,INPUT_DATA!$EA:$EA)</f>
        <v>1</v>
      </c>
      <c r="H352" s="1025">
        <f t="shared" si="21"/>
        <v>1.3667176907937897E-5</v>
      </c>
      <c r="M352" s="772"/>
    </row>
    <row r="353" spans="1:13" s="629" customFormat="1" ht="15.5">
      <c r="B353" s="767"/>
      <c r="C353" s="1332" t="s">
        <v>1257</v>
      </c>
      <c r="D353" s="1015" t="s">
        <v>562</v>
      </c>
      <c r="E353" s="1011">
        <f>_xlfn.XLOOKUP($C353,INPUT_DATA!$DX:$DX,INPUT_DATA!$DZ:$DZ)</f>
        <v>1968344.77</v>
      </c>
      <c r="F353" s="1014">
        <f t="shared" si="20"/>
        <v>1.8341903067023126E-4</v>
      </c>
      <c r="G353" s="1013">
        <f>_xlfn.XLOOKUP($C353,INPUT_DATA!$DX:$DX,INPUT_DATA!$EA:$EA)</f>
        <v>1</v>
      </c>
      <c r="H353" s="1025">
        <f t="shared" si="21"/>
        <v>1.3667176907937897E-5</v>
      </c>
      <c r="M353" s="772"/>
    </row>
    <row r="354" spans="1:13" s="629" customFormat="1" ht="15.5">
      <c r="B354" s="767"/>
      <c r="C354" s="1332" t="s">
        <v>1258</v>
      </c>
      <c r="D354" s="1015" t="s">
        <v>563</v>
      </c>
      <c r="E354" s="1011">
        <f>_xlfn.XLOOKUP($C354,INPUT_DATA!$DX:$DX,INPUT_DATA!$DZ:$DZ)</f>
        <v>1962785.28</v>
      </c>
      <c r="F354" s="1014">
        <f t="shared" si="20"/>
        <v>1.8290097291817349E-4</v>
      </c>
      <c r="G354" s="1013">
        <f>_xlfn.XLOOKUP($C354,INPUT_DATA!$DX:$DX,INPUT_DATA!$EA:$EA)</f>
        <v>1</v>
      </c>
      <c r="H354" s="1025">
        <f t="shared" si="21"/>
        <v>1.3667176907937897E-5</v>
      </c>
      <c r="M354" s="772"/>
    </row>
    <row r="355" spans="1:13" s="629" customFormat="1" ht="15.5">
      <c r="B355" s="767"/>
      <c r="C355" s="1332" t="s">
        <v>1259</v>
      </c>
      <c r="D355" s="1015" t="s">
        <v>564</v>
      </c>
      <c r="E355" s="1011">
        <f>_xlfn.XLOOKUP($C355,INPUT_DATA!$DX:$DX,INPUT_DATA!$DZ:$DZ)</f>
        <v>1948141.88</v>
      </c>
      <c r="F355" s="1014">
        <f t="shared" si="20"/>
        <v>1.8153643644333811E-4</v>
      </c>
      <c r="G355" s="1013">
        <f>_xlfn.XLOOKUP($C355,INPUT_DATA!$DX:$DX,INPUT_DATA!$EA:$EA)</f>
        <v>1</v>
      </c>
      <c r="H355" s="1025">
        <f t="shared" si="21"/>
        <v>1.3667176907937897E-5</v>
      </c>
      <c r="M355" s="772"/>
    </row>
    <row r="356" spans="1:13" s="629" customFormat="1" ht="15.5">
      <c r="B356" s="767"/>
      <c r="C356" s="1332" t="s">
        <v>1260</v>
      </c>
      <c r="D356" s="1015" t="s">
        <v>565</v>
      </c>
      <c r="E356" s="1011">
        <f>_xlfn.XLOOKUP($C356,INPUT_DATA!$DX:$DX,INPUT_DATA!$DZ:$DZ)</f>
        <v>1944036.49</v>
      </c>
      <c r="F356" s="1014">
        <f t="shared" si="20"/>
        <v>1.811538781304856E-4</v>
      </c>
      <c r="G356" s="1013">
        <f>_xlfn.XLOOKUP($C356,INPUT_DATA!$DX:$DX,INPUT_DATA!$EA:$EA)</f>
        <v>2</v>
      </c>
      <c r="H356" s="1025">
        <f t="shared" si="21"/>
        <v>2.7334353815875794E-5</v>
      </c>
      <c r="M356" s="772"/>
    </row>
    <row r="357" spans="1:13" s="629" customFormat="1" ht="15.5">
      <c r="B357" s="767"/>
      <c r="C357" s="1332" t="s">
        <v>1261</v>
      </c>
      <c r="D357" s="1015" t="s">
        <v>566</v>
      </c>
      <c r="E357" s="1011">
        <f>_xlfn.XLOOKUP($C357,INPUT_DATA!$DX:$DX,INPUT_DATA!$DZ:$DZ)</f>
        <v>1939724.51</v>
      </c>
      <c r="F357" s="1014">
        <f t="shared" si="20"/>
        <v>1.807520688519874E-4</v>
      </c>
      <c r="G357" s="1013">
        <f>_xlfn.XLOOKUP($C357,INPUT_DATA!$DX:$DX,INPUT_DATA!$EA:$EA)</f>
        <v>1</v>
      </c>
      <c r="H357" s="1025">
        <f t="shared" si="21"/>
        <v>1.3667176907937897E-5</v>
      </c>
      <c r="M357" s="772"/>
    </row>
    <row r="358" spans="1:13" s="629" customFormat="1" ht="15.5">
      <c r="B358" s="767"/>
      <c r="C358" s="1332" t="s">
        <v>1262</v>
      </c>
      <c r="D358" s="1015" t="s">
        <v>567</v>
      </c>
      <c r="E358" s="1011">
        <f>_xlfn.XLOOKUP($C358,INPUT_DATA!$DX:$DX,INPUT_DATA!$DZ:$DZ)</f>
        <v>1912312.28</v>
      </c>
      <c r="F358" s="1014">
        <f t="shared" si="20"/>
        <v>1.7819767658710514E-4</v>
      </c>
      <c r="G358" s="1013">
        <f>_xlfn.XLOOKUP($C358,INPUT_DATA!$DX:$DX,INPUT_DATA!$EA:$EA)</f>
        <v>1</v>
      </c>
      <c r="H358" s="1025">
        <f t="shared" si="21"/>
        <v>1.3667176907937897E-5</v>
      </c>
      <c r="M358" s="772"/>
    </row>
    <row r="359" spans="1:13" s="629" customFormat="1" ht="15.5">
      <c r="B359" s="767"/>
      <c r="C359" s="1332" t="s">
        <v>1263</v>
      </c>
      <c r="D359" s="1016" t="s">
        <v>568</v>
      </c>
      <c r="E359" s="1011">
        <f>_xlfn.XLOOKUP($C359,INPUT_DATA!$DX:$DX,INPUT_DATA!$DZ:$DZ)</f>
        <v>1820962.54</v>
      </c>
      <c r="F359" s="1014">
        <f t="shared" si="20"/>
        <v>1.6968530567620135E-4</v>
      </c>
      <c r="G359" s="1013">
        <f>_xlfn.XLOOKUP($C359,INPUT_DATA!$DX:$DX,INPUT_DATA!$EA:$EA)</f>
        <v>2</v>
      </c>
      <c r="H359" s="1025">
        <f t="shared" si="21"/>
        <v>2.7334353815875794E-5</v>
      </c>
      <c r="M359" s="772"/>
    </row>
    <row r="360" spans="1:13" s="629" customFormat="1" ht="15.5">
      <c r="B360" s="767"/>
      <c r="C360" s="1009"/>
      <c r="D360" s="1017" t="s">
        <v>415</v>
      </c>
      <c r="E360" s="1018">
        <f>SUM(E340:E359)</f>
        <v>41494419.950000003</v>
      </c>
      <c r="F360" s="1019">
        <f>SUM(F340:F359)</f>
        <v>3.8666327167127868E-3</v>
      </c>
      <c r="G360" s="1020">
        <f>SUM(G340:G359)</f>
        <v>29</v>
      </c>
      <c r="H360" s="1019">
        <f>SUM(H340:H359)</f>
        <v>3.9634813033019887E-4</v>
      </c>
      <c r="M360" s="772"/>
    </row>
    <row r="361" spans="1:13" s="629" customFormat="1" ht="15.5">
      <c r="B361" s="767"/>
      <c r="C361" s="1009"/>
      <c r="D361" s="813"/>
      <c r="E361" s="1035"/>
      <c r="F361" s="1035"/>
      <c r="G361" s="1036"/>
      <c r="H361" s="1035"/>
      <c r="M361" s="772"/>
    </row>
    <row r="362" spans="1:13" s="629" customFormat="1" ht="15.5">
      <c r="B362" s="767"/>
      <c r="C362" s="1009"/>
      <c r="D362" s="813"/>
      <c r="E362" s="1035"/>
      <c r="F362" s="1035"/>
      <c r="G362" s="1036"/>
      <c r="H362" s="1035"/>
      <c r="M362" s="772"/>
    </row>
    <row r="363" spans="1:13" s="629" customFormat="1" ht="24.65"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104" t="s">
        <v>443</v>
      </c>
      <c r="F365" s="2106"/>
      <c r="G365" s="2104" t="s">
        <v>444</v>
      </c>
      <c r="H365" s="2106"/>
      <c r="M365" s="772"/>
    </row>
    <row r="366" spans="1:13" s="629" customFormat="1" ht="15.5">
      <c r="B366" s="767"/>
      <c r="C366" s="1332" t="s">
        <v>106</v>
      </c>
      <c r="D366" s="1010" t="s">
        <v>1264</v>
      </c>
      <c r="E366" s="1011">
        <f>_xlfn.XLOOKUP($C366,INPUT_DATA!$DX:$DX,INPUT_DATA!$DZ:$DZ)</f>
        <v>10731409727.809999</v>
      </c>
      <c r="F366" s="1014">
        <f>E366/$E$388</f>
        <v>1</v>
      </c>
      <c r="G366" s="1013">
        <f>_xlfn.XLOOKUP($C366,INPUT_DATA!$DX:$DX,INPUT_DATA!$EA:$EA)</f>
        <v>73168</v>
      </c>
      <c r="H366" s="1025">
        <f>G366/$G$388</f>
        <v>1</v>
      </c>
      <c r="M366" s="772"/>
    </row>
    <row r="367" spans="1:13" s="629" customFormat="1" ht="15.5">
      <c r="B367" s="767"/>
      <c r="C367" s="1009"/>
      <c r="D367" s="1017" t="s">
        <v>415</v>
      </c>
      <c r="E367" s="1018">
        <f>SUM(E366:E366)</f>
        <v>10731409727.809999</v>
      </c>
      <c r="F367" s="1019">
        <f>SUM(F366:F366)</f>
        <v>1</v>
      </c>
      <c r="G367" s="1020">
        <f>SUM(G366:G366)</f>
        <v>73168</v>
      </c>
      <c r="H367" s="1019">
        <f>SUM(H366:H366)</f>
        <v>1</v>
      </c>
      <c r="M367" s="772"/>
    </row>
    <row r="368" spans="1:13" s="629" customFormat="1" ht="15.5">
      <c r="B368" s="767"/>
      <c r="C368" s="1009"/>
      <c r="D368" s="1029"/>
      <c r="E368" s="1030"/>
      <c r="F368" s="1031"/>
      <c r="G368" s="1032"/>
      <c r="H368" s="1031"/>
      <c r="M368" s="772"/>
    </row>
    <row r="369" spans="1:13" s="629" customFormat="1" ht="15.5">
      <c r="B369" s="767"/>
      <c r="C369" s="1009"/>
      <c r="D369" s="813"/>
      <c r="E369" s="1035"/>
      <c r="F369" s="1035"/>
      <c r="G369" s="1036"/>
      <c r="H369" s="1035"/>
      <c r="M369" s="772"/>
    </row>
    <row r="370" spans="1:13" s="629" customFormat="1" ht="24.65"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104" t="s">
        <v>443</v>
      </c>
      <c r="F372" s="2106"/>
      <c r="G372" s="2104" t="s">
        <v>444</v>
      </c>
      <c r="H372" s="2106"/>
      <c r="M372" s="772"/>
    </row>
    <row r="373" spans="1:13" s="629" customFormat="1" ht="15.5">
      <c r="B373" s="767"/>
      <c r="C373" s="1332" t="s">
        <v>1265</v>
      </c>
      <c r="D373" s="1010" t="s">
        <v>1266</v>
      </c>
      <c r="E373" s="1011">
        <f>_xlfn.XLOOKUP($C373,INPUT_DATA!$DX:$DX,INPUT_DATA!$DZ:$DZ)</f>
        <v>7907950291.3900003</v>
      </c>
      <c r="F373" s="1014">
        <f>E373/$E$388</f>
        <v>0.73689762034682893</v>
      </c>
      <c r="G373" s="1013">
        <f>_xlfn.XLOOKUP($C373,INPUT_DATA!$DX:$DX,INPUT_DATA!$EA:$EA)</f>
        <v>49091</v>
      </c>
      <c r="H373" s="1025">
        <f>G373/$G$388</f>
        <v>0.67093538158757926</v>
      </c>
      <c r="M373" s="772"/>
    </row>
    <row r="374" spans="1:13" s="629" customFormat="1" ht="15.5">
      <c r="B374" s="767"/>
      <c r="C374" s="1332" t="s">
        <v>1267</v>
      </c>
      <c r="D374" s="1015" t="s">
        <v>1268</v>
      </c>
      <c r="E374" s="1011">
        <f>_xlfn.XLOOKUP($C374,INPUT_DATA!$DX:$DX,INPUT_DATA!$DZ:$DZ)</f>
        <v>517370552.67000002</v>
      </c>
      <c r="F374" s="1014">
        <f>E374/$E$388</f>
        <v>4.8210865654421516E-2</v>
      </c>
      <c r="G374" s="1013">
        <f>_xlfn.XLOOKUP($C374,INPUT_DATA!$DX:$DX,INPUT_DATA!$EA:$EA)</f>
        <v>3375</v>
      </c>
      <c r="H374" s="1025">
        <f>G374/$G$388</f>
        <v>4.6126722064290401E-2</v>
      </c>
      <c r="M374" s="772"/>
    </row>
    <row r="375" spans="1:13" s="629" customFormat="1" ht="15.5">
      <c r="B375" s="767"/>
      <c r="C375" s="1332" t="s">
        <v>1269</v>
      </c>
      <c r="D375" s="1015" t="s">
        <v>1270</v>
      </c>
      <c r="E375" s="1011">
        <f>_xlfn.XLOOKUP($C375,INPUT_DATA!$DX:$DX,INPUT_DATA!$DZ:$DZ)</f>
        <v>2306088883.75</v>
      </c>
      <c r="F375" s="1014">
        <f>E375/$E$388</f>
        <v>0.21489151399874959</v>
      </c>
      <c r="G375" s="1013">
        <f>_xlfn.XLOOKUP($C375,INPUT_DATA!$DX:$DX,INPUT_DATA!$EA:$EA)</f>
        <v>20702</v>
      </c>
      <c r="H375" s="1025">
        <f>G375/$G$388</f>
        <v>0.28293789634813032</v>
      </c>
      <c r="M375" s="772"/>
    </row>
    <row r="376" spans="1:13" s="629" customFormat="1" ht="15.5">
      <c r="B376" s="767"/>
      <c r="C376" s="1009"/>
      <c r="D376" s="1017" t="s">
        <v>415</v>
      </c>
      <c r="E376" s="1018">
        <f>SUM(E373:E375)</f>
        <v>10731409727.810001</v>
      </c>
      <c r="F376" s="1019">
        <f>SUM(F373:F375)</f>
        <v>1</v>
      </c>
      <c r="G376" s="1020">
        <f>SUM(G373:G375)</f>
        <v>73168</v>
      </c>
      <c r="H376" s="1019">
        <f>SUM(H373:H375)</f>
        <v>1</v>
      </c>
      <c r="M376" s="772"/>
    </row>
    <row r="377" spans="1:13" s="629" customFormat="1" ht="15.5">
      <c r="B377" s="767"/>
      <c r="C377" s="1009"/>
      <c r="D377" s="1029"/>
      <c r="E377" s="1030"/>
      <c r="F377" s="1031"/>
      <c r="G377" s="1032"/>
      <c r="H377" s="1031"/>
      <c r="M377" s="772"/>
    </row>
    <row r="378" spans="1:13" s="629" customFormat="1" ht="15.5">
      <c r="B378" s="767"/>
      <c r="C378" s="1009"/>
      <c r="D378" s="813"/>
      <c r="E378" s="1035"/>
      <c r="F378" s="1035"/>
      <c r="G378" s="1036"/>
      <c r="H378" s="1035"/>
      <c r="M378" s="772"/>
    </row>
    <row r="379" spans="1:13" s="629" customFormat="1" ht="15.5">
      <c r="B379" s="767"/>
      <c r="C379" s="1009"/>
      <c r="D379" s="813"/>
      <c r="E379" s="1035"/>
      <c r="F379" s="1035"/>
      <c r="G379" s="1036"/>
      <c r="H379" s="1035"/>
      <c r="M379" s="772"/>
    </row>
    <row r="380" spans="1:13" s="629" customFormat="1" ht="15.5">
      <c r="B380" s="767"/>
      <c r="C380" s="1009"/>
      <c r="D380" s="813"/>
      <c r="E380" s="1035"/>
      <c r="F380" s="1035"/>
      <c r="G380" s="1036"/>
      <c r="H380" s="1035"/>
      <c r="M380" s="772"/>
    </row>
    <row r="381" spans="1:13" s="629" customFormat="1" ht="24.65"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104" t="s">
        <v>443</v>
      </c>
      <c r="F383" s="2106"/>
      <c r="G383" s="2104" t="s">
        <v>444</v>
      </c>
      <c r="H383" s="2106"/>
      <c r="M383" s="772"/>
    </row>
    <row r="384" spans="1:13" s="629" customFormat="1" ht="15.5">
      <c r="B384" s="767"/>
      <c r="C384" s="1332" t="s">
        <v>1271</v>
      </c>
      <c r="D384" s="1010" t="s">
        <v>570</v>
      </c>
      <c r="E384" s="1011">
        <f>_xlfn.XLOOKUP($C384,INPUT_DATA!$DX:$DX,INPUT_DATA!$DZ:$DZ)</f>
        <v>9014359651.8999996</v>
      </c>
      <c r="F384" s="1014">
        <f>E384/$E$388</f>
        <v>0.83999771516874089</v>
      </c>
      <c r="G384" s="1013">
        <f>_xlfn.XLOOKUP($C384,INPUT_DATA!$DX:$DX,INPUT_DATA!$EA:$EA)</f>
        <v>59301</v>
      </c>
      <c r="H384" s="1025">
        <f>G384/$G$388</f>
        <v>0.81047725781762514</v>
      </c>
      <c r="M384" s="772"/>
    </row>
    <row r="385" spans="2:13" s="629" customFormat="1" ht="15.5">
      <c r="B385" s="767"/>
      <c r="C385" s="1332" t="s">
        <v>1272</v>
      </c>
      <c r="D385" s="1015" t="s">
        <v>571</v>
      </c>
      <c r="E385" s="1011">
        <f>_xlfn.XLOOKUP($C385,INPUT_DATA!$DX:$DX,INPUT_DATA!$DZ:$DZ)</f>
        <v>1106594092.8499999</v>
      </c>
      <c r="F385" s="1014">
        <f>E385/$E$388</f>
        <v>0.10311730899457763</v>
      </c>
      <c r="G385" s="1013">
        <f>_xlfn.XLOOKUP($C385,INPUT_DATA!$DX:$DX,INPUT_DATA!$EA:$EA)</f>
        <v>7509</v>
      </c>
      <c r="H385" s="1025">
        <f>G385/$G$388</f>
        <v>0.10262683140170567</v>
      </c>
      <c r="M385" s="772"/>
    </row>
    <row r="386" spans="2:13" s="629" customFormat="1" ht="15.5">
      <c r="B386" s="767"/>
      <c r="C386" s="1332" t="s">
        <v>1273</v>
      </c>
      <c r="D386" s="1015" t="s">
        <v>572</v>
      </c>
      <c r="E386" s="1011">
        <f>_xlfn.XLOOKUP($C386,INPUT_DATA!$DX:$DX,INPUT_DATA!$DZ:$DZ)</f>
        <v>0</v>
      </c>
      <c r="F386" s="1014">
        <f>E386/$E$388</f>
        <v>0</v>
      </c>
      <c r="G386" s="1013">
        <f>_xlfn.XLOOKUP($C386,INPUT_DATA!$DX:$DX,INPUT_DATA!$EA:$EA)</f>
        <v>0</v>
      </c>
      <c r="H386" s="1025">
        <f>G386/$G$388</f>
        <v>0</v>
      </c>
      <c r="M386" s="772"/>
    </row>
    <row r="387" spans="2:13" s="629" customFormat="1" ht="15.5">
      <c r="B387" s="767"/>
      <c r="C387" s="1332" t="s">
        <v>1276</v>
      </c>
      <c r="D387" s="1016" t="s">
        <v>547</v>
      </c>
      <c r="E387" s="1011">
        <f>_xlfn.XLOOKUP($C387,INPUT_DATA!$DX:$DX,INPUT_DATA!$DZ:$DZ)</f>
        <v>610455983.05999994</v>
      </c>
      <c r="F387" s="1037">
        <f>E387/$E$388</f>
        <v>5.6884975836681437E-2</v>
      </c>
      <c r="G387" s="1013">
        <f>_xlfn.XLOOKUP($C387,INPUT_DATA!$DX:$DX,INPUT_DATA!$EA:$EA)</f>
        <v>6358</v>
      </c>
      <c r="H387" s="1025">
        <f>G387/$G$388</f>
        <v>8.6895910780669147E-2</v>
      </c>
      <c r="M387" s="772"/>
    </row>
    <row r="388" spans="2:13" s="629" customFormat="1" ht="15.5">
      <c r="B388" s="767"/>
      <c r="C388" s="1009"/>
      <c r="D388" s="1017" t="s">
        <v>415</v>
      </c>
      <c r="E388" s="1018">
        <f>SUM(E384:E387)</f>
        <v>10731409727.809999</v>
      </c>
      <c r="F388" s="1019">
        <f>SUM(F384:F387)</f>
        <v>0.99999999999999989</v>
      </c>
      <c r="G388" s="1020">
        <f>SUM(G384:G387)</f>
        <v>73168</v>
      </c>
      <c r="H388" s="1019">
        <f>SUM(H384:H387)</f>
        <v>1</v>
      </c>
      <c r="M388" s="772"/>
    </row>
    <row r="389" spans="2:13" s="629" customFormat="1" ht="15.5">
      <c r="B389" s="767"/>
      <c r="C389" s="1009"/>
      <c r="D389" s="1029"/>
      <c r="E389" s="1030"/>
      <c r="F389" s="1031"/>
      <c r="G389" s="1032"/>
      <c r="H389" s="1031"/>
      <c r="M389" s="772"/>
    </row>
    <row r="390" spans="2:13" s="629" customFormat="1" ht="15.5">
      <c r="B390" s="767"/>
      <c r="C390" s="1009"/>
      <c r="D390" s="1029"/>
      <c r="E390" s="1030"/>
      <c r="F390" s="1031"/>
      <c r="G390" s="1032"/>
      <c r="H390" s="1031"/>
      <c r="M390" s="772"/>
    </row>
    <row r="391" spans="2:13" s="629" customFormat="1" ht="13" thickBot="1">
      <c r="B391" s="780"/>
      <c r="C391" s="1038"/>
      <c r="D391" s="1039"/>
      <c r="E391" s="1040"/>
      <c r="F391" s="1040"/>
      <c r="G391" s="1041"/>
      <c r="H391" s="1040"/>
      <c r="I391" s="1038"/>
      <c r="J391" s="1038"/>
      <c r="K391" s="1038"/>
      <c r="L391" s="1038"/>
      <c r="M391" s="784"/>
    </row>
    <row r="392" spans="2:13" ht="13"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7:F257"/>
    <mergeCell ref="G257:H257"/>
    <mergeCell ref="E265:F265"/>
    <mergeCell ref="G265:H265"/>
    <mergeCell ref="E383:F383"/>
    <mergeCell ref="G383:H383"/>
    <mergeCell ref="E299:F299"/>
    <mergeCell ref="G299:H299"/>
    <mergeCell ref="E320:F320"/>
    <mergeCell ref="G320:H320"/>
    <mergeCell ref="E339:F339"/>
    <mergeCell ref="G339:H339"/>
    <mergeCell ref="E372:F372"/>
    <mergeCell ref="G372:H372"/>
    <mergeCell ref="E281:F281"/>
    <mergeCell ref="G281:H281"/>
    <mergeCell ref="E329:F329"/>
    <mergeCell ref="G329:H329"/>
    <mergeCell ref="E365:F365"/>
    <mergeCell ref="G365:H365"/>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85" zoomScaleNormal="85" workbookViewId="0">
      <selection activeCell="N29" sqref="N29"/>
    </sheetView>
  </sheetViews>
  <sheetFormatPr defaultColWidth="9.1796875" defaultRowHeight="12.5"/>
  <cols>
    <col min="1" max="1" width="1.1796875" style="156" customWidth="1"/>
    <col min="2" max="2" width="31.54296875" style="3" bestFit="1" customWidth="1"/>
    <col min="3" max="3" width="17.81640625" style="3" bestFit="1" customWidth="1"/>
    <col min="4" max="4" width="17.453125" style="3" bestFit="1" customWidth="1"/>
    <col min="5" max="5" width="19.453125" style="3" customWidth="1"/>
    <col min="6"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3" bestFit="1" customWidth="1"/>
    <col min="44" max="45" width="14.54296875" style="83" customWidth="1"/>
    <col min="46" max="46" width="20.1796875" style="83" bestFit="1" customWidth="1"/>
    <col min="47" max="48" width="14.54296875" style="83" customWidth="1"/>
    <col min="49" max="49" width="20.1796875" style="83" bestFit="1" customWidth="1"/>
    <col min="50" max="51" width="14.54296875" style="83"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ht="13">
      <c r="B3" s="80"/>
      <c r="C3" s="80"/>
      <c r="D3" s="80"/>
      <c r="G3" s="80"/>
      <c r="H3" s="80"/>
      <c r="I3" s="80"/>
      <c r="J3" s="80"/>
      <c r="K3" s="80"/>
      <c r="L3" s="80"/>
      <c r="M3" s="80"/>
      <c r="N3" s="80"/>
      <c r="O3" s="80"/>
      <c r="P3" s="1213" t="s">
        <v>99</v>
      </c>
      <c r="Q3" s="1213">
        <f>'00 - Cover'!$F$17</f>
        <v>46203</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ht="13">
      <c r="B4" s="80"/>
      <c r="C4" s="80"/>
      <c r="D4" s="80"/>
      <c r="G4" s="80"/>
      <c r="H4" s="80"/>
      <c r="I4" s="80"/>
      <c r="J4" s="80"/>
      <c r="K4" s="80"/>
      <c r="L4" s="80"/>
      <c r="M4" s="80"/>
      <c r="N4" s="80"/>
      <c r="O4" s="80"/>
      <c r="P4" s="1213" t="s">
        <v>4</v>
      </c>
      <c r="Q4" s="1213">
        <f>'00 - Cover'!$F$19</f>
        <v>46223</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ht="13">
      <c r="B5" s="80"/>
      <c r="C5" s="80"/>
      <c r="D5" s="80"/>
      <c r="G5" s="80"/>
      <c r="H5" s="80"/>
      <c r="I5" s="80"/>
      <c r="J5" s="80"/>
      <c r="K5" s="80"/>
      <c r="L5" s="80"/>
      <c r="M5" s="80"/>
      <c r="N5" s="80"/>
      <c r="O5" s="80"/>
      <c r="P5" s="1213" t="s">
        <v>5</v>
      </c>
      <c r="Q5" s="1213">
        <f>'00 - Cover'!$F$20</f>
        <v>46230</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4.5">
      <c r="J10" s="1834">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7753809.8311999999</v>
      </c>
      <c r="K10" s="156"/>
      <c r="L10" s="1834"/>
      <c r="M10" s="1835"/>
      <c r="N10" s="1836"/>
      <c r="O10" s="1835"/>
      <c r="P10" s="1854">
        <f>P17+M17+AQ17+BJ17+BL17+CP17</f>
        <v>10740866883.199999</v>
      </c>
      <c r="Q10" s="1837"/>
      <c r="R10" s="1834"/>
      <c r="S10" s="83"/>
      <c r="T10" s="83"/>
      <c r="U10" s="83"/>
      <c r="AQ10" s="88"/>
      <c r="BJ10" s="83">
        <v>413299.32</v>
      </c>
      <c r="BV10" s="83"/>
    </row>
    <row r="11" spans="2:103" ht="13.5" thickBot="1">
      <c r="B11" s="89"/>
      <c r="C11" s="1863"/>
      <c r="D11" s="1863"/>
      <c r="E11" s="1863"/>
      <c r="F11" s="1863"/>
      <c r="G11" s="1863"/>
      <c r="H11" s="1863"/>
      <c r="I11" s="1863"/>
      <c r="J11" s="1864"/>
      <c r="K11" s="1864"/>
      <c r="L11" s="1864"/>
      <c r="M11" s="1865">
        <f>P18-P17</f>
        <v>94904468.260000229</v>
      </c>
      <c r="N11" s="1866"/>
      <c r="O11" s="1867"/>
      <c r="P11" s="1868">
        <f>P17+AQ17+BL17+CP17</f>
        <v>10733083711.5</v>
      </c>
      <c r="Q11" s="1869">
        <f>M17+AK17+BJ17+CJ17+CK17+AL17</f>
        <v>7983719.54</v>
      </c>
      <c r="R11" s="1870">
        <f>Q11-'04 - Repurchased Receivables'!AS13</f>
        <v>0</v>
      </c>
      <c r="S11" s="1871"/>
      <c r="T11" s="1863"/>
      <c r="U11" s="1863"/>
      <c r="V11" s="1863"/>
      <c r="W11" s="1863"/>
      <c r="X11" s="1863"/>
      <c r="Y11" s="1863"/>
      <c r="Z11" s="1863"/>
      <c r="AA11" s="1863"/>
      <c r="AB11" s="1863"/>
      <c r="AC11" s="1863"/>
      <c r="AD11" s="1863"/>
      <c r="AE11" s="1863"/>
      <c r="AF11" s="1863"/>
      <c r="AG11" s="1863"/>
      <c r="AH11" s="1863"/>
      <c r="AI11" s="1863"/>
      <c r="AJ11" s="1863"/>
      <c r="AK11" s="1863"/>
      <c r="AL11" s="1863"/>
      <c r="AM11" s="1863"/>
      <c r="AN11" s="1863"/>
      <c r="AO11" s="1863"/>
      <c r="AP11" s="1863"/>
      <c r="AQ11" s="1872"/>
      <c r="AR11" s="1872"/>
      <c r="AS11" s="1872"/>
      <c r="AT11" s="1872"/>
      <c r="AU11" s="1872"/>
      <c r="AV11" s="1872"/>
      <c r="AW11" s="1872"/>
      <c r="AX11" s="1872"/>
      <c r="AY11" s="1872"/>
    </row>
    <row r="12" spans="2:103" ht="17.25" customHeight="1" thickBot="1">
      <c r="B12" s="89"/>
      <c r="C12" s="1873"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2"/>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03" t="s">
        <v>44</v>
      </c>
      <c r="C14" s="1905" t="s">
        <v>45</v>
      </c>
      <c r="D14" s="1891" t="s">
        <v>46</v>
      </c>
      <c r="E14" s="1891" t="s">
        <v>47</v>
      </c>
      <c r="F14" s="1891" t="s">
        <v>48</v>
      </c>
      <c r="G14" s="1900" t="s">
        <v>49</v>
      </c>
      <c r="H14" s="1901"/>
      <c r="I14" s="1902"/>
      <c r="J14" s="1891" t="s">
        <v>50</v>
      </c>
      <c r="K14" s="1891" t="s">
        <v>51</v>
      </c>
      <c r="L14" s="1891" t="s">
        <v>1134</v>
      </c>
      <c r="M14" s="1891" t="s">
        <v>52</v>
      </c>
      <c r="N14" s="1891" t="s">
        <v>53</v>
      </c>
      <c r="O14" s="1893" t="s">
        <v>54</v>
      </c>
      <c r="P14" s="1895" t="s">
        <v>55</v>
      </c>
      <c r="Q14" s="1895" t="s">
        <v>56</v>
      </c>
      <c r="R14" s="1899"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897" t="s">
        <v>45</v>
      </c>
      <c r="BB14" s="1886" t="s">
        <v>47</v>
      </c>
      <c r="BC14" s="1886" t="s">
        <v>48</v>
      </c>
      <c r="BD14" s="1888" t="s">
        <v>49</v>
      </c>
      <c r="BE14" s="1889"/>
      <c r="BF14" s="1890"/>
      <c r="BG14" s="1886" t="s">
        <v>50</v>
      </c>
      <c r="BH14" s="1886" t="s">
        <v>51</v>
      </c>
      <c r="BI14" s="1886" t="s">
        <v>1134</v>
      </c>
      <c r="BJ14" s="1886" t="s">
        <v>52</v>
      </c>
      <c r="BK14" s="1886" t="s">
        <v>67</v>
      </c>
      <c r="BL14" s="1882" t="s">
        <v>54</v>
      </c>
      <c r="BM14" s="1882" t="s">
        <v>55</v>
      </c>
      <c r="BN14" s="1884"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04"/>
      <c r="C15" s="1906"/>
      <c r="D15" s="1892"/>
      <c r="E15" s="1892"/>
      <c r="F15" s="1892"/>
      <c r="G15" s="99" t="s">
        <v>68</v>
      </c>
      <c r="H15" s="110" t="s">
        <v>69</v>
      </c>
      <c r="I15" s="100" t="s">
        <v>70</v>
      </c>
      <c r="J15" s="1892"/>
      <c r="K15" s="1892"/>
      <c r="L15" s="1892"/>
      <c r="M15" s="1892"/>
      <c r="N15" s="1892"/>
      <c r="O15" s="1894"/>
      <c r="P15" s="1896"/>
      <c r="Q15" s="1896"/>
      <c r="R15" s="1896"/>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898"/>
      <c r="BB15" s="1887"/>
      <c r="BC15" s="1887"/>
      <c r="BD15" s="114" t="s">
        <v>68</v>
      </c>
      <c r="BE15" s="114" t="s">
        <v>69</v>
      </c>
      <c r="BF15" s="114" t="s">
        <v>70</v>
      </c>
      <c r="BG15" s="1887"/>
      <c r="BH15" s="1887"/>
      <c r="BI15" s="1887"/>
      <c r="BJ15" s="1887"/>
      <c r="BK15" s="1887"/>
      <c r="BL15" s="1883"/>
      <c r="BM15" s="1883"/>
      <c r="BN15" s="1885"/>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5"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ht="13">
      <c r="B17" s="1252">
        <f>'00 - Cover'!F16</f>
        <v>46203</v>
      </c>
      <c r="C17" s="123">
        <f>IF($B17=0,"",SUMIFS(INPUT_DATA!C:C,INPUT_DATA!$A:$A,$B17,INPUT_DATA!$B:$B,"S"))</f>
        <v>10826314196.07</v>
      </c>
      <c r="D17" s="124">
        <f>IF($B17=0,"",SUMIFS(INPUT_DATA!D:D,INPUT_DATA!$A:$A,$B17,INPUT_DATA!$B:$B,"S"))</f>
        <v>0</v>
      </c>
      <c r="E17" s="125">
        <f>IF($B17=0,"",SUMIFS(INPUT_DATA!E:E,INPUT_DATA!$A:$A,$B17,INPUT_DATA!$B:$B,"S"))</f>
        <v>57741420.229999997</v>
      </c>
      <c r="F17" s="125">
        <f>IF($B17=0,"",SUMIFS(INPUT_DATA!F:F,INPUT_DATA!$A:$A,$B17,INPUT_DATA!$B:$B,"S"))</f>
        <v>21785339.800000001</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1114351.0900000001</v>
      </c>
      <c r="L17" s="125">
        <f>IF($B17=0,"",SUMIFS(INPUT_DATA!L:L,INPUT_DATA!$A:$A,$B17,INPUT_DATA!$B:$B,"S"))</f>
        <v>0</v>
      </c>
      <c r="M17" s="125">
        <f>IF($B17=0,"",SUMIFS(INPUT_DATA!M:M,INPUT_DATA!$A:$A,$B17,INPUT_DATA!$B:$B,"S"))</f>
        <v>6910945.4800000004</v>
      </c>
      <c r="N17" s="125">
        <f>IF($B17=0,"",SUMIFS(INPUT_DATA!N:N,INPUT_DATA!$A:$A,$B17,INPUT_DATA!$B:$B,"S"))</f>
        <v>7352411.6600000001</v>
      </c>
      <c r="O17" s="126">
        <f>IF($B17=0,"",C17+D17-E17-F17+G17+H17+I17-J17-K17-M17-N17-L17)</f>
        <v>10731409727.810001</v>
      </c>
      <c r="P17" s="127">
        <f>IF($B17=0,"",SUMIFS(INPUT_DATA!O:O,INPUT_DATA!$A:$A,$B17,INPUT_DATA!$B:$B,"S"))</f>
        <v>10731409727.809999</v>
      </c>
      <c r="Q17" s="127">
        <f>IF($B17=0,"",O17-P17)</f>
        <v>1.9073486328125E-6</v>
      </c>
      <c r="R17" s="127">
        <f>IF($B17=0,"",SUMIFS(INPUT_DATA!BL:BL,INPUT_DATA!$A:$A,$B17,INPUT_DATA!$B:$B,"S"))</f>
        <v>11854715.85</v>
      </c>
      <c r="S17" s="128">
        <f>IF($B17=0,"",SUMIFS(INPUT_DATA!P:P,INPUT_DATA!$A:$A,$B17,INPUT_DATA!$B:$B,"S"))</f>
        <v>725774.75</v>
      </c>
      <c r="T17" s="128">
        <f>IF($B17=0,"",SUMIFS(INPUT_DATA!Q:Q,INPUT_DATA!$A:$A,$B17,INPUT_DATA!$B:$B,"S"))</f>
        <v>150401.01999999999</v>
      </c>
      <c r="U17" s="128">
        <f>IF($B17=0,"",SUMIFS(INPUT_DATA!R:R,INPUT_DATA!$A:$A,$B17,INPUT_DATA!$B:$B,"S"))</f>
        <v>0</v>
      </c>
      <c r="V17" s="128">
        <f>IF($B17=0,"",SUMIFS(INPUT_DATA!S:S,INPUT_DATA!$A:$A,$B17,INPUT_DATA!$B:$B,"S"))</f>
        <v>235995.63</v>
      </c>
      <c r="W17" s="128">
        <f>IF($B17=0,"",SUMIFS(INPUT_DATA!T:T,INPUT_DATA!$A:$A,$B17,INPUT_DATA!$B:$B,"S"))</f>
        <v>60128.87</v>
      </c>
      <c r="X17" s="128">
        <f>IF($B17=0,"",SUMIFS(INPUT_DATA!U:U,INPUT_DATA!$A:$A,$B17,INPUT_DATA!$B:$B,"S"))</f>
        <v>0</v>
      </c>
      <c r="Y17" s="128">
        <f>IF($B17=0,"",SUMIFS(INPUT_DATA!V:V,INPUT_DATA!$A:$A,$B17,INPUT_DATA!$B:$B,"S"))</f>
        <v>176875.08</v>
      </c>
      <c r="Z17" s="128">
        <f>IF($B17=0,"",SUMIFS(INPUT_DATA!W:W,INPUT_DATA!$A:$A,$B17,INPUT_DATA!$B:$B,"S"))</f>
        <v>35922.300000000003</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16355.01</v>
      </c>
      <c r="AI17" s="128">
        <f>IF($B17=0,"",SUMIFS(INPUT_DATA!AF:AF,INPUT_DATA!$A:$A,$B17,INPUT_DATA!$B:$B,"S"))</f>
        <v>3562.25</v>
      </c>
      <c r="AJ17" s="128">
        <f>IF($B17=0,"",SUMIFS(INPUT_DATA!AG:AG,INPUT_DATA!$A:$A,$B17,INPUT_DATA!$B:$B,"S"))</f>
        <v>0</v>
      </c>
      <c r="AK17" s="128">
        <f>IF($B17=0,"",SUMIFS(INPUT_DATA!AK:AK,INPUT_DATA!$A:$A,$B17,INPUT_DATA!$B:$B,"S"))</f>
        <v>480.84</v>
      </c>
      <c r="AL17" s="128">
        <f>IF($B17=0,"",SUMIFS(INPUT_DATA!AL:AL,INPUT_DATA!$A:$A,$B17,INPUT_DATA!$B:$B,"S"))</f>
        <v>59.79</v>
      </c>
      <c r="AM17" s="128">
        <f>IF($B17=0,"",SUMIFS(INPUT_DATA!AM:AM,INPUT_DATA!$A:$A,$B17,INPUT_DATA!$B:$B,"S"))</f>
        <v>0</v>
      </c>
      <c r="AN17" s="128">
        <f>IF($B17=0,"",SUMIFS(INPUT_DATA!AN:AN,INPUT_DATA!$A:$A,$B17,INPUT_DATA!$B:$B,"S"))</f>
        <v>12272.12</v>
      </c>
      <c r="AO17" s="128">
        <f>IF($B17=0,"",SUMIFS(INPUT_DATA!AO:AO,INPUT_DATA!$A:$A,$B17,INPUT_DATA!$B:$B,"S"))</f>
        <v>6735.73</v>
      </c>
      <c r="AP17" s="128">
        <f>IF($B17=0,"",SUMIFS(INPUT_DATA!AP:AP,INPUT_DATA!$A:$A,$B17,INPUT_DATA!$B:$B,"S"))</f>
        <v>0</v>
      </c>
      <c r="AQ17" s="129">
        <f t="shared" ref="AQ17:AS18" si="0">IF($B17=0,"",S17+V17-Y17-AB17-AE17-AH17-AK17-AN17)</f>
        <v>755787.33000000007</v>
      </c>
      <c r="AR17" s="130">
        <f t="shared" si="0"/>
        <v>164249.81999999995</v>
      </c>
      <c r="AS17" s="131">
        <f t="shared" si="0"/>
        <v>0</v>
      </c>
      <c r="AT17" s="129">
        <f>IF($B17=0,"",SUMIFS(INPUT_DATA!AQ:AQ,INPUT_DATA!$A:$A,$B17,INPUT_DATA!$B:$B,"S"))</f>
        <v>755787.33</v>
      </c>
      <c r="AU17" s="130">
        <f>IF($B17=0,"",SUMIFS(INPUT_DATA!AR:AR,INPUT_DATA!$A:$A,$B17,INPUT_DATA!$B:$B,"S"))</f>
        <v>164249.82</v>
      </c>
      <c r="AV17" s="131">
        <f>IF($B17=0,"",SUMIFS(INPUT_DATA!AS:AS,INPUT_DATA!$A:$A,$B17,INPUT_DATA!$B:$B,"S"))</f>
        <v>0</v>
      </c>
      <c r="AW17" s="129">
        <f t="shared" ref="AW17:AY18" si="1">IF($B17=0,"",AQ17-AT17)</f>
        <v>1.1641532182693481E-10</v>
      </c>
      <c r="AX17" s="130">
        <f t="shared" si="1"/>
        <v>-5.8207660913467407E-11</v>
      </c>
      <c r="AY17" s="131">
        <f t="shared" si="1"/>
        <v>0</v>
      </c>
      <c r="AZ17" s="132"/>
      <c r="BA17" s="123">
        <f>IF($B17=0,"",SUMIFS(INPUT_DATA!C:C,INPUT_DATA!$A:$A,$B17,INPUT_DATA!$B:$B,"D"))</f>
        <v>874993.34</v>
      </c>
      <c r="BB17" s="133">
        <f>IF($B17=0,"",SUMIFS(INPUT_DATA!E:E,INPUT_DATA!$A:$A,$B17,INPUT_DATA!$B:$B,"D"))</f>
        <v>365956.22</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1114351.0900000001</v>
      </c>
      <c r="BI17" s="133">
        <f>IF($B17=0,"",SUMIFS(INPUT_DATA!L:L,INPUT_DATA!$A:$A,$B17,INPUT_DATA!$B:$B,"D"))</f>
        <v>0</v>
      </c>
      <c r="BJ17" s="133">
        <f>IF($B17=0,"",SUMIFS(INPUT_DATA!M:M,INPUT_DATA!$A:$A,$B17,INPUT_DATA!$B:$B,"D"))</f>
        <v>872226.22</v>
      </c>
      <c r="BK17" s="133">
        <f>IF($B17=0,"",SUMIFS(INPUT_DATA!N:N,INPUT_DATA!$A:$A,$B17,INPUT_DATA!$B:$B,"D"))</f>
        <v>0</v>
      </c>
      <c r="BL17" s="134">
        <f>IF($B17=0,"",BA17-BB17-BC17+BD17+BE17+BF17-BG17+BH17-BJ17-BK17)</f>
        <v>751161.99</v>
      </c>
      <c r="BM17" s="134">
        <f>IF($B17=0,"",SUMIFS(INPUT_DATA!O:O,INPUT_DATA!$A:$A,$B17,INPUT_DATA!$B:$B,"D"))</f>
        <v>751161.99</v>
      </c>
      <c r="BN17" s="134">
        <f>IF($B17=0,"",BL17-BM17)</f>
        <v>0</v>
      </c>
      <c r="BO17" s="123">
        <f>IF($B17=0,"",SUMIFS(INPUT_DATA!P:P,INPUT_DATA!$A:$A,$B17,INPUT_DATA!$B:$B,"D"))</f>
        <v>31279.87</v>
      </c>
      <c r="BP17" s="124">
        <f>IF($B17=0,"",SUMIFS(INPUT_DATA!Q:Q,INPUT_DATA!$A:$A,$B17,INPUT_DATA!$B:$B,"D"))</f>
        <v>10195.69</v>
      </c>
      <c r="BQ17" s="124">
        <f>IF($B17=0,"",SUMIFS(INPUT_DATA!R:R,INPUT_DATA!$A:$A,$B17,INPUT_DATA!$B:$B,"D"))</f>
        <v>0</v>
      </c>
      <c r="BR17" s="133">
        <f>IF($B17=0,"",SUMIFS(INPUT_DATA!S:S,INPUT_DATA!$A:$A,$B17,INPUT_DATA!$B:$B,"D"))</f>
        <v>309615.06</v>
      </c>
      <c r="BS17" s="133">
        <f>IF($B17=0,"",SUMIFS(INPUT_DATA!T:T,INPUT_DATA!$A:$A,$B17,INPUT_DATA!$B:$B,"D"))</f>
        <v>1554.45</v>
      </c>
      <c r="BT17" s="133">
        <f>IF($B17=0,"",SUMIFS(INPUT_DATA!U:U,INPUT_DATA!$A:$A,$B17,INPUT_DATA!$B:$B,"D"))</f>
        <v>0</v>
      </c>
      <c r="BU17" s="133">
        <f>IF($B17=0,"",SUMIFS(INPUT_DATA!V:V,INPUT_DATA!$A:$A,$B17,INPUT_DATA!$B:$B,"D"))</f>
        <v>0</v>
      </c>
      <c r="BV17" s="133">
        <f>IF($B17=0,"",SUMIFS(INPUT_DATA!W:W,INPUT_DATA!$A:$A,$B17,INPUT_DATA!$B:$B,"D"))</f>
        <v>0</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16355.01</v>
      </c>
      <c r="CE17" s="133">
        <f>IF($B17=0,"",SUMIFS(INPUT_DATA!AF:AF,INPUT_DATA!$A:$A,$B17,INPUT_DATA!$B:$B,"D"))</f>
        <v>3562.25</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190215.57</v>
      </c>
      <c r="CK17" s="135">
        <f>IF($B17=0,"",SUMIFS(INPUT_DATA!AL:AL,INPUT_DATA!$A:$A,$B17,INPUT_DATA!$B:$B,"D"))</f>
        <v>9791.64</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167034.37</v>
      </c>
      <c r="CQ17" s="130">
        <f t="shared" ref="CQ17:CQ80" si="2">IF($B17=0,"",BP17+BS17-BV17-BY17-CB17+CE17-CK17-CN17+CH17)</f>
        <v>5520.7500000000018</v>
      </c>
      <c r="CR17" s="130">
        <f t="shared" ref="CR17:CR80" si="3">IF($B17=0,"",BQ17+BT17-BW17-BZ17-CC17+CF17-CL17-CO17+CI17)</f>
        <v>0</v>
      </c>
      <c r="CS17" s="124">
        <f>IF($B17=0,"",SUMIFS(INPUT_DATA!AQ:AQ,INPUT_DATA!$A:$A,$B17,INPUT_DATA!$B:$B,"D"))</f>
        <v>167034.37</v>
      </c>
      <c r="CT17" s="124">
        <f>IF($B17=0,"",SUMIFS(INPUT_DATA!AR:AR,INPUT_DATA!$A:$A,$B17,INPUT_DATA!$B:$B,"D"))</f>
        <v>5520.75</v>
      </c>
      <c r="CU17" s="124">
        <f>IF($B17=0,"",SUMIFS(INPUT_DATA!AS:AS,INPUT_DATA!$A:$A,$B17,INPUT_DATA!$B:$B,"D"))</f>
        <v>0</v>
      </c>
      <c r="CV17" s="124">
        <f t="shared" ref="CV17:CX20" si="4">IF($B17=0,"",CP17-CS17)</f>
        <v>0</v>
      </c>
      <c r="CW17" s="130">
        <f t="shared" si="4"/>
        <v>1.8189894035458565E-12</v>
      </c>
      <c r="CX17" s="136">
        <f t="shared" si="4"/>
        <v>0</v>
      </c>
      <c r="CY17" s="132"/>
      <c r="CZ17" s="1592"/>
    </row>
    <row r="18" spans="2:104" ht="13">
      <c r="B18" s="137">
        <f>INPUT_DATA!CQ5</f>
        <v>46173</v>
      </c>
      <c r="C18" s="139">
        <f>IF($B18=0,"",SUMIFS(INPUT_DATA!C:C,INPUT_DATA!$A:$A,$B18,INPUT_DATA!$B:$B,"S"))</f>
        <v>10910642357.889999</v>
      </c>
      <c r="D18" s="139">
        <f>IF($B18=0,"",SUMIFS(INPUT_DATA!D:D,INPUT_DATA!$A:$A,$B18,INPUT_DATA!$B:$B,"S"))</f>
        <v>0</v>
      </c>
      <c r="E18" s="140">
        <f>IF($B18=0,"",SUMIFS(INPUT_DATA!E:E,INPUT_DATA!$A:$A,$B18,INPUT_DATA!$B:$B,"S"))</f>
        <v>57680745.299999997</v>
      </c>
      <c r="F18" s="140">
        <f>IF($B18=0,"",SUMIFS(INPUT_DATA!F:F,INPUT_DATA!$A:$A,$B18,INPUT_DATA!$B:$B,"S"))</f>
        <v>20665137.280000001</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1035980.47</v>
      </c>
      <c r="L18" s="140">
        <f>IF($B18=0,"",SUMIFS(INPUT_DATA!L:L,INPUT_DATA!$A:$A,$B18,INPUT_DATA!$B:$B,"S"))</f>
        <v>0</v>
      </c>
      <c r="M18" s="140">
        <f>IF($B18=0,"",SUMIFS(INPUT_DATA!M:M,INPUT_DATA!$A:$A,$B18,INPUT_DATA!$B:$B,"S"))</f>
        <v>4433458.8499999996</v>
      </c>
      <c r="N18" s="140">
        <f>IF($B18=0,"",SUMIFS(INPUT_DATA!N:N,INPUT_DATA!$A:$A,$B18,INPUT_DATA!$B:$B,"S"))</f>
        <v>512839.92</v>
      </c>
      <c r="O18" s="141">
        <f>IF($B18=0,"",C18+D18-E18-F18+G18+H18+I18-J18-K18-M18-N18-L18)</f>
        <v>10826314196.07</v>
      </c>
      <c r="P18" s="142">
        <f>IF($B18=0,"",SUMIFS(INPUT_DATA!O:O,INPUT_DATA!$A:$A,$B18,INPUT_DATA!$B:$B,"S"))</f>
        <v>10826314196.07</v>
      </c>
      <c r="Q18" s="142">
        <f>IF($B18=0,"",O18-P18)</f>
        <v>0</v>
      </c>
      <c r="R18" s="142">
        <f>IF($B18=0,"",SUMIFS(INPUT_DATA!BL:BL,INPUT_DATA!$A:$A,$B18,INPUT_DATA!$B:$B,"S"))</f>
        <v>12059614.1</v>
      </c>
      <c r="S18" s="143">
        <f>IF($B18=0,"",SUMIFS(INPUT_DATA!P:P,INPUT_DATA!$A:$A,$B18,INPUT_DATA!$B:$B,"S"))</f>
        <v>663276.38</v>
      </c>
      <c r="T18" s="143">
        <f>IF($B18=0,"",SUMIFS(INPUT_DATA!Q:Q,INPUT_DATA!$A:$A,$B18,INPUT_DATA!$B:$B,"S"))</f>
        <v>144234.53</v>
      </c>
      <c r="U18" s="143">
        <f>IF($B18=0,"",SUMIFS(INPUT_DATA!R:R,INPUT_DATA!$A:$A,$B18,INPUT_DATA!$B:$B,"S"))</f>
        <v>0</v>
      </c>
      <c r="V18" s="144">
        <f>IF($B18=0,"",SUMIFS(INPUT_DATA!S:S,INPUT_DATA!$A:$A,$B18,INPUT_DATA!$B:$B,"S"))</f>
        <v>234166.69</v>
      </c>
      <c r="W18" s="144">
        <f>IF($B18=0,"",SUMIFS(INPUT_DATA!T:T,INPUT_DATA!$A:$A,$B18,INPUT_DATA!$B:$B,"S"))</f>
        <v>45965.760000000002</v>
      </c>
      <c r="X18" s="144">
        <f>IF($B18=0,"",SUMIFS(INPUT_DATA!U:U,INPUT_DATA!$A:$A,$B18,INPUT_DATA!$B:$B,"S"))</f>
        <v>0</v>
      </c>
      <c r="Y18" s="144">
        <f>IF($B18=0,"",SUMIFS(INPUT_DATA!V:V,INPUT_DATA!$A:$A,$B18,INPUT_DATA!$B:$B,"S"))</f>
        <v>143120.76</v>
      </c>
      <c r="Z18" s="144">
        <f>IF($B18=0,"",SUMIFS(INPUT_DATA!W:W,INPUT_DATA!$A:$A,$B18,INPUT_DATA!$B:$B,"S"))</f>
        <v>31356.69</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28547.56</v>
      </c>
      <c r="AI18" s="144">
        <f>IF($B18=0,"",SUMIFS(INPUT_DATA!AF:AF,INPUT_DATA!$A:$A,$B18,INPUT_DATA!$B:$B,"S"))</f>
        <v>8442.58</v>
      </c>
      <c r="AJ18" s="144">
        <f>IF($B18=0,"",SUMIFS(INPUT_DATA!AG:AG,INPUT_DATA!$A:$A,$B18,INPUT_DATA!$B:$B,"S"))</f>
        <v>0</v>
      </c>
      <c r="AK18" s="144">
        <f>IF($B18=0,"",SUMIFS(INPUT_DATA!AK:AK,INPUT_DATA!$A:$A,$B18,INPUT_DATA!$B:$B,"S"))</f>
        <v>0</v>
      </c>
      <c r="AL18" s="144">
        <f>IF($B18=0,"",SUMIFS(INPUT_DATA!AL:AL,INPUT_DATA!$A:$A,$B18,INPUT_DATA!$B:$B,"S"))</f>
        <v>0</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725774.75</v>
      </c>
      <c r="AR18" s="146">
        <f t="shared" si="0"/>
        <v>150401.02000000002</v>
      </c>
      <c r="AS18" s="147">
        <f t="shared" si="0"/>
        <v>0</v>
      </c>
      <c r="AT18" s="145">
        <f>IF($B18=0,"",SUMIFS(INPUT_DATA!AQ:AQ,INPUT_DATA!$A:$A,$B18,INPUT_DATA!$B:$B,"S"))</f>
        <v>725774.75</v>
      </c>
      <c r="AU18" s="146">
        <f>IF($B18=0,"",SUMIFS(INPUT_DATA!AR:AR,INPUT_DATA!$A:$A,$B18,INPUT_DATA!$B:$B,"S"))</f>
        <v>150401.01999999999</v>
      </c>
      <c r="AV18" s="147">
        <f>IF($B18=0,"",SUMIFS(INPUT_DATA!AS:AS,INPUT_DATA!$A:$A,$B18,INPUT_DATA!$B:$B,"S"))</f>
        <v>0</v>
      </c>
      <c r="AW18" s="145">
        <f t="shared" si="1"/>
        <v>0</v>
      </c>
      <c r="AX18" s="146">
        <f t="shared" si="1"/>
        <v>2.9103830456733704E-11</v>
      </c>
      <c r="AY18" s="147">
        <f t="shared" si="1"/>
        <v>0</v>
      </c>
      <c r="AZ18" s="148"/>
      <c r="BA18" s="138">
        <f>IF($B18=0,"",SUMIFS(INPUT_DATA!C:C,INPUT_DATA!$A:$A,$B18,INPUT_DATA!$B:$B,"D"))</f>
        <v>643443.9</v>
      </c>
      <c r="BB18" s="149">
        <f>IF($B18=0,"",SUMIFS(INPUT_DATA!E:E,INPUT_DATA!$A:$A,$B18,INPUT_DATA!$B:$B,"D"))</f>
        <v>161506.51999999999</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1035980.47</v>
      </c>
      <c r="BI18" s="149">
        <f>IF($B18=0,"",SUMIFS(INPUT_DATA!L:L,INPUT_DATA!$A:$A,$B18,INPUT_DATA!$B:$B,"D"))</f>
        <v>0</v>
      </c>
      <c r="BJ18" s="149">
        <f>IF($B18=0,"",SUMIFS(INPUT_DATA!M:M,INPUT_DATA!$A:$A,$B18,INPUT_DATA!$B:$B,"D"))</f>
        <v>642924.51</v>
      </c>
      <c r="BK18" s="149">
        <f>IF($B18=0,"",SUMIFS(INPUT_DATA!N:N,INPUT_DATA!$A:$A,$B18,INPUT_DATA!$B:$B,"D"))</f>
        <v>0</v>
      </c>
      <c r="BL18" s="150">
        <f t="shared" ref="BL18:BL81" si="5">IF($B18=0,"",AZ18+BA18-BB18-BC18+BD18+BE18+BF18-BG18+BH18-BJ18-BK18)</f>
        <v>874993.34000000008</v>
      </c>
      <c r="BM18" s="150">
        <f>IF($B18=0,"",SUMIFS(INPUT_DATA!O:O,INPUT_DATA!$A:$A,$B18,INPUT_DATA!$B:$B,"D"))</f>
        <v>874993.34</v>
      </c>
      <c r="BN18" s="150">
        <f>IF($B18=0,"",BL18-BM18)</f>
        <v>1.1641532182693481E-10</v>
      </c>
      <c r="BO18" s="138">
        <f>IF($B18=0,"",SUMIFS(INPUT_DATA!P:P,INPUT_DATA!$A:$A,$B18,INPUT_DATA!$B:$B,"D"))</f>
        <v>4125.7</v>
      </c>
      <c r="BP18" s="151">
        <f>IF($B18=0,"",SUMIFS(INPUT_DATA!Q:Q,INPUT_DATA!$A:$A,$B18,INPUT_DATA!$B:$B,"D"))</f>
        <v>2477.91</v>
      </c>
      <c r="BQ18" s="151">
        <f>IF($B18=0,"",SUMIFS(INPUT_DATA!R:R,INPUT_DATA!$A:$A,$B18,INPUT_DATA!$B:$B,"D"))</f>
        <v>0</v>
      </c>
      <c r="BR18" s="149">
        <f>IF($B18=0,"",SUMIFS(INPUT_DATA!S:S,INPUT_DATA!$A:$A,$B18,INPUT_DATA!$B:$B,"D"))</f>
        <v>3251.7</v>
      </c>
      <c r="BS18" s="149">
        <f>IF($B18=0,"",SUMIFS(INPUT_DATA!T:T,INPUT_DATA!$A:$A,$B18,INPUT_DATA!$B:$B,"D"))</f>
        <v>966.11</v>
      </c>
      <c r="BT18" s="149">
        <f>IF($B18=0,"",SUMIFS(INPUT_DATA!U:U,INPUT_DATA!$A:$A,$B18,INPUT_DATA!$B:$B,"D"))</f>
        <v>0</v>
      </c>
      <c r="BU18" s="149">
        <f>IF($B18=0,"",SUMIFS(INPUT_DATA!V:V,INPUT_DATA!$A:$A,$B18,INPUT_DATA!$B:$B,"D"))</f>
        <v>0</v>
      </c>
      <c r="BV18" s="149">
        <f>IF($B18=0,"",SUMIFS(INPUT_DATA!W:W,INPUT_DATA!$A:$A,$B18,INPUT_DATA!$B:$B,"D"))</f>
        <v>0</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28547.56</v>
      </c>
      <c r="CE18" s="149">
        <f>IF($B18=0,"",SUMIFS(INPUT_DATA!AF:AF,INPUT_DATA!$A:$A,$B18,INPUT_DATA!$B:$B,"D"))</f>
        <v>8442.58</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4645.09</v>
      </c>
      <c r="CK18" s="140">
        <f>IF($B18=0,"",SUMIFS(INPUT_DATA!AL:AL,INPUT_DATA!$A:$A,$B18,INPUT_DATA!$B:$B,"D"))</f>
        <v>1690.91</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31279.87</v>
      </c>
      <c r="CQ18" s="146">
        <f t="shared" si="2"/>
        <v>10195.69</v>
      </c>
      <c r="CR18" s="146">
        <f t="shared" si="3"/>
        <v>0</v>
      </c>
      <c r="CS18" s="151">
        <f>IF($B18=0,"",SUMIFS(INPUT_DATA!AQ:AQ,INPUT_DATA!$A:$A,$B18,INPUT_DATA!$B:$B,"D"))</f>
        <v>31279.87</v>
      </c>
      <c r="CT18" s="151">
        <f>IF($B18=0,"",SUMIFS(INPUT_DATA!AR:AR,INPUT_DATA!$A:$A,$B18,INPUT_DATA!$B:$B,"D"))</f>
        <v>10195.69</v>
      </c>
      <c r="CU18" s="151">
        <f>IF($B18=0,"",SUMIFS(INPUT_DATA!AS:AS,INPUT_DATA!$A:$A,$B18,INPUT_DATA!$B:$B,"D"))</f>
        <v>0</v>
      </c>
      <c r="CV18" s="151">
        <f t="shared" si="4"/>
        <v>0</v>
      </c>
      <c r="CW18" s="146">
        <f t="shared" si="4"/>
        <v>0</v>
      </c>
      <c r="CX18" s="152">
        <f t="shared" si="4"/>
        <v>0</v>
      </c>
      <c r="CY18" s="148"/>
    </row>
    <row r="19" spans="2:104" ht="13">
      <c r="B19" s="137">
        <f>INPUT_DATA!CQ6</f>
        <v>46142</v>
      </c>
      <c r="C19" s="139">
        <f>IF($B19=0,"",SUMIFS(INPUT_DATA!C:C,INPUT_DATA!$A:$A,$B19,INPUT_DATA!$B:$B,"S"))</f>
        <v>11003433195.969999</v>
      </c>
      <c r="D19" s="139">
        <f>IF($B19=0,"",SUMIFS(INPUT_DATA!D:D,INPUT_DATA!$A:$A,$B19,INPUT_DATA!$B:$B,"S"))</f>
        <v>0</v>
      </c>
      <c r="E19" s="140">
        <f>IF($B19=0,"",SUMIFS(INPUT_DATA!E:E,INPUT_DATA!$A:$A,$B19,INPUT_DATA!$B:$B,"S"))</f>
        <v>57814015.609999999</v>
      </c>
      <c r="F19" s="140">
        <f>IF($B19=0,"",SUMIFS(INPUT_DATA!F:F,INPUT_DATA!$A:$A,$B19,INPUT_DATA!$B:$B,"S"))</f>
        <v>25843781</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644714.96</v>
      </c>
      <c r="L19" s="140">
        <f>IF($B19=0,"",SUMIFS(INPUT_DATA!L:L,INPUT_DATA!$A:$A,$B19,INPUT_DATA!$B:$B,"S"))</f>
        <v>0</v>
      </c>
      <c r="M19" s="140">
        <f>IF($B19=0,"",SUMIFS(INPUT_DATA!M:M,INPUT_DATA!$A:$A,$B19,INPUT_DATA!$B:$B,"S"))</f>
        <v>8185783.8300000001</v>
      </c>
      <c r="N19" s="140">
        <f>IF($B19=0,"",SUMIFS(INPUT_DATA!N:N,INPUT_DATA!$A:$A,$B19,INPUT_DATA!$B:$B,"S"))</f>
        <v>302542.68</v>
      </c>
      <c r="O19" s="141">
        <f t="shared" ref="O19:O82" si="7">IF($B19=0,"",C19+D19-E19-F19+G19+H19+I19-J19-K19-M19-N19-L19)</f>
        <v>10910642357.889999</v>
      </c>
      <c r="P19" s="142">
        <f>IF($B19=0,"",SUMIFS(INPUT_DATA!O:O,INPUT_DATA!$A:$A,$B19,INPUT_DATA!$B:$B,"S"))</f>
        <v>10910642357.889999</v>
      </c>
      <c r="Q19" s="142">
        <f t="shared" ref="Q19:Q82" si="8">IF($B19=0,"",O19-P19)</f>
        <v>0</v>
      </c>
      <c r="R19" s="142">
        <f>IF($B19=0,"",SUMIFS(INPUT_DATA!BL:BL,INPUT_DATA!$A:$A,$B19,INPUT_DATA!$B:$B,"S"))</f>
        <v>12036303.220000001</v>
      </c>
      <c r="S19" s="143">
        <f>IF($B19=0,"",SUMIFS(INPUT_DATA!P:P,INPUT_DATA!$A:$A,$B19,INPUT_DATA!$B:$B,"S"))</f>
        <v>611021.68000000005</v>
      </c>
      <c r="T19" s="143">
        <f>IF($B19=0,"",SUMIFS(INPUT_DATA!Q:Q,INPUT_DATA!$A:$A,$B19,INPUT_DATA!$B:$B,"S"))</f>
        <v>131070.13</v>
      </c>
      <c r="U19" s="143">
        <f>IF($B19=0,"",SUMIFS(INPUT_DATA!R:R,INPUT_DATA!$A:$A,$B19,INPUT_DATA!$B:$B,"S"))</f>
        <v>0</v>
      </c>
      <c r="V19" s="144">
        <f>IF($B19=0,"",SUMIFS(INPUT_DATA!S:S,INPUT_DATA!$A:$A,$B19,INPUT_DATA!$B:$B,"S"))</f>
        <v>222338.23</v>
      </c>
      <c r="W19" s="144">
        <f>IF($B19=0,"",SUMIFS(INPUT_DATA!T:T,INPUT_DATA!$A:$A,$B19,INPUT_DATA!$B:$B,"S"))</f>
        <v>51062.47</v>
      </c>
      <c r="X19" s="144">
        <f>IF($B19=0,"",SUMIFS(INPUT_DATA!U:U,INPUT_DATA!$A:$A,$B19,INPUT_DATA!$B:$B,"S"))</f>
        <v>0</v>
      </c>
      <c r="Y19" s="144">
        <f>IF($B19=0,"",SUMIFS(INPUT_DATA!V:V,INPUT_DATA!$A:$A,$B19,INPUT_DATA!$B:$B,"S"))</f>
        <v>165626.97</v>
      </c>
      <c r="Z19" s="144">
        <f>IF($B19=0,"",SUMIFS(INPUT_DATA!W:W,INPUT_DATA!$A:$A,$B19,INPUT_DATA!$B:$B,"S"))</f>
        <v>34872.81</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4098.88</v>
      </c>
      <c r="AI19" s="144">
        <f>IF($B19=0,"",SUMIFS(INPUT_DATA!AF:AF,INPUT_DATA!$A:$A,$B19,INPUT_DATA!$B:$B,"S"))</f>
        <v>2549.12</v>
      </c>
      <c r="AJ19" s="144">
        <f>IF($B19=0,"",SUMIFS(INPUT_DATA!AG:AG,INPUT_DATA!$A:$A,$B19,INPUT_DATA!$B:$B,"S"))</f>
        <v>0</v>
      </c>
      <c r="AK19" s="144">
        <f>IF($B19=0,"",SUMIFS(INPUT_DATA!AK:AK,INPUT_DATA!$A:$A,$B19,INPUT_DATA!$B:$B,"S"))</f>
        <v>357.68</v>
      </c>
      <c r="AL19" s="144">
        <f>IF($B19=0,"",SUMIFS(INPUT_DATA!AL:AL,INPUT_DATA!$A:$A,$B19,INPUT_DATA!$B:$B,"S"))</f>
        <v>476.14</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663276.38</v>
      </c>
      <c r="AR19" s="146">
        <f t="shared" ref="AR19:AR82" si="10">IF($B19=0,"",T19+W19-Z19-AC19-AF19-AI19-AL19-AO19)</f>
        <v>144234.53</v>
      </c>
      <c r="AS19" s="147">
        <f t="shared" ref="AS19:AS82" si="11">IF($B19=0,"",U19+X19-AA19-AD19-AG19-AJ19-AM19-AP19)</f>
        <v>0</v>
      </c>
      <c r="AT19" s="145">
        <f>IF($B19=0,"",SUMIFS(INPUT_DATA!AQ:AQ,INPUT_DATA!$A:$A,$B19,INPUT_DATA!$B:$B,"S"))</f>
        <v>663276.38</v>
      </c>
      <c r="AU19" s="146">
        <f>IF($B19=0,"",SUMIFS(INPUT_DATA!AR:AR,INPUT_DATA!$A:$A,$B19,INPUT_DATA!$B:$B,"S"))</f>
        <v>144234.53</v>
      </c>
      <c r="AV19" s="147">
        <f>IF($B19=0,"",SUMIFS(INPUT_DATA!AS:AS,INPUT_DATA!$A:$A,$B19,INPUT_DATA!$B:$B,"S"))</f>
        <v>0</v>
      </c>
      <c r="AW19" s="145">
        <f t="shared" ref="AW19:AW82" si="12">IF($B19=0,"",AQ19-AT19)</f>
        <v>0</v>
      </c>
      <c r="AX19" s="146">
        <f t="shared" ref="AX19:AX82" si="13">IF($B19=0,"",AR19-AU19)</f>
        <v>0</v>
      </c>
      <c r="AY19" s="147">
        <f t="shared" ref="AY19:AY82" si="14">IF($B19=0,"",AS19-AV19)</f>
        <v>0</v>
      </c>
      <c r="AZ19" s="148"/>
      <c r="BA19" s="138">
        <f>IF($B19=0,"",SUMIFS(INPUT_DATA!C:C,INPUT_DATA!$A:$A,$B19,INPUT_DATA!$B:$B,"D"))</f>
        <v>431707.43</v>
      </c>
      <c r="BB19" s="149">
        <f>IF($B19=0,"",SUMIFS(INPUT_DATA!E:E,INPUT_DATA!$A:$A,$B19,INPUT_DATA!$B:$B,"D"))</f>
        <v>1984.19</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644714.96</v>
      </c>
      <c r="BI19" s="149">
        <f>IF($B19=0,"",SUMIFS(INPUT_DATA!L:L,INPUT_DATA!$A:$A,$B19,INPUT_DATA!$B:$B,"D"))</f>
        <v>0</v>
      </c>
      <c r="BJ19" s="149">
        <f>IF($B19=0,"",SUMIFS(INPUT_DATA!M:M,INPUT_DATA!$A:$A,$B19,INPUT_DATA!$B:$B,"D"))</f>
        <v>430994.3</v>
      </c>
      <c r="BK19" s="149">
        <f>IF($B19=0,"",SUMIFS(INPUT_DATA!N:N,INPUT_DATA!$A:$A,$B19,INPUT_DATA!$B:$B,"D"))</f>
        <v>0</v>
      </c>
      <c r="BL19" s="150">
        <f t="shared" si="5"/>
        <v>643443.89999999991</v>
      </c>
      <c r="BM19" s="150">
        <f>IF($B19=0,"",SUMIFS(INPUT_DATA!O:O,INPUT_DATA!$A:$A,$B19,INPUT_DATA!$B:$B,"D"))</f>
        <v>643443.9</v>
      </c>
      <c r="BN19" s="150">
        <f t="shared" ref="BN19:BN82" si="15">IF($B19=0,"",BL19-BM19)</f>
        <v>-1.1641532182693481E-10</v>
      </c>
      <c r="BO19" s="138">
        <f>IF($B19=0,"",SUMIFS(INPUT_DATA!P:P,INPUT_DATA!$A:$A,$B19,INPUT_DATA!$B:$B,"D"))</f>
        <v>4544.2</v>
      </c>
      <c r="BP19" s="151">
        <f>IF($B19=0,"",SUMIFS(INPUT_DATA!Q:Q,INPUT_DATA!$A:$A,$B19,INPUT_DATA!$B:$B,"D"))</f>
        <v>3412.91</v>
      </c>
      <c r="BQ19" s="151">
        <f>IF($B19=0,"",SUMIFS(INPUT_DATA!R:R,INPUT_DATA!$A:$A,$B19,INPUT_DATA!$B:$B,"D"))</f>
        <v>0</v>
      </c>
      <c r="BR19" s="149">
        <f>IF($B19=0,"",SUMIFS(INPUT_DATA!S:S,INPUT_DATA!$A:$A,$B19,INPUT_DATA!$B:$B,"D"))</f>
        <v>1230.5999999999999</v>
      </c>
      <c r="BS19" s="149">
        <f>IF($B19=0,"",SUMIFS(INPUT_DATA!T:T,INPUT_DATA!$A:$A,$B19,INPUT_DATA!$B:$B,"D"))</f>
        <v>879.92</v>
      </c>
      <c r="BT19" s="149">
        <f>IF($B19=0,"",SUMIFS(INPUT_DATA!U:U,INPUT_DATA!$A:$A,$B19,INPUT_DATA!$B:$B,"D"))</f>
        <v>0</v>
      </c>
      <c r="BU19" s="149">
        <f>IF($B19=0,"",SUMIFS(INPUT_DATA!V:V,INPUT_DATA!$A:$A,$B19,INPUT_DATA!$B:$B,"D"))</f>
        <v>491.75</v>
      </c>
      <c r="BV19" s="149">
        <f>IF($B19=0,"",SUMIFS(INPUT_DATA!W:W,INPUT_DATA!$A:$A,$B19,INPUT_DATA!$B:$B,"D"))</f>
        <v>1228.25</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4098.88</v>
      </c>
      <c r="CE19" s="149">
        <f>IF($B19=0,"",SUMIFS(INPUT_DATA!AF:AF,INPUT_DATA!$A:$A,$B19,INPUT_DATA!$B:$B,"D"))</f>
        <v>2549.12</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5256.23</v>
      </c>
      <c r="CK19" s="140">
        <f>IF($B19=0,"",SUMIFS(INPUT_DATA!AL:AL,INPUT_DATA!$A:$A,$B19,INPUT_DATA!$B:$B,"D"))</f>
        <v>3135.79</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4125.7000000000007</v>
      </c>
      <c r="CQ19" s="146">
        <f t="shared" si="16"/>
        <v>2477.91</v>
      </c>
      <c r="CR19" s="146">
        <f t="shared" si="16"/>
        <v>0</v>
      </c>
      <c r="CS19" s="151">
        <f>IF($B19=0,"",SUMIFS(INPUT_DATA!AQ:AQ,INPUT_DATA!$A:$A,$B19,INPUT_DATA!$B:$B,"D"))</f>
        <v>4125.7</v>
      </c>
      <c r="CT19" s="151">
        <f>IF($B19=0,"",SUMIFS(INPUT_DATA!AR:AR,INPUT_DATA!$A:$A,$B19,INPUT_DATA!$B:$B,"D"))</f>
        <v>2477.91</v>
      </c>
      <c r="CU19" s="151">
        <f>IF($B19=0,"",SUMIFS(INPUT_DATA!AS:AS,INPUT_DATA!$A:$A,$B19,INPUT_DATA!$B:$B,"D"))</f>
        <v>0</v>
      </c>
      <c r="CV19" s="151">
        <f t="shared" si="4"/>
        <v>9.0949470177292824E-13</v>
      </c>
      <c r="CW19" s="146">
        <f t="shared" si="4"/>
        <v>0</v>
      </c>
      <c r="CX19" s="152">
        <f t="shared" si="4"/>
        <v>0</v>
      </c>
      <c r="CY19" s="148"/>
      <c r="CZ19" s="83"/>
    </row>
    <row r="20" spans="2:104" ht="13">
      <c r="B20" s="137">
        <f>INPUT_DATA!CQ7</f>
        <v>46112</v>
      </c>
      <c r="C20" s="139">
        <f>IF($B20=0,"",SUMIFS(INPUT_DATA!C:C,INPUT_DATA!$A:$A,$B20,INPUT_DATA!$B:$B,"S"))</f>
        <v>11124620357.440001</v>
      </c>
      <c r="D20" s="139">
        <f>IF($B20=0,"",SUMIFS(INPUT_DATA!D:D,INPUT_DATA!$A:$A,$B20,INPUT_DATA!$B:$B,"S"))</f>
        <v>0</v>
      </c>
      <c r="E20" s="140">
        <f>IF($B20=0,"",SUMIFS(INPUT_DATA!E:E,INPUT_DATA!$A:$A,$B20,INPUT_DATA!$B:$B,"S"))</f>
        <v>57960642.520000003</v>
      </c>
      <c r="F20" s="140">
        <f>IF($B20=0,"",SUMIFS(INPUT_DATA!F:F,INPUT_DATA!$A:$A,$B20,INPUT_DATA!$B:$B,"S"))</f>
        <v>27792090.75</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533922.61</v>
      </c>
      <c r="L20" s="140">
        <f>IF($B20=0,"",SUMIFS(INPUT_DATA!L:L,INPUT_DATA!$A:$A,$B20,INPUT_DATA!$B:$B,"S"))</f>
        <v>0</v>
      </c>
      <c r="M20" s="140">
        <f>IF($B20=0,"",SUMIFS(INPUT_DATA!M:M,INPUT_DATA!$A:$A,$B20,INPUT_DATA!$B:$B,"S"))</f>
        <v>18071852.140000001</v>
      </c>
      <c r="N20" s="140">
        <f>IF($B20=0,"",SUMIFS(INPUT_DATA!N:N,INPUT_DATA!$A:$A,$B20,INPUT_DATA!$B:$B,"S"))</f>
        <v>16828653.449999999</v>
      </c>
      <c r="O20" s="141">
        <f t="shared" si="7"/>
        <v>11003433195.969999</v>
      </c>
      <c r="P20" s="142">
        <f>IF($B20=0,"",SUMIFS(INPUT_DATA!O:O,INPUT_DATA!$A:$A,$B20,INPUT_DATA!$B:$B,"S"))</f>
        <v>11003433195.969999</v>
      </c>
      <c r="Q20" s="142">
        <f t="shared" si="8"/>
        <v>0</v>
      </c>
      <c r="R20" s="142">
        <f>IF($B20=0,"",SUMIFS(INPUT_DATA!BL:BL,INPUT_DATA!$A:$A,$B20,INPUT_DATA!$B:$B,"S"))</f>
        <v>12253985.439999999</v>
      </c>
      <c r="S20" s="143">
        <f>IF($B20=0,"",SUMIFS(INPUT_DATA!P:P,INPUT_DATA!$A:$A,$B20,INPUT_DATA!$B:$B,"S"))</f>
        <v>560557.56000000006</v>
      </c>
      <c r="T20" s="143">
        <f>IF($B20=0,"",SUMIFS(INPUT_DATA!Q:Q,INPUT_DATA!$A:$A,$B20,INPUT_DATA!$B:$B,"S"))</f>
        <v>117845.56</v>
      </c>
      <c r="U20" s="143">
        <f>IF($B20=0,"",SUMIFS(INPUT_DATA!R:R,INPUT_DATA!$A:$A,$B20,INPUT_DATA!$B:$B,"S"))</f>
        <v>0</v>
      </c>
      <c r="V20" s="144">
        <f>IF($B20=0,"",SUMIFS(INPUT_DATA!S:S,INPUT_DATA!$A:$A,$B20,INPUT_DATA!$B:$B,"S"))</f>
        <v>226634.02</v>
      </c>
      <c r="W20" s="144">
        <f>IF($B20=0,"",SUMIFS(INPUT_DATA!T:T,INPUT_DATA!$A:$A,$B20,INPUT_DATA!$B:$B,"S"))</f>
        <v>50143.96</v>
      </c>
      <c r="X20" s="144">
        <f>IF($B20=0,"",SUMIFS(INPUT_DATA!U:U,INPUT_DATA!$A:$A,$B20,INPUT_DATA!$B:$B,"S"))</f>
        <v>0</v>
      </c>
      <c r="Y20" s="144">
        <f>IF($B20=0,"",SUMIFS(INPUT_DATA!V:V,INPUT_DATA!$A:$A,$B20,INPUT_DATA!$B:$B,"S"))</f>
        <v>172767.69</v>
      </c>
      <c r="Z20" s="144">
        <f>IF($B20=0,"",SUMIFS(INPUT_DATA!W:W,INPUT_DATA!$A:$A,$B20,INPUT_DATA!$B:$B,"S"))</f>
        <v>35307.910000000003</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3328.24</v>
      </c>
      <c r="AI20" s="144">
        <f>IF($B20=0,"",SUMIFS(INPUT_DATA!AF:AF,INPUT_DATA!$A:$A,$B20,INPUT_DATA!$B:$B,"S"))</f>
        <v>1575.94</v>
      </c>
      <c r="AJ20" s="144">
        <f>IF($B20=0,"",SUMIFS(INPUT_DATA!AG:AG,INPUT_DATA!$A:$A,$B20,INPUT_DATA!$B:$B,"S"))</f>
        <v>0</v>
      </c>
      <c r="AK20" s="144">
        <f>IF($B20=0,"",SUMIFS(INPUT_DATA!AK:AK,INPUT_DATA!$A:$A,$B20,INPUT_DATA!$B:$B,"S"))</f>
        <v>73.97</v>
      </c>
      <c r="AL20" s="144">
        <f>IF($B20=0,"",SUMIFS(INPUT_DATA!AL:AL,INPUT_DATA!$A:$A,$B20,INPUT_DATA!$B:$B,"S"))</f>
        <v>35.54</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611021.68000000017</v>
      </c>
      <c r="AR20" s="146">
        <f t="shared" si="10"/>
        <v>131070.12999999999</v>
      </c>
      <c r="AS20" s="147">
        <f t="shared" si="11"/>
        <v>0</v>
      </c>
      <c r="AT20" s="145">
        <f>IF($B20=0,"",SUMIFS(INPUT_DATA!AQ:AQ,INPUT_DATA!$A:$A,$B20,INPUT_DATA!$B:$B,"S"))</f>
        <v>611021.68000000005</v>
      </c>
      <c r="AU20" s="146">
        <f>IF($B20=0,"",SUMIFS(INPUT_DATA!AR:AR,INPUT_DATA!$A:$A,$B20,INPUT_DATA!$B:$B,"S"))</f>
        <v>131070.13</v>
      </c>
      <c r="AV20" s="147">
        <f>IF($B20=0,"",SUMIFS(INPUT_DATA!AS:AS,INPUT_DATA!$A:$A,$B20,INPUT_DATA!$B:$B,"S"))</f>
        <v>0</v>
      </c>
      <c r="AW20" s="145">
        <f t="shared" si="12"/>
        <v>1.1641532182693481E-10</v>
      </c>
      <c r="AX20" s="146">
        <f t="shared" si="13"/>
        <v>-1.4551915228366852E-11</v>
      </c>
      <c r="AY20" s="147">
        <f t="shared" si="14"/>
        <v>0</v>
      </c>
      <c r="AZ20" s="148"/>
      <c r="BA20" s="138">
        <f>IF($B20=0,"",SUMIFS(INPUT_DATA!C:C,INPUT_DATA!$A:$A,$B20,INPUT_DATA!$B:$B,"D"))</f>
        <v>281667.24</v>
      </c>
      <c r="BB20" s="149">
        <f>IF($B20=0,"",SUMIFS(INPUT_DATA!E:E,INPUT_DATA!$A:$A,$B20,INPUT_DATA!$B:$B,"D"))</f>
        <v>102215.18</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533922.61</v>
      </c>
      <c r="BI20" s="149">
        <f>IF($B20=0,"",SUMIFS(INPUT_DATA!L:L,INPUT_DATA!$A:$A,$B20,INPUT_DATA!$B:$B,"D"))</f>
        <v>0</v>
      </c>
      <c r="BJ20" s="149">
        <f>IF($B20=0,"",SUMIFS(INPUT_DATA!M:M,INPUT_DATA!$A:$A,$B20,INPUT_DATA!$B:$B,"D"))</f>
        <v>281667.24</v>
      </c>
      <c r="BK20" s="149">
        <f>IF($B20=0,"",SUMIFS(INPUT_DATA!N:N,INPUT_DATA!$A:$A,$B20,INPUT_DATA!$B:$B,"D"))</f>
        <v>0</v>
      </c>
      <c r="BL20" s="150">
        <f t="shared" si="5"/>
        <v>431707.42999999993</v>
      </c>
      <c r="BM20" s="150">
        <f>IF($B20=0,"",SUMIFS(INPUT_DATA!O:O,INPUT_DATA!$A:$A,$B20,INPUT_DATA!$B:$B,"D"))</f>
        <v>431707.43</v>
      </c>
      <c r="BN20" s="150">
        <f t="shared" si="15"/>
        <v>-5.8207660913467407E-11</v>
      </c>
      <c r="BO20" s="138">
        <f>IF($B20=0,"",SUMIFS(INPUT_DATA!P:P,INPUT_DATA!$A:$A,$B20,INPUT_DATA!$B:$B,"D"))</f>
        <v>0</v>
      </c>
      <c r="BP20" s="151">
        <f>IF($B20=0,"",SUMIFS(INPUT_DATA!Q:Q,INPUT_DATA!$A:$A,$B20,INPUT_DATA!$B:$B,"D"))</f>
        <v>971.61</v>
      </c>
      <c r="BQ20" s="151">
        <f>IF($B20=0,"",SUMIFS(INPUT_DATA!R:R,INPUT_DATA!$A:$A,$B20,INPUT_DATA!$B:$B,"D"))</f>
        <v>0</v>
      </c>
      <c r="BR20" s="149">
        <f>IF($B20=0,"",SUMIFS(INPUT_DATA!S:S,INPUT_DATA!$A:$A,$B20,INPUT_DATA!$B:$B,"D"))</f>
        <v>1215.96</v>
      </c>
      <c r="BS20" s="149">
        <f>IF($B20=0,"",SUMIFS(INPUT_DATA!T:T,INPUT_DATA!$A:$A,$B20,INPUT_DATA!$B:$B,"D"))</f>
        <v>865.36</v>
      </c>
      <c r="BT20" s="149">
        <f>IF($B20=0,"",SUMIFS(INPUT_DATA!U:U,INPUT_DATA!$A:$A,$B20,INPUT_DATA!$B:$B,"D"))</f>
        <v>0</v>
      </c>
      <c r="BU20" s="149">
        <f>IF($B20=0,"",SUMIFS(INPUT_DATA!V:V,INPUT_DATA!$A:$A,$B20,INPUT_DATA!$B:$B,"D"))</f>
        <v>0</v>
      </c>
      <c r="BV20" s="149">
        <f>IF($B20=0,"",SUMIFS(INPUT_DATA!W:W,INPUT_DATA!$A:$A,$B20,INPUT_DATA!$B:$B,"D"))</f>
        <v>0</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3328.24</v>
      </c>
      <c r="CE20" s="149">
        <f>IF($B20=0,"",SUMIFS(INPUT_DATA!AF:AF,INPUT_DATA!$A:$A,$B20,INPUT_DATA!$B:$B,"D"))</f>
        <v>1575.94</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0</v>
      </c>
      <c r="CK20" s="140">
        <f>IF($B20=0,"",SUMIFS(INPUT_DATA!AL:AL,INPUT_DATA!$A:$A,$B20,INPUT_DATA!$B:$B,"D"))</f>
        <v>0</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4544.2</v>
      </c>
      <c r="CQ20" s="146">
        <f t="shared" si="16"/>
        <v>3412.91</v>
      </c>
      <c r="CR20" s="146">
        <f t="shared" si="16"/>
        <v>0</v>
      </c>
      <c r="CS20" s="151">
        <f>IF($B20=0,"",SUMIFS(INPUT_DATA!AQ:AQ,INPUT_DATA!$A:$A,$B20,INPUT_DATA!$B:$B,"D"))</f>
        <v>4544.2</v>
      </c>
      <c r="CT20" s="151">
        <f>IF($B20=0,"",SUMIFS(INPUT_DATA!AR:AR,INPUT_DATA!$A:$A,$B20,INPUT_DATA!$B:$B,"D"))</f>
        <v>3412.91</v>
      </c>
      <c r="CU20" s="151">
        <f>IF($B20=0,"",SUMIFS(INPUT_DATA!AS:AS,INPUT_DATA!$A:$A,$B20,INPUT_DATA!$B:$B,"D"))</f>
        <v>0</v>
      </c>
      <c r="CV20" s="151">
        <f t="shared" si="4"/>
        <v>0</v>
      </c>
      <c r="CW20" s="146">
        <f t="shared" si="4"/>
        <v>0</v>
      </c>
      <c r="CX20" s="152">
        <f t="shared" si="4"/>
        <v>0</v>
      </c>
      <c r="CY20" s="148"/>
    </row>
    <row r="21" spans="2:104" ht="13">
      <c r="B21" s="137">
        <f>INPUT_DATA!CQ8</f>
        <v>46081</v>
      </c>
      <c r="C21" s="139">
        <f>IF($B21=0,"",SUMIFS(INPUT_DATA!C:C,INPUT_DATA!$A:$A,$B21,INPUT_DATA!$B:$B,"S"))</f>
        <v>11215080214.709999</v>
      </c>
      <c r="D21" s="139">
        <f>IF($B21=0,"",SUMIFS(INPUT_DATA!D:D,INPUT_DATA!$A:$A,$B21,INPUT_DATA!$B:$B,"S"))</f>
        <v>0</v>
      </c>
      <c r="E21" s="140">
        <f>IF($B21=0,"",SUMIFS(INPUT_DATA!E:E,INPUT_DATA!$A:$A,$B21,INPUT_DATA!$B:$B,"S"))</f>
        <v>58086852.240000002</v>
      </c>
      <c r="F21" s="140">
        <f>IF($B21=0,"",SUMIFS(INPUT_DATA!F:F,INPUT_DATA!$A:$A,$B21,INPUT_DATA!$B:$B,"S"))</f>
        <v>26628699.350000001</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340969.13</v>
      </c>
      <c r="L21" s="140">
        <f>IF($B21=0,"",SUMIFS(INPUT_DATA!L:L,INPUT_DATA!$A:$A,$B21,INPUT_DATA!$B:$B,"S"))</f>
        <v>0</v>
      </c>
      <c r="M21" s="140">
        <f>IF($B21=0,"",SUMIFS(INPUT_DATA!M:M,INPUT_DATA!$A:$A,$B21,INPUT_DATA!$B:$B,"S"))</f>
        <v>5034758.1500000004</v>
      </c>
      <c r="N21" s="140">
        <f>IF($B21=0,"",SUMIFS(INPUT_DATA!N:N,INPUT_DATA!$A:$A,$B21,INPUT_DATA!$B:$B,"S"))</f>
        <v>368578.4</v>
      </c>
      <c r="O21" s="141">
        <f t="shared" si="7"/>
        <v>11124620357.440001</v>
      </c>
      <c r="P21" s="142">
        <f>IF($B21=0,"",SUMIFS(INPUT_DATA!O:O,INPUT_DATA!$A:$A,$B21,INPUT_DATA!$B:$B,"S"))</f>
        <v>11124620357.440001</v>
      </c>
      <c r="Q21" s="142">
        <f t="shared" si="8"/>
        <v>0</v>
      </c>
      <c r="R21" s="142">
        <f>IF($B21=0,"",SUMIFS(INPUT_DATA!BL:BL,INPUT_DATA!$A:$A,$B21,INPUT_DATA!$B:$B,"S"))</f>
        <v>11938207.42</v>
      </c>
      <c r="S21" s="143">
        <f>IF($B21=0,"",SUMIFS(INPUT_DATA!P:P,INPUT_DATA!$A:$A,$B21,INPUT_DATA!$B:$B,"S"))</f>
        <v>542917.97</v>
      </c>
      <c r="T21" s="143">
        <f>IF($B21=0,"",SUMIFS(INPUT_DATA!Q:Q,INPUT_DATA!$A:$A,$B21,INPUT_DATA!$B:$B,"S"))</f>
        <v>110820.17</v>
      </c>
      <c r="U21" s="143">
        <f>IF($B21=0,"",SUMIFS(INPUT_DATA!R:R,INPUT_DATA!$A:$A,$B21,INPUT_DATA!$B:$B,"S"))</f>
        <v>0</v>
      </c>
      <c r="V21" s="144">
        <f>IF($B21=0,"",SUMIFS(INPUT_DATA!S:S,INPUT_DATA!$A:$A,$B21,INPUT_DATA!$B:$B,"S"))</f>
        <v>224502.1</v>
      </c>
      <c r="W21" s="144">
        <f>IF($B21=0,"",SUMIFS(INPUT_DATA!T:T,INPUT_DATA!$A:$A,$B21,INPUT_DATA!$B:$B,"S"))</f>
        <v>48120.14</v>
      </c>
      <c r="X21" s="144">
        <f>IF($B21=0,"",SUMIFS(INPUT_DATA!U:U,INPUT_DATA!$A:$A,$B21,INPUT_DATA!$B:$B,"S"))</f>
        <v>0</v>
      </c>
      <c r="Y21" s="144">
        <f>IF($B21=0,"",SUMIFS(INPUT_DATA!V:V,INPUT_DATA!$A:$A,$B21,INPUT_DATA!$B:$B,"S"))</f>
        <v>206862.51</v>
      </c>
      <c r="Z21" s="144">
        <f>IF($B21=0,"",SUMIFS(INPUT_DATA!W:W,INPUT_DATA!$A:$A,$B21,INPUT_DATA!$B:$B,"S"))</f>
        <v>41094.75</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0</v>
      </c>
      <c r="AI21" s="144">
        <f>IF($B21=0,"",SUMIFS(INPUT_DATA!AF:AF,INPUT_DATA!$A:$A,$B21,INPUT_DATA!$B:$B,"S"))</f>
        <v>0</v>
      </c>
      <c r="AJ21" s="144">
        <f>IF($B21=0,"",SUMIFS(INPUT_DATA!AG:AG,INPUT_DATA!$A:$A,$B21,INPUT_DATA!$B:$B,"S"))</f>
        <v>0</v>
      </c>
      <c r="AK21" s="144">
        <f>IF($B21=0,"",SUMIFS(INPUT_DATA!AK:AK,INPUT_DATA!$A:$A,$B21,INPUT_DATA!$B:$B,"S"))</f>
        <v>0</v>
      </c>
      <c r="AL21" s="144">
        <f>IF($B21=0,"",SUMIFS(INPUT_DATA!AL:AL,INPUT_DATA!$A:$A,$B21,INPUT_DATA!$B:$B,"S"))</f>
        <v>0</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560557.55999999994</v>
      </c>
      <c r="AR21" s="146">
        <f t="shared" si="10"/>
        <v>117845.56</v>
      </c>
      <c r="AS21" s="147">
        <f t="shared" si="11"/>
        <v>0</v>
      </c>
      <c r="AT21" s="145">
        <f>IF($B21=0,"",SUMIFS(INPUT_DATA!AQ:AQ,INPUT_DATA!$A:$A,$B21,INPUT_DATA!$B:$B,"S"))</f>
        <v>560557.56000000006</v>
      </c>
      <c r="AU21" s="146">
        <f>IF($B21=0,"",SUMIFS(INPUT_DATA!AR:AR,INPUT_DATA!$A:$A,$B21,INPUT_DATA!$B:$B,"S"))</f>
        <v>117845.56</v>
      </c>
      <c r="AV21" s="147">
        <f>IF($B21=0,"",SUMIFS(INPUT_DATA!AS:AS,INPUT_DATA!$A:$A,$B21,INPUT_DATA!$B:$B,"S"))</f>
        <v>0</v>
      </c>
      <c r="AW21" s="145">
        <f t="shared" si="12"/>
        <v>-1.1641532182693481E-10</v>
      </c>
      <c r="AX21" s="146">
        <f t="shared" si="13"/>
        <v>0</v>
      </c>
      <c r="AY21" s="147">
        <f t="shared" si="14"/>
        <v>0</v>
      </c>
      <c r="AZ21" s="148"/>
      <c r="BA21" s="138">
        <f>IF($B21=0,"",SUMIFS(INPUT_DATA!C:C,INPUT_DATA!$A:$A,$B21,INPUT_DATA!$B:$B,"D"))</f>
        <v>1763372.94</v>
      </c>
      <c r="BB21" s="149">
        <f>IF($B21=0,"",SUMIFS(INPUT_DATA!E:E,INPUT_DATA!$A:$A,$B21,INPUT_DATA!$B:$B,"D"))</f>
        <v>69961.850000000006</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340969.13</v>
      </c>
      <c r="BI21" s="149">
        <f>IF($B21=0,"",SUMIFS(INPUT_DATA!L:L,INPUT_DATA!$A:$A,$B21,INPUT_DATA!$B:$B,"D"))</f>
        <v>0</v>
      </c>
      <c r="BJ21" s="149">
        <f>IF($B21=0,"",SUMIFS(INPUT_DATA!M:M,INPUT_DATA!$A:$A,$B21,INPUT_DATA!$B:$B,"D"))</f>
        <v>1752712.98</v>
      </c>
      <c r="BK21" s="149">
        <f>IF($B21=0,"",SUMIFS(INPUT_DATA!N:N,INPUT_DATA!$A:$A,$B21,INPUT_DATA!$B:$B,"D"))</f>
        <v>0</v>
      </c>
      <c r="BL21" s="150">
        <f t="shared" si="5"/>
        <v>281667.23999999976</v>
      </c>
      <c r="BM21" s="150">
        <f>IF($B21=0,"",SUMIFS(INPUT_DATA!O:O,INPUT_DATA!$A:$A,$B21,INPUT_DATA!$B:$B,"D"))</f>
        <v>281667.24</v>
      </c>
      <c r="BN21" s="150">
        <f t="shared" si="15"/>
        <v>-2.3283064365386963E-10</v>
      </c>
      <c r="BO21" s="138">
        <f>IF($B21=0,"",SUMIFS(INPUT_DATA!P:P,INPUT_DATA!$A:$A,$B21,INPUT_DATA!$B:$B,"D"))</f>
        <v>244073.99</v>
      </c>
      <c r="BP21" s="151">
        <f>IF($B21=0,"",SUMIFS(INPUT_DATA!Q:Q,INPUT_DATA!$A:$A,$B21,INPUT_DATA!$B:$B,"D"))</f>
        <v>11254.83</v>
      </c>
      <c r="BQ21" s="151">
        <f>IF($B21=0,"",SUMIFS(INPUT_DATA!R:R,INPUT_DATA!$A:$A,$B21,INPUT_DATA!$B:$B,"D"))</f>
        <v>0</v>
      </c>
      <c r="BR21" s="149">
        <f>IF($B21=0,"",SUMIFS(INPUT_DATA!S:S,INPUT_DATA!$A:$A,$B21,INPUT_DATA!$B:$B,"D"))</f>
        <v>10659.96</v>
      </c>
      <c r="BS21" s="149">
        <f>IF($B21=0,"",SUMIFS(INPUT_DATA!T:T,INPUT_DATA!$A:$A,$B21,INPUT_DATA!$B:$B,"D"))</f>
        <v>2414.2600000000002</v>
      </c>
      <c r="BT21" s="149">
        <f>IF($B21=0,"",SUMIFS(INPUT_DATA!U:U,INPUT_DATA!$A:$A,$B21,INPUT_DATA!$B:$B,"D"))</f>
        <v>0</v>
      </c>
      <c r="BU21" s="149">
        <f>IF($B21=0,"",SUMIFS(INPUT_DATA!V:V,INPUT_DATA!$A:$A,$B21,INPUT_DATA!$B:$B,"D"))</f>
        <v>104780.21</v>
      </c>
      <c r="BV21" s="149">
        <f>IF($B21=0,"",SUMIFS(INPUT_DATA!W:W,INPUT_DATA!$A:$A,$B21,INPUT_DATA!$B:$B,"D"))</f>
        <v>112.8</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0</v>
      </c>
      <c r="CE21" s="149">
        <f>IF($B21=0,"",SUMIFS(INPUT_DATA!AF:AF,INPUT_DATA!$A:$A,$B21,INPUT_DATA!$B:$B,"D"))</f>
        <v>0</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149953.74</v>
      </c>
      <c r="CK21" s="140">
        <f>IF($B21=0,"",SUMIFS(INPUT_DATA!AL:AL,INPUT_DATA!$A:$A,$B21,INPUT_DATA!$B:$B,"D"))</f>
        <v>12584.68</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0</v>
      </c>
      <c r="CQ21" s="146">
        <f t="shared" si="16"/>
        <v>971.61000000000058</v>
      </c>
      <c r="CR21" s="146">
        <f t="shared" si="16"/>
        <v>0</v>
      </c>
      <c r="CS21" s="151">
        <f>IF($B21=0,"",SUMIFS(INPUT_DATA!AQ:AQ,INPUT_DATA!$A:$A,$B21,INPUT_DATA!$B:$B,"D"))</f>
        <v>0</v>
      </c>
      <c r="CT21" s="151">
        <f>IF($B21=0,"",SUMIFS(INPUT_DATA!AR:AR,INPUT_DATA!$A:$A,$B21,INPUT_DATA!$B:$B,"D"))</f>
        <v>971.61</v>
      </c>
      <c r="CU21" s="151">
        <f>IF($B21=0,"",SUMIFS(INPUT_DATA!AS:AS,INPUT_DATA!$A:$A,$B21,INPUT_DATA!$B:$B,"D"))</f>
        <v>0</v>
      </c>
      <c r="CV21" s="151">
        <f t="shared" ref="CV21:CV84" si="17">IF($B21=0,"",CP21-CS21)</f>
        <v>0</v>
      </c>
      <c r="CW21" s="146">
        <f t="shared" ref="CW21:CW84" si="18">IF($B21=0,"",CQ21-CT21)</f>
        <v>5.6843418860808015E-13</v>
      </c>
      <c r="CX21" s="152">
        <f t="shared" ref="CX21:CX84" si="19">IF($B21=0,"",CR21-CU21)</f>
        <v>0</v>
      </c>
      <c r="CY21" s="148"/>
    </row>
    <row r="22" spans="2:104" ht="13">
      <c r="B22" s="137">
        <f>INPUT_DATA!CQ9</f>
        <v>46053</v>
      </c>
      <c r="C22" s="139">
        <f>IF($B22=0,"",SUMIFS(INPUT_DATA!C:C,INPUT_DATA!$A:$A,$B22,INPUT_DATA!$B:$B,"S"))</f>
        <v>11314220550.59</v>
      </c>
      <c r="D22" s="139">
        <f>IF($B22=0,"",SUMIFS(INPUT_DATA!D:D,INPUT_DATA!$A:$A,$B22,INPUT_DATA!$B:$B,"S"))</f>
        <v>0</v>
      </c>
      <c r="E22" s="140">
        <f>IF($B22=0,"",SUMIFS(INPUT_DATA!E:E,INPUT_DATA!$A:$A,$B22,INPUT_DATA!$B:$B,"S"))</f>
        <v>59269465.609999999</v>
      </c>
      <c r="F22" s="140">
        <f>IF($B22=0,"",SUMIFS(INPUT_DATA!F:F,INPUT_DATA!$A:$A,$B22,INPUT_DATA!$B:$B,"S"))</f>
        <v>31941079.600000001</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2770700.2</v>
      </c>
      <c r="L22" s="140">
        <f>IF($B22=0,"",SUMIFS(INPUT_DATA!L:L,INPUT_DATA!$A:$A,$B22,INPUT_DATA!$B:$B,"S"))</f>
        <v>0</v>
      </c>
      <c r="M22" s="140">
        <f>IF($B22=0,"",SUMIFS(INPUT_DATA!M:M,INPUT_DATA!$A:$A,$B22,INPUT_DATA!$B:$B,"S"))</f>
        <v>4660292.3099999996</v>
      </c>
      <c r="N22" s="140">
        <f>IF($B22=0,"",SUMIFS(INPUT_DATA!N:N,INPUT_DATA!$A:$A,$B22,INPUT_DATA!$B:$B,"S"))</f>
        <v>498798.16</v>
      </c>
      <c r="O22" s="141">
        <f t="shared" si="7"/>
        <v>11215080214.709999</v>
      </c>
      <c r="P22" s="142">
        <f>IF($B22=0,"",SUMIFS(INPUT_DATA!O:O,INPUT_DATA!$A:$A,$B22,INPUT_DATA!$B:$B,"S"))</f>
        <v>11215080214.709999</v>
      </c>
      <c r="Q22" s="142">
        <f t="shared" si="8"/>
        <v>0</v>
      </c>
      <c r="R22" s="142">
        <f>IF($B22=0,"",SUMIFS(INPUT_DATA!BL:BL,INPUT_DATA!$A:$A,$B22,INPUT_DATA!$B:$B,"S"))</f>
        <v>12489714.529999999</v>
      </c>
      <c r="S22" s="143">
        <f>IF($B22=0,"",SUMIFS(INPUT_DATA!P:P,INPUT_DATA!$A:$A,$B22,INPUT_DATA!$B:$B,"S"))</f>
        <v>564136.54</v>
      </c>
      <c r="T22" s="143">
        <f>IF($B22=0,"",SUMIFS(INPUT_DATA!Q:Q,INPUT_DATA!$A:$A,$B22,INPUT_DATA!$B:$B,"S"))</f>
        <v>122020.02</v>
      </c>
      <c r="U22" s="143">
        <f>IF($B22=0,"",SUMIFS(INPUT_DATA!R:R,INPUT_DATA!$A:$A,$B22,INPUT_DATA!$B:$B,"S"))</f>
        <v>0</v>
      </c>
      <c r="V22" s="144">
        <f>IF($B22=0,"",SUMIFS(INPUT_DATA!S:S,INPUT_DATA!$A:$A,$B22,INPUT_DATA!$B:$B,"S"))</f>
        <v>246104.19</v>
      </c>
      <c r="W22" s="144">
        <f>IF($B22=0,"",SUMIFS(INPUT_DATA!T:T,INPUT_DATA!$A:$A,$B22,INPUT_DATA!$B:$B,"S"))</f>
        <v>53257.49</v>
      </c>
      <c r="X22" s="144">
        <f>IF($B22=0,"",SUMIFS(INPUT_DATA!U:U,INPUT_DATA!$A:$A,$B22,INPUT_DATA!$B:$B,"S"))</f>
        <v>0</v>
      </c>
      <c r="Y22" s="144">
        <f>IF($B22=0,"",SUMIFS(INPUT_DATA!V:V,INPUT_DATA!$A:$A,$B22,INPUT_DATA!$B:$B,"S"))</f>
        <v>182598.61</v>
      </c>
      <c r="Z22" s="144">
        <f>IF($B22=0,"",SUMIFS(INPUT_DATA!W:W,INPUT_DATA!$A:$A,$B22,INPUT_DATA!$B:$B,"S"))</f>
        <v>40030.28</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67809.8</v>
      </c>
      <c r="AI22" s="144">
        <f>IF($B22=0,"",SUMIFS(INPUT_DATA!AF:AF,INPUT_DATA!$A:$A,$B22,INPUT_DATA!$B:$B,"S"))</f>
        <v>21320.78</v>
      </c>
      <c r="AJ22" s="144">
        <f>IF($B22=0,"",SUMIFS(INPUT_DATA!AG:AG,INPUT_DATA!$A:$A,$B22,INPUT_DATA!$B:$B,"S"))</f>
        <v>0</v>
      </c>
      <c r="AK22" s="144">
        <f>IF($B22=0,"",SUMIFS(INPUT_DATA!AK:AK,INPUT_DATA!$A:$A,$B22,INPUT_DATA!$B:$B,"S"))</f>
        <v>16914.349999999999</v>
      </c>
      <c r="AL22" s="144">
        <f>IF($B22=0,"",SUMIFS(INPUT_DATA!AL:AL,INPUT_DATA!$A:$A,$B22,INPUT_DATA!$B:$B,"S"))</f>
        <v>3106.28</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542917.97</v>
      </c>
      <c r="AR22" s="146">
        <f t="shared" si="10"/>
        <v>110820.17000000001</v>
      </c>
      <c r="AS22" s="147">
        <f t="shared" si="11"/>
        <v>0</v>
      </c>
      <c r="AT22" s="145">
        <f>IF($B22=0,"",SUMIFS(INPUT_DATA!AQ:AQ,INPUT_DATA!$A:$A,$B22,INPUT_DATA!$B:$B,"S"))</f>
        <v>542917.97</v>
      </c>
      <c r="AU22" s="146">
        <f>IF($B22=0,"",SUMIFS(INPUT_DATA!AR:AR,INPUT_DATA!$A:$A,$B22,INPUT_DATA!$B:$B,"S"))</f>
        <v>110820.17</v>
      </c>
      <c r="AV22" s="147">
        <f>IF($B22=0,"",SUMIFS(INPUT_DATA!AS:AS,INPUT_DATA!$A:$A,$B22,INPUT_DATA!$B:$B,"S"))</f>
        <v>0</v>
      </c>
      <c r="AW22" s="145">
        <f t="shared" si="12"/>
        <v>0</v>
      </c>
      <c r="AX22" s="146">
        <f t="shared" si="13"/>
        <v>1.4551915228366852E-11</v>
      </c>
      <c r="AY22" s="147">
        <f t="shared" si="14"/>
        <v>0</v>
      </c>
      <c r="AZ22" s="148"/>
      <c r="BA22" s="138">
        <f>IF($B22=0,"",SUMIFS(INPUT_DATA!C:C,INPUT_DATA!$A:$A,$B22,INPUT_DATA!$B:$B,"D"))</f>
        <v>616282.82999999996</v>
      </c>
      <c r="BB22" s="149">
        <f>IF($B22=0,"",SUMIFS(INPUT_DATA!E:E,INPUT_DATA!$A:$A,$B22,INPUT_DATA!$B:$B,"D"))</f>
        <v>1008097.03</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2770700.2</v>
      </c>
      <c r="BI22" s="149">
        <f>IF($B22=0,"",SUMIFS(INPUT_DATA!L:L,INPUT_DATA!$A:$A,$B22,INPUT_DATA!$B:$B,"D"))</f>
        <v>0</v>
      </c>
      <c r="BJ22" s="149">
        <f>IF($B22=0,"",SUMIFS(INPUT_DATA!M:M,INPUT_DATA!$A:$A,$B22,INPUT_DATA!$B:$B,"D"))</f>
        <v>615513.06000000006</v>
      </c>
      <c r="BK22" s="149">
        <f>IF($B22=0,"",SUMIFS(INPUT_DATA!N:N,INPUT_DATA!$A:$A,$B22,INPUT_DATA!$B:$B,"D"))</f>
        <v>0</v>
      </c>
      <c r="BL22" s="150">
        <f t="shared" si="5"/>
        <v>1763372.94</v>
      </c>
      <c r="BM22" s="150">
        <f>IF($B22=0,"",SUMIFS(INPUT_DATA!O:O,INPUT_DATA!$A:$A,$B22,INPUT_DATA!$B:$B,"D"))</f>
        <v>1763372.94</v>
      </c>
      <c r="BN22" s="150">
        <f t="shared" si="15"/>
        <v>0</v>
      </c>
      <c r="BO22" s="138">
        <f>IF($B22=0,"",SUMIFS(INPUT_DATA!P:P,INPUT_DATA!$A:$A,$B22,INPUT_DATA!$B:$B,"D"))</f>
        <v>379759.33</v>
      </c>
      <c r="BP22" s="151">
        <f>IF($B22=0,"",SUMIFS(INPUT_DATA!Q:Q,INPUT_DATA!$A:$A,$B22,INPUT_DATA!$B:$B,"D"))</f>
        <v>749.6</v>
      </c>
      <c r="BQ22" s="151">
        <f>IF($B22=0,"",SUMIFS(INPUT_DATA!R:R,INPUT_DATA!$A:$A,$B22,INPUT_DATA!$B:$B,"D"))</f>
        <v>0</v>
      </c>
      <c r="BR22" s="149">
        <f>IF($B22=0,"",SUMIFS(INPUT_DATA!S:S,INPUT_DATA!$A:$A,$B22,INPUT_DATA!$B:$B,"D"))</f>
        <v>189245.87</v>
      </c>
      <c r="BS22" s="149">
        <f>IF($B22=0,"",SUMIFS(INPUT_DATA!T:T,INPUT_DATA!$A:$A,$B22,INPUT_DATA!$B:$B,"D"))</f>
        <v>2156.38</v>
      </c>
      <c r="BT22" s="149">
        <f>IF($B22=0,"",SUMIFS(INPUT_DATA!U:U,INPUT_DATA!$A:$A,$B22,INPUT_DATA!$B:$B,"D"))</f>
        <v>0</v>
      </c>
      <c r="BU22" s="149">
        <f>IF($B22=0,"",SUMIFS(INPUT_DATA!V:V,INPUT_DATA!$A:$A,$B22,INPUT_DATA!$B:$B,"D"))</f>
        <v>12981.68</v>
      </c>
      <c r="BV22" s="149">
        <f>IF($B22=0,"",SUMIFS(INPUT_DATA!W:W,INPUT_DATA!$A:$A,$B22,INPUT_DATA!$B:$B,"D"))</f>
        <v>12222.33</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67809.8</v>
      </c>
      <c r="CE22" s="149">
        <f>IF($B22=0,"",SUMIFS(INPUT_DATA!AF:AF,INPUT_DATA!$A:$A,$B22,INPUT_DATA!$B:$B,"D"))</f>
        <v>21320.78</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379759.33</v>
      </c>
      <c r="CK22" s="140">
        <f>IF($B22=0,"",SUMIFS(INPUT_DATA!AL:AL,INPUT_DATA!$A:$A,$B22,INPUT_DATA!$B:$B,"D"))</f>
        <v>749.6</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244073.98999999993</v>
      </c>
      <c r="CQ22" s="146">
        <f t="shared" si="2"/>
        <v>11254.829999999998</v>
      </c>
      <c r="CR22" s="146">
        <f t="shared" si="3"/>
        <v>0</v>
      </c>
      <c r="CS22" s="151">
        <f>IF($B22=0,"",SUMIFS(INPUT_DATA!AQ:AQ,INPUT_DATA!$A:$A,$B22,INPUT_DATA!$B:$B,"D"))</f>
        <v>244073.99</v>
      </c>
      <c r="CT22" s="151">
        <f>IF($B22=0,"",SUMIFS(INPUT_DATA!AR:AR,INPUT_DATA!$A:$A,$B22,INPUT_DATA!$B:$B,"D"))</f>
        <v>11254.83</v>
      </c>
      <c r="CU22" s="151">
        <f>IF($B22=0,"",SUMIFS(INPUT_DATA!AS:AS,INPUT_DATA!$A:$A,$B22,INPUT_DATA!$B:$B,"D"))</f>
        <v>0</v>
      </c>
      <c r="CV22" s="151">
        <f t="shared" si="17"/>
        <v>-5.8207660913467407E-11</v>
      </c>
      <c r="CW22" s="146">
        <f t="shared" si="18"/>
        <v>-1.8189894035458565E-12</v>
      </c>
      <c r="CX22" s="152">
        <f t="shared" si="19"/>
        <v>0</v>
      </c>
      <c r="CY22" s="148"/>
    </row>
    <row r="23" spans="2:104" ht="13">
      <c r="B23" s="137">
        <f>INPUT_DATA!CQ10</f>
        <v>46022</v>
      </c>
      <c r="C23" s="139">
        <f>IF($B23=0,"",SUMIFS(INPUT_DATA!C:C,INPUT_DATA!$A:$A,$B23,INPUT_DATA!$B:$B,"S"))</f>
        <v>11410540020.709999</v>
      </c>
      <c r="D23" s="139">
        <f>IF($B23=0,"",SUMIFS(INPUT_DATA!D:D,INPUT_DATA!$A:$A,$B23,INPUT_DATA!$B:$B,"S"))</f>
        <v>0</v>
      </c>
      <c r="E23" s="140">
        <f>IF($B23=0,"",SUMIFS(INPUT_DATA!E:E,INPUT_DATA!$A:$A,$B23,INPUT_DATA!$B:$B,"S"))</f>
        <v>58524038.359999999</v>
      </c>
      <c r="F23" s="140">
        <f>IF($B23=0,"",SUMIFS(INPUT_DATA!F:F,INPUT_DATA!$A:$A,$B23,INPUT_DATA!$B:$B,"S"))</f>
        <v>28299915.91</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998490.2</v>
      </c>
      <c r="L23" s="140">
        <f>IF($B23=0,"",SUMIFS(INPUT_DATA!L:L,INPUT_DATA!$A:$A,$B23,INPUT_DATA!$B:$B,"S"))</f>
        <v>0</v>
      </c>
      <c r="M23" s="140">
        <f>IF($B23=0,"",SUMIFS(INPUT_DATA!M:M,INPUT_DATA!$A:$A,$B23,INPUT_DATA!$B:$B,"S"))</f>
        <v>6666114.5899999999</v>
      </c>
      <c r="N23" s="140">
        <f>IF($B23=0,"",SUMIFS(INPUT_DATA!N:N,INPUT_DATA!$A:$A,$B23,INPUT_DATA!$B:$B,"S"))</f>
        <v>1830911.06</v>
      </c>
      <c r="O23" s="141">
        <f t="shared" si="7"/>
        <v>11314220550.589998</v>
      </c>
      <c r="P23" s="142">
        <f>IF($B23=0,"",SUMIFS(INPUT_DATA!O:O,INPUT_DATA!$A:$A,$B23,INPUT_DATA!$B:$B,"S"))</f>
        <v>11314220550.59</v>
      </c>
      <c r="Q23" s="142">
        <f t="shared" si="8"/>
        <v>-1.9073486328125E-6</v>
      </c>
      <c r="R23" s="142">
        <f>IF($B23=0,"",SUMIFS(INPUT_DATA!BL:BL,INPUT_DATA!$A:$A,$B23,INPUT_DATA!$B:$B,"S"))</f>
        <v>12559387.16</v>
      </c>
      <c r="S23" s="143">
        <f>IF($B23=0,"",SUMIFS(INPUT_DATA!P:P,INPUT_DATA!$A:$A,$B23,INPUT_DATA!$B:$B,"S"))</f>
        <v>556760.09</v>
      </c>
      <c r="T23" s="143">
        <f>IF($B23=0,"",SUMIFS(INPUT_DATA!Q:Q,INPUT_DATA!$A:$A,$B23,INPUT_DATA!$B:$B,"S"))</f>
        <v>115694.64</v>
      </c>
      <c r="U23" s="143">
        <f>IF($B23=0,"",SUMIFS(INPUT_DATA!R:R,INPUT_DATA!$A:$A,$B23,INPUT_DATA!$B:$B,"S"))</f>
        <v>0</v>
      </c>
      <c r="V23" s="144">
        <f>IF($B23=0,"",SUMIFS(INPUT_DATA!S:S,INPUT_DATA!$A:$A,$B23,INPUT_DATA!$B:$B,"S"))</f>
        <v>212463.82</v>
      </c>
      <c r="W23" s="144">
        <f>IF($B23=0,"",SUMIFS(INPUT_DATA!T:T,INPUT_DATA!$A:$A,$B23,INPUT_DATA!$B:$B,"S"))</f>
        <v>47612.74</v>
      </c>
      <c r="X23" s="144">
        <f>IF($B23=0,"",SUMIFS(INPUT_DATA!U:U,INPUT_DATA!$A:$A,$B23,INPUT_DATA!$B:$B,"S"))</f>
        <v>0</v>
      </c>
      <c r="Y23" s="144">
        <f>IF($B23=0,"",SUMIFS(INPUT_DATA!V:V,INPUT_DATA!$A:$A,$B23,INPUT_DATA!$B:$B,"S"))</f>
        <v>202390.91</v>
      </c>
      <c r="Z23" s="144">
        <f>IF($B23=0,"",SUMIFS(INPUT_DATA!W:W,INPUT_DATA!$A:$A,$B23,INPUT_DATA!$B:$B,"S"))</f>
        <v>39626.28</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1027.08</v>
      </c>
      <c r="AI23" s="144">
        <f>IF($B23=0,"",SUMIFS(INPUT_DATA!AF:AF,INPUT_DATA!$A:$A,$B23,INPUT_DATA!$B:$B,"S"))</f>
        <v>531</v>
      </c>
      <c r="AJ23" s="144">
        <f>IF($B23=0,"",SUMIFS(INPUT_DATA!AG:AG,INPUT_DATA!$A:$A,$B23,INPUT_DATA!$B:$B,"S"))</f>
        <v>0</v>
      </c>
      <c r="AK23" s="144">
        <f>IF($B23=0,"",SUMIFS(INPUT_DATA!AK:AK,INPUT_DATA!$A:$A,$B23,INPUT_DATA!$B:$B,"S"))</f>
        <v>1669.38</v>
      </c>
      <c r="AL23" s="144">
        <f>IF($B23=0,"",SUMIFS(INPUT_DATA!AL:AL,INPUT_DATA!$A:$A,$B23,INPUT_DATA!$B:$B,"S"))</f>
        <v>1130.08</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564136.53999999992</v>
      </c>
      <c r="AR23" s="146">
        <f t="shared" si="10"/>
        <v>122020.02</v>
      </c>
      <c r="AS23" s="147">
        <f t="shared" si="11"/>
        <v>0</v>
      </c>
      <c r="AT23" s="145">
        <f>IF($B23=0,"",SUMIFS(INPUT_DATA!AQ:AQ,INPUT_DATA!$A:$A,$B23,INPUT_DATA!$B:$B,"S"))</f>
        <v>564136.54</v>
      </c>
      <c r="AU23" s="146">
        <f>IF($B23=0,"",SUMIFS(INPUT_DATA!AR:AR,INPUT_DATA!$A:$A,$B23,INPUT_DATA!$B:$B,"S"))</f>
        <v>122020.02</v>
      </c>
      <c r="AV23" s="147">
        <f>IF($B23=0,"",SUMIFS(INPUT_DATA!AS:AS,INPUT_DATA!$A:$A,$B23,INPUT_DATA!$B:$B,"S"))</f>
        <v>0</v>
      </c>
      <c r="AW23" s="145">
        <f t="shared" si="12"/>
        <v>-1.1641532182693481E-10</v>
      </c>
      <c r="AX23" s="146">
        <f t="shared" si="13"/>
        <v>0</v>
      </c>
      <c r="AY23" s="147">
        <f t="shared" si="14"/>
        <v>0</v>
      </c>
      <c r="AZ23" s="148"/>
      <c r="BA23" s="138">
        <f>IF($B23=0,"",SUMIFS(INPUT_DATA!C:C,INPUT_DATA!$A:$A,$B23,INPUT_DATA!$B:$B,"D"))</f>
        <v>253797.1</v>
      </c>
      <c r="BB23" s="149">
        <f>IF($B23=0,"",SUMIFS(INPUT_DATA!E:E,INPUT_DATA!$A:$A,$B23,INPUT_DATA!$B:$B,"D"))</f>
        <v>382967.3</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998490.2</v>
      </c>
      <c r="BI23" s="149">
        <f>IF($B23=0,"",SUMIFS(INPUT_DATA!L:L,INPUT_DATA!$A:$A,$B23,INPUT_DATA!$B:$B,"D"))</f>
        <v>0</v>
      </c>
      <c r="BJ23" s="149">
        <f>IF($B23=0,"",SUMIFS(INPUT_DATA!M:M,INPUT_DATA!$A:$A,$B23,INPUT_DATA!$B:$B,"D"))</f>
        <v>253037.17</v>
      </c>
      <c r="BK23" s="149">
        <f>IF($B23=0,"",SUMIFS(INPUT_DATA!N:N,INPUT_DATA!$A:$A,$B23,INPUT_DATA!$B:$B,"D"))</f>
        <v>0</v>
      </c>
      <c r="BL23" s="150">
        <f t="shared" si="5"/>
        <v>616282.82999999996</v>
      </c>
      <c r="BM23" s="150">
        <f>IF($B23=0,"",SUMIFS(INPUT_DATA!O:O,INPUT_DATA!$A:$A,$B23,INPUT_DATA!$B:$B,"D"))</f>
        <v>616282.82999999996</v>
      </c>
      <c r="BN23" s="150">
        <f t="shared" si="15"/>
        <v>0</v>
      </c>
      <c r="BO23" s="153">
        <f>IF($B23=0,"",SUMIFS(INPUT_DATA!P:P,INPUT_DATA!$A:$A,$B23,INPUT_DATA!$B:$B,"D"))</f>
        <v>5018.46</v>
      </c>
      <c r="BP23" s="139">
        <f>IF($B23=0,"",SUMIFS(INPUT_DATA!Q:Q,INPUT_DATA!$A:$A,$B23,INPUT_DATA!$B:$B,"D"))</f>
        <v>1157.96</v>
      </c>
      <c r="BQ23" s="139">
        <f>IF($B23=0,"",SUMIFS(INPUT_DATA!R:R,INPUT_DATA!$A:$A,$B23,INPUT_DATA!$B:$B,"D"))</f>
        <v>0</v>
      </c>
      <c r="BR23" s="149">
        <f>IF($B23=0,"",SUMIFS(INPUT_DATA!S:S,INPUT_DATA!$A:$A,$B23,INPUT_DATA!$B:$B,"D"))</f>
        <v>378732.25</v>
      </c>
      <c r="BS23" s="149">
        <f>IF($B23=0,"",SUMIFS(INPUT_DATA!T:T,INPUT_DATA!$A:$A,$B23,INPUT_DATA!$B:$B,"D"))</f>
        <v>220.5</v>
      </c>
      <c r="BT23" s="149">
        <f>IF($B23=0,"",SUMIFS(INPUT_DATA!U:U,INPUT_DATA!$A:$A,$B23,INPUT_DATA!$B:$B,"D"))</f>
        <v>0</v>
      </c>
      <c r="BU23" s="149">
        <f>IF($B23=0,"",SUMIFS(INPUT_DATA!V:V,INPUT_DATA!$A:$A,$B23,INPUT_DATA!$B:$B,"D"))</f>
        <v>3983.18</v>
      </c>
      <c r="BV23" s="149">
        <f>IF($B23=0,"",SUMIFS(INPUT_DATA!W:W,INPUT_DATA!$A:$A,$B23,INPUT_DATA!$B:$B,"D"))</f>
        <v>1123.48</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1027.08</v>
      </c>
      <c r="CE23" s="149">
        <f>IF($B23=0,"",SUMIFS(INPUT_DATA!AF:AF,INPUT_DATA!$A:$A,$B23,INPUT_DATA!$B:$B,"D"))</f>
        <v>531</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1035.28</v>
      </c>
      <c r="CK23" s="140">
        <f>IF($B23=0,"",SUMIFS(INPUT_DATA!AL:AL,INPUT_DATA!$A:$A,$B23,INPUT_DATA!$B:$B,"D"))</f>
        <v>36.380000000000003</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379759.33</v>
      </c>
      <c r="CQ23" s="154">
        <f t="shared" si="2"/>
        <v>749.6</v>
      </c>
      <c r="CR23" s="154">
        <f t="shared" si="3"/>
        <v>0</v>
      </c>
      <c r="CS23" s="139">
        <f>IF($B23=0,"",SUMIFS(INPUT_DATA!AQ:AQ,INPUT_DATA!$A:$A,$B23,INPUT_DATA!$B:$B,"D"))</f>
        <v>379759.33</v>
      </c>
      <c r="CT23" s="154">
        <f>IF($B23=0,"",SUMIFS(INPUT_DATA!AR:AR,INPUT_DATA!$A:$A,$B23,INPUT_DATA!$B:$B,"D"))</f>
        <v>749.6</v>
      </c>
      <c r="CU23" s="154">
        <f>IF($B23=0,"",SUMIFS(INPUT_DATA!AS:AS,INPUT_DATA!$A:$A,$B23,INPUT_DATA!$B:$B,"D"))</f>
        <v>0</v>
      </c>
      <c r="CV23" s="139">
        <f t="shared" si="17"/>
        <v>0</v>
      </c>
      <c r="CW23" s="154">
        <f t="shared" si="18"/>
        <v>0</v>
      </c>
      <c r="CX23" s="155">
        <f t="shared" si="19"/>
        <v>0</v>
      </c>
      <c r="CY23" s="148"/>
    </row>
    <row r="24" spans="2:104" ht="13">
      <c r="B24" s="137">
        <f>INPUT_DATA!CQ11</f>
        <v>45991</v>
      </c>
      <c r="C24" s="139">
        <f>IF($B24=0,"",SUMIFS(INPUT_DATA!C:C,INPUT_DATA!$A:$A,$B24,INPUT_DATA!$B:$B,"S"))</f>
        <v>11501221849.950001</v>
      </c>
      <c r="D24" s="139">
        <f>IF($B24=0,"",SUMIFS(INPUT_DATA!D:D,INPUT_DATA!$A:$A,$B24,INPUT_DATA!$B:$B,"S"))</f>
        <v>0</v>
      </c>
      <c r="E24" s="140">
        <f>IF($B24=0,"",SUMIFS(INPUT_DATA!E:E,INPUT_DATA!$A:$A,$B24,INPUT_DATA!$B:$B,"S"))</f>
        <v>59631882.020000003</v>
      </c>
      <c r="F24" s="140">
        <f>IF($B24=0,"",SUMIFS(INPUT_DATA!F:F,INPUT_DATA!$A:$A,$B24,INPUT_DATA!$B:$B,"S"))</f>
        <v>24036133.25</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563823.34</v>
      </c>
      <c r="L24" s="140">
        <f>IF($B24=0,"",SUMIFS(INPUT_DATA!L:L,INPUT_DATA!$A:$A,$B24,INPUT_DATA!$B:$B,"S"))</f>
        <v>0</v>
      </c>
      <c r="M24" s="140">
        <f>IF($B24=0,"",SUMIFS(INPUT_DATA!M:M,INPUT_DATA!$A:$A,$B24,INPUT_DATA!$B:$B,"S"))</f>
        <v>4522273.3600000003</v>
      </c>
      <c r="N24" s="140">
        <f>IF($B24=0,"",SUMIFS(INPUT_DATA!N:N,INPUT_DATA!$A:$A,$B24,INPUT_DATA!$B:$B,"S"))</f>
        <v>1927717.27</v>
      </c>
      <c r="O24" s="141">
        <f t="shared" si="7"/>
        <v>11410540020.709999</v>
      </c>
      <c r="P24" s="142">
        <f>IF($B24=0,"",SUMIFS(INPUT_DATA!O:O,INPUT_DATA!$A:$A,$B24,INPUT_DATA!$B:$B,"S"))</f>
        <v>11410540020.709999</v>
      </c>
      <c r="Q24" s="142">
        <f t="shared" si="8"/>
        <v>0</v>
      </c>
      <c r="R24" s="142">
        <f>IF($B24=0,"",SUMIFS(INPUT_DATA!BL:BL,INPUT_DATA!$A:$A,$B24,INPUT_DATA!$B:$B,"S"))</f>
        <v>12539551.01</v>
      </c>
      <c r="S24" s="143">
        <f>IF($B24=0,"",SUMIFS(INPUT_DATA!P:P,INPUT_DATA!$A:$A,$B24,INPUT_DATA!$B:$B,"S"))</f>
        <v>401562.93</v>
      </c>
      <c r="T24" s="143">
        <f>IF($B24=0,"",SUMIFS(INPUT_DATA!Q:Q,INPUT_DATA!$A:$A,$B24,INPUT_DATA!$B:$B,"S"))</f>
        <v>77747.23</v>
      </c>
      <c r="U24" s="143">
        <f>IF($B24=0,"",SUMIFS(INPUT_DATA!R:R,INPUT_DATA!$A:$A,$B24,INPUT_DATA!$B:$B,"S"))</f>
        <v>0</v>
      </c>
      <c r="V24" s="144">
        <f>IF($B24=0,"",SUMIFS(INPUT_DATA!S:S,INPUT_DATA!$A:$A,$B24,INPUT_DATA!$B:$B,"S"))</f>
        <v>274989.53000000003</v>
      </c>
      <c r="W24" s="144">
        <f>IF($B24=0,"",SUMIFS(INPUT_DATA!T:T,INPUT_DATA!$A:$A,$B24,INPUT_DATA!$B:$B,"S"))</f>
        <v>60552.51</v>
      </c>
      <c r="X24" s="144">
        <f>IF($B24=0,"",SUMIFS(INPUT_DATA!U:U,INPUT_DATA!$A:$A,$B24,INPUT_DATA!$B:$B,"S"))</f>
        <v>0</v>
      </c>
      <c r="Y24" s="144">
        <f>IF($B24=0,"",SUMIFS(INPUT_DATA!V:V,INPUT_DATA!$A:$A,$B24,INPUT_DATA!$B:$B,"S"))</f>
        <v>114071.03999999999</v>
      </c>
      <c r="Z24" s="144">
        <f>IF($B24=0,"",SUMIFS(INPUT_DATA!W:W,INPUT_DATA!$A:$A,$B24,INPUT_DATA!$B:$B,"S"))</f>
        <v>21453.08</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5721.33</v>
      </c>
      <c r="AI24" s="144">
        <f>IF($B24=0,"",SUMIFS(INPUT_DATA!AF:AF,INPUT_DATA!$A:$A,$B24,INPUT_DATA!$B:$B,"S"))</f>
        <v>1152.02</v>
      </c>
      <c r="AJ24" s="144">
        <f>IF($B24=0,"",SUMIFS(INPUT_DATA!AG:AG,INPUT_DATA!$A:$A,$B24,INPUT_DATA!$B:$B,"S"))</f>
        <v>0</v>
      </c>
      <c r="AK24" s="144">
        <f>IF($B24=0,"",SUMIFS(INPUT_DATA!AK:AK,INPUT_DATA!$A:$A,$B24,INPUT_DATA!$B:$B,"S"))</f>
        <v>0</v>
      </c>
      <c r="AL24" s="144">
        <f>IF($B24=0,"",SUMIFS(INPUT_DATA!AL:AL,INPUT_DATA!$A:$A,$B24,INPUT_DATA!$B:$B,"S"))</f>
        <v>0</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556760.09</v>
      </c>
      <c r="AR24" s="146">
        <f t="shared" si="10"/>
        <v>115694.63999999998</v>
      </c>
      <c r="AS24" s="147">
        <f t="shared" si="11"/>
        <v>0</v>
      </c>
      <c r="AT24" s="145">
        <f>IF($B24=0,"",SUMIFS(INPUT_DATA!AQ:AQ,INPUT_DATA!$A:$A,$B24,INPUT_DATA!$B:$B,"S"))</f>
        <v>556760.09</v>
      </c>
      <c r="AU24" s="146">
        <f>IF($B24=0,"",SUMIFS(INPUT_DATA!AR:AR,INPUT_DATA!$A:$A,$B24,INPUT_DATA!$B:$B,"S"))</f>
        <v>115694.64</v>
      </c>
      <c r="AV24" s="147">
        <f>IF($B24=0,"",SUMIFS(INPUT_DATA!AS:AS,INPUT_DATA!$A:$A,$B24,INPUT_DATA!$B:$B,"S"))</f>
        <v>0</v>
      </c>
      <c r="AW24" s="145">
        <f t="shared" si="12"/>
        <v>0</v>
      </c>
      <c r="AX24" s="146">
        <f t="shared" si="13"/>
        <v>-1.4551915228366852E-11</v>
      </c>
      <c r="AY24" s="147">
        <f t="shared" si="14"/>
        <v>0</v>
      </c>
      <c r="AZ24" s="148"/>
      <c r="BA24" s="138">
        <f>IF($B24=0,"",SUMIFS(INPUT_DATA!C:C,INPUT_DATA!$A:$A,$B24,INPUT_DATA!$B:$B,"D"))</f>
        <v>210535.09</v>
      </c>
      <c r="BB24" s="149">
        <f>IF($B24=0,"",SUMIFS(INPUT_DATA!E:E,INPUT_DATA!$A:$A,$B24,INPUT_DATA!$B:$B,"D"))</f>
        <v>310026.23999999999</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563823.34</v>
      </c>
      <c r="BI24" s="149">
        <f>IF($B24=0,"",SUMIFS(INPUT_DATA!L:L,INPUT_DATA!$A:$A,$B24,INPUT_DATA!$B:$B,"D"))</f>
        <v>0</v>
      </c>
      <c r="BJ24" s="149">
        <f>IF($B24=0,"",SUMIFS(INPUT_DATA!M:M,INPUT_DATA!$A:$A,$B24,INPUT_DATA!$B:$B,"D"))</f>
        <v>210535.09</v>
      </c>
      <c r="BK24" s="149">
        <f>IF($B24=0,"",SUMIFS(INPUT_DATA!N:N,INPUT_DATA!$A:$A,$B24,INPUT_DATA!$B:$B,"D"))</f>
        <v>0</v>
      </c>
      <c r="BL24" s="150">
        <f t="shared" si="5"/>
        <v>253797.09999999995</v>
      </c>
      <c r="BM24" s="150">
        <f>IF($B24=0,"",SUMIFS(INPUT_DATA!O:O,INPUT_DATA!$A:$A,$B24,INPUT_DATA!$B:$B,"D"))</f>
        <v>253797.1</v>
      </c>
      <c r="BN24" s="150">
        <f t="shared" si="15"/>
        <v>-5.8207660913467407E-11</v>
      </c>
      <c r="BO24" s="153">
        <f>IF($B24=0,"",SUMIFS(INPUT_DATA!P:P,INPUT_DATA!$A:$A,$B24,INPUT_DATA!$B:$B,"D"))</f>
        <v>19395.57</v>
      </c>
      <c r="BP24" s="139">
        <f>IF($B24=0,"",SUMIFS(INPUT_DATA!Q:Q,INPUT_DATA!$A:$A,$B24,INPUT_DATA!$B:$B,"D"))</f>
        <v>192.91</v>
      </c>
      <c r="BQ24" s="139">
        <f>IF($B24=0,"",SUMIFS(INPUT_DATA!R:R,INPUT_DATA!$A:$A,$B24,INPUT_DATA!$B:$B,"D"))</f>
        <v>0</v>
      </c>
      <c r="BR24" s="149">
        <f>IF($B24=0,"",SUMIFS(INPUT_DATA!S:S,INPUT_DATA!$A:$A,$B24,INPUT_DATA!$B:$B,"D"))</f>
        <v>1321.45</v>
      </c>
      <c r="BS24" s="149">
        <f>IF($B24=0,"",SUMIFS(INPUT_DATA!T:T,INPUT_DATA!$A:$A,$B24,INPUT_DATA!$B:$B,"D"))</f>
        <v>370.57</v>
      </c>
      <c r="BT24" s="149">
        <f>IF($B24=0,"",SUMIFS(INPUT_DATA!U:U,INPUT_DATA!$A:$A,$B24,INPUT_DATA!$B:$B,"D"))</f>
        <v>0</v>
      </c>
      <c r="BU24" s="149">
        <f>IF($B24=0,"",SUMIFS(INPUT_DATA!V:V,INPUT_DATA!$A:$A,$B24,INPUT_DATA!$B:$B,"D"))</f>
        <v>2024.32</v>
      </c>
      <c r="BV24" s="149">
        <f>IF($B24=0,"",SUMIFS(INPUT_DATA!W:W,INPUT_DATA!$A:$A,$B24,INPUT_DATA!$B:$B,"D"))</f>
        <v>364.63</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5721.33</v>
      </c>
      <c r="CE24" s="149">
        <f>IF($B24=0,"",SUMIFS(INPUT_DATA!AF:AF,INPUT_DATA!$A:$A,$B24,INPUT_DATA!$B:$B,"D"))</f>
        <v>1152.02</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19395.57</v>
      </c>
      <c r="CK24" s="140">
        <f>IF($B24=0,"",SUMIFS(INPUT_DATA!AL:AL,INPUT_DATA!$A:$A,$B24,INPUT_DATA!$B:$B,"D"))</f>
        <v>192.91</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5018.4599999999991</v>
      </c>
      <c r="CQ24" s="154">
        <f t="shared" si="2"/>
        <v>1157.9599999999998</v>
      </c>
      <c r="CR24" s="154">
        <f t="shared" si="3"/>
        <v>0</v>
      </c>
      <c r="CS24" s="139">
        <f>IF($B24=0,"",SUMIFS(INPUT_DATA!AQ:AQ,INPUT_DATA!$A:$A,$B24,INPUT_DATA!$B:$B,"D"))</f>
        <v>5018.46</v>
      </c>
      <c r="CT24" s="154">
        <f>IF($B24=0,"",SUMIFS(INPUT_DATA!AR:AR,INPUT_DATA!$A:$A,$B24,INPUT_DATA!$B:$B,"D"))</f>
        <v>1157.96</v>
      </c>
      <c r="CU24" s="154">
        <f>IF($B24=0,"",SUMIFS(INPUT_DATA!AS:AS,INPUT_DATA!$A:$A,$B24,INPUT_DATA!$B:$B,"D"))</f>
        <v>0</v>
      </c>
      <c r="CV24" s="139">
        <f t="shared" si="17"/>
        <v>-9.0949470177292824E-13</v>
      </c>
      <c r="CW24" s="154">
        <f t="shared" si="18"/>
        <v>-2.2737367544323206E-13</v>
      </c>
      <c r="CX24" s="155">
        <f t="shared" si="19"/>
        <v>0</v>
      </c>
      <c r="CY24" s="148"/>
    </row>
    <row r="25" spans="2:104" ht="13">
      <c r="B25" s="137">
        <f>INPUT_DATA!CQ12</f>
        <v>45961</v>
      </c>
      <c r="C25" s="139">
        <f>IF($B25=0,"",SUMIFS(INPUT_DATA!C:C,INPUT_DATA!$A:$A,$B25,INPUT_DATA!$B:$B,"S"))</f>
        <v>11613993146.950001</v>
      </c>
      <c r="D25" s="139">
        <f>IF($B25=0,"",SUMIFS(INPUT_DATA!D:D,INPUT_DATA!$A:$A,$B25,INPUT_DATA!$B:$B,"S"))</f>
        <v>0</v>
      </c>
      <c r="E25" s="140">
        <f>IF($B25=0,"",SUMIFS(INPUT_DATA!E:E,INPUT_DATA!$A:$A,$B25,INPUT_DATA!$B:$B,"S"))</f>
        <v>60920128.090000004</v>
      </c>
      <c r="F25" s="140">
        <f>IF($B25=0,"",SUMIFS(INPUT_DATA!F:F,INPUT_DATA!$A:$A,$B25,INPUT_DATA!$B:$B,"S"))</f>
        <v>30948441.43</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229091.41</v>
      </c>
      <c r="L25" s="140">
        <f>IF($B25=0,"",SUMIFS(INPUT_DATA!L:L,INPUT_DATA!$A:$A,$B25,INPUT_DATA!$B:$B,"S"))</f>
        <v>0</v>
      </c>
      <c r="M25" s="140">
        <f>IF($B25=0,"",SUMIFS(INPUT_DATA!M:M,INPUT_DATA!$A:$A,$B25,INPUT_DATA!$B:$B,"S"))</f>
        <v>17011954.719999999</v>
      </c>
      <c r="N25" s="140">
        <f>IF($B25=0,"",SUMIFS(INPUT_DATA!N:N,INPUT_DATA!$A:$A,$B25,INPUT_DATA!$B:$B,"S"))</f>
        <v>3661681.35</v>
      </c>
      <c r="O25" s="141">
        <f t="shared" si="7"/>
        <v>11501221849.950001</v>
      </c>
      <c r="P25" s="142">
        <f>IF($B25=0,"",SUMIFS(INPUT_DATA!O:O,INPUT_DATA!$A:$A,$B25,INPUT_DATA!$B:$B,"S"))</f>
        <v>11501221849.950001</v>
      </c>
      <c r="Q25" s="142">
        <f t="shared" si="8"/>
        <v>0</v>
      </c>
      <c r="R25" s="142">
        <f>IF($B25=0,"",SUMIFS(INPUT_DATA!BL:BL,INPUT_DATA!$A:$A,$B25,INPUT_DATA!$B:$B,"S"))</f>
        <v>12775388.98</v>
      </c>
      <c r="S25" s="143">
        <f>IF($B25=0,"",SUMIFS(INPUT_DATA!P:P,INPUT_DATA!$A:$A,$B25,INPUT_DATA!$B:$B,"S"))</f>
        <v>337301.18</v>
      </c>
      <c r="T25" s="143">
        <f>IF($B25=0,"",SUMIFS(INPUT_DATA!Q:Q,INPUT_DATA!$A:$A,$B25,INPUT_DATA!$B:$B,"S"))</f>
        <v>63173.58</v>
      </c>
      <c r="U25" s="143">
        <f>IF($B25=0,"",SUMIFS(INPUT_DATA!R:R,INPUT_DATA!$A:$A,$B25,INPUT_DATA!$B:$B,"S"))</f>
        <v>0</v>
      </c>
      <c r="V25" s="144">
        <f>IF($B25=0,"",SUMIFS(INPUT_DATA!S:S,INPUT_DATA!$A:$A,$B25,INPUT_DATA!$B:$B,"S"))</f>
        <v>218614.39</v>
      </c>
      <c r="W25" s="144">
        <f>IF($B25=0,"",SUMIFS(INPUT_DATA!T:T,INPUT_DATA!$A:$A,$B25,INPUT_DATA!$B:$B,"S"))</f>
        <v>39904.74</v>
      </c>
      <c r="X25" s="144">
        <f>IF($B25=0,"",SUMIFS(INPUT_DATA!U:U,INPUT_DATA!$A:$A,$B25,INPUT_DATA!$B:$B,"S"))</f>
        <v>0</v>
      </c>
      <c r="Y25" s="144">
        <f>IF($B25=0,"",SUMIFS(INPUT_DATA!V:V,INPUT_DATA!$A:$A,$B25,INPUT_DATA!$B:$B,"S"))</f>
        <v>149461.65</v>
      </c>
      <c r="Z25" s="144">
        <f>IF($B25=0,"",SUMIFS(INPUT_DATA!W:W,INPUT_DATA!$A:$A,$B25,INPUT_DATA!$B:$B,"S"))</f>
        <v>24638.29</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1821.86</v>
      </c>
      <c r="AI25" s="144">
        <f>IF($B25=0,"",SUMIFS(INPUT_DATA!AF:AF,INPUT_DATA!$A:$A,$B25,INPUT_DATA!$B:$B,"S"))</f>
        <v>166.55</v>
      </c>
      <c r="AJ25" s="144">
        <f>IF($B25=0,"",SUMIFS(INPUT_DATA!AG:AG,INPUT_DATA!$A:$A,$B25,INPUT_DATA!$B:$B,"S"))</f>
        <v>0</v>
      </c>
      <c r="AK25" s="144">
        <f>IF($B25=0,"",SUMIFS(INPUT_DATA!AK:AK,INPUT_DATA!$A:$A,$B25,INPUT_DATA!$B:$B,"S"))</f>
        <v>3069.13</v>
      </c>
      <c r="AL25" s="144">
        <f>IF($B25=0,"",SUMIFS(INPUT_DATA!AL:AL,INPUT_DATA!$A:$A,$B25,INPUT_DATA!$B:$B,"S"))</f>
        <v>526.25</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401562.93000000005</v>
      </c>
      <c r="AR25" s="146">
        <f t="shared" si="10"/>
        <v>77747.23</v>
      </c>
      <c r="AS25" s="147">
        <f t="shared" si="11"/>
        <v>0</v>
      </c>
      <c r="AT25" s="145">
        <f>IF($B25=0,"",SUMIFS(INPUT_DATA!AQ:AQ,INPUT_DATA!$A:$A,$B25,INPUT_DATA!$B:$B,"S"))</f>
        <v>401562.93</v>
      </c>
      <c r="AU25" s="146">
        <f>IF($B25=0,"",SUMIFS(INPUT_DATA!AR:AR,INPUT_DATA!$A:$A,$B25,INPUT_DATA!$B:$B,"S"))</f>
        <v>77747.23</v>
      </c>
      <c r="AV25" s="147">
        <f>IF($B25=0,"",SUMIFS(INPUT_DATA!AS:AS,INPUT_DATA!$A:$A,$B25,INPUT_DATA!$B:$B,"S"))</f>
        <v>0</v>
      </c>
      <c r="AW25" s="145">
        <f t="shared" si="12"/>
        <v>5.8207660913467407E-11</v>
      </c>
      <c r="AX25" s="146">
        <f t="shared" si="13"/>
        <v>0</v>
      </c>
      <c r="AY25" s="147">
        <f t="shared" si="14"/>
        <v>0</v>
      </c>
      <c r="AZ25" s="148"/>
      <c r="BA25" s="138">
        <f>IF($B25=0,"",SUMIFS(INPUT_DATA!C:C,INPUT_DATA!$A:$A,$B25,INPUT_DATA!$B:$B,"D"))</f>
        <v>0</v>
      </c>
      <c r="BB25" s="149">
        <f>IF($B25=0,"",SUMIFS(INPUT_DATA!E:E,INPUT_DATA!$A:$A,$B25,INPUT_DATA!$B:$B,"D"))</f>
        <v>18556.32</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229091.41</v>
      </c>
      <c r="BI25" s="149">
        <f>IF($B25=0,"",SUMIFS(INPUT_DATA!L:L,INPUT_DATA!$A:$A,$B25,INPUT_DATA!$B:$B,"D"))</f>
        <v>0</v>
      </c>
      <c r="BJ25" s="149">
        <f>IF($B25=0,"",SUMIFS(INPUT_DATA!M:M,INPUT_DATA!$A:$A,$B25,INPUT_DATA!$B:$B,"D"))</f>
        <v>0</v>
      </c>
      <c r="BK25" s="149">
        <f>IF($B25=0,"",SUMIFS(INPUT_DATA!N:N,INPUT_DATA!$A:$A,$B25,INPUT_DATA!$B:$B,"D"))</f>
        <v>0</v>
      </c>
      <c r="BL25" s="150">
        <f t="shared" si="5"/>
        <v>210535.09</v>
      </c>
      <c r="BM25" s="150">
        <f>IF($B25=0,"",SUMIFS(INPUT_DATA!O:O,INPUT_DATA!$A:$A,$B25,INPUT_DATA!$B:$B,"D"))</f>
        <v>210535.09</v>
      </c>
      <c r="BN25" s="150">
        <f t="shared" si="15"/>
        <v>0</v>
      </c>
      <c r="BO25" s="153">
        <f>IF($B25=0,"",SUMIFS(INPUT_DATA!P:P,INPUT_DATA!$A:$A,$B25,INPUT_DATA!$B:$B,"D"))</f>
        <v>0</v>
      </c>
      <c r="BP25" s="139">
        <f>IF($B25=0,"",SUMIFS(INPUT_DATA!Q:Q,INPUT_DATA!$A:$A,$B25,INPUT_DATA!$B:$B,"D"))</f>
        <v>0</v>
      </c>
      <c r="BQ25" s="139">
        <f>IF($B25=0,"",SUMIFS(INPUT_DATA!R:R,INPUT_DATA!$A:$A,$B25,INPUT_DATA!$B:$B,"D"))</f>
        <v>0</v>
      </c>
      <c r="BR25" s="149">
        <f>IF($B25=0,"",SUMIFS(INPUT_DATA!S:S,INPUT_DATA!$A:$A,$B25,INPUT_DATA!$B:$B,"D"))</f>
        <v>17573.71</v>
      </c>
      <c r="BS25" s="149">
        <f>IF($B25=0,"",SUMIFS(INPUT_DATA!T:T,INPUT_DATA!$A:$A,$B25,INPUT_DATA!$B:$B,"D"))</f>
        <v>26.36</v>
      </c>
      <c r="BT25" s="149">
        <f>IF($B25=0,"",SUMIFS(INPUT_DATA!U:U,INPUT_DATA!$A:$A,$B25,INPUT_DATA!$B:$B,"D"))</f>
        <v>0</v>
      </c>
      <c r="BU25" s="149">
        <f>IF($B25=0,"",SUMIFS(INPUT_DATA!V:V,INPUT_DATA!$A:$A,$B25,INPUT_DATA!$B:$B,"D"))</f>
        <v>0</v>
      </c>
      <c r="BV25" s="149">
        <f>IF($B25=0,"",SUMIFS(INPUT_DATA!W:W,INPUT_DATA!$A:$A,$B25,INPUT_DATA!$B:$B,"D"))</f>
        <v>0</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1821.86</v>
      </c>
      <c r="CE25" s="149">
        <f>IF($B25=0,"",SUMIFS(INPUT_DATA!AF:AF,INPUT_DATA!$A:$A,$B25,INPUT_DATA!$B:$B,"D"))</f>
        <v>166.55</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0</v>
      </c>
      <c r="CK25" s="140">
        <f>IF($B25=0,"",SUMIFS(INPUT_DATA!AL:AL,INPUT_DATA!$A:$A,$B25,INPUT_DATA!$B:$B,"D"))</f>
        <v>0</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19395.57</v>
      </c>
      <c r="CQ25" s="154">
        <f t="shared" si="2"/>
        <v>192.91000000000003</v>
      </c>
      <c r="CR25" s="154">
        <f t="shared" si="3"/>
        <v>0</v>
      </c>
      <c r="CS25" s="139">
        <f>IF($B25=0,"",SUMIFS(INPUT_DATA!AQ:AQ,INPUT_DATA!$A:$A,$B25,INPUT_DATA!$B:$B,"D"))</f>
        <v>19395.57</v>
      </c>
      <c r="CT25" s="154">
        <f>IF($B25=0,"",SUMIFS(INPUT_DATA!AR:AR,INPUT_DATA!$A:$A,$B25,INPUT_DATA!$B:$B,"D"))</f>
        <v>192.91</v>
      </c>
      <c r="CU25" s="154">
        <f>IF($B25=0,"",SUMIFS(INPUT_DATA!AS:AS,INPUT_DATA!$A:$A,$B25,INPUT_DATA!$B:$B,"D"))</f>
        <v>0</v>
      </c>
      <c r="CV25" s="139">
        <f t="shared" si="17"/>
        <v>0</v>
      </c>
      <c r="CW25" s="154">
        <f t="shared" si="18"/>
        <v>2.8421709430404007E-14</v>
      </c>
      <c r="CX25" s="155">
        <f t="shared" si="19"/>
        <v>0</v>
      </c>
      <c r="CY25" s="148"/>
    </row>
    <row r="26" spans="2:104" ht="13">
      <c r="B26" s="137">
        <f>INPUT_DATA!CQ13</f>
        <v>45930</v>
      </c>
      <c r="C26" s="139">
        <f>IF($B26=0,"",SUMIFS(INPUT_DATA!C:C,INPUT_DATA!$A:$A,$B26,INPUT_DATA!$B:$B,"S"))</f>
        <v>7430770897.8500004</v>
      </c>
      <c r="D26" s="139">
        <f>IF($B26=0,"",SUMIFS(INPUT_DATA!D:D,INPUT_DATA!$A:$A,$B26,INPUT_DATA!$B:$B,"S"))</f>
        <v>4246326267.73</v>
      </c>
      <c r="E26" s="140">
        <f>IF($B26=0,"",SUMIFS(INPUT_DATA!E:E,INPUT_DATA!$A:$A,$B26,INPUT_DATA!$B:$B,"S"))</f>
        <v>40886125.289999999</v>
      </c>
      <c r="F26" s="140">
        <f>IF($B26=0,"",SUMIFS(INPUT_DATA!F:F,INPUT_DATA!$A:$A,$B26,INPUT_DATA!$B:$B,"S"))</f>
        <v>18140271.010000002</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414679.66</v>
      </c>
      <c r="L26" s="140">
        <f>IF($B26=0,"",SUMIFS(INPUT_DATA!L:L,INPUT_DATA!$A:$A,$B26,INPUT_DATA!$B:$B,"S"))</f>
        <v>0</v>
      </c>
      <c r="M26" s="140">
        <f>IF($B26=0,"",SUMIFS(INPUT_DATA!M:M,INPUT_DATA!$A:$A,$B26,INPUT_DATA!$B:$B,"S"))</f>
        <v>3662942.67</v>
      </c>
      <c r="N26" s="140">
        <f>IF($B26=0,"",SUMIFS(INPUT_DATA!N:N,INPUT_DATA!$A:$A,$B26,INPUT_DATA!$B:$B,"S"))</f>
        <v>0</v>
      </c>
      <c r="O26" s="141">
        <f t="shared" si="7"/>
        <v>11613993146.949999</v>
      </c>
      <c r="P26" s="142">
        <f>IF($B26=0,"",SUMIFS(INPUT_DATA!O:O,INPUT_DATA!$A:$A,$B26,INPUT_DATA!$B:$B,"S"))</f>
        <v>11613993146.950001</v>
      </c>
      <c r="Q26" s="142">
        <f t="shared" si="8"/>
        <v>-1.9073486328125E-6</v>
      </c>
      <c r="R26" s="142">
        <f>IF($B26=0,"",SUMIFS(INPUT_DATA!BL:BL,INPUT_DATA!$A:$A,$B26,INPUT_DATA!$B:$B,"S"))</f>
        <v>12728722.32</v>
      </c>
      <c r="S26" s="143">
        <f>IF($B26=0,"",SUMIFS(INPUT_DATA!P:P,INPUT_DATA!$A:$A,$B26,INPUT_DATA!$B:$B,"S"))</f>
        <v>556818.38</v>
      </c>
      <c r="T26" s="143">
        <f>IF($B26=0,"",SUMIFS(INPUT_DATA!Q:Q,INPUT_DATA!$A:$A,$B26,INPUT_DATA!$B:$B,"S"))</f>
        <v>104028.52</v>
      </c>
      <c r="U26" s="143">
        <f>IF($B26=0,"",SUMIFS(INPUT_DATA!R:R,INPUT_DATA!$A:$A,$B26,INPUT_DATA!$B:$B,"S"))</f>
        <v>0</v>
      </c>
      <c r="V26" s="144">
        <f>IF($B26=0,"",SUMIFS(INPUT_DATA!S:S,INPUT_DATA!$A:$A,$B26,INPUT_DATA!$B:$B,"S"))</f>
        <v>127109.58</v>
      </c>
      <c r="W26" s="144">
        <f>IF($B26=0,"",SUMIFS(INPUT_DATA!T:T,INPUT_DATA!$A:$A,$B26,INPUT_DATA!$B:$B,"S"))</f>
        <v>23600.81</v>
      </c>
      <c r="X26" s="144">
        <f>IF($B26=0,"",SUMIFS(INPUT_DATA!U:U,INPUT_DATA!$A:$A,$B26,INPUT_DATA!$B:$B,"S"))</f>
        <v>0</v>
      </c>
      <c r="Y26" s="144">
        <f>IF($B26=0,"",SUMIFS(INPUT_DATA!V:V,INPUT_DATA!$A:$A,$B26,INPUT_DATA!$B:$B,"S"))</f>
        <v>343243.5</v>
      </c>
      <c r="Z26" s="144">
        <f>IF($B26=0,"",SUMIFS(INPUT_DATA!W:W,INPUT_DATA!$A:$A,$B26,INPUT_DATA!$B:$B,"S"))</f>
        <v>64031.839999999997</v>
      </c>
      <c r="AA26" s="144">
        <f>IF($B26=0,"",SUMIFS(INPUT_DATA!X:X,INPUT_DATA!$A:$A,$B26,INPUT_DATA!$B:$B,"S"))</f>
        <v>0</v>
      </c>
      <c r="AB26" s="144">
        <f>IF($B26=0,"",SUMIFS(INPUT_DATA!Y:Y,INPUT_DATA!$A:$A,$B26,INPUT_DATA!$B:$B,"S"))</f>
        <v>339.56</v>
      </c>
      <c r="AC26" s="144">
        <f>IF($B26=0,"",SUMIFS(INPUT_DATA!Z:Z,INPUT_DATA!$A:$A,$B26,INPUT_DATA!$B:$B,"S"))</f>
        <v>57.87</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1384.77</v>
      </c>
      <c r="AI26" s="144">
        <f>IF($B26=0,"",SUMIFS(INPUT_DATA!AF:AF,INPUT_DATA!$A:$A,$B26,INPUT_DATA!$B:$B,"S"))</f>
        <v>342.25</v>
      </c>
      <c r="AJ26" s="144">
        <f>IF($B26=0,"",SUMIFS(INPUT_DATA!AG:AG,INPUT_DATA!$A:$A,$B26,INPUT_DATA!$B:$B,"S"))</f>
        <v>0</v>
      </c>
      <c r="AK26" s="144">
        <f>IF($B26=0,"",SUMIFS(INPUT_DATA!AK:AK,INPUT_DATA!$A:$A,$B26,INPUT_DATA!$B:$B,"S"))</f>
        <v>1658.95</v>
      </c>
      <c r="AL26" s="144">
        <f>IF($B26=0,"",SUMIFS(INPUT_DATA!AL:AL,INPUT_DATA!$A:$A,$B26,INPUT_DATA!$B:$B,"S"))</f>
        <v>23.79</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337301.17999999993</v>
      </c>
      <c r="AR26" s="146">
        <f t="shared" si="10"/>
        <v>63173.58</v>
      </c>
      <c r="AS26" s="147">
        <f t="shared" si="11"/>
        <v>0</v>
      </c>
      <c r="AT26" s="145">
        <f>IF($B26=0,"",SUMIFS(INPUT_DATA!AQ:AQ,INPUT_DATA!$A:$A,$B26,INPUT_DATA!$B:$B,"S"))</f>
        <v>337301.18</v>
      </c>
      <c r="AU26" s="146">
        <f>IF($B26=0,"",SUMIFS(INPUT_DATA!AR:AR,INPUT_DATA!$A:$A,$B26,INPUT_DATA!$B:$B,"S"))</f>
        <v>63173.58</v>
      </c>
      <c r="AV26" s="147">
        <f>IF($B26=0,"",SUMIFS(INPUT_DATA!AS:AS,INPUT_DATA!$A:$A,$B26,INPUT_DATA!$B:$B,"S"))</f>
        <v>0</v>
      </c>
      <c r="AW26" s="145">
        <f t="shared" si="12"/>
        <v>-5.8207660913467407E-11</v>
      </c>
      <c r="AX26" s="146">
        <f t="shared" si="13"/>
        <v>0</v>
      </c>
      <c r="AY26" s="147">
        <f t="shared" si="14"/>
        <v>0</v>
      </c>
      <c r="AZ26" s="148"/>
      <c r="BA26" s="138">
        <f>IF($B26=0,"",SUMIFS(INPUT_DATA!C:C,INPUT_DATA!$A:$A,$B26,INPUT_DATA!$B:$B,"D"))</f>
        <v>324731.81</v>
      </c>
      <c r="BB26" s="149">
        <f>IF($B26=0,"",SUMIFS(INPUT_DATA!E:E,INPUT_DATA!$A:$A,$B26,INPUT_DATA!$B:$B,"D"))</f>
        <v>1380.34</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414679.66</v>
      </c>
      <c r="BI26" s="149">
        <f>IF($B26=0,"",SUMIFS(INPUT_DATA!L:L,INPUT_DATA!$A:$A,$B26,INPUT_DATA!$B:$B,"D"))</f>
        <v>0</v>
      </c>
      <c r="BJ26" s="149">
        <f>IF($B26=0,"",SUMIFS(INPUT_DATA!M:M,INPUT_DATA!$A:$A,$B26,INPUT_DATA!$B:$B,"D"))</f>
        <v>738031.13</v>
      </c>
      <c r="BK26" s="149">
        <f>IF($B26=0,"",SUMIFS(INPUT_DATA!N:N,INPUT_DATA!$A:$A,$B26,INPUT_DATA!$B:$B,"D"))</f>
        <v>0</v>
      </c>
      <c r="BL26" s="150">
        <f t="shared" si="5"/>
        <v>-1.1641532182693481E-10</v>
      </c>
      <c r="BM26" s="150">
        <f>IF($B26=0,"",SUMIFS(INPUT_DATA!O:O,INPUT_DATA!$A:$A,$B26,INPUT_DATA!$B:$B,"D"))</f>
        <v>0</v>
      </c>
      <c r="BN26" s="150">
        <f t="shared" si="15"/>
        <v>-1.1641532182693481E-10</v>
      </c>
      <c r="BO26" s="153">
        <f>IF($B26=0,"",SUMIFS(INPUT_DATA!P:P,INPUT_DATA!$A:$A,$B26,INPUT_DATA!$B:$B,"D"))</f>
        <v>0</v>
      </c>
      <c r="BP26" s="139">
        <f>IF($B26=0,"",SUMIFS(INPUT_DATA!Q:Q,INPUT_DATA!$A:$A,$B26,INPUT_DATA!$B:$B,"D"))</f>
        <v>0</v>
      </c>
      <c r="BQ26" s="139">
        <f>IF($B26=0,"",SUMIFS(INPUT_DATA!R:R,INPUT_DATA!$A:$A,$B26,INPUT_DATA!$B:$B,"D"))</f>
        <v>0</v>
      </c>
      <c r="BR26" s="149">
        <f>IF($B26=0,"",SUMIFS(INPUT_DATA!S:S,INPUT_DATA!$A:$A,$B26,INPUT_DATA!$B:$B,"D"))</f>
        <v>119.79</v>
      </c>
      <c r="BS26" s="149">
        <f>IF($B26=0,"",SUMIFS(INPUT_DATA!T:T,INPUT_DATA!$A:$A,$B26,INPUT_DATA!$B:$B,"D"))</f>
        <v>36.96</v>
      </c>
      <c r="BT26" s="149">
        <f>IF($B26=0,"",SUMIFS(INPUT_DATA!U:U,INPUT_DATA!$A:$A,$B26,INPUT_DATA!$B:$B,"D"))</f>
        <v>0</v>
      </c>
      <c r="BU26" s="149">
        <f>IF($B26=0,"",SUMIFS(INPUT_DATA!V:V,INPUT_DATA!$A:$A,$B26,INPUT_DATA!$B:$B,"D"))</f>
        <v>81.849999999999994</v>
      </c>
      <c r="BV26" s="149">
        <f>IF($B26=0,"",SUMIFS(INPUT_DATA!W:W,INPUT_DATA!$A:$A,$B26,INPUT_DATA!$B:$B,"D"))</f>
        <v>64.900000000000006</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1384.77</v>
      </c>
      <c r="CE26" s="149">
        <f>IF($B26=0,"",SUMIFS(INPUT_DATA!AF:AF,INPUT_DATA!$A:$A,$B26,INPUT_DATA!$B:$B,"D"))</f>
        <v>342.25</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1422.71</v>
      </c>
      <c r="CK26" s="140">
        <f>IF($B26=0,"",SUMIFS(INPUT_DATA!AL:AL,INPUT_DATA!$A:$A,$B26,INPUT_DATA!$B:$B,"D"))</f>
        <v>314.31</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0</v>
      </c>
      <c r="CQ26" s="154">
        <f t="shared" si="2"/>
        <v>0</v>
      </c>
      <c r="CR26" s="154">
        <f t="shared" si="3"/>
        <v>0</v>
      </c>
      <c r="CS26" s="139">
        <f>IF($B26=0,"",SUMIFS(INPUT_DATA!AQ:AQ,INPUT_DATA!$A:$A,$B26,INPUT_DATA!$B:$B,"D"))</f>
        <v>0</v>
      </c>
      <c r="CT26" s="154">
        <f>IF($B26=0,"",SUMIFS(INPUT_DATA!AR:AR,INPUT_DATA!$A:$A,$B26,INPUT_DATA!$B:$B,"D"))</f>
        <v>0</v>
      </c>
      <c r="CU26" s="154">
        <f>IF($B26=0,"",SUMIFS(INPUT_DATA!AS:AS,INPUT_DATA!$A:$A,$B26,INPUT_DATA!$B:$B,"D"))</f>
        <v>0</v>
      </c>
      <c r="CV26" s="139">
        <f t="shared" si="17"/>
        <v>0</v>
      </c>
      <c r="CW26" s="154">
        <f t="shared" si="18"/>
        <v>0</v>
      </c>
      <c r="CX26" s="155">
        <f t="shared" si="19"/>
        <v>0</v>
      </c>
      <c r="CY26" s="148"/>
    </row>
    <row r="27" spans="2:104" ht="13">
      <c r="B27" s="137">
        <f>INPUT_DATA!CQ14</f>
        <v>45900</v>
      </c>
      <c r="C27" s="139">
        <f>IF($B27=0,"",SUMIFS(INPUT_DATA!C:C,INPUT_DATA!$A:$A,$B27,INPUT_DATA!$B:$B,"S"))</f>
        <v>7501402080.4799995</v>
      </c>
      <c r="D27" s="139">
        <f>IF($B27=0,"",SUMIFS(INPUT_DATA!D:D,INPUT_DATA!$A:$A,$B27,INPUT_DATA!$B:$B,"S"))</f>
        <v>0</v>
      </c>
      <c r="E27" s="140">
        <f>IF($B27=0,"",SUMIFS(INPUT_DATA!E:E,INPUT_DATA!$A:$A,$B27,INPUT_DATA!$B:$B,"S"))</f>
        <v>41134016</v>
      </c>
      <c r="F27" s="140">
        <f>IF($B27=0,"",SUMIFS(INPUT_DATA!F:F,INPUT_DATA!$A:$A,$B27,INPUT_DATA!$B:$B,"S"))</f>
        <v>24368146.75</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325275.99</v>
      </c>
      <c r="L27" s="140">
        <f>IF($B27=0,"",SUMIFS(INPUT_DATA!L:L,INPUT_DATA!$A:$A,$B27,INPUT_DATA!$B:$B,"S"))</f>
        <v>0</v>
      </c>
      <c r="M27" s="140">
        <f>IF($B27=0,"",SUMIFS(INPUT_DATA!M:M,INPUT_DATA!$A:$A,$B27,INPUT_DATA!$B:$B,"S"))</f>
        <v>4803743.8899999997</v>
      </c>
      <c r="N27" s="140">
        <f>IF($B27=0,"",SUMIFS(INPUT_DATA!N:N,INPUT_DATA!$A:$A,$B27,INPUT_DATA!$B:$B,"S"))</f>
        <v>0</v>
      </c>
      <c r="O27" s="141">
        <f t="shared" si="7"/>
        <v>7430770897.8499994</v>
      </c>
      <c r="P27" s="142">
        <f>IF($B27=0,"",SUMIFS(INPUT_DATA!O:O,INPUT_DATA!$A:$A,$B27,INPUT_DATA!$B:$B,"S"))</f>
        <v>7430770897.8500004</v>
      </c>
      <c r="Q27" s="142">
        <f t="shared" si="8"/>
        <v>-9.5367431640625E-7</v>
      </c>
      <c r="R27" s="142">
        <f>IF($B27=0,"",SUMIFS(INPUT_DATA!BL:BL,INPUT_DATA!$A:$A,$B27,INPUT_DATA!$B:$B,"S"))</f>
        <v>7344940.4400000004</v>
      </c>
      <c r="S27" s="143">
        <f>IF($B27=0,"",SUMIFS(INPUT_DATA!P:P,INPUT_DATA!$A:$A,$B27,INPUT_DATA!$B:$B,"S"))</f>
        <v>486832.33</v>
      </c>
      <c r="T27" s="143">
        <f>IF($B27=0,"",SUMIFS(INPUT_DATA!Q:Q,INPUT_DATA!$A:$A,$B27,INPUT_DATA!$B:$B,"S"))</f>
        <v>104936.02</v>
      </c>
      <c r="U27" s="143">
        <f>IF($B27=0,"",SUMIFS(INPUT_DATA!R:R,INPUT_DATA!$A:$A,$B27,INPUT_DATA!$B:$B,"S"))</f>
        <v>0</v>
      </c>
      <c r="V27" s="144">
        <f>IF($B27=0,"",SUMIFS(INPUT_DATA!S:S,INPUT_DATA!$A:$A,$B27,INPUT_DATA!$B:$B,"S"))</f>
        <v>209210.51</v>
      </c>
      <c r="W27" s="144">
        <f>IF($B27=0,"",SUMIFS(INPUT_DATA!T:T,INPUT_DATA!$A:$A,$B27,INPUT_DATA!$B:$B,"S"))</f>
        <v>35903.72</v>
      </c>
      <c r="X27" s="144">
        <f>IF($B27=0,"",SUMIFS(INPUT_DATA!U:U,INPUT_DATA!$A:$A,$B27,INPUT_DATA!$B:$B,"S"))</f>
        <v>0</v>
      </c>
      <c r="Y27" s="144">
        <f>IF($B27=0,"",SUMIFS(INPUT_DATA!V:V,INPUT_DATA!$A:$A,$B27,INPUT_DATA!$B:$B,"S"))</f>
        <v>139224.46</v>
      </c>
      <c r="Z27" s="144">
        <f>IF($B27=0,"",SUMIFS(INPUT_DATA!W:W,INPUT_DATA!$A:$A,$B27,INPUT_DATA!$B:$B,"S"))</f>
        <v>36811.22</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0</v>
      </c>
      <c r="AI27" s="144">
        <f>IF($B27=0,"",SUMIFS(INPUT_DATA!AF:AF,INPUT_DATA!$A:$A,$B27,INPUT_DATA!$B:$B,"S"))</f>
        <v>0</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556818.38000000012</v>
      </c>
      <c r="AR27" s="146">
        <f t="shared" si="10"/>
        <v>104028.51999999999</v>
      </c>
      <c r="AS27" s="147">
        <f t="shared" si="11"/>
        <v>0</v>
      </c>
      <c r="AT27" s="145">
        <f>IF($B27=0,"",SUMIFS(INPUT_DATA!AQ:AQ,INPUT_DATA!$A:$A,$B27,INPUT_DATA!$B:$B,"S"))</f>
        <v>556818.38</v>
      </c>
      <c r="AU27" s="146">
        <f>IF($B27=0,"",SUMIFS(INPUT_DATA!AR:AR,INPUT_DATA!$A:$A,$B27,INPUT_DATA!$B:$B,"S"))</f>
        <v>104028.52</v>
      </c>
      <c r="AV27" s="147">
        <f>IF($B27=0,"",SUMIFS(INPUT_DATA!AS:AS,INPUT_DATA!$A:$A,$B27,INPUT_DATA!$B:$B,"S"))</f>
        <v>0</v>
      </c>
      <c r="AW27" s="145">
        <f t="shared" si="12"/>
        <v>1.1641532182693481E-10</v>
      </c>
      <c r="AX27" s="146">
        <f t="shared" si="13"/>
        <v>-1.4551915228366852E-11</v>
      </c>
      <c r="AY27" s="147">
        <f t="shared" si="14"/>
        <v>0</v>
      </c>
      <c r="AZ27" s="148"/>
      <c r="BA27" s="138">
        <f>IF($B27=0,"",SUMIFS(INPUT_DATA!C:C,INPUT_DATA!$A:$A,$B27,INPUT_DATA!$B:$B,"D"))</f>
        <v>616580.66</v>
      </c>
      <c r="BB27" s="149">
        <f>IF($B27=0,"",SUMIFS(INPUT_DATA!E:E,INPUT_DATA!$A:$A,$B27,INPUT_DATA!$B:$B,"D"))</f>
        <v>1716.2</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325275.99</v>
      </c>
      <c r="BI27" s="149">
        <f>IF($B27=0,"",SUMIFS(INPUT_DATA!L:L,INPUT_DATA!$A:$A,$B27,INPUT_DATA!$B:$B,"D"))</f>
        <v>0</v>
      </c>
      <c r="BJ27" s="149">
        <f>IF($B27=0,"",SUMIFS(INPUT_DATA!M:M,INPUT_DATA!$A:$A,$B27,INPUT_DATA!$B:$B,"D"))</f>
        <v>615408.64000000001</v>
      </c>
      <c r="BK27" s="149">
        <f>IF($B27=0,"",SUMIFS(INPUT_DATA!N:N,INPUT_DATA!$A:$A,$B27,INPUT_DATA!$B:$B,"D"))</f>
        <v>0</v>
      </c>
      <c r="BL27" s="150">
        <f t="shared" si="5"/>
        <v>324731.81000000006</v>
      </c>
      <c r="BM27" s="150">
        <f>IF($B27=0,"",SUMIFS(INPUT_DATA!O:O,INPUT_DATA!$A:$A,$B27,INPUT_DATA!$B:$B,"D"))</f>
        <v>324731.81</v>
      </c>
      <c r="BN27" s="150">
        <f t="shared" si="15"/>
        <v>5.8207660913467407E-11</v>
      </c>
      <c r="BO27" s="153">
        <f>IF($B27=0,"",SUMIFS(INPUT_DATA!P:P,INPUT_DATA!$A:$A,$B27,INPUT_DATA!$B:$B,"D"))</f>
        <v>2694.84</v>
      </c>
      <c r="BP27" s="139">
        <f>IF($B27=0,"",SUMIFS(INPUT_DATA!Q:Q,INPUT_DATA!$A:$A,$B27,INPUT_DATA!$B:$B,"D"))</f>
        <v>248.83</v>
      </c>
      <c r="BQ27" s="139">
        <f>IF($B27=0,"",SUMIFS(INPUT_DATA!R:R,INPUT_DATA!$A:$A,$B27,INPUT_DATA!$B:$B,"D"))</f>
        <v>0</v>
      </c>
      <c r="BR27" s="149">
        <f>IF($B27=0,"",SUMIFS(INPUT_DATA!S:S,INPUT_DATA!$A:$A,$B27,INPUT_DATA!$B:$B,"D"))</f>
        <v>0</v>
      </c>
      <c r="BS27" s="149">
        <f>IF($B27=0,"",SUMIFS(INPUT_DATA!T:T,INPUT_DATA!$A:$A,$B27,INPUT_DATA!$B:$B,"D"))</f>
        <v>0</v>
      </c>
      <c r="BT27" s="149">
        <f>IF($B27=0,"",SUMIFS(INPUT_DATA!U:U,INPUT_DATA!$A:$A,$B27,INPUT_DATA!$B:$B,"D"))</f>
        <v>0</v>
      </c>
      <c r="BU27" s="149">
        <f>IF($B27=0,"",SUMIFS(INPUT_DATA!V:V,INPUT_DATA!$A:$A,$B27,INPUT_DATA!$B:$B,"D"))</f>
        <v>0</v>
      </c>
      <c r="BV27" s="149">
        <f>IF($B27=0,"",SUMIFS(INPUT_DATA!W:W,INPUT_DATA!$A:$A,$B27,INPUT_DATA!$B:$B,"D"))</f>
        <v>0</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0</v>
      </c>
      <c r="CE27" s="149">
        <f>IF($B27=0,"",SUMIFS(INPUT_DATA!AF:AF,INPUT_DATA!$A:$A,$B27,INPUT_DATA!$B:$B,"D"))</f>
        <v>0</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2694.84</v>
      </c>
      <c r="CK27" s="140">
        <f>IF($B27=0,"",SUMIFS(INPUT_DATA!AL:AL,INPUT_DATA!$A:$A,$B27,INPUT_DATA!$B:$B,"D"))</f>
        <v>248.83</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0</v>
      </c>
      <c r="CQ27" s="154">
        <f t="shared" si="2"/>
        <v>0</v>
      </c>
      <c r="CR27" s="154">
        <f t="shared" si="3"/>
        <v>0</v>
      </c>
      <c r="CS27" s="139">
        <f>IF($B27=0,"",SUMIFS(INPUT_DATA!AQ:AQ,INPUT_DATA!$A:$A,$B27,INPUT_DATA!$B:$B,"D"))</f>
        <v>0</v>
      </c>
      <c r="CT27" s="154">
        <f>IF($B27=0,"",SUMIFS(INPUT_DATA!AR:AR,INPUT_DATA!$A:$A,$B27,INPUT_DATA!$B:$B,"D"))</f>
        <v>0</v>
      </c>
      <c r="CU27" s="154">
        <f>IF($B27=0,"",SUMIFS(INPUT_DATA!AS:AS,INPUT_DATA!$A:$A,$B27,INPUT_DATA!$B:$B,"D"))</f>
        <v>0</v>
      </c>
      <c r="CV27" s="139">
        <f t="shared" si="17"/>
        <v>0</v>
      </c>
      <c r="CW27" s="154">
        <f t="shared" si="18"/>
        <v>0</v>
      </c>
      <c r="CX27" s="155">
        <f t="shared" si="19"/>
        <v>0</v>
      </c>
      <c r="CY27" s="148"/>
    </row>
    <row r="28" spans="2:104" ht="13">
      <c r="B28" s="137">
        <f>INPUT_DATA!CQ15</f>
        <v>45869</v>
      </c>
      <c r="C28" s="139">
        <f>IF($B28=0,"",SUMIFS(INPUT_DATA!C:C,INPUT_DATA!$A:$A,$B28,INPUT_DATA!$B:$B,"S"))</f>
        <v>7570005186.9899998</v>
      </c>
      <c r="D28" s="139">
        <f>IF($B28=0,"",SUMIFS(INPUT_DATA!D:D,INPUT_DATA!$A:$A,$B28,INPUT_DATA!$B:$B,"S"))</f>
        <v>0</v>
      </c>
      <c r="E28" s="140">
        <f>IF($B28=0,"",SUMIFS(INPUT_DATA!E:E,INPUT_DATA!$A:$A,$B28,INPUT_DATA!$B:$B,"S"))</f>
        <v>41404450.689999998</v>
      </c>
      <c r="F28" s="140">
        <f>IF($B28=0,"",SUMIFS(INPUT_DATA!F:F,INPUT_DATA!$A:$A,$B28,INPUT_DATA!$B:$B,"S"))</f>
        <v>23530806</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619098.98</v>
      </c>
      <c r="L28" s="140">
        <f>IF($B28=0,"",SUMIFS(INPUT_DATA!L:L,INPUT_DATA!$A:$A,$B28,INPUT_DATA!$B:$B,"S"))</f>
        <v>0</v>
      </c>
      <c r="M28" s="140">
        <f>IF($B28=0,"",SUMIFS(INPUT_DATA!M:M,INPUT_DATA!$A:$A,$B28,INPUT_DATA!$B:$B,"S"))</f>
        <v>3048750.84</v>
      </c>
      <c r="N28" s="140">
        <f>IF($B28=0,"",SUMIFS(INPUT_DATA!N:N,INPUT_DATA!$A:$A,$B28,INPUT_DATA!$B:$B,"S"))</f>
        <v>0</v>
      </c>
      <c r="O28" s="141">
        <f t="shared" si="7"/>
        <v>7501402080.4800005</v>
      </c>
      <c r="P28" s="142">
        <f>IF($B28=0,"",SUMIFS(INPUT_DATA!O:O,INPUT_DATA!$A:$A,$B28,INPUT_DATA!$B:$B,"S"))</f>
        <v>7501402080.4799995</v>
      </c>
      <c r="Q28" s="142">
        <f t="shared" si="8"/>
        <v>9.5367431640625E-7</v>
      </c>
      <c r="R28" s="142">
        <f>IF($B28=0,"",SUMIFS(INPUT_DATA!BL:BL,INPUT_DATA!$A:$A,$B28,INPUT_DATA!$B:$B,"S"))</f>
        <v>7414518.2800000003</v>
      </c>
      <c r="S28" s="143">
        <f>IF($B28=0,"",SUMIFS(INPUT_DATA!P:P,INPUT_DATA!$A:$A,$B28,INPUT_DATA!$B:$B,"S"))</f>
        <v>468786.21</v>
      </c>
      <c r="T28" s="143">
        <f>IF($B28=0,"",SUMIFS(INPUT_DATA!Q:Q,INPUT_DATA!$A:$A,$B28,INPUT_DATA!$B:$B,"S"))</f>
        <v>91992.76</v>
      </c>
      <c r="U28" s="143">
        <f>IF($B28=0,"",SUMIFS(INPUT_DATA!R:R,INPUT_DATA!$A:$A,$B28,INPUT_DATA!$B:$B,"S"))</f>
        <v>0</v>
      </c>
      <c r="V28" s="144">
        <f>IF($B28=0,"",SUMIFS(INPUT_DATA!S:S,INPUT_DATA!$A:$A,$B28,INPUT_DATA!$B:$B,"S"))</f>
        <v>185325.96</v>
      </c>
      <c r="W28" s="144">
        <f>IF($B28=0,"",SUMIFS(INPUT_DATA!T:T,INPUT_DATA!$A:$A,$B28,INPUT_DATA!$B:$B,"S"))</f>
        <v>45370.559999999998</v>
      </c>
      <c r="X28" s="144">
        <f>IF($B28=0,"",SUMIFS(INPUT_DATA!U:U,INPUT_DATA!$A:$A,$B28,INPUT_DATA!$B:$B,"S"))</f>
        <v>0</v>
      </c>
      <c r="Y28" s="144">
        <f>IF($B28=0,"",SUMIFS(INPUT_DATA!V:V,INPUT_DATA!$A:$A,$B28,INPUT_DATA!$B:$B,"S"))</f>
        <v>164764.35</v>
      </c>
      <c r="Z28" s="144">
        <f>IF($B28=0,"",SUMIFS(INPUT_DATA!W:W,INPUT_DATA!$A:$A,$B28,INPUT_DATA!$B:$B,"S"))</f>
        <v>32176.720000000001</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2515.4899999999998</v>
      </c>
      <c r="AI28" s="144">
        <f>IF($B28=0,"",SUMIFS(INPUT_DATA!AF:AF,INPUT_DATA!$A:$A,$B28,INPUT_DATA!$B:$B,"S"))</f>
        <v>250.58</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486832.33000000007</v>
      </c>
      <c r="AR28" s="146">
        <f t="shared" si="10"/>
        <v>104936.02</v>
      </c>
      <c r="AS28" s="147">
        <f t="shared" si="11"/>
        <v>0</v>
      </c>
      <c r="AT28" s="145">
        <f>IF($B28=0,"",SUMIFS(INPUT_DATA!AQ:AQ,INPUT_DATA!$A:$A,$B28,INPUT_DATA!$B:$B,"S"))</f>
        <v>486832.33</v>
      </c>
      <c r="AU28" s="146">
        <f>IF($B28=0,"",SUMIFS(INPUT_DATA!AR:AR,INPUT_DATA!$A:$A,$B28,INPUT_DATA!$B:$B,"S"))</f>
        <v>104936.02</v>
      </c>
      <c r="AV28" s="147">
        <f>IF($B28=0,"",SUMIFS(INPUT_DATA!AS:AS,INPUT_DATA!$A:$A,$B28,INPUT_DATA!$B:$B,"S"))</f>
        <v>0</v>
      </c>
      <c r="AW28" s="145">
        <f t="shared" si="12"/>
        <v>5.8207660913467407E-11</v>
      </c>
      <c r="AX28" s="146">
        <f t="shared" si="13"/>
        <v>0</v>
      </c>
      <c r="AY28" s="147">
        <f t="shared" si="14"/>
        <v>0</v>
      </c>
      <c r="AZ28" s="148"/>
      <c r="BA28" s="138">
        <f>IF($B28=0,"",SUMIFS(INPUT_DATA!C:C,INPUT_DATA!$A:$A,$B28,INPUT_DATA!$B:$B,"D"))</f>
        <v>180457.8</v>
      </c>
      <c r="BB28" s="149">
        <f>IF($B28=0,"",SUMIFS(INPUT_DATA!E:E,INPUT_DATA!$A:$A,$B28,INPUT_DATA!$B:$B,"D"))</f>
        <v>2915.56</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619098.98</v>
      </c>
      <c r="BI28" s="149">
        <f>IF($B28=0,"",SUMIFS(INPUT_DATA!L:L,INPUT_DATA!$A:$A,$B28,INPUT_DATA!$B:$B,"D"))</f>
        <v>0</v>
      </c>
      <c r="BJ28" s="149">
        <f>IF($B28=0,"",SUMIFS(INPUT_DATA!M:M,INPUT_DATA!$A:$A,$B28,INPUT_DATA!$B:$B,"D"))</f>
        <v>180060.56</v>
      </c>
      <c r="BK28" s="149">
        <f>IF($B28=0,"",SUMIFS(INPUT_DATA!N:N,INPUT_DATA!$A:$A,$B28,INPUT_DATA!$B:$B,"D"))</f>
        <v>0</v>
      </c>
      <c r="BL28" s="150">
        <f t="shared" si="5"/>
        <v>616580.65999999992</v>
      </c>
      <c r="BM28" s="150">
        <f>IF($B28=0,"",SUMIFS(INPUT_DATA!O:O,INPUT_DATA!$A:$A,$B28,INPUT_DATA!$B:$B,"D"))</f>
        <v>616580.66</v>
      </c>
      <c r="BN28" s="150">
        <f t="shared" si="15"/>
        <v>-1.1641532182693481E-10</v>
      </c>
      <c r="BO28" s="153">
        <f>IF($B28=0,"",SUMIFS(INPUT_DATA!P:P,INPUT_DATA!$A:$A,$B28,INPUT_DATA!$B:$B,"D"))</f>
        <v>2013.48</v>
      </c>
      <c r="BP28" s="139">
        <f>IF($B28=0,"",SUMIFS(INPUT_DATA!Q:Q,INPUT_DATA!$A:$A,$B28,INPUT_DATA!$B:$B,"D"))</f>
        <v>100.74</v>
      </c>
      <c r="BQ28" s="139">
        <f>IF($B28=0,"",SUMIFS(INPUT_DATA!R:R,INPUT_DATA!$A:$A,$B28,INPUT_DATA!$B:$B,"D"))</f>
        <v>0</v>
      </c>
      <c r="BR28" s="149">
        <f>IF($B28=0,"",SUMIFS(INPUT_DATA!S:S,INPUT_DATA!$A:$A,$B28,INPUT_DATA!$B:$B,"D"))</f>
        <v>179.35</v>
      </c>
      <c r="BS28" s="149">
        <f>IF($B28=0,"",SUMIFS(INPUT_DATA!T:T,INPUT_DATA!$A:$A,$B28,INPUT_DATA!$B:$B,"D"))</f>
        <v>0</v>
      </c>
      <c r="BT28" s="149">
        <f>IF($B28=0,"",SUMIFS(INPUT_DATA!U:U,INPUT_DATA!$A:$A,$B28,INPUT_DATA!$B:$B,"D"))</f>
        <v>0</v>
      </c>
      <c r="BU28" s="149">
        <f>IF($B28=0,"",SUMIFS(INPUT_DATA!V:V,INPUT_DATA!$A:$A,$B28,INPUT_DATA!$B:$B,"D"))</f>
        <v>2013.48</v>
      </c>
      <c r="BV28" s="149">
        <f>IF($B28=0,"",SUMIFS(INPUT_DATA!W:W,INPUT_DATA!$A:$A,$B28,INPUT_DATA!$B:$B,"D"))</f>
        <v>102.49</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2515.4899999999998</v>
      </c>
      <c r="CE28" s="149">
        <f>IF($B28=0,"",SUMIFS(INPUT_DATA!AF:AF,INPUT_DATA!$A:$A,$B28,INPUT_DATA!$B:$B,"D"))</f>
        <v>250.58</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2694.8399999999997</v>
      </c>
      <c r="CQ28" s="154">
        <f t="shared" si="2"/>
        <v>248.83</v>
      </c>
      <c r="CR28" s="154">
        <f t="shared" si="3"/>
        <v>0</v>
      </c>
      <c r="CS28" s="139">
        <f>IF($B28=0,"",SUMIFS(INPUT_DATA!AQ:AQ,INPUT_DATA!$A:$A,$B28,INPUT_DATA!$B:$B,"D"))</f>
        <v>2694.84</v>
      </c>
      <c r="CT28" s="154">
        <f>IF($B28=0,"",SUMIFS(INPUT_DATA!AR:AR,INPUT_DATA!$A:$A,$B28,INPUT_DATA!$B:$B,"D"))</f>
        <v>248.83</v>
      </c>
      <c r="CU28" s="154">
        <f>IF($B28=0,"",SUMIFS(INPUT_DATA!AS:AS,INPUT_DATA!$A:$A,$B28,INPUT_DATA!$B:$B,"D"))</f>
        <v>0</v>
      </c>
      <c r="CV28" s="139">
        <f t="shared" si="17"/>
        <v>-4.5474735088646412E-13</v>
      </c>
      <c r="CW28" s="154">
        <f t="shared" si="18"/>
        <v>0</v>
      </c>
      <c r="CX28" s="155">
        <f t="shared" si="19"/>
        <v>0</v>
      </c>
      <c r="CY28" s="148"/>
    </row>
    <row r="29" spans="2:104" ht="13">
      <c r="B29" s="137">
        <f>INPUT_DATA!CQ16</f>
        <v>45838</v>
      </c>
      <c r="C29" s="139">
        <f>IF($B29=0,"",SUMIFS(INPUT_DATA!C:C,INPUT_DATA!$A:$A,$B29,INPUT_DATA!$B:$B,"S"))</f>
        <v>7635175945.3199997</v>
      </c>
      <c r="D29" s="139">
        <f>IF($B29=0,"",SUMIFS(INPUT_DATA!D:D,INPUT_DATA!$A:$A,$B29,INPUT_DATA!$B:$B,"S"))</f>
        <v>0</v>
      </c>
      <c r="E29" s="140">
        <f>IF($B29=0,"",SUMIFS(INPUT_DATA!E:E,INPUT_DATA!$A:$A,$B29,INPUT_DATA!$B:$B,"S"))</f>
        <v>41396387.259999998</v>
      </c>
      <c r="F29" s="140">
        <f>IF($B29=0,"",SUMIFS(INPUT_DATA!F:F,INPUT_DATA!$A:$A,$B29,INPUT_DATA!$B:$B,"S"))</f>
        <v>17402933.100000001</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183346.71</v>
      </c>
      <c r="L29" s="140">
        <f>IF($B29=0,"",SUMIFS(INPUT_DATA!L:L,INPUT_DATA!$A:$A,$B29,INPUT_DATA!$B:$B,"S"))</f>
        <v>0</v>
      </c>
      <c r="M29" s="140">
        <f>IF($B29=0,"",SUMIFS(INPUT_DATA!M:M,INPUT_DATA!$A:$A,$B29,INPUT_DATA!$B:$B,"S"))</f>
        <v>6188091.2599999998</v>
      </c>
      <c r="N29" s="140">
        <f>IF($B29=0,"",SUMIFS(INPUT_DATA!N:N,INPUT_DATA!$A:$A,$B29,INPUT_DATA!$B:$B,"S"))</f>
        <v>0</v>
      </c>
      <c r="O29" s="141">
        <f t="shared" si="7"/>
        <v>7570005186.9899988</v>
      </c>
      <c r="P29" s="142">
        <f>IF($B29=0,"",SUMIFS(INPUT_DATA!O:O,INPUT_DATA!$A:$A,$B29,INPUT_DATA!$B:$B,"S"))</f>
        <v>7570005186.9899998</v>
      </c>
      <c r="Q29" s="142">
        <f t="shared" si="8"/>
        <v>-9.5367431640625E-7</v>
      </c>
      <c r="R29" s="142">
        <f>IF($B29=0,"",SUMIFS(INPUT_DATA!BL:BL,INPUT_DATA!$A:$A,$B29,INPUT_DATA!$B:$B,"S"))</f>
        <v>7406086.4199999999</v>
      </c>
      <c r="S29" s="143">
        <f>IF($B29=0,"",SUMIFS(INPUT_DATA!P:P,INPUT_DATA!$A:$A,$B29,INPUT_DATA!$B:$B,"S"))</f>
        <v>384443.79</v>
      </c>
      <c r="T29" s="143">
        <f>IF($B29=0,"",SUMIFS(INPUT_DATA!Q:Q,INPUT_DATA!$A:$A,$B29,INPUT_DATA!$B:$B,"S"))</f>
        <v>77984.66</v>
      </c>
      <c r="U29" s="143">
        <f>IF($B29=0,"",SUMIFS(INPUT_DATA!R:R,INPUT_DATA!$A:$A,$B29,INPUT_DATA!$B:$B,"S"))</f>
        <v>0</v>
      </c>
      <c r="V29" s="144">
        <f>IF($B29=0,"",SUMIFS(INPUT_DATA!S:S,INPUT_DATA!$A:$A,$B29,INPUT_DATA!$B:$B,"S"))</f>
        <v>215287.02</v>
      </c>
      <c r="W29" s="144">
        <f>IF($B29=0,"",SUMIFS(INPUT_DATA!T:T,INPUT_DATA!$A:$A,$B29,INPUT_DATA!$B:$B,"S"))</f>
        <v>40982.550000000003</v>
      </c>
      <c r="X29" s="144">
        <f>IF($B29=0,"",SUMIFS(INPUT_DATA!U:U,INPUT_DATA!$A:$A,$B29,INPUT_DATA!$B:$B,"S"))</f>
        <v>0</v>
      </c>
      <c r="Y29" s="144">
        <f>IF($B29=0,"",SUMIFS(INPUT_DATA!V:V,INPUT_DATA!$A:$A,$B29,INPUT_DATA!$B:$B,"S"))</f>
        <v>129163.94</v>
      </c>
      <c r="Z29" s="144">
        <f>IF($B29=0,"",SUMIFS(INPUT_DATA!W:W,INPUT_DATA!$A:$A,$B29,INPUT_DATA!$B:$B,"S"))</f>
        <v>26974.45</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1780.66</v>
      </c>
      <c r="AI29" s="144">
        <f>IF($B29=0,"",SUMIFS(INPUT_DATA!AF:AF,INPUT_DATA!$A:$A,$B29,INPUT_DATA!$B:$B,"S"))</f>
        <v>0</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468786.20999999996</v>
      </c>
      <c r="AR29" s="146">
        <f t="shared" si="10"/>
        <v>91992.760000000009</v>
      </c>
      <c r="AS29" s="147">
        <f t="shared" si="11"/>
        <v>0</v>
      </c>
      <c r="AT29" s="145">
        <f>IF($B29=0,"",SUMIFS(INPUT_DATA!AQ:AQ,INPUT_DATA!$A:$A,$B29,INPUT_DATA!$B:$B,"S"))</f>
        <v>468786.21</v>
      </c>
      <c r="AU29" s="146">
        <f>IF($B29=0,"",SUMIFS(INPUT_DATA!AR:AR,INPUT_DATA!$A:$A,$B29,INPUT_DATA!$B:$B,"S"))</f>
        <v>91992.76</v>
      </c>
      <c r="AV29" s="147">
        <f>IF($B29=0,"",SUMIFS(INPUT_DATA!AS:AS,INPUT_DATA!$A:$A,$B29,INPUT_DATA!$B:$B,"S"))</f>
        <v>0</v>
      </c>
      <c r="AW29" s="145">
        <f t="shared" si="12"/>
        <v>-5.8207660913467407E-11</v>
      </c>
      <c r="AX29" s="146">
        <f t="shared" si="13"/>
        <v>1.4551915228366852E-11</v>
      </c>
      <c r="AY29" s="147">
        <f t="shared" si="14"/>
        <v>0</v>
      </c>
      <c r="AZ29" s="148"/>
      <c r="BA29" s="138">
        <f>IF($B29=0,"",SUMIFS(INPUT_DATA!C:C,INPUT_DATA!$A:$A,$B29,INPUT_DATA!$B:$B,"D"))</f>
        <v>719043.86</v>
      </c>
      <c r="BB29" s="149">
        <f>IF($B29=0,"",SUMIFS(INPUT_DATA!E:E,INPUT_DATA!$A:$A,$B29,INPUT_DATA!$B:$B,"D"))</f>
        <v>7555.82</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183346.71</v>
      </c>
      <c r="BI29" s="149">
        <f>IF($B29=0,"",SUMIFS(INPUT_DATA!L:L,INPUT_DATA!$A:$A,$B29,INPUT_DATA!$B:$B,"D"))</f>
        <v>0</v>
      </c>
      <c r="BJ29" s="149">
        <f>IF($B29=0,"",SUMIFS(INPUT_DATA!M:M,INPUT_DATA!$A:$A,$B29,INPUT_DATA!$B:$B,"D"))</f>
        <v>714376.95</v>
      </c>
      <c r="BK29" s="149">
        <f>IF($B29=0,"",SUMIFS(INPUT_DATA!N:N,INPUT_DATA!$A:$A,$B29,INPUT_DATA!$B:$B,"D"))</f>
        <v>0</v>
      </c>
      <c r="BL29" s="150">
        <f t="shared" si="5"/>
        <v>180457.80000000005</v>
      </c>
      <c r="BM29" s="150">
        <f>IF($B29=0,"",SUMIFS(INPUT_DATA!O:O,INPUT_DATA!$A:$A,$B29,INPUT_DATA!$B:$B,"D"))</f>
        <v>180457.8</v>
      </c>
      <c r="BN29" s="150">
        <f t="shared" si="15"/>
        <v>5.8207660913467407E-11</v>
      </c>
      <c r="BO29" s="153">
        <f>IF($B29=0,"",SUMIFS(INPUT_DATA!P:P,INPUT_DATA!$A:$A,$B29,INPUT_DATA!$B:$B,"D"))</f>
        <v>0</v>
      </c>
      <c r="BP29" s="139">
        <f>IF($B29=0,"",SUMIFS(INPUT_DATA!Q:Q,INPUT_DATA!$A:$A,$B29,INPUT_DATA!$B:$B,"D"))</f>
        <v>0</v>
      </c>
      <c r="BQ29" s="139">
        <f>IF($B29=0,"",SUMIFS(INPUT_DATA!R:R,INPUT_DATA!$A:$A,$B29,INPUT_DATA!$B:$B,"D"))</f>
        <v>0</v>
      </c>
      <c r="BR29" s="149">
        <f>IF($B29=0,"",SUMIFS(INPUT_DATA!S:S,INPUT_DATA!$A:$A,$B29,INPUT_DATA!$B:$B,"D"))</f>
        <v>232.82</v>
      </c>
      <c r="BS29" s="149">
        <f>IF($B29=0,"",SUMIFS(INPUT_DATA!T:T,INPUT_DATA!$A:$A,$B29,INPUT_DATA!$B:$B,"D"))</f>
        <v>100.74</v>
      </c>
      <c r="BT29" s="149">
        <f>IF($B29=0,"",SUMIFS(INPUT_DATA!U:U,INPUT_DATA!$A:$A,$B29,INPUT_DATA!$B:$B,"D"))</f>
        <v>0</v>
      </c>
      <c r="BU29" s="149">
        <f>IF($B29=0,"",SUMIFS(INPUT_DATA!V:V,INPUT_DATA!$A:$A,$B29,INPUT_DATA!$B:$B,"D"))</f>
        <v>0</v>
      </c>
      <c r="BV29" s="149">
        <f>IF($B29=0,"",SUMIFS(INPUT_DATA!W:W,INPUT_DATA!$A:$A,$B29,INPUT_DATA!$B:$B,"D"))</f>
        <v>0</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1780.66</v>
      </c>
      <c r="CE29" s="149">
        <f>IF($B29=0,"",SUMIFS(INPUT_DATA!AF:AF,INPUT_DATA!$A:$A,$B29,INPUT_DATA!$B:$B,"D"))</f>
        <v>0</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2013.48</v>
      </c>
      <c r="CQ29" s="154">
        <f t="shared" si="2"/>
        <v>100.74</v>
      </c>
      <c r="CR29" s="154">
        <f t="shared" si="3"/>
        <v>0</v>
      </c>
      <c r="CS29" s="139">
        <f>IF($B29=0,"",SUMIFS(INPUT_DATA!AQ:AQ,INPUT_DATA!$A:$A,$B29,INPUT_DATA!$B:$B,"D"))</f>
        <v>2013.48</v>
      </c>
      <c r="CT29" s="154">
        <f>IF($B29=0,"",SUMIFS(INPUT_DATA!AR:AR,INPUT_DATA!$A:$A,$B29,INPUT_DATA!$B:$B,"D"))</f>
        <v>100.74</v>
      </c>
      <c r="CU29" s="154">
        <f>IF($B29=0,"",SUMIFS(INPUT_DATA!AS:AS,INPUT_DATA!$A:$A,$B29,INPUT_DATA!$B:$B,"D"))</f>
        <v>0</v>
      </c>
      <c r="CV29" s="139">
        <f t="shared" si="17"/>
        <v>0</v>
      </c>
      <c r="CW29" s="154">
        <f t="shared" si="18"/>
        <v>0</v>
      </c>
      <c r="CX29" s="155">
        <f t="shared" si="19"/>
        <v>0</v>
      </c>
      <c r="CY29" s="148"/>
    </row>
    <row r="30" spans="2:104" ht="13">
      <c r="B30" s="137">
        <f>INPUT_DATA!CQ17</f>
        <v>45808</v>
      </c>
      <c r="C30" s="139">
        <f>IF($B30=0,"",SUMIFS(INPUT_DATA!C:C,INPUT_DATA!$A:$A,$B30,INPUT_DATA!$B:$B,"S"))</f>
        <v>7700874478.6099997</v>
      </c>
      <c r="D30" s="139">
        <f>IF($B30=0,"",SUMIFS(INPUT_DATA!D:D,INPUT_DATA!$A:$A,$B30,INPUT_DATA!$B:$B,"S"))</f>
        <v>0</v>
      </c>
      <c r="E30" s="140">
        <f>IF($B30=0,"",SUMIFS(INPUT_DATA!E:E,INPUT_DATA!$A:$A,$B30,INPUT_DATA!$B:$B,"S"))</f>
        <v>41702863.289999999</v>
      </c>
      <c r="F30" s="140">
        <f>IF($B30=0,"",SUMIFS(INPUT_DATA!F:F,INPUT_DATA!$A:$A,$B30,INPUT_DATA!$B:$B,"S"))</f>
        <v>19519847.550000001</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723701.24</v>
      </c>
      <c r="L30" s="140">
        <f>IF($B30=0,"",SUMIFS(INPUT_DATA!L:L,INPUT_DATA!$A:$A,$B30,INPUT_DATA!$B:$B,"S"))</f>
        <v>0</v>
      </c>
      <c r="M30" s="140">
        <f>IF($B30=0,"",SUMIFS(INPUT_DATA!M:M,INPUT_DATA!$A:$A,$B30,INPUT_DATA!$B:$B,"S"))</f>
        <v>3752121.21</v>
      </c>
      <c r="N30" s="140">
        <f>IF($B30=0,"",SUMIFS(INPUT_DATA!N:N,INPUT_DATA!$A:$A,$B30,INPUT_DATA!$B:$B,"S"))</f>
        <v>0</v>
      </c>
      <c r="O30" s="141">
        <f t="shared" si="7"/>
        <v>7635175945.3199997</v>
      </c>
      <c r="P30" s="142">
        <f>IF($B30=0,"",SUMIFS(INPUT_DATA!O:O,INPUT_DATA!$A:$A,$B30,INPUT_DATA!$B:$B,"S"))</f>
        <v>7635175945.3199997</v>
      </c>
      <c r="Q30" s="142">
        <f t="shared" si="8"/>
        <v>0</v>
      </c>
      <c r="R30" s="142">
        <f>IF($B30=0,"",SUMIFS(INPUT_DATA!BL:BL,INPUT_DATA!$A:$A,$B30,INPUT_DATA!$B:$B,"S"))</f>
        <v>7545687.3099999996</v>
      </c>
      <c r="S30" s="143">
        <f>IF($B30=0,"",SUMIFS(INPUT_DATA!P:P,INPUT_DATA!$A:$A,$B30,INPUT_DATA!$B:$B,"S"))</f>
        <v>301091.21000000002</v>
      </c>
      <c r="T30" s="143">
        <f>IF($B30=0,"",SUMIFS(INPUT_DATA!Q:Q,INPUT_DATA!$A:$A,$B30,INPUT_DATA!$B:$B,"S"))</f>
        <v>58617.81</v>
      </c>
      <c r="U30" s="143">
        <f>IF($B30=0,"",SUMIFS(INPUT_DATA!R:R,INPUT_DATA!$A:$A,$B30,INPUT_DATA!$B:$B,"S"))</f>
        <v>0</v>
      </c>
      <c r="V30" s="144">
        <f>IF($B30=0,"",SUMIFS(INPUT_DATA!S:S,INPUT_DATA!$A:$A,$B30,INPUT_DATA!$B:$B,"S"))</f>
        <v>188255.53</v>
      </c>
      <c r="W30" s="144">
        <f>IF($B30=0,"",SUMIFS(INPUT_DATA!T:T,INPUT_DATA!$A:$A,$B30,INPUT_DATA!$B:$B,"S"))</f>
        <v>37467.33</v>
      </c>
      <c r="X30" s="144">
        <f>IF($B30=0,"",SUMIFS(INPUT_DATA!U:U,INPUT_DATA!$A:$A,$B30,INPUT_DATA!$B:$B,"S"))</f>
        <v>0</v>
      </c>
      <c r="Y30" s="144">
        <f>IF($B30=0,"",SUMIFS(INPUT_DATA!V:V,INPUT_DATA!$A:$A,$B30,INPUT_DATA!$B:$B,"S"))</f>
        <v>103621.29</v>
      </c>
      <c r="Z30" s="144">
        <f>IF($B30=0,"",SUMIFS(INPUT_DATA!W:W,INPUT_DATA!$A:$A,$B30,INPUT_DATA!$B:$B,"S"))</f>
        <v>18039.490000000002</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0</v>
      </c>
      <c r="AI30" s="144">
        <f>IF($B30=0,"",SUMIFS(INPUT_DATA!AF:AF,INPUT_DATA!$A:$A,$B30,INPUT_DATA!$B:$B,"S"))</f>
        <v>0</v>
      </c>
      <c r="AJ30" s="144">
        <f>IF($B30=0,"",SUMIFS(INPUT_DATA!AG:AG,INPUT_DATA!$A:$A,$B30,INPUT_DATA!$B:$B,"S"))</f>
        <v>0</v>
      </c>
      <c r="AK30" s="144">
        <f>IF($B30=0,"",SUMIFS(INPUT_DATA!AK:AK,INPUT_DATA!$A:$A,$B30,INPUT_DATA!$B:$B,"S"))</f>
        <v>1281.6600000000001</v>
      </c>
      <c r="AL30" s="144">
        <f>IF($B30=0,"",SUMIFS(INPUT_DATA!AL:AL,INPUT_DATA!$A:$A,$B30,INPUT_DATA!$B:$B,"S"))</f>
        <v>60.99</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384443.79000000004</v>
      </c>
      <c r="AR30" s="146">
        <f t="shared" si="10"/>
        <v>77984.659999999989</v>
      </c>
      <c r="AS30" s="147">
        <f t="shared" si="11"/>
        <v>0</v>
      </c>
      <c r="AT30" s="145">
        <f>IF($B30=0,"",SUMIFS(INPUT_DATA!AQ:AQ,INPUT_DATA!$A:$A,$B30,INPUT_DATA!$B:$B,"S"))</f>
        <v>384443.79</v>
      </c>
      <c r="AU30" s="146">
        <f>IF($B30=0,"",SUMIFS(INPUT_DATA!AR:AR,INPUT_DATA!$A:$A,$B30,INPUT_DATA!$B:$B,"S"))</f>
        <v>77984.66</v>
      </c>
      <c r="AV30" s="147">
        <f>IF($B30=0,"",SUMIFS(INPUT_DATA!AS:AS,INPUT_DATA!$A:$A,$B30,INPUT_DATA!$B:$B,"S"))</f>
        <v>0</v>
      </c>
      <c r="AW30" s="145">
        <f t="shared" si="12"/>
        <v>5.8207660913467407E-11</v>
      </c>
      <c r="AX30" s="146">
        <f t="shared" si="13"/>
        <v>-1.4551915228366852E-11</v>
      </c>
      <c r="AY30" s="147">
        <f t="shared" si="14"/>
        <v>0</v>
      </c>
      <c r="AZ30" s="148"/>
      <c r="BA30" s="138">
        <f>IF($B30=0,"",SUMIFS(INPUT_DATA!C:C,INPUT_DATA!$A:$A,$B30,INPUT_DATA!$B:$B,"D"))</f>
        <v>1231515.1100000001</v>
      </c>
      <c r="BB30" s="149">
        <f>IF($B30=0,"",SUMIFS(INPUT_DATA!E:E,INPUT_DATA!$A:$A,$B30,INPUT_DATA!$B:$B,"D"))</f>
        <v>9058.5400000000009</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723701.24</v>
      </c>
      <c r="BI30" s="149">
        <f>IF($B30=0,"",SUMIFS(INPUT_DATA!L:L,INPUT_DATA!$A:$A,$B30,INPUT_DATA!$B:$B,"D"))</f>
        <v>0</v>
      </c>
      <c r="BJ30" s="149">
        <f>IF($B30=0,"",SUMIFS(INPUT_DATA!M:M,INPUT_DATA!$A:$A,$B30,INPUT_DATA!$B:$B,"D"))</f>
        <v>1227113.95</v>
      </c>
      <c r="BK30" s="149">
        <f>IF($B30=0,"",SUMIFS(INPUT_DATA!N:N,INPUT_DATA!$A:$A,$B30,INPUT_DATA!$B:$B,"D"))</f>
        <v>0</v>
      </c>
      <c r="BL30" s="150">
        <f t="shared" si="5"/>
        <v>719043.8600000001</v>
      </c>
      <c r="BM30" s="150">
        <f>IF($B30=0,"",SUMIFS(INPUT_DATA!O:O,INPUT_DATA!$A:$A,$B30,INPUT_DATA!$B:$B,"D"))</f>
        <v>719043.86</v>
      </c>
      <c r="BN30" s="150">
        <f t="shared" si="15"/>
        <v>1.1641532182693481E-10</v>
      </c>
      <c r="BO30" s="153">
        <f>IF($B30=0,"",SUMIFS(INPUT_DATA!P:P,INPUT_DATA!$A:$A,$B30,INPUT_DATA!$B:$B,"D"))</f>
        <v>1846.72</v>
      </c>
      <c r="BP30" s="139">
        <f>IF($B30=0,"",SUMIFS(INPUT_DATA!Q:Q,INPUT_DATA!$A:$A,$B30,INPUT_DATA!$B:$B,"D"))</f>
        <v>375.72</v>
      </c>
      <c r="BQ30" s="139">
        <f>IF($B30=0,"",SUMIFS(INPUT_DATA!R:R,INPUT_DATA!$A:$A,$B30,INPUT_DATA!$B:$B,"D"))</f>
        <v>0</v>
      </c>
      <c r="BR30" s="149">
        <f>IF($B30=0,"",SUMIFS(INPUT_DATA!S:S,INPUT_DATA!$A:$A,$B30,INPUT_DATA!$B:$B,"D"))</f>
        <v>0</v>
      </c>
      <c r="BS30" s="149">
        <f>IF($B30=0,"",SUMIFS(INPUT_DATA!T:T,INPUT_DATA!$A:$A,$B30,INPUT_DATA!$B:$B,"D"))</f>
        <v>0</v>
      </c>
      <c r="BT30" s="149">
        <f>IF($B30=0,"",SUMIFS(INPUT_DATA!U:U,INPUT_DATA!$A:$A,$B30,INPUT_DATA!$B:$B,"D"))</f>
        <v>0</v>
      </c>
      <c r="BU30" s="149">
        <f>IF($B30=0,"",SUMIFS(INPUT_DATA!V:V,INPUT_DATA!$A:$A,$B30,INPUT_DATA!$B:$B,"D"))</f>
        <v>1846.72</v>
      </c>
      <c r="BV30" s="149">
        <f>IF($B30=0,"",SUMIFS(INPUT_DATA!W:W,INPUT_DATA!$A:$A,$B30,INPUT_DATA!$B:$B,"D"))</f>
        <v>375.72</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0</v>
      </c>
      <c r="CE30" s="149">
        <f>IF($B30=0,"",SUMIFS(INPUT_DATA!AF:AF,INPUT_DATA!$A:$A,$B30,INPUT_DATA!$B:$B,"D"))</f>
        <v>0</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0</v>
      </c>
      <c r="CQ30" s="154">
        <f t="shared" si="2"/>
        <v>0</v>
      </c>
      <c r="CR30" s="154">
        <f t="shared" si="3"/>
        <v>0</v>
      </c>
      <c r="CS30" s="139">
        <f>IF($B30=0,"",SUMIFS(INPUT_DATA!AQ:AQ,INPUT_DATA!$A:$A,$B30,INPUT_DATA!$B:$B,"D"))</f>
        <v>0</v>
      </c>
      <c r="CT30" s="154">
        <f>IF($B30=0,"",SUMIFS(INPUT_DATA!AR:AR,INPUT_DATA!$A:$A,$B30,INPUT_DATA!$B:$B,"D"))</f>
        <v>0</v>
      </c>
      <c r="CU30" s="154">
        <f>IF($B30=0,"",SUMIFS(INPUT_DATA!AS:AS,INPUT_DATA!$A:$A,$B30,INPUT_DATA!$B:$B,"D"))</f>
        <v>0</v>
      </c>
      <c r="CV30" s="139">
        <f t="shared" si="17"/>
        <v>0</v>
      </c>
      <c r="CW30" s="154">
        <f t="shared" si="18"/>
        <v>0</v>
      </c>
      <c r="CX30" s="155">
        <f t="shared" si="19"/>
        <v>0</v>
      </c>
      <c r="CY30" s="148"/>
    </row>
    <row r="31" spans="2:104" ht="13">
      <c r="B31" s="137">
        <f>INPUT_DATA!CQ18</f>
        <v>45777</v>
      </c>
      <c r="C31" s="139">
        <f>IF($B31=0,"",SUMIFS(INPUT_DATA!C:C,INPUT_DATA!$A:$A,$B31,INPUT_DATA!$B:$B,"S"))</f>
        <v>7762584280.3299999</v>
      </c>
      <c r="D31" s="139">
        <f>IF($B31=0,"",SUMIFS(INPUT_DATA!D:D,INPUT_DATA!$A:$A,$B31,INPUT_DATA!$B:$B,"S"))</f>
        <v>0</v>
      </c>
      <c r="E31" s="140">
        <f>IF($B31=0,"",SUMIFS(INPUT_DATA!E:E,INPUT_DATA!$A:$A,$B31,INPUT_DATA!$B:$B,"S"))</f>
        <v>41510862.210000001</v>
      </c>
      <c r="F31" s="140">
        <f>IF($B31=0,"",SUMIFS(INPUT_DATA!F:F,INPUT_DATA!$A:$A,$B31,INPUT_DATA!$B:$B,"S"))</f>
        <v>14842897.939999999</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1236920.96</v>
      </c>
      <c r="L31" s="140">
        <f>IF($B31=0,"",SUMIFS(INPUT_DATA!L:L,INPUT_DATA!$A:$A,$B31,INPUT_DATA!$B:$B,"S"))</f>
        <v>0</v>
      </c>
      <c r="M31" s="140">
        <f>IF($B31=0,"",SUMIFS(INPUT_DATA!M:M,INPUT_DATA!$A:$A,$B31,INPUT_DATA!$B:$B,"S"))</f>
        <v>4119120.61</v>
      </c>
      <c r="N31" s="140">
        <f>IF($B31=0,"",SUMIFS(INPUT_DATA!N:N,INPUT_DATA!$A:$A,$B31,INPUT_DATA!$B:$B,"S"))</f>
        <v>0</v>
      </c>
      <c r="O31" s="141">
        <f t="shared" si="7"/>
        <v>7700874478.6100006</v>
      </c>
      <c r="P31" s="142">
        <f>IF($B31=0,"",SUMIFS(INPUT_DATA!O:O,INPUT_DATA!$A:$A,$B31,INPUT_DATA!$B:$B,"S"))</f>
        <v>7700874478.6099997</v>
      </c>
      <c r="Q31" s="142">
        <f t="shared" si="8"/>
        <v>9.5367431640625E-7</v>
      </c>
      <c r="R31" s="142">
        <f>IF($B31=0,"",SUMIFS(INPUT_DATA!BL:BL,INPUT_DATA!$A:$A,$B31,INPUT_DATA!$B:$B,"S"))</f>
        <v>7532055.3600000003</v>
      </c>
      <c r="S31" s="143">
        <f>IF($B31=0,"",SUMIFS(INPUT_DATA!P:P,INPUT_DATA!$A:$A,$B31,INPUT_DATA!$B:$B,"S"))</f>
        <v>163151.37</v>
      </c>
      <c r="T31" s="143">
        <f>IF($B31=0,"",SUMIFS(INPUT_DATA!Q:Q,INPUT_DATA!$A:$A,$B31,INPUT_DATA!$B:$B,"S"))</f>
        <v>48664.54</v>
      </c>
      <c r="U31" s="143">
        <f>IF($B31=0,"",SUMIFS(INPUT_DATA!R:R,INPUT_DATA!$A:$A,$B31,INPUT_DATA!$B:$B,"S"))</f>
        <v>0</v>
      </c>
      <c r="V31" s="144">
        <f>IF($B31=0,"",SUMIFS(INPUT_DATA!S:S,INPUT_DATA!$A:$A,$B31,INPUT_DATA!$B:$B,"S"))</f>
        <v>203012.38</v>
      </c>
      <c r="W31" s="144">
        <f>IF($B31=0,"",SUMIFS(INPUT_DATA!T:T,INPUT_DATA!$A:$A,$B31,INPUT_DATA!$B:$B,"S"))</f>
        <v>37302.400000000001</v>
      </c>
      <c r="X31" s="144">
        <f>IF($B31=0,"",SUMIFS(INPUT_DATA!U:U,INPUT_DATA!$A:$A,$B31,INPUT_DATA!$B:$B,"S"))</f>
        <v>0</v>
      </c>
      <c r="Y31" s="144">
        <f>IF($B31=0,"",SUMIFS(INPUT_DATA!V:V,INPUT_DATA!$A:$A,$B31,INPUT_DATA!$B:$B,"S"))</f>
        <v>63727.519999999997</v>
      </c>
      <c r="Z31" s="144">
        <f>IF($B31=0,"",SUMIFS(INPUT_DATA!W:W,INPUT_DATA!$A:$A,$B31,INPUT_DATA!$B:$B,"S"))</f>
        <v>27098.03</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1345.02</v>
      </c>
      <c r="AI31" s="144">
        <f>IF($B31=0,"",SUMIFS(INPUT_DATA!AF:AF,INPUT_DATA!$A:$A,$B31,INPUT_DATA!$B:$B,"S"))</f>
        <v>251.1</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301091.20999999996</v>
      </c>
      <c r="AR31" s="146">
        <f t="shared" si="10"/>
        <v>58617.810000000005</v>
      </c>
      <c r="AS31" s="147">
        <f t="shared" si="11"/>
        <v>0</v>
      </c>
      <c r="AT31" s="145">
        <f>IF($B31=0,"",SUMIFS(INPUT_DATA!AQ:AQ,INPUT_DATA!$A:$A,$B31,INPUT_DATA!$B:$B,"S"))</f>
        <v>301091.21000000002</v>
      </c>
      <c r="AU31" s="146">
        <f>IF($B31=0,"",SUMIFS(INPUT_DATA!AR:AR,INPUT_DATA!$A:$A,$B31,INPUT_DATA!$B:$B,"S"))</f>
        <v>58617.81</v>
      </c>
      <c r="AV31" s="147">
        <f>IF($B31=0,"",SUMIFS(INPUT_DATA!AS:AS,INPUT_DATA!$A:$A,$B31,INPUT_DATA!$B:$B,"S"))</f>
        <v>0</v>
      </c>
      <c r="AW31" s="145">
        <f t="shared" si="12"/>
        <v>-5.8207660913467407E-11</v>
      </c>
      <c r="AX31" s="146">
        <f t="shared" si="13"/>
        <v>7.2759576141834259E-12</v>
      </c>
      <c r="AY31" s="147">
        <f t="shared" si="14"/>
        <v>0</v>
      </c>
      <c r="AZ31" s="148"/>
      <c r="BA31" s="138">
        <f>IF($B31=0,"",SUMIFS(INPUT_DATA!C:C,INPUT_DATA!$A:$A,$B31,INPUT_DATA!$B:$B,"D"))</f>
        <v>279860.34999999998</v>
      </c>
      <c r="BB31" s="149">
        <f>IF($B31=0,"",SUMIFS(INPUT_DATA!E:E,INPUT_DATA!$A:$A,$B31,INPUT_DATA!$B:$B,"D"))</f>
        <v>5405.85</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1236920.96</v>
      </c>
      <c r="BI31" s="149">
        <f>IF($B31=0,"",SUMIFS(INPUT_DATA!L:L,INPUT_DATA!$A:$A,$B31,INPUT_DATA!$B:$B,"D"))</f>
        <v>0</v>
      </c>
      <c r="BJ31" s="149">
        <f>IF($B31=0,"",SUMIFS(INPUT_DATA!M:M,INPUT_DATA!$A:$A,$B31,INPUT_DATA!$B:$B,"D"))</f>
        <v>279860.34999999998</v>
      </c>
      <c r="BK31" s="149">
        <f>IF($B31=0,"",SUMIFS(INPUT_DATA!N:N,INPUT_DATA!$A:$A,$B31,INPUT_DATA!$B:$B,"D"))</f>
        <v>0</v>
      </c>
      <c r="BL31" s="150">
        <f t="shared" si="5"/>
        <v>1231515.1099999999</v>
      </c>
      <c r="BM31" s="150">
        <f>IF($B31=0,"",SUMIFS(INPUT_DATA!O:O,INPUT_DATA!$A:$A,$B31,INPUT_DATA!$B:$B,"D"))</f>
        <v>1231515.1100000001</v>
      </c>
      <c r="BN31" s="150">
        <f t="shared" si="15"/>
        <v>-2.3283064365386963E-10</v>
      </c>
      <c r="BO31" s="153">
        <f>IF($B31=0,"",SUMIFS(INPUT_DATA!P:P,INPUT_DATA!$A:$A,$B31,INPUT_DATA!$B:$B,"D"))</f>
        <v>1664.98</v>
      </c>
      <c r="BP31" s="139">
        <f>IF($B31=0,"",SUMIFS(INPUT_DATA!Q:Q,INPUT_DATA!$A:$A,$B31,INPUT_DATA!$B:$B,"D"))</f>
        <v>438.03</v>
      </c>
      <c r="BQ31" s="139">
        <f>IF($B31=0,"",SUMIFS(INPUT_DATA!R:R,INPUT_DATA!$A:$A,$B31,INPUT_DATA!$B:$B,"D"))</f>
        <v>0</v>
      </c>
      <c r="BR31" s="149">
        <f>IF($B31=0,"",SUMIFS(INPUT_DATA!S:S,INPUT_DATA!$A:$A,$B31,INPUT_DATA!$B:$B,"D"))</f>
        <v>1057.32</v>
      </c>
      <c r="BS31" s="149">
        <f>IF($B31=0,"",SUMIFS(INPUT_DATA!T:T,INPUT_DATA!$A:$A,$B31,INPUT_DATA!$B:$B,"D"))</f>
        <v>307.64999999999998</v>
      </c>
      <c r="BT31" s="149">
        <f>IF($B31=0,"",SUMIFS(INPUT_DATA!U:U,INPUT_DATA!$A:$A,$B31,INPUT_DATA!$B:$B,"D"))</f>
        <v>0</v>
      </c>
      <c r="BU31" s="149">
        <f>IF($B31=0,"",SUMIFS(INPUT_DATA!V:V,INPUT_DATA!$A:$A,$B31,INPUT_DATA!$B:$B,"D"))</f>
        <v>0</v>
      </c>
      <c r="BV31" s="149">
        <f>IF($B31=0,"",SUMIFS(INPUT_DATA!W:W,INPUT_DATA!$A:$A,$B31,INPUT_DATA!$B:$B,"D"))</f>
        <v>0</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1345.02</v>
      </c>
      <c r="CE31" s="149">
        <f>IF($B31=0,"",SUMIFS(INPUT_DATA!AF:AF,INPUT_DATA!$A:$A,$B31,INPUT_DATA!$B:$B,"D"))</f>
        <v>251.1</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2220.6</v>
      </c>
      <c r="CK31" s="140">
        <f>IF($B31=0,"",SUMIFS(INPUT_DATA!AL:AL,INPUT_DATA!$A:$A,$B31,INPUT_DATA!$B:$B,"D"))</f>
        <v>621.05999999999995</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1846.7200000000003</v>
      </c>
      <c r="CQ31" s="154">
        <f t="shared" si="2"/>
        <v>375.72</v>
      </c>
      <c r="CR31" s="154">
        <f t="shared" si="3"/>
        <v>0</v>
      </c>
      <c r="CS31" s="139">
        <f>IF($B31=0,"",SUMIFS(INPUT_DATA!AQ:AQ,INPUT_DATA!$A:$A,$B31,INPUT_DATA!$B:$B,"D"))</f>
        <v>1846.72</v>
      </c>
      <c r="CT31" s="154">
        <f>IF($B31=0,"",SUMIFS(INPUT_DATA!AR:AR,INPUT_DATA!$A:$A,$B31,INPUT_DATA!$B:$B,"D"))</f>
        <v>375.72</v>
      </c>
      <c r="CU31" s="154">
        <f>IF($B31=0,"",SUMIFS(INPUT_DATA!AS:AS,INPUT_DATA!$A:$A,$B31,INPUT_DATA!$B:$B,"D"))</f>
        <v>0</v>
      </c>
      <c r="CV31" s="139">
        <f t="shared" si="17"/>
        <v>2.2737367544323206E-13</v>
      </c>
      <c r="CW31" s="154">
        <f t="shared" si="18"/>
        <v>0</v>
      </c>
      <c r="CX31" s="155">
        <f t="shared" si="19"/>
        <v>0</v>
      </c>
      <c r="CY31" s="148"/>
    </row>
    <row r="32" spans="2:104" ht="13">
      <c r="B32" s="137">
        <f>INPUT_DATA!CQ19</f>
        <v>45747</v>
      </c>
      <c r="C32" s="139">
        <f>IF($B32=0,"",SUMIFS(INPUT_DATA!C:C,INPUT_DATA!$A:$A,$B32,INPUT_DATA!$B:$B,"S"))</f>
        <v>7821840687.46</v>
      </c>
      <c r="D32" s="139">
        <f>IF($B32=0,"",SUMIFS(INPUT_DATA!D:D,INPUT_DATA!$A:$A,$B32,INPUT_DATA!$B:$B,"S"))</f>
        <v>0</v>
      </c>
      <c r="E32" s="140">
        <f>IF($B32=0,"",SUMIFS(INPUT_DATA!E:E,INPUT_DATA!$A:$A,$B32,INPUT_DATA!$B:$B,"S"))</f>
        <v>41439704.270000003</v>
      </c>
      <c r="F32" s="140">
        <f>IF($B32=0,"",SUMIFS(INPUT_DATA!F:F,INPUT_DATA!$A:$A,$B32,INPUT_DATA!$B:$B,"S"))</f>
        <v>15107591.52</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394532.89</v>
      </c>
      <c r="L32" s="140">
        <f>IF($B32=0,"",SUMIFS(INPUT_DATA!L:L,INPUT_DATA!$A:$A,$B32,INPUT_DATA!$B:$B,"S"))</f>
        <v>0</v>
      </c>
      <c r="M32" s="140">
        <f>IF($B32=0,"",SUMIFS(INPUT_DATA!M:M,INPUT_DATA!$A:$A,$B32,INPUT_DATA!$B:$B,"S"))</f>
        <v>1994383.54</v>
      </c>
      <c r="N32" s="140">
        <f>IF($B32=0,"",SUMIFS(INPUT_DATA!N:N,INPUT_DATA!$A:$A,$B32,INPUT_DATA!$B:$B,"S"))</f>
        <v>320194.90999999997</v>
      </c>
      <c r="O32" s="141">
        <f t="shared" si="7"/>
        <v>7762584280.329999</v>
      </c>
      <c r="P32" s="142">
        <f>IF($B32=0,"",SUMIFS(INPUT_DATA!O:O,INPUT_DATA!$A:$A,$B32,INPUT_DATA!$B:$B,"S"))</f>
        <v>7762584280.3299999</v>
      </c>
      <c r="Q32" s="142">
        <f t="shared" si="8"/>
        <v>-9.5367431640625E-7</v>
      </c>
      <c r="R32" s="142">
        <f>IF($B32=0,"",SUMIFS(INPUT_DATA!BL:BL,INPUT_DATA!$A:$A,$B32,INPUT_DATA!$B:$B,"S"))</f>
        <v>7640469.7000000002</v>
      </c>
      <c r="S32" s="143">
        <f>IF($B32=0,"",SUMIFS(INPUT_DATA!P:P,INPUT_DATA!$A:$A,$B32,INPUT_DATA!$B:$B,"S"))</f>
        <v>236010.43</v>
      </c>
      <c r="T32" s="143">
        <f>IF($B32=0,"",SUMIFS(INPUT_DATA!Q:Q,INPUT_DATA!$A:$A,$B32,INPUT_DATA!$B:$B,"S"))</f>
        <v>48694.12</v>
      </c>
      <c r="U32" s="143">
        <f>IF($B32=0,"",SUMIFS(INPUT_DATA!R:R,INPUT_DATA!$A:$A,$B32,INPUT_DATA!$B:$B,"S"))</f>
        <v>0</v>
      </c>
      <c r="V32" s="144">
        <f>IF($B32=0,"",SUMIFS(INPUT_DATA!S:S,INPUT_DATA!$A:$A,$B32,INPUT_DATA!$B:$B,"S"))</f>
        <v>38751.35</v>
      </c>
      <c r="W32" s="144">
        <f>IF($B32=0,"",SUMIFS(INPUT_DATA!T:T,INPUT_DATA!$A:$A,$B32,INPUT_DATA!$B:$B,"S"))</f>
        <v>26348.73</v>
      </c>
      <c r="X32" s="144">
        <f>IF($B32=0,"",SUMIFS(INPUT_DATA!U:U,INPUT_DATA!$A:$A,$B32,INPUT_DATA!$B:$B,"S"))</f>
        <v>0</v>
      </c>
      <c r="Y32" s="144">
        <f>IF($B32=0,"",SUMIFS(INPUT_DATA!V:V,INPUT_DATA!$A:$A,$B32,INPUT_DATA!$B:$B,"S"))</f>
        <v>110479.05</v>
      </c>
      <c r="Z32" s="144">
        <f>IF($B32=0,"",SUMIFS(INPUT_DATA!W:W,INPUT_DATA!$A:$A,$B32,INPUT_DATA!$B:$B,"S"))</f>
        <v>26077.64</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1131.3599999999999</v>
      </c>
      <c r="AI32" s="144">
        <f>IF($B32=0,"",SUMIFS(INPUT_DATA!AF:AF,INPUT_DATA!$A:$A,$B32,INPUT_DATA!$B:$B,"S"))</f>
        <v>300.67</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0</v>
      </c>
      <c r="AO32" s="144">
        <f>IF($B32=0,"",SUMIFS(INPUT_DATA!AO:AO,INPUT_DATA!$A:$A,$B32,INPUT_DATA!$B:$B,"S"))</f>
        <v>0</v>
      </c>
      <c r="AP32" s="144">
        <f>IF($B32=0,"",SUMIFS(INPUT_DATA!AP:AP,INPUT_DATA!$A:$A,$B32,INPUT_DATA!$B:$B,"S"))</f>
        <v>0</v>
      </c>
      <c r="AQ32" s="145">
        <f t="shared" si="9"/>
        <v>163151.37</v>
      </c>
      <c r="AR32" s="146">
        <f t="shared" si="10"/>
        <v>48664.540000000008</v>
      </c>
      <c r="AS32" s="147">
        <f t="shared" si="11"/>
        <v>0</v>
      </c>
      <c r="AT32" s="145">
        <f>IF($B32=0,"",SUMIFS(INPUT_DATA!AQ:AQ,INPUT_DATA!$A:$A,$B32,INPUT_DATA!$B:$B,"S"))</f>
        <v>163151.37</v>
      </c>
      <c r="AU32" s="146">
        <f>IF($B32=0,"",SUMIFS(INPUT_DATA!AR:AR,INPUT_DATA!$A:$A,$B32,INPUT_DATA!$B:$B,"S"))</f>
        <v>48664.54</v>
      </c>
      <c r="AV32" s="147">
        <f>IF($B32=0,"",SUMIFS(INPUT_DATA!AS:AS,INPUT_DATA!$A:$A,$B32,INPUT_DATA!$B:$B,"S"))</f>
        <v>0</v>
      </c>
      <c r="AW32" s="145">
        <f t="shared" si="12"/>
        <v>0</v>
      </c>
      <c r="AX32" s="146">
        <f t="shared" si="13"/>
        <v>7.2759576141834259E-12</v>
      </c>
      <c r="AY32" s="147">
        <f t="shared" si="14"/>
        <v>0</v>
      </c>
      <c r="AZ32" s="148"/>
      <c r="BA32" s="138">
        <f>IF($B32=0,"",SUMIFS(INPUT_DATA!C:C,INPUT_DATA!$A:$A,$B32,INPUT_DATA!$B:$B,"D"))</f>
        <v>207269.66</v>
      </c>
      <c r="BB32" s="149">
        <f>IF($B32=0,"",SUMIFS(INPUT_DATA!E:E,INPUT_DATA!$A:$A,$B32,INPUT_DATA!$B:$B,"D"))</f>
        <v>115232.36</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394532.89</v>
      </c>
      <c r="BI32" s="149">
        <f>IF($B32=0,"",SUMIFS(INPUT_DATA!L:L,INPUT_DATA!$A:$A,$B32,INPUT_DATA!$B:$B,"D"))</f>
        <v>0</v>
      </c>
      <c r="BJ32" s="149">
        <f>IF($B32=0,"",SUMIFS(INPUT_DATA!M:M,INPUT_DATA!$A:$A,$B32,INPUT_DATA!$B:$B,"D"))</f>
        <v>206709.84</v>
      </c>
      <c r="BK32" s="149">
        <f>IF($B32=0,"",SUMIFS(INPUT_DATA!N:N,INPUT_DATA!$A:$A,$B32,INPUT_DATA!$B:$B,"D"))</f>
        <v>0</v>
      </c>
      <c r="BL32" s="150">
        <f t="shared" si="5"/>
        <v>279860.34999999998</v>
      </c>
      <c r="BM32" s="150">
        <f>IF($B32=0,"",SUMIFS(INPUT_DATA!O:O,INPUT_DATA!$A:$A,$B32,INPUT_DATA!$B:$B,"D"))</f>
        <v>279860.34999999998</v>
      </c>
      <c r="BN32" s="150">
        <f t="shared" si="15"/>
        <v>0</v>
      </c>
      <c r="BO32" s="153">
        <f>IF($B32=0,"",SUMIFS(INPUT_DATA!P:P,INPUT_DATA!$A:$A,$B32,INPUT_DATA!$B:$B,"D"))</f>
        <v>0</v>
      </c>
      <c r="BP32" s="139">
        <f>IF($B32=0,"",SUMIFS(INPUT_DATA!Q:Q,INPUT_DATA!$A:$A,$B32,INPUT_DATA!$B:$B,"D"))</f>
        <v>0</v>
      </c>
      <c r="BQ32" s="139">
        <f>IF($B32=0,"",SUMIFS(INPUT_DATA!R:R,INPUT_DATA!$A:$A,$B32,INPUT_DATA!$B:$B,"D"))</f>
        <v>0</v>
      </c>
      <c r="BR32" s="149">
        <f>IF($B32=0,"",SUMIFS(INPUT_DATA!S:S,INPUT_DATA!$A:$A,$B32,INPUT_DATA!$B:$B,"D"))</f>
        <v>533.62</v>
      </c>
      <c r="BS32" s="149">
        <f>IF($B32=0,"",SUMIFS(INPUT_DATA!T:T,INPUT_DATA!$A:$A,$B32,INPUT_DATA!$B:$B,"D"))</f>
        <v>137.36000000000001</v>
      </c>
      <c r="BT32" s="149">
        <f>IF($B32=0,"",SUMIFS(INPUT_DATA!U:U,INPUT_DATA!$A:$A,$B32,INPUT_DATA!$B:$B,"D"))</f>
        <v>0</v>
      </c>
      <c r="BU32" s="149">
        <f>IF($B32=0,"",SUMIFS(INPUT_DATA!V:V,INPUT_DATA!$A:$A,$B32,INPUT_DATA!$B:$B,"D"))</f>
        <v>0</v>
      </c>
      <c r="BV32" s="149">
        <f>IF($B32=0,"",SUMIFS(INPUT_DATA!W:W,INPUT_DATA!$A:$A,$B32,INPUT_DATA!$B:$B,"D"))</f>
        <v>0</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1131.3599999999999</v>
      </c>
      <c r="CE32" s="149">
        <f>IF($B32=0,"",SUMIFS(INPUT_DATA!AF:AF,INPUT_DATA!$A:$A,$B32,INPUT_DATA!$B:$B,"D"))</f>
        <v>300.67</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0</v>
      </c>
      <c r="CK32" s="140">
        <f>IF($B32=0,"",SUMIFS(INPUT_DATA!AL:AL,INPUT_DATA!$A:$A,$B32,INPUT_DATA!$B:$B,"D"))</f>
        <v>0</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1664.98</v>
      </c>
      <c r="CQ32" s="154">
        <f t="shared" si="2"/>
        <v>438.03000000000003</v>
      </c>
      <c r="CR32" s="154">
        <f t="shared" si="3"/>
        <v>0</v>
      </c>
      <c r="CS32" s="139">
        <f>IF($B32=0,"",SUMIFS(INPUT_DATA!AQ:AQ,INPUT_DATA!$A:$A,$B32,INPUT_DATA!$B:$B,"D"))</f>
        <v>1664.98</v>
      </c>
      <c r="CT32" s="154">
        <f>IF($B32=0,"",SUMIFS(INPUT_DATA!AR:AR,INPUT_DATA!$A:$A,$B32,INPUT_DATA!$B:$B,"D"))</f>
        <v>438.03</v>
      </c>
      <c r="CU32" s="154">
        <f>IF($B32=0,"",SUMIFS(INPUT_DATA!AS:AS,INPUT_DATA!$A:$A,$B32,INPUT_DATA!$B:$B,"D"))</f>
        <v>0</v>
      </c>
      <c r="CV32" s="139">
        <f t="shared" si="17"/>
        <v>0</v>
      </c>
      <c r="CW32" s="154">
        <f t="shared" si="18"/>
        <v>5.6843418860808015E-14</v>
      </c>
      <c r="CX32" s="155">
        <f t="shared" si="19"/>
        <v>0</v>
      </c>
      <c r="CY32" s="148"/>
    </row>
    <row r="33" spans="2:103" ht="13">
      <c r="B33" s="137">
        <f>INPUT_DATA!CQ20</f>
        <v>45716</v>
      </c>
      <c r="C33" s="139">
        <f>IF($B33=0,"",SUMIFS(INPUT_DATA!C:C,INPUT_DATA!$A:$A,$B33,INPUT_DATA!$B:$B,"S"))</f>
        <v>7882097726.96</v>
      </c>
      <c r="D33" s="139">
        <f>IF($B33=0,"",SUMIFS(INPUT_DATA!D:D,INPUT_DATA!$A:$A,$B33,INPUT_DATA!$B:$B,"S"))</f>
        <v>0</v>
      </c>
      <c r="E33" s="140">
        <f>IF($B33=0,"",SUMIFS(INPUT_DATA!E:E,INPUT_DATA!$A:$A,$B33,INPUT_DATA!$B:$B,"S"))</f>
        <v>41925555.68</v>
      </c>
      <c r="F33" s="140">
        <f>IF($B33=0,"",SUMIFS(INPUT_DATA!F:F,INPUT_DATA!$A:$A,$B33,INPUT_DATA!$B:$B,"S"))</f>
        <v>13656654.539999999</v>
      </c>
      <c r="G33" s="140">
        <f>IF($B33=0,"",SUMIFS(INPUT_DATA!G:G,INPUT_DATA!$A:$A,$B33,INPUT_DATA!$B:$B,"S"))</f>
        <v>0</v>
      </c>
      <c r="H33" s="140">
        <f>IF($B33=0,"",SUMIFS(INPUT_DATA!H:H,INPUT_DATA!$A:$A,$B33,INPUT_DATA!$B:$B,"S"))</f>
        <v>0</v>
      </c>
      <c r="I33" s="140">
        <f>IF($B33=0,"",SUMIFS(INPUT_DATA!I:I,INPUT_DATA!$A:$A,$B33,INPUT_DATA!$B:$B,"S"))</f>
        <v>0</v>
      </c>
      <c r="J33" s="140">
        <f>IF($B33=0,"",SUMIFS(INPUT_DATA!J:J,INPUT_DATA!$A:$A,$B33,INPUT_DATA!$B:$B,"S"))</f>
        <v>0</v>
      </c>
      <c r="K33" s="140">
        <f>IF($B33=0,"",SUMIFS(INPUT_DATA!K:K,INPUT_DATA!$A:$A,$B33,INPUT_DATA!$B:$B,"S"))</f>
        <v>208258.58</v>
      </c>
      <c r="L33" s="140">
        <f>IF($B33=0,"",SUMIFS(INPUT_DATA!L:L,INPUT_DATA!$A:$A,$B33,INPUT_DATA!$B:$B,"S"))</f>
        <v>0</v>
      </c>
      <c r="M33" s="140">
        <f>IF($B33=0,"",SUMIFS(INPUT_DATA!M:M,INPUT_DATA!$A:$A,$B33,INPUT_DATA!$B:$B,"S"))</f>
        <v>4466570.7</v>
      </c>
      <c r="N33" s="140">
        <f>IF($B33=0,"",SUMIFS(INPUT_DATA!N:N,INPUT_DATA!$A:$A,$B33,INPUT_DATA!$B:$B,"S"))</f>
        <v>0</v>
      </c>
      <c r="O33" s="141">
        <f t="shared" si="7"/>
        <v>7821840687.46</v>
      </c>
      <c r="P33" s="142">
        <f>IF($B33=0,"",SUMIFS(INPUT_DATA!O:O,INPUT_DATA!$A:$A,$B33,INPUT_DATA!$B:$B,"S"))</f>
        <v>7821840687.46</v>
      </c>
      <c r="Q33" s="142">
        <f t="shared" si="8"/>
        <v>0</v>
      </c>
      <c r="R33" s="142">
        <f>IF($B33=0,"",SUMIFS(INPUT_DATA!BL:BL,INPUT_DATA!$A:$A,$B33,INPUT_DATA!$B:$B,"S"))</f>
        <v>7458308.79</v>
      </c>
      <c r="S33" s="143">
        <f>IF($B33=0,"",SUMIFS(INPUT_DATA!P:P,INPUT_DATA!$A:$A,$B33,INPUT_DATA!$B:$B,"S"))</f>
        <v>206735.54</v>
      </c>
      <c r="T33" s="143">
        <f>IF($B33=0,"",SUMIFS(INPUT_DATA!Q:Q,INPUT_DATA!$A:$A,$B33,INPUT_DATA!$B:$B,"S"))</f>
        <v>41688.910000000003</v>
      </c>
      <c r="U33" s="143">
        <f>IF($B33=0,"",SUMIFS(INPUT_DATA!R:R,INPUT_DATA!$A:$A,$B33,INPUT_DATA!$B:$B,"S"))</f>
        <v>0</v>
      </c>
      <c r="V33" s="144">
        <f>IF($B33=0,"",SUMIFS(INPUT_DATA!S:S,INPUT_DATA!$A:$A,$B33,INPUT_DATA!$B:$B,"S"))</f>
        <v>128060.42</v>
      </c>
      <c r="W33" s="144">
        <f>IF($B33=0,"",SUMIFS(INPUT_DATA!T:T,INPUT_DATA!$A:$A,$B33,INPUT_DATA!$B:$B,"S"))</f>
        <v>27565.85</v>
      </c>
      <c r="X33" s="144">
        <f>IF($B33=0,"",SUMIFS(INPUT_DATA!U:U,INPUT_DATA!$A:$A,$B33,INPUT_DATA!$B:$B,"S"))</f>
        <v>0</v>
      </c>
      <c r="Y33" s="144">
        <f>IF($B33=0,"",SUMIFS(INPUT_DATA!V:V,INPUT_DATA!$A:$A,$B33,INPUT_DATA!$B:$B,"S"))</f>
        <v>98785.53</v>
      </c>
      <c r="Z33" s="144">
        <f>IF($B33=0,"",SUMIFS(INPUT_DATA!W:W,INPUT_DATA!$A:$A,$B33,INPUT_DATA!$B:$B,"S"))</f>
        <v>20560.64</v>
      </c>
      <c r="AA33" s="144">
        <f>IF($B33=0,"",SUMIFS(INPUT_DATA!X:X,INPUT_DATA!$A:$A,$B33,INPUT_DATA!$B:$B,"S"))</f>
        <v>0</v>
      </c>
      <c r="AB33" s="144">
        <f>IF($B33=0,"",SUMIFS(INPUT_DATA!Y:Y,INPUT_DATA!$A:$A,$B33,INPUT_DATA!$B:$B,"S"))</f>
        <v>0</v>
      </c>
      <c r="AC33" s="144">
        <f>IF($B33=0,"",SUMIFS(INPUT_DATA!Z:Z,INPUT_DATA!$A:$A,$B33,INPUT_DATA!$B:$B,"S"))</f>
        <v>0</v>
      </c>
      <c r="AD33" s="144">
        <f>IF($B33=0,"",SUMIFS(INPUT_DATA!AA:AA,INPUT_DATA!$A:$A,$B33,INPUT_DATA!$B:$B,"S"))</f>
        <v>0</v>
      </c>
      <c r="AE33" s="144">
        <f>IF($B33=0,"",SUMIFS(INPUT_DATA!AB:AB,INPUT_DATA!$A:$A,$B33,INPUT_DATA!$B:$B,"S"))</f>
        <v>0</v>
      </c>
      <c r="AF33" s="144">
        <f>IF($B33=0,"",SUMIFS(INPUT_DATA!AC:AC,INPUT_DATA!$A:$A,$B33,INPUT_DATA!$B:$B,"S"))</f>
        <v>0</v>
      </c>
      <c r="AG33" s="144">
        <f>IF($B33=0,"",SUMIFS(INPUT_DATA!AD:AD,INPUT_DATA!$A:$A,$B33,INPUT_DATA!$B:$B,"S"))</f>
        <v>0</v>
      </c>
      <c r="AH33" s="144">
        <f>IF($B33=0,"",SUMIFS(INPUT_DATA!AE:AE,INPUT_DATA!$A:$A,$B33,INPUT_DATA!$B:$B,"S"))</f>
        <v>0</v>
      </c>
      <c r="AI33" s="144">
        <f>IF($B33=0,"",SUMIFS(INPUT_DATA!AF:AF,INPUT_DATA!$A:$A,$B33,INPUT_DATA!$B:$B,"S"))</f>
        <v>0</v>
      </c>
      <c r="AJ33" s="144">
        <f>IF($B33=0,"",SUMIFS(INPUT_DATA!AG:AG,INPUT_DATA!$A:$A,$B33,INPUT_DATA!$B:$B,"S"))</f>
        <v>0</v>
      </c>
      <c r="AK33" s="144">
        <f>IF($B33=0,"",SUMIFS(INPUT_DATA!AK:AK,INPUT_DATA!$A:$A,$B33,INPUT_DATA!$B:$B,"S"))</f>
        <v>0</v>
      </c>
      <c r="AL33" s="144">
        <f>IF($B33=0,"",SUMIFS(INPUT_DATA!AL:AL,INPUT_DATA!$A:$A,$B33,INPUT_DATA!$B:$B,"S"))</f>
        <v>0</v>
      </c>
      <c r="AM33" s="144">
        <f>IF($B33=0,"",SUMIFS(INPUT_DATA!AM:AM,INPUT_DATA!$A:$A,$B33,INPUT_DATA!$B:$B,"S"))</f>
        <v>0</v>
      </c>
      <c r="AN33" s="144">
        <f>IF($B33=0,"",SUMIFS(INPUT_DATA!AN:AN,INPUT_DATA!$A:$A,$B33,INPUT_DATA!$B:$B,"S"))</f>
        <v>0</v>
      </c>
      <c r="AO33" s="144">
        <f>IF($B33=0,"",SUMIFS(INPUT_DATA!AO:AO,INPUT_DATA!$A:$A,$B33,INPUT_DATA!$B:$B,"S"))</f>
        <v>0</v>
      </c>
      <c r="AP33" s="144">
        <f>IF($B33=0,"",SUMIFS(INPUT_DATA!AP:AP,INPUT_DATA!$A:$A,$B33,INPUT_DATA!$B:$B,"S"))</f>
        <v>0</v>
      </c>
      <c r="AQ33" s="145">
        <f t="shared" si="9"/>
        <v>236010.43000000002</v>
      </c>
      <c r="AR33" s="146">
        <f t="shared" si="10"/>
        <v>48694.12000000001</v>
      </c>
      <c r="AS33" s="147">
        <f t="shared" si="11"/>
        <v>0</v>
      </c>
      <c r="AT33" s="145">
        <f>IF($B33=0,"",SUMIFS(INPUT_DATA!AQ:AQ,INPUT_DATA!$A:$A,$B33,INPUT_DATA!$B:$B,"S"))</f>
        <v>236010.43</v>
      </c>
      <c r="AU33" s="146">
        <f>IF($B33=0,"",SUMIFS(INPUT_DATA!AR:AR,INPUT_DATA!$A:$A,$B33,INPUT_DATA!$B:$B,"S"))</f>
        <v>48694.12</v>
      </c>
      <c r="AV33" s="147">
        <f>IF($B33=0,"",SUMIFS(INPUT_DATA!AS:AS,INPUT_DATA!$A:$A,$B33,INPUT_DATA!$B:$B,"S"))</f>
        <v>0</v>
      </c>
      <c r="AW33" s="145">
        <f t="shared" si="12"/>
        <v>2.9103830456733704E-11</v>
      </c>
      <c r="AX33" s="146">
        <f t="shared" si="13"/>
        <v>7.2759576141834259E-12</v>
      </c>
      <c r="AY33" s="147">
        <f t="shared" si="14"/>
        <v>0</v>
      </c>
      <c r="AZ33" s="148"/>
      <c r="BA33" s="138">
        <f>IF($B33=0,"",SUMIFS(INPUT_DATA!C:C,INPUT_DATA!$A:$A,$B33,INPUT_DATA!$B:$B,"D"))</f>
        <v>411276.35</v>
      </c>
      <c r="BB33" s="149">
        <f>IF($B33=0,"",SUMIFS(INPUT_DATA!E:E,INPUT_DATA!$A:$A,$B33,INPUT_DATA!$B:$B,"D"))</f>
        <v>2900.75</v>
      </c>
      <c r="BC33" s="149">
        <f>IF($B33=0,"",SUMIFS(INPUT_DATA!F:F,INPUT_DATA!$A:$A,$B33,INPUT_DATA!$B:$B,"D"))</f>
        <v>0</v>
      </c>
      <c r="BD33" s="149">
        <f>IF($B33=0,"",SUMIFS(INPUT_DATA!G:G,INPUT_DATA!$A:$A,$B33,INPUT_DATA!$B:$B,"D"))</f>
        <v>0</v>
      </c>
      <c r="BE33" s="149">
        <f>IF($B33=0,"",SUMIFS(INPUT_DATA!H:H,INPUT_DATA!$A:$A,$B33,INPUT_DATA!$B:$B,"D"))</f>
        <v>0</v>
      </c>
      <c r="BF33" s="149">
        <f>IF($B33=0,"",SUMIFS(INPUT_DATA!I:I,INPUT_DATA!$A:$A,$B33,INPUT_DATA!$B:$B,"D"))</f>
        <v>0</v>
      </c>
      <c r="BG33" s="149">
        <f>IF($B33=0,"",SUMIFS(INPUT_DATA!J:J,INPUT_DATA!$A:$A,$B33,INPUT_DATA!$B:$B,"D"))</f>
        <v>0</v>
      </c>
      <c r="BH33" s="149">
        <f>IF($B33=0,"",SUMIFS(INPUT_DATA!K:K,INPUT_DATA!$A:$A,$B33,INPUT_DATA!$B:$B,"D"))</f>
        <v>208258.58</v>
      </c>
      <c r="BI33" s="149">
        <f>IF($B33=0,"",SUMIFS(INPUT_DATA!L:L,INPUT_DATA!$A:$A,$B33,INPUT_DATA!$B:$B,"D"))</f>
        <v>0</v>
      </c>
      <c r="BJ33" s="149">
        <f>IF($B33=0,"",SUMIFS(INPUT_DATA!M:M,INPUT_DATA!$A:$A,$B33,INPUT_DATA!$B:$B,"D"))</f>
        <v>409364.52</v>
      </c>
      <c r="BK33" s="149">
        <f>IF($B33=0,"",SUMIFS(INPUT_DATA!N:N,INPUT_DATA!$A:$A,$B33,INPUT_DATA!$B:$B,"D"))</f>
        <v>0</v>
      </c>
      <c r="BL33" s="150">
        <f t="shared" si="5"/>
        <v>207269.65999999992</v>
      </c>
      <c r="BM33" s="150">
        <f>IF($B33=0,"",SUMIFS(INPUT_DATA!O:O,INPUT_DATA!$A:$A,$B33,INPUT_DATA!$B:$B,"D"))</f>
        <v>207269.66</v>
      </c>
      <c r="BN33" s="150">
        <f t="shared" si="15"/>
        <v>-8.7311491370201111E-11</v>
      </c>
      <c r="BO33" s="153">
        <f>IF($B33=0,"",SUMIFS(INPUT_DATA!P:P,INPUT_DATA!$A:$A,$B33,INPUT_DATA!$B:$B,"D"))</f>
        <v>0</v>
      </c>
      <c r="BP33" s="139">
        <f>IF($B33=0,"",SUMIFS(INPUT_DATA!Q:Q,INPUT_DATA!$A:$A,$B33,INPUT_DATA!$B:$B,"D"))</f>
        <v>0</v>
      </c>
      <c r="BQ33" s="139">
        <f>IF($B33=0,"",SUMIFS(INPUT_DATA!R:R,INPUT_DATA!$A:$A,$B33,INPUT_DATA!$B:$B,"D"))</f>
        <v>0</v>
      </c>
      <c r="BR33" s="149">
        <f>IF($B33=0,"",SUMIFS(INPUT_DATA!S:S,INPUT_DATA!$A:$A,$B33,INPUT_DATA!$B:$B,"D"))</f>
        <v>0</v>
      </c>
      <c r="BS33" s="149">
        <f>IF($B33=0,"",SUMIFS(INPUT_DATA!T:T,INPUT_DATA!$A:$A,$B33,INPUT_DATA!$B:$B,"D"))</f>
        <v>0</v>
      </c>
      <c r="BT33" s="149">
        <f>IF($B33=0,"",SUMIFS(INPUT_DATA!U:U,INPUT_DATA!$A:$A,$B33,INPUT_DATA!$B:$B,"D"))</f>
        <v>0</v>
      </c>
      <c r="BU33" s="149">
        <f>IF($B33=0,"",SUMIFS(INPUT_DATA!V:V,INPUT_DATA!$A:$A,$B33,INPUT_DATA!$B:$B,"D"))</f>
        <v>0</v>
      </c>
      <c r="BV33" s="149">
        <f>IF($B33=0,"",SUMIFS(INPUT_DATA!W:W,INPUT_DATA!$A:$A,$B33,INPUT_DATA!$B:$B,"D"))</f>
        <v>0</v>
      </c>
      <c r="BW33" s="149">
        <f>IF($B33=0,"",SUMIFS(INPUT_DATA!X:X,INPUT_DATA!$A:$A,$B33,INPUT_DATA!$B:$B,"D"))</f>
        <v>0</v>
      </c>
      <c r="BX33" s="149">
        <f>IF($B33=0,"",SUMIFS(INPUT_DATA!Y:Y,INPUT_DATA!$A:$A,$B33,INPUT_DATA!$B:$B,"D"))</f>
        <v>0</v>
      </c>
      <c r="BY33" s="149">
        <f>IF($B33=0,"",SUMIFS(INPUT_DATA!Z:Z,INPUT_DATA!$A:$A,$B33,INPUT_DATA!$B:$B,"D"))</f>
        <v>0</v>
      </c>
      <c r="BZ33" s="149">
        <f>IF($B33=0,"",SUMIFS(INPUT_DATA!AA:AA,INPUT_DATA!$A:$A,$B33,INPUT_DATA!$B:$B,"D"))</f>
        <v>0</v>
      </c>
      <c r="CA33" s="149">
        <f>IF($B33=0,"",SUMIFS(INPUT_DATA!AB:AB,INPUT_DATA!$A:$A,$B33,INPUT_DATA!$B:$B,"D"))</f>
        <v>0</v>
      </c>
      <c r="CB33" s="149">
        <f>IF($B33=0,"",SUMIFS(INPUT_DATA!AC:AC,INPUT_DATA!$A:$A,$B33,INPUT_DATA!$B:$B,"D"))</f>
        <v>0</v>
      </c>
      <c r="CC33" s="149">
        <f>IF($B33=0,"",SUMIFS(INPUT_DATA!AD:AD,INPUT_DATA!$A:$A,$B33,INPUT_DATA!$B:$B,"D"))</f>
        <v>0</v>
      </c>
      <c r="CD33" s="149">
        <f>IF($B33=0,"",SUMIFS(INPUT_DATA!AE:AE,INPUT_DATA!$A:$A,$B33,INPUT_DATA!$B:$B,"D"))</f>
        <v>0</v>
      </c>
      <c r="CE33" s="149">
        <f>IF($B33=0,"",SUMIFS(INPUT_DATA!AF:AF,INPUT_DATA!$A:$A,$B33,INPUT_DATA!$B:$B,"D"))</f>
        <v>0</v>
      </c>
      <c r="CF33" s="149">
        <f>IF($B33=0,"",SUMIFS(INPUT_DATA!AG:AG,INPUT_DATA!$A:$A,$B33,INPUT_DATA!$B:$B,"D"))</f>
        <v>0</v>
      </c>
      <c r="CG33" s="149">
        <f>IF($B33=0,"",SUMIFS(INPUT_DATA!AH:AH,INPUT_DATA!$A:$A,$B33,INPUT_DATA!$B:$B,"D"))</f>
        <v>0</v>
      </c>
      <c r="CH33" s="149">
        <f>IF($B33=0,"",SUMIFS(INPUT_DATA!AI:AI,INPUT_DATA!$A:$A,$B33,INPUT_DATA!$B:$B,"D"))</f>
        <v>0</v>
      </c>
      <c r="CI33" s="149">
        <f>IF($B33=0,"",SUMIFS(INPUT_DATA!AJ:AJ,INPUT_DATA!$A:$A,$B33,INPUT_DATA!$B:$B,"D"))</f>
        <v>0</v>
      </c>
      <c r="CJ33" s="140">
        <f>IF($B33=0,"",SUMIFS(INPUT_DATA!AK:AK,INPUT_DATA!$A:$A,$B33,INPUT_DATA!$B:$B,"D"))</f>
        <v>0</v>
      </c>
      <c r="CK33" s="140">
        <f>IF($B33=0,"",SUMIFS(INPUT_DATA!AL:AL,INPUT_DATA!$A:$A,$B33,INPUT_DATA!$B:$B,"D"))</f>
        <v>0</v>
      </c>
      <c r="CL33" s="140">
        <f>IF($B33=0,"",SUMIFS(INPUT_DATA!AM:AM,INPUT_DATA!$A:$A,$B33,INPUT_DATA!$B:$B,"D"))</f>
        <v>0</v>
      </c>
      <c r="CM33" s="140">
        <f>IF($B33=0,"",SUMIFS(INPUT_DATA!AN:AN,INPUT_DATA!$A:$A,$B33,INPUT_DATA!$B:$B,"D"))</f>
        <v>0</v>
      </c>
      <c r="CN33" s="140">
        <f>IF($B33=0,"",SUMIFS(INPUT_DATA!AO:AO,INPUT_DATA!$A:$A,$B33,INPUT_DATA!$B:$B,"D"))</f>
        <v>0</v>
      </c>
      <c r="CO33" s="140">
        <f>IF($B33=0,"",SUMIFS(INPUT_DATA!AP:AP,INPUT_DATA!$A:$A,$B33,INPUT_DATA!$B:$B,"D"))</f>
        <v>0</v>
      </c>
      <c r="CP33" s="154">
        <f t="shared" si="6"/>
        <v>0</v>
      </c>
      <c r="CQ33" s="154">
        <f t="shared" si="2"/>
        <v>0</v>
      </c>
      <c r="CR33" s="154">
        <f t="shared" si="3"/>
        <v>0</v>
      </c>
      <c r="CS33" s="139">
        <f>IF($B33=0,"",SUMIFS(INPUT_DATA!AQ:AQ,INPUT_DATA!$A:$A,$B33,INPUT_DATA!$B:$B,"D"))</f>
        <v>0</v>
      </c>
      <c r="CT33" s="154">
        <f>IF($B33=0,"",SUMIFS(INPUT_DATA!AR:AR,INPUT_DATA!$A:$A,$B33,INPUT_DATA!$B:$B,"D"))</f>
        <v>0</v>
      </c>
      <c r="CU33" s="154">
        <f>IF($B33=0,"",SUMIFS(INPUT_DATA!AS:AS,INPUT_DATA!$A:$A,$B33,INPUT_DATA!$B:$B,"D"))</f>
        <v>0</v>
      </c>
      <c r="CV33" s="139">
        <f t="shared" si="17"/>
        <v>0</v>
      </c>
      <c r="CW33" s="154">
        <f t="shared" si="18"/>
        <v>0</v>
      </c>
      <c r="CX33" s="155">
        <f t="shared" si="19"/>
        <v>0</v>
      </c>
      <c r="CY33" s="148"/>
    </row>
    <row r="34" spans="2:103" ht="13">
      <c r="B34" s="137">
        <f>INPUT_DATA!CQ21</f>
        <v>45688</v>
      </c>
      <c r="C34" s="139">
        <f>IF($B34=0,"",SUMIFS(INPUT_DATA!C:C,INPUT_DATA!$A:$A,$B34,INPUT_DATA!$B:$B,"S"))</f>
        <v>7942231678.1999998</v>
      </c>
      <c r="D34" s="139">
        <f>IF($B34=0,"",SUMIFS(INPUT_DATA!D:D,INPUT_DATA!$A:$A,$B34,INPUT_DATA!$B:$B,"S"))</f>
        <v>0</v>
      </c>
      <c r="E34" s="140">
        <f>IF($B34=0,"",SUMIFS(INPUT_DATA!E:E,INPUT_DATA!$A:$A,$B34,INPUT_DATA!$B:$B,"S"))</f>
        <v>42177775.649999999</v>
      </c>
      <c r="F34" s="140">
        <f>IF($B34=0,"",SUMIFS(INPUT_DATA!F:F,INPUT_DATA!$A:$A,$B34,INPUT_DATA!$B:$B,"S"))</f>
        <v>13800626.789999999</v>
      </c>
      <c r="G34" s="140">
        <f>IF($B34=0,"",SUMIFS(INPUT_DATA!G:G,INPUT_DATA!$A:$A,$B34,INPUT_DATA!$B:$B,"S"))</f>
        <v>0</v>
      </c>
      <c r="H34" s="140">
        <f>IF($B34=0,"",SUMIFS(INPUT_DATA!H:H,INPUT_DATA!$A:$A,$B34,INPUT_DATA!$B:$B,"S"))</f>
        <v>0</v>
      </c>
      <c r="I34" s="140">
        <f>IF($B34=0,"",SUMIFS(INPUT_DATA!I:I,INPUT_DATA!$A:$A,$B34,INPUT_DATA!$B:$B,"S"))</f>
        <v>0</v>
      </c>
      <c r="J34" s="140">
        <f>IF($B34=0,"",SUMIFS(INPUT_DATA!J:J,INPUT_DATA!$A:$A,$B34,INPUT_DATA!$B:$B,"S"))</f>
        <v>0</v>
      </c>
      <c r="K34" s="140">
        <f>IF($B34=0,"",SUMIFS(INPUT_DATA!K:K,INPUT_DATA!$A:$A,$B34,INPUT_DATA!$B:$B,"S"))</f>
        <v>411919.03</v>
      </c>
      <c r="L34" s="140">
        <f>IF($B34=0,"",SUMIFS(INPUT_DATA!L:L,INPUT_DATA!$A:$A,$B34,INPUT_DATA!$B:$B,"S"))</f>
        <v>0</v>
      </c>
      <c r="M34" s="140">
        <f>IF($B34=0,"",SUMIFS(INPUT_DATA!M:M,INPUT_DATA!$A:$A,$B34,INPUT_DATA!$B:$B,"S"))</f>
        <v>3743629.77</v>
      </c>
      <c r="N34" s="140">
        <f>IF($B34=0,"",SUMIFS(INPUT_DATA!N:N,INPUT_DATA!$A:$A,$B34,INPUT_DATA!$B:$B,"S"))</f>
        <v>0</v>
      </c>
      <c r="O34" s="141">
        <f t="shared" si="7"/>
        <v>7882097726.96</v>
      </c>
      <c r="P34" s="142">
        <f>IF($B34=0,"",SUMIFS(INPUT_DATA!O:O,INPUT_DATA!$A:$A,$B34,INPUT_DATA!$B:$B,"S"))</f>
        <v>7882097726.96</v>
      </c>
      <c r="Q34" s="142">
        <f t="shared" si="8"/>
        <v>0</v>
      </c>
      <c r="R34" s="142">
        <f>IF($B34=0,"",SUMIFS(INPUT_DATA!BL:BL,INPUT_DATA!$A:$A,$B34,INPUT_DATA!$B:$B,"S"))</f>
        <v>7755240.1500000004</v>
      </c>
      <c r="S34" s="143">
        <f>IF($B34=0,"",SUMIFS(INPUT_DATA!P:P,INPUT_DATA!$A:$A,$B34,INPUT_DATA!$B:$B,"S"))</f>
        <v>172771.65</v>
      </c>
      <c r="T34" s="143">
        <f>IF($B34=0,"",SUMIFS(INPUT_DATA!Q:Q,INPUT_DATA!$A:$A,$B34,INPUT_DATA!$B:$B,"S"))</f>
        <v>38241.730000000003</v>
      </c>
      <c r="U34" s="143">
        <f>IF($B34=0,"",SUMIFS(INPUT_DATA!R:R,INPUT_DATA!$A:$A,$B34,INPUT_DATA!$B:$B,"S"))</f>
        <v>0</v>
      </c>
      <c r="V34" s="144">
        <f>IF($B34=0,"",SUMIFS(INPUT_DATA!S:S,INPUT_DATA!$A:$A,$B34,INPUT_DATA!$B:$B,"S"))</f>
        <v>106679.76</v>
      </c>
      <c r="W34" s="144">
        <f>IF($B34=0,"",SUMIFS(INPUT_DATA!T:T,INPUT_DATA!$A:$A,$B34,INPUT_DATA!$B:$B,"S"))</f>
        <v>21253.25</v>
      </c>
      <c r="X34" s="144">
        <f>IF($B34=0,"",SUMIFS(INPUT_DATA!U:U,INPUT_DATA!$A:$A,$B34,INPUT_DATA!$B:$B,"S"))</f>
        <v>0</v>
      </c>
      <c r="Y34" s="144">
        <f>IF($B34=0,"",SUMIFS(INPUT_DATA!V:V,INPUT_DATA!$A:$A,$B34,INPUT_DATA!$B:$B,"S"))</f>
        <v>71746.8</v>
      </c>
      <c r="Z34" s="144">
        <f>IF($B34=0,"",SUMIFS(INPUT_DATA!W:W,INPUT_DATA!$A:$A,$B34,INPUT_DATA!$B:$B,"S"))</f>
        <v>17792.560000000001</v>
      </c>
      <c r="AA34" s="144">
        <f>IF($B34=0,"",SUMIFS(INPUT_DATA!X:X,INPUT_DATA!$A:$A,$B34,INPUT_DATA!$B:$B,"S"))</f>
        <v>0</v>
      </c>
      <c r="AB34" s="144">
        <f>IF($B34=0,"",SUMIFS(INPUT_DATA!Y:Y,INPUT_DATA!$A:$A,$B34,INPUT_DATA!$B:$B,"S"))</f>
        <v>0</v>
      </c>
      <c r="AC34" s="144">
        <f>IF($B34=0,"",SUMIFS(INPUT_DATA!Z:Z,INPUT_DATA!$A:$A,$B34,INPUT_DATA!$B:$B,"S"))</f>
        <v>0</v>
      </c>
      <c r="AD34" s="144">
        <f>IF($B34=0,"",SUMIFS(INPUT_DATA!AA:AA,INPUT_DATA!$A:$A,$B34,INPUT_DATA!$B:$B,"S"))</f>
        <v>0</v>
      </c>
      <c r="AE34" s="144">
        <f>IF($B34=0,"",SUMIFS(INPUT_DATA!AB:AB,INPUT_DATA!$A:$A,$B34,INPUT_DATA!$B:$B,"S"))</f>
        <v>0</v>
      </c>
      <c r="AF34" s="144">
        <f>IF($B34=0,"",SUMIFS(INPUT_DATA!AC:AC,INPUT_DATA!$A:$A,$B34,INPUT_DATA!$B:$B,"S"))</f>
        <v>0</v>
      </c>
      <c r="AG34" s="144">
        <f>IF($B34=0,"",SUMIFS(INPUT_DATA!AD:AD,INPUT_DATA!$A:$A,$B34,INPUT_DATA!$B:$B,"S"))</f>
        <v>0</v>
      </c>
      <c r="AH34" s="144">
        <f>IF($B34=0,"",SUMIFS(INPUT_DATA!AE:AE,INPUT_DATA!$A:$A,$B34,INPUT_DATA!$B:$B,"S"))</f>
        <v>969.07</v>
      </c>
      <c r="AI34" s="144">
        <f>IF($B34=0,"",SUMIFS(INPUT_DATA!AF:AF,INPUT_DATA!$A:$A,$B34,INPUT_DATA!$B:$B,"S"))</f>
        <v>13.51</v>
      </c>
      <c r="AJ34" s="144">
        <f>IF($B34=0,"",SUMIFS(INPUT_DATA!AG:AG,INPUT_DATA!$A:$A,$B34,INPUT_DATA!$B:$B,"S"))</f>
        <v>0</v>
      </c>
      <c r="AK34" s="144">
        <f>IF($B34=0,"",SUMIFS(INPUT_DATA!AK:AK,INPUT_DATA!$A:$A,$B34,INPUT_DATA!$B:$B,"S"))</f>
        <v>0</v>
      </c>
      <c r="AL34" s="144">
        <f>IF($B34=0,"",SUMIFS(INPUT_DATA!AL:AL,INPUT_DATA!$A:$A,$B34,INPUT_DATA!$B:$B,"S"))</f>
        <v>0</v>
      </c>
      <c r="AM34" s="144">
        <f>IF($B34=0,"",SUMIFS(INPUT_DATA!AM:AM,INPUT_DATA!$A:$A,$B34,INPUT_DATA!$B:$B,"S"))</f>
        <v>0</v>
      </c>
      <c r="AN34" s="144">
        <f>IF($B34=0,"",SUMIFS(INPUT_DATA!AN:AN,INPUT_DATA!$A:$A,$B34,INPUT_DATA!$B:$B,"S"))</f>
        <v>0</v>
      </c>
      <c r="AO34" s="144">
        <f>IF($B34=0,"",SUMIFS(INPUT_DATA!AO:AO,INPUT_DATA!$A:$A,$B34,INPUT_DATA!$B:$B,"S"))</f>
        <v>0</v>
      </c>
      <c r="AP34" s="144">
        <f>IF($B34=0,"",SUMIFS(INPUT_DATA!AP:AP,INPUT_DATA!$A:$A,$B34,INPUT_DATA!$B:$B,"S"))</f>
        <v>0</v>
      </c>
      <c r="AQ34" s="145">
        <f t="shared" si="9"/>
        <v>206735.53999999998</v>
      </c>
      <c r="AR34" s="146">
        <f t="shared" si="10"/>
        <v>41688.909999999996</v>
      </c>
      <c r="AS34" s="147">
        <f t="shared" si="11"/>
        <v>0</v>
      </c>
      <c r="AT34" s="145">
        <f>IF($B34=0,"",SUMIFS(INPUT_DATA!AQ:AQ,INPUT_DATA!$A:$A,$B34,INPUT_DATA!$B:$B,"S"))</f>
        <v>206735.54</v>
      </c>
      <c r="AU34" s="146">
        <f>IF($B34=0,"",SUMIFS(INPUT_DATA!AR:AR,INPUT_DATA!$A:$A,$B34,INPUT_DATA!$B:$B,"S"))</f>
        <v>41688.910000000003</v>
      </c>
      <c r="AV34" s="147">
        <f>IF($B34=0,"",SUMIFS(INPUT_DATA!AS:AS,INPUT_DATA!$A:$A,$B34,INPUT_DATA!$B:$B,"S"))</f>
        <v>0</v>
      </c>
      <c r="AW34" s="145">
        <f t="shared" si="12"/>
        <v>-2.9103830456733704E-11</v>
      </c>
      <c r="AX34" s="146">
        <f t="shared" si="13"/>
        <v>-7.2759576141834259E-12</v>
      </c>
      <c r="AY34" s="147">
        <f t="shared" si="14"/>
        <v>0</v>
      </c>
      <c r="AZ34" s="148"/>
      <c r="BA34" s="138">
        <f>IF($B34=0,"",SUMIFS(INPUT_DATA!C:C,INPUT_DATA!$A:$A,$B34,INPUT_DATA!$B:$B,"D"))</f>
        <v>238668.41</v>
      </c>
      <c r="BB34" s="149">
        <f>IF($B34=0,"",SUMIFS(INPUT_DATA!E:E,INPUT_DATA!$A:$A,$B34,INPUT_DATA!$B:$B,"D"))</f>
        <v>642.67999999999995</v>
      </c>
      <c r="BC34" s="149">
        <f>IF($B34=0,"",SUMIFS(INPUT_DATA!F:F,INPUT_DATA!$A:$A,$B34,INPUT_DATA!$B:$B,"D"))</f>
        <v>0</v>
      </c>
      <c r="BD34" s="149">
        <f>IF($B34=0,"",SUMIFS(INPUT_DATA!G:G,INPUT_DATA!$A:$A,$B34,INPUT_DATA!$B:$B,"D"))</f>
        <v>0</v>
      </c>
      <c r="BE34" s="149">
        <f>IF($B34=0,"",SUMIFS(INPUT_DATA!H:H,INPUT_DATA!$A:$A,$B34,INPUT_DATA!$B:$B,"D"))</f>
        <v>0</v>
      </c>
      <c r="BF34" s="149">
        <f>IF($B34=0,"",SUMIFS(INPUT_DATA!I:I,INPUT_DATA!$A:$A,$B34,INPUT_DATA!$B:$B,"D"))</f>
        <v>0</v>
      </c>
      <c r="BG34" s="149">
        <f>IF($B34=0,"",SUMIFS(INPUT_DATA!J:J,INPUT_DATA!$A:$A,$B34,INPUT_DATA!$B:$B,"D"))</f>
        <v>0</v>
      </c>
      <c r="BH34" s="149">
        <f>IF($B34=0,"",SUMIFS(INPUT_DATA!K:K,INPUT_DATA!$A:$A,$B34,INPUT_DATA!$B:$B,"D"))</f>
        <v>411919.03</v>
      </c>
      <c r="BI34" s="149">
        <f>IF($B34=0,"",SUMIFS(INPUT_DATA!L:L,INPUT_DATA!$A:$A,$B34,INPUT_DATA!$B:$B,"D"))</f>
        <v>0</v>
      </c>
      <c r="BJ34" s="149">
        <f>IF($B34=0,"",SUMIFS(INPUT_DATA!M:M,INPUT_DATA!$A:$A,$B34,INPUT_DATA!$B:$B,"D"))</f>
        <v>238668.41</v>
      </c>
      <c r="BK34" s="149">
        <f>IF($B34=0,"",SUMIFS(INPUT_DATA!N:N,INPUT_DATA!$A:$A,$B34,INPUT_DATA!$B:$B,"D"))</f>
        <v>0</v>
      </c>
      <c r="BL34" s="150">
        <f t="shared" si="5"/>
        <v>411276.35</v>
      </c>
      <c r="BM34" s="150">
        <f>IF($B34=0,"",SUMIFS(INPUT_DATA!O:O,INPUT_DATA!$A:$A,$B34,INPUT_DATA!$B:$B,"D"))</f>
        <v>411276.35</v>
      </c>
      <c r="BN34" s="150">
        <f t="shared" si="15"/>
        <v>0</v>
      </c>
      <c r="BO34" s="153">
        <f>IF($B34=0,"",SUMIFS(INPUT_DATA!P:P,INPUT_DATA!$A:$A,$B34,INPUT_DATA!$B:$B,"D"))</f>
        <v>0</v>
      </c>
      <c r="BP34" s="139">
        <f>IF($B34=0,"",SUMIFS(INPUT_DATA!Q:Q,INPUT_DATA!$A:$A,$B34,INPUT_DATA!$B:$B,"D"))</f>
        <v>0</v>
      </c>
      <c r="BQ34" s="139">
        <f>IF($B34=0,"",SUMIFS(INPUT_DATA!R:R,INPUT_DATA!$A:$A,$B34,INPUT_DATA!$B:$B,"D"))</f>
        <v>0</v>
      </c>
      <c r="BR34" s="149">
        <f>IF($B34=0,"",SUMIFS(INPUT_DATA!S:S,INPUT_DATA!$A:$A,$B34,INPUT_DATA!$B:$B,"D"))</f>
        <v>0</v>
      </c>
      <c r="BS34" s="149">
        <f>IF($B34=0,"",SUMIFS(INPUT_DATA!T:T,INPUT_DATA!$A:$A,$B34,INPUT_DATA!$B:$B,"D"))</f>
        <v>0</v>
      </c>
      <c r="BT34" s="149">
        <f>IF($B34=0,"",SUMIFS(INPUT_DATA!U:U,INPUT_DATA!$A:$A,$B34,INPUT_DATA!$B:$B,"D"))</f>
        <v>0</v>
      </c>
      <c r="BU34" s="149">
        <f>IF($B34=0,"",SUMIFS(INPUT_DATA!V:V,INPUT_DATA!$A:$A,$B34,INPUT_DATA!$B:$B,"D"))</f>
        <v>969.07</v>
      </c>
      <c r="BV34" s="149">
        <f>IF($B34=0,"",SUMIFS(INPUT_DATA!W:W,INPUT_DATA!$A:$A,$B34,INPUT_DATA!$B:$B,"D"))</f>
        <v>13.51</v>
      </c>
      <c r="BW34" s="149">
        <f>IF($B34=0,"",SUMIFS(INPUT_DATA!X:X,INPUT_DATA!$A:$A,$B34,INPUT_DATA!$B:$B,"D"))</f>
        <v>0</v>
      </c>
      <c r="BX34" s="149">
        <f>IF($B34=0,"",SUMIFS(INPUT_DATA!Y:Y,INPUT_DATA!$A:$A,$B34,INPUT_DATA!$B:$B,"D"))</f>
        <v>0</v>
      </c>
      <c r="BY34" s="149">
        <f>IF($B34=0,"",SUMIFS(INPUT_DATA!Z:Z,INPUT_DATA!$A:$A,$B34,INPUT_DATA!$B:$B,"D"))</f>
        <v>0</v>
      </c>
      <c r="BZ34" s="149">
        <f>IF($B34=0,"",SUMIFS(INPUT_DATA!AA:AA,INPUT_DATA!$A:$A,$B34,INPUT_DATA!$B:$B,"D"))</f>
        <v>0</v>
      </c>
      <c r="CA34" s="149">
        <f>IF($B34=0,"",SUMIFS(INPUT_DATA!AB:AB,INPUT_DATA!$A:$A,$B34,INPUT_DATA!$B:$B,"D"))</f>
        <v>0</v>
      </c>
      <c r="CB34" s="149">
        <f>IF($B34=0,"",SUMIFS(INPUT_DATA!AC:AC,INPUT_DATA!$A:$A,$B34,INPUT_DATA!$B:$B,"D"))</f>
        <v>0</v>
      </c>
      <c r="CC34" s="149">
        <f>IF($B34=0,"",SUMIFS(INPUT_DATA!AD:AD,INPUT_DATA!$A:$A,$B34,INPUT_DATA!$B:$B,"D"))</f>
        <v>0</v>
      </c>
      <c r="CD34" s="149">
        <f>IF($B34=0,"",SUMIFS(INPUT_DATA!AE:AE,INPUT_DATA!$A:$A,$B34,INPUT_DATA!$B:$B,"D"))</f>
        <v>969.07</v>
      </c>
      <c r="CE34" s="149">
        <f>IF($B34=0,"",SUMIFS(INPUT_DATA!AF:AF,INPUT_DATA!$A:$A,$B34,INPUT_DATA!$B:$B,"D"))</f>
        <v>13.51</v>
      </c>
      <c r="CF34" s="149">
        <f>IF($B34=0,"",SUMIFS(INPUT_DATA!AG:AG,INPUT_DATA!$A:$A,$B34,INPUT_DATA!$B:$B,"D"))</f>
        <v>0</v>
      </c>
      <c r="CG34" s="149">
        <f>IF($B34=0,"",SUMIFS(INPUT_DATA!AH:AH,INPUT_DATA!$A:$A,$B34,INPUT_DATA!$B:$B,"D"))</f>
        <v>0</v>
      </c>
      <c r="CH34" s="149">
        <f>IF($B34=0,"",SUMIFS(INPUT_DATA!AI:AI,INPUT_DATA!$A:$A,$B34,INPUT_DATA!$B:$B,"D"))</f>
        <v>0</v>
      </c>
      <c r="CI34" s="149">
        <f>IF($B34=0,"",SUMIFS(INPUT_DATA!AJ:AJ,INPUT_DATA!$A:$A,$B34,INPUT_DATA!$B:$B,"D"))</f>
        <v>0</v>
      </c>
      <c r="CJ34" s="140">
        <f>IF($B34=0,"",SUMIFS(INPUT_DATA!AK:AK,INPUT_DATA!$A:$A,$B34,INPUT_DATA!$B:$B,"D"))</f>
        <v>0</v>
      </c>
      <c r="CK34" s="140">
        <f>IF($B34=0,"",SUMIFS(INPUT_DATA!AL:AL,INPUT_DATA!$A:$A,$B34,INPUT_DATA!$B:$B,"D"))</f>
        <v>0</v>
      </c>
      <c r="CL34" s="140">
        <f>IF($B34=0,"",SUMIFS(INPUT_DATA!AM:AM,INPUT_DATA!$A:$A,$B34,INPUT_DATA!$B:$B,"D"))</f>
        <v>0</v>
      </c>
      <c r="CM34" s="140">
        <f>IF($B34=0,"",SUMIFS(INPUT_DATA!AN:AN,INPUT_DATA!$A:$A,$B34,INPUT_DATA!$B:$B,"D"))</f>
        <v>0</v>
      </c>
      <c r="CN34" s="140">
        <f>IF($B34=0,"",SUMIFS(INPUT_DATA!AO:AO,INPUT_DATA!$A:$A,$B34,INPUT_DATA!$B:$B,"D"))</f>
        <v>0</v>
      </c>
      <c r="CO34" s="140">
        <f>IF($B34=0,"",SUMIFS(INPUT_DATA!AP:AP,INPUT_DATA!$A:$A,$B34,INPUT_DATA!$B:$B,"D"))</f>
        <v>0</v>
      </c>
      <c r="CP34" s="154">
        <f t="shared" si="6"/>
        <v>0</v>
      </c>
      <c r="CQ34" s="154">
        <f t="shared" si="2"/>
        <v>0</v>
      </c>
      <c r="CR34" s="154">
        <f t="shared" si="3"/>
        <v>0</v>
      </c>
      <c r="CS34" s="139">
        <f>IF($B34=0,"",SUMIFS(INPUT_DATA!AQ:AQ,INPUT_DATA!$A:$A,$B34,INPUT_DATA!$B:$B,"D"))</f>
        <v>0</v>
      </c>
      <c r="CT34" s="154">
        <f>IF($B34=0,"",SUMIFS(INPUT_DATA!AR:AR,INPUT_DATA!$A:$A,$B34,INPUT_DATA!$B:$B,"D"))</f>
        <v>0</v>
      </c>
      <c r="CU34" s="154">
        <f>IF($B34=0,"",SUMIFS(INPUT_DATA!AS:AS,INPUT_DATA!$A:$A,$B34,INPUT_DATA!$B:$B,"D"))</f>
        <v>0</v>
      </c>
      <c r="CV34" s="139">
        <f t="shared" si="17"/>
        <v>0</v>
      </c>
      <c r="CW34" s="154">
        <f t="shared" si="18"/>
        <v>0</v>
      </c>
      <c r="CX34" s="155">
        <f t="shared" si="19"/>
        <v>0</v>
      </c>
      <c r="CY34" s="148"/>
    </row>
    <row r="35" spans="2:103" ht="13">
      <c r="B35" s="137">
        <f>INPUT_DATA!CQ22</f>
        <v>45657</v>
      </c>
      <c r="C35" s="139">
        <f>IF($B35=0,"",SUMIFS(INPUT_DATA!C:C,INPUT_DATA!$A:$A,$B35,INPUT_DATA!$B:$B,"S"))</f>
        <v>8062678431.4300003</v>
      </c>
      <c r="D35" s="139">
        <f>IF($B35=0,"",SUMIFS(INPUT_DATA!D:D,INPUT_DATA!$A:$A,$B35,INPUT_DATA!$B:$B,"S"))</f>
        <v>0</v>
      </c>
      <c r="E35" s="140">
        <f>IF($B35=0,"",SUMIFS(INPUT_DATA!E:E,INPUT_DATA!$A:$A,$B35,INPUT_DATA!$B:$B,"S"))</f>
        <v>41765874.259999998</v>
      </c>
      <c r="F35" s="140">
        <f>IF($B35=0,"",SUMIFS(INPUT_DATA!F:F,INPUT_DATA!$A:$A,$B35,INPUT_DATA!$B:$B,"S"))</f>
        <v>14770590.32</v>
      </c>
      <c r="G35" s="140">
        <f>IF($B35=0,"",SUMIFS(INPUT_DATA!G:G,INPUT_DATA!$A:$A,$B35,INPUT_DATA!$B:$B,"S"))</f>
        <v>0</v>
      </c>
      <c r="H35" s="140">
        <f>IF($B35=0,"",SUMIFS(INPUT_DATA!H:H,INPUT_DATA!$A:$A,$B35,INPUT_DATA!$B:$B,"S"))</f>
        <v>0</v>
      </c>
      <c r="I35" s="140">
        <f>IF($B35=0,"",SUMIFS(INPUT_DATA!I:I,INPUT_DATA!$A:$A,$B35,INPUT_DATA!$B:$B,"S"))</f>
        <v>0</v>
      </c>
      <c r="J35" s="140">
        <f>IF($B35=0,"",SUMIFS(INPUT_DATA!J:J,INPUT_DATA!$A:$A,$B35,INPUT_DATA!$B:$B,"S"))</f>
        <v>0</v>
      </c>
      <c r="K35" s="140">
        <f>IF($B35=0,"",SUMIFS(INPUT_DATA!K:K,INPUT_DATA!$A:$A,$B35,INPUT_DATA!$B:$B,"S"))</f>
        <v>282412.90999999997</v>
      </c>
      <c r="L35" s="140">
        <f>IF($B35=0,"",SUMIFS(INPUT_DATA!L:L,INPUT_DATA!$A:$A,$B35,INPUT_DATA!$B:$B,"S"))</f>
        <v>0</v>
      </c>
      <c r="M35" s="140">
        <f>IF($B35=0,"",SUMIFS(INPUT_DATA!M:M,INPUT_DATA!$A:$A,$B35,INPUT_DATA!$B:$B,"S"))</f>
        <v>3390909.64</v>
      </c>
      <c r="N35" s="140">
        <f>IF($B35=0,"",SUMIFS(INPUT_DATA!N:N,INPUT_DATA!$A:$A,$B35,INPUT_DATA!$B:$B,"S"))</f>
        <v>60236966.100000001</v>
      </c>
      <c r="O35" s="141">
        <f t="shared" si="7"/>
        <v>7942231678.1999998</v>
      </c>
      <c r="P35" s="142">
        <f>IF($B35=0,"",SUMIFS(INPUT_DATA!O:O,INPUT_DATA!$A:$A,$B35,INPUT_DATA!$B:$B,"S"))</f>
        <v>7942231678.1999998</v>
      </c>
      <c r="Q35" s="142">
        <f t="shared" si="8"/>
        <v>0</v>
      </c>
      <c r="R35" s="142">
        <f>IF($B35=0,"",SUMIFS(INPUT_DATA!BL:BL,INPUT_DATA!$A:$A,$B35,INPUT_DATA!$B:$B,"S"))</f>
        <v>7868933.2199999997</v>
      </c>
      <c r="S35" s="143">
        <f>IF($B35=0,"",SUMIFS(INPUT_DATA!P:P,INPUT_DATA!$A:$A,$B35,INPUT_DATA!$B:$B,"S"))</f>
        <v>129108.29</v>
      </c>
      <c r="T35" s="143">
        <f>IF($B35=0,"",SUMIFS(INPUT_DATA!Q:Q,INPUT_DATA!$A:$A,$B35,INPUT_DATA!$B:$B,"S"))</f>
        <v>24117.33</v>
      </c>
      <c r="U35" s="143">
        <f>IF($B35=0,"",SUMIFS(INPUT_DATA!R:R,INPUT_DATA!$A:$A,$B35,INPUT_DATA!$B:$B,"S"))</f>
        <v>0</v>
      </c>
      <c r="V35" s="144">
        <f>IF($B35=0,"",SUMIFS(INPUT_DATA!S:S,INPUT_DATA!$A:$A,$B35,INPUT_DATA!$B:$B,"S"))</f>
        <v>122480.08</v>
      </c>
      <c r="W35" s="144">
        <f>IF($B35=0,"",SUMIFS(INPUT_DATA!T:T,INPUT_DATA!$A:$A,$B35,INPUT_DATA!$B:$B,"S"))</f>
        <v>29989.43</v>
      </c>
      <c r="X35" s="144">
        <f>IF($B35=0,"",SUMIFS(INPUT_DATA!U:U,INPUT_DATA!$A:$A,$B35,INPUT_DATA!$B:$B,"S"))</f>
        <v>0</v>
      </c>
      <c r="Y35" s="144">
        <f>IF($B35=0,"",SUMIFS(INPUT_DATA!V:V,INPUT_DATA!$A:$A,$B35,INPUT_DATA!$B:$B,"S"))</f>
        <v>77115.009999999995</v>
      </c>
      <c r="Z35" s="144">
        <f>IF($B35=0,"",SUMIFS(INPUT_DATA!W:W,INPUT_DATA!$A:$A,$B35,INPUT_DATA!$B:$B,"S"))</f>
        <v>15738.69</v>
      </c>
      <c r="AA35" s="144">
        <f>IF($B35=0,"",SUMIFS(INPUT_DATA!X:X,INPUT_DATA!$A:$A,$B35,INPUT_DATA!$B:$B,"S"))</f>
        <v>0</v>
      </c>
      <c r="AB35" s="144">
        <f>IF($B35=0,"",SUMIFS(INPUT_DATA!Y:Y,INPUT_DATA!$A:$A,$B35,INPUT_DATA!$B:$B,"S"))</f>
        <v>0</v>
      </c>
      <c r="AC35" s="144">
        <f>IF($B35=0,"",SUMIFS(INPUT_DATA!Z:Z,INPUT_DATA!$A:$A,$B35,INPUT_DATA!$B:$B,"S"))</f>
        <v>0</v>
      </c>
      <c r="AD35" s="144">
        <f>IF($B35=0,"",SUMIFS(INPUT_DATA!AA:AA,INPUT_DATA!$A:$A,$B35,INPUT_DATA!$B:$B,"S"))</f>
        <v>0</v>
      </c>
      <c r="AE35" s="144">
        <f>IF($B35=0,"",SUMIFS(INPUT_DATA!AB:AB,INPUT_DATA!$A:$A,$B35,INPUT_DATA!$B:$B,"S"))</f>
        <v>0</v>
      </c>
      <c r="AF35" s="144">
        <f>IF($B35=0,"",SUMIFS(INPUT_DATA!AC:AC,INPUT_DATA!$A:$A,$B35,INPUT_DATA!$B:$B,"S"))</f>
        <v>0</v>
      </c>
      <c r="AG35" s="144">
        <f>IF($B35=0,"",SUMIFS(INPUT_DATA!AD:AD,INPUT_DATA!$A:$A,$B35,INPUT_DATA!$B:$B,"S"))</f>
        <v>0</v>
      </c>
      <c r="AH35" s="144">
        <f>IF($B35=0,"",SUMIFS(INPUT_DATA!AE:AE,INPUT_DATA!$A:$A,$B35,INPUT_DATA!$B:$B,"S"))</f>
        <v>0</v>
      </c>
      <c r="AI35" s="144">
        <f>IF($B35=0,"",SUMIFS(INPUT_DATA!AF:AF,INPUT_DATA!$A:$A,$B35,INPUT_DATA!$B:$B,"S"))</f>
        <v>0</v>
      </c>
      <c r="AJ35" s="144">
        <f>IF($B35=0,"",SUMIFS(INPUT_DATA!AG:AG,INPUT_DATA!$A:$A,$B35,INPUT_DATA!$B:$B,"S"))</f>
        <v>0</v>
      </c>
      <c r="AK35" s="144">
        <f>IF($B35=0,"",SUMIFS(INPUT_DATA!AK:AK,INPUT_DATA!$A:$A,$B35,INPUT_DATA!$B:$B,"S"))</f>
        <v>0</v>
      </c>
      <c r="AL35" s="144">
        <f>IF($B35=0,"",SUMIFS(INPUT_DATA!AL:AL,INPUT_DATA!$A:$A,$B35,INPUT_DATA!$B:$B,"S"))</f>
        <v>0</v>
      </c>
      <c r="AM35" s="144">
        <f>IF($B35=0,"",SUMIFS(INPUT_DATA!AM:AM,INPUT_DATA!$A:$A,$B35,INPUT_DATA!$B:$B,"S"))</f>
        <v>0</v>
      </c>
      <c r="AN35" s="144">
        <f>IF($B35=0,"",SUMIFS(INPUT_DATA!AN:AN,INPUT_DATA!$A:$A,$B35,INPUT_DATA!$B:$B,"S"))</f>
        <v>1701.71</v>
      </c>
      <c r="AO35" s="144">
        <f>IF($B35=0,"",SUMIFS(INPUT_DATA!AO:AO,INPUT_DATA!$A:$A,$B35,INPUT_DATA!$B:$B,"S"))</f>
        <v>126.34</v>
      </c>
      <c r="AP35" s="144">
        <f>IF($B35=0,"",SUMIFS(INPUT_DATA!AP:AP,INPUT_DATA!$A:$A,$B35,INPUT_DATA!$B:$B,"S"))</f>
        <v>0</v>
      </c>
      <c r="AQ35" s="145">
        <f t="shared" si="9"/>
        <v>172771.65</v>
      </c>
      <c r="AR35" s="146">
        <f t="shared" si="10"/>
        <v>38241.730000000003</v>
      </c>
      <c r="AS35" s="147">
        <f t="shared" si="11"/>
        <v>0</v>
      </c>
      <c r="AT35" s="145">
        <f>IF($B35=0,"",SUMIFS(INPUT_DATA!AQ:AQ,INPUT_DATA!$A:$A,$B35,INPUT_DATA!$B:$B,"S"))</f>
        <v>172771.65</v>
      </c>
      <c r="AU35" s="146">
        <f>IF($B35=0,"",SUMIFS(INPUT_DATA!AR:AR,INPUT_DATA!$A:$A,$B35,INPUT_DATA!$B:$B,"S"))</f>
        <v>38241.730000000003</v>
      </c>
      <c r="AV35" s="147">
        <f>IF($B35=0,"",SUMIFS(INPUT_DATA!AS:AS,INPUT_DATA!$A:$A,$B35,INPUT_DATA!$B:$B,"S"))</f>
        <v>0</v>
      </c>
      <c r="AW35" s="145">
        <f t="shared" si="12"/>
        <v>0</v>
      </c>
      <c r="AX35" s="146">
        <f t="shared" si="13"/>
        <v>0</v>
      </c>
      <c r="AY35" s="147">
        <f t="shared" si="14"/>
        <v>0</v>
      </c>
      <c r="AZ35" s="148"/>
      <c r="BA35" s="138">
        <f>IF($B35=0,"",SUMIFS(INPUT_DATA!C:C,INPUT_DATA!$A:$A,$B35,INPUT_DATA!$B:$B,"D"))</f>
        <v>256996.09</v>
      </c>
      <c r="BB35" s="149">
        <f>IF($B35=0,"",SUMIFS(INPUT_DATA!E:E,INPUT_DATA!$A:$A,$B35,INPUT_DATA!$B:$B,"D"))</f>
        <v>45908.84</v>
      </c>
      <c r="BC35" s="149">
        <f>IF($B35=0,"",SUMIFS(INPUT_DATA!F:F,INPUT_DATA!$A:$A,$B35,INPUT_DATA!$B:$B,"D"))</f>
        <v>0</v>
      </c>
      <c r="BD35" s="149">
        <f>IF($B35=0,"",SUMIFS(INPUT_DATA!G:G,INPUT_DATA!$A:$A,$B35,INPUT_DATA!$B:$B,"D"))</f>
        <v>0</v>
      </c>
      <c r="BE35" s="149">
        <f>IF($B35=0,"",SUMIFS(INPUT_DATA!H:H,INPUT_DATA!$A:$A,$B35,INPUT_DATA!$B:$B,"D"))</f>
        <v>0</v>
      </c>
      <c r="BF35" s="149">
        <f>IF($B35=0,"",SUMIFS(INPUT_DATA!I:I,INPUT_DATA!$A:$A,$B35,INPUT_DATA!$B:$B,"D"))</f>
        <v>0</v>
      </c>
      <c r="BG35" s="149">
        <f>IF($B35=0,"",SUMIFS(INPUT_DATA!J:J,INPUT_DATA!$A:$A,$B35,INPUT_DATA!$B:$B,"D"))</f>
        <v>0</v>
      </c>
      <c r="BH35" s="149">
        <f>IF($B35=0,"",SUMIFS(INPUT_DATA!K:K,INPUT_DATA!$A:$A,$B35,INPUT_DATA!$B:$B,"D"))</f>
        <v>282412.90999999997</v>
      </c>
      <c r="BI35" s="149">
        <f>IF($B35=0,"",SUMIFS(INPUT_DATA!L:L,INPUT_DATA!$A:$A,$B35,INPUT_DATA!$B:$B,"D"))</f>
        <v>0</v>
      </c>
      <c r="BJ35" s="149">
        <f>IF($B35=0,"",SUMIFS(INPUT_DATA!M:M,INPUT_DATA!$A:$A,$B35,INPUT_DATA!$B:$B,"D"))</f>
        <v>254831.75</v>
      </c>
      <c r="BK35" s="149">
        <f>IF($B35=0,"",SUMIFS(INPUT_DATA!N:N,INPUT_DATA!$A:$A,$B35,INPUT_DATA!$B:$B,"D"))</f>
        <v>0</v>
      </c>
      <c r="BL35" s="150">
        <f t="shared" si="5"/>
        <v>238668.40999999997</v>
      </c>
      <c r="BM35" s="150">
        <f>IF($B35=0,"",SUMIFS(INPUT_DATA!O:O,INPUT_DATA!$A:$A,$B35,INPUT_DATA!$B:$B,"D"))</f>
        <v>238668.41</v>
      </c>
      <c r="BN35" s="150">
        <f t="shared" si="15"/>
        <v>-2.9103830456733704E-11</v>
      </c>
      <c r="BO35" s="153">
        <f>IF($B35=0,"",SUMIFS(INPUT_DATA!P:P,INPUT_DATA!$A:$A,$B35,INPUT_DATA!$B:$B,"D"))</f>
        <v>3909.79</v>
      </c>
      <c r="BP35" s="139">
        <f>IF($B35=0,"",SUMIFS(INPUT_DATA!Q:Q,INPUT_DATA!$A:$A,$B35,INPUT_DATA!$B:$B,"D"))</f>
        <v>230.22</v>
      </c>
      <c r="BQ35" s="139">
        <f>IF($B35=0,"",SUMIFS(INPUT_DATA!R:R,INPUT_DATA!$A:$A,$B35,INPUT_DATA!$B:$B,"D"))</f>
        <v>0</v>
      </c>
      <c r="BR35" s="149">
        <f>IF($B35=0,"",SUMIFS(INPUT_DATA!S:S,INPUT_DATA!$A:$A,$B35,INPUT_DATA!$B:$B,"D"))</f>
        <v>0</v>
      </c>
      <c r="BS35" s="149">
        <f>IF($B35=0,"",SUMIFS(INPUT_DATA!T:T,INPUT_DATA!$A:$A,$B35,INPUT_DATA!$B:$B,"D"))</f>
        <v>0</v>
      </c>
      <c r="BT35" s="149">
        <f>IF($B35=0,"",SUMIFS(INPUT_DATA!U:U,INPUT_DATA!$A:$A,$B35,INPUT_DATA!$B:$B,"D"))</f>
        <v>0</v>
      </c>
      <c r="BU35" s="149">
        <f>IF($B35=0,"",SUMIFS(INPUT_DATA!V:V,INPUT_DATA!$A:$A,$B35,INPUT_DATA!$B:$B,"D"))</f>
        <v>3909.79</v>
      </c>
      <c r="BV35" s="149">
        <f>IF($B35=0,"",SUMIFS(INPUT_DATA!W:W,INPUT_DATA!$A:$A,$B35,INPUT_DATA!$B:$B,"D"))</f>
        <v>230.22</v>
      </c>
      <c r="BW35" s="149">
        <f>IF($B35=0,"",SUMIFS(INPUT_DATA!X:X,INPUT_DATA!$A:$A,$B35,INPUT_DATA!$B:$B,"D"))</f>
        <v>0</v>
      </c>
      <c r="BX35" s="149">
        <f>IF($B35=0,"",SUMIFS(INPUT_DATA!Y:Y,INPUT_DATA!$A:$A,$B35,INPUT_DATA!$B:$B,"D"))</f>
        <v>0</v>
      </c>
      <c r="BY35" s="149">
        <f>IF($B35=0,"",SUMIFS(INPUT_DATA!Z:Z,INPUT_DATA!$A:$A,$B35,INPUT_DATA!$B:$B,"D"))</f>
        <v>0</v>
      </c>
      <c r="BZ35" s="149">
        <f>IF($B35=0,"",SUMIFS(INPUT_DATA!AA:AA,INPUT_DATA!$A:$A,$B35,INPUT_DATA!$B:$B,"D"))</f>
        <v>0</v>
      </c>
      <c r="CA35" s="149">
        <f>IF($B35=0,"",SUMIFS(INPUT_DATA!AB:AB,INPUT_DATA!$A:$A,$B35,INPUT_DATA!$B:$B,"D"))</f>
        <v>0</v>
      </c>
      <c r="CB35" s="149">
        <f>IF($B35=0,"",SUMIFS(INPUT_DATA!AC:AC,INPUT_DATA!$A:$A,$B35,INPUT_DATA!$B:$B,"D"))</f>
        <v>0</v>
      </c>
      <c r="CC35" s="149">
        <f>IF($B35=0,"",SUMIFS(INPUT_DATA!AD:AD,INPUT_DATA!$A:$A,$B35,INPUT_DATA!$B:$B,"D"))</f>
        <v>0</v>
      </c>
      <c r="CD35" s="149">
        <f>IF($B35=0,"",SUMIFS(INPUT_DATA!AE:AE,INPUT_DATA!$A:$A,$B35,INPUT_DATA!$B:$B,"D"))</f>
        <v>0</v>
      </c>
      <c r="CE35" s="149">
        <f>IF($B35=0,"",SUMIFS(INPUT_DATA!AF:AF,INPUT_DATA!$A:$A,$B35,INPUT_DATA!$B:$B,"D"))</f>
        <v>0</v>
      </c>
      <c r="CF35" s="149">
        <f>IF($B35=0,"",SUMIFS(INPUT_DATA!AG:AG,INPUT_DATA!$A:$A,$B35,INPUT_DATA!$B:$B,"D"))</f>
        <v>0</v>
      </c>
      <c r="CG35" s="149">
        <f>IF($B35=0,"",SUMIFS(INPUT_DATA!AH:AH,INPUT_DATA!$A:$A,$B35,INPUT_DATA!$B:$B,"D"))</f>
        <v>0</v>
      </c>
      <c r="CH35" s="149">
        <f>IF($B35=0,"",SUMIFS(INPUT_DATA!AI:AI,INPUT_DATA!$A:$A,$B35,INPUT_DATA!$B:$B,"D"))</f>
        <v>0</v>
      </c>
      <c r="CI35" s="149">
        <f>IF($B35=0,"",SUMIFS(INPUT_DATA!AJ:AJ,INPUT_DATA!$A:$A,$B35,INPUT_DATA!$B:$B,"D"))</f>
        <v>0</v>
      </c>
      <c r="CJ35" s="140">
        <f>IF($B35=0,"",SUMIFS(INPUT_DATA!AK:AK,INPUT_DATA!$A:$A,$B35,INPUT_DATA!$B:$B,"D"))</f>
        <v>0</v>
      </c>
      <c r="CK35" s="140">
        <f>IF($B35=0,"",SUMIFS(INPUT_DATA!AL:AL,INPUT_DATA!$A:$A,$B35,INPUT_DATA!$B:$B,"D"))</f>
        <v>0</v>
      </c>
      <c r="CL35" s="140">
        <f>IF($B35=0,"",SUMIFS(INPUT_DATA!AM:AM,INPUT_DATA!$A:$A,$B35,INPUT_DATA!$B:$B,"D"))</f>
        <v>0</v>
      </c>
      <c r="CM35" s="140">
        <f>IF($B35=0,"",SUMIFS(INPUT_DATA!AN:AN,INPUT_DATA!$A:$A,$B35,INPUT_DATA!$B:$B,"D"))</f>
        <v>0</v>
      </c>
      <c r="CN35" s="140">
        <f>IF($B35=0,"",SUMIFS(INPUT_DATA!AO:AO,INPUT_DATA!$A:$A,$B35,INPUT_DATA!$B:$B,"D"))</f>
        <v>0</v>
      </c>
      <c r="CO35" s="140">
        <f>IF($B35=0,"",SUMIFS(INPUT_DATA!AP:AP,INPUT_DATA!$A:$A,$B35,INPUT_DATA!$B:$B,"D"))</f>
        <v>0</v>
      </c>
      <c r="CP35" s="154">
        <f t="shared" si="6"/>
        <v>0</v>
      </c>
      <c r="CQ35" s="154">
        <f t="shared" si="2"/>
        <v>0</v>
      </c>
      <c r="CR35" s="154">
        <f t="shared" si="3"/>
        <v>0</v>
      </c>
      <c r="CS35" s="139">
        <f>IF($B35=0,"",SUMIFS(INPUT_DATA!AQ:AQ,INPUT_DATA!$A:$A,$B35,INPUT_DATA!$B:$B,"D"))</f>
        <v>0</v>
      </c>
      <c r="CT35" s="154">
        <f>IF($B35=0,"",SUMIFS(INPUT_DATA!AR:AR,INPUT_DATA!$A:$A,$B35,INPUT_DATA!$B:$B,"D"))</f>
        <v>0</v>
      </c>
      <c r="CU35" s="154">
        <f>IF($B35=0,"",SUMIFS(INPUT_DATA!AS:AS,INPUT_DATA!$A:$A,$B35,INPUT_DATA!$B:$B,"D"))</f>
        <v>0</v>
      </c>
      <c r="CV35" s="139">
        <f t="shared" si="17"/>
        <v>0</v>
      </c>
      <c r="CW35" s="154">
        <f t="shared" si="18"/>
        <v>0</v>
      </c>
      <c r="CX35" s="155">
        <f t="shared" si="19"/>
        <v>0</v>
      </c>
      <c r="CY35" s="148"/>
    </row>
    <row r="36" spans="2:103" ht="13">
      <c r="B36" s="137">
        <f>INPUT_DATA!CQ23</f>
        <v>45626</v>
      </c>
      <c r="C36" s="139">
        <f>IF($B36=0,"",SUMIFS(INPUT_DATA!C:C,INPUT_DATA!$A:$A,$B36,INPUT_DATA!$B:$B,"S"))</f>
        <v>8120798931.6599998</v>
      </c>
      <c r="D36" s="139">
        <f>IF($B36=0,"",SUMIFS(INPUT_DATA!D:D,INPUT_DATA!$A:$A,$B36,INPUT_DATA!$B:$B,"S"))</f>
        <v>0</v>
      </c>
      <c r="E36" s="140">
        <f>IF($B36=0,"",SUMIFS(INPUT_DATA!E:E,INPUT_DATA!$A:$A,$B36,INPUT_DATA!$B:$B,"S"))</f>
        <v>41993813.539999999</v>
      </c>
      <c r="F36" s="140">
        <f>IF($B36=0,"",SUMIFS(INPUT_DATA!F:F,INPUT_DATA!$A:$A,$B36,INPUT_DATA!$B:$B,"S"))</f>
        <v>12780562.119999999</v>
      </c>
      <c r="G36" s="140">
        <f>IF($B36=0,"",SUMIFS(INPUT_DATA!G:G,INPUT_DATA!$A:$A,$B36,INPUT_DATA!$B:$B,"S"))</f>
        <v>0</v>
      </c>
      <c r="H36" s="140">
        <f>IF($B36=0,"",SUMIFS(INPUT_DATA!H:H,INPUT_DATA!$A:$A,$B36,INPUT_DATA!$B:$B,"S"))</f>
        <v>0</v>
      </c>
      <c r="I36" s="140">
        <f>IF($B36=0,"",SUMIFS(INPUT_DATA!I:I,INPUT_DATA!$A:$A,$B36,INPUT_DATA!$B:$B,"S"))</f>
        <v>0</v>
      </c>
      <c r="J36" s="140">
        <f>IF($B36=0,"",SUMIFS(INPUT_DATA!J:J,INPUT_DATA!$A:$A,$B36,INPUT_DATA!$B:$B,"S"))</f>
        <v>0</v>
      </c>
      <c r="K36" s="140">
        <f>IF($B36=0,"",SUMIFS(INPUT_DATA!K:K,INPUT_DATA!$A:$A,$B36,INPUT_DATA!$B:$B,"S"))</f>
        <v>259157.33</v>
      </c>
      <c r="L36" s="140">
        <f>IF($B36=0,"",SUMIFS(INPUT_DATA!L:L,INPUT_DATA!$A:$A,$B36,INPUT_DATA!$B:$B,"S"))</f>
        <v>0</v>
      </c>
      <c r="M36" s="140">
        <f>IF($B36=0,"",SUMIFS(INPUT_DATA!M:M,INPUT_DATA!$A:$A,$B36,INPUT_DATA!$B:$B,"S"))</f>
        <v>3086967.24</v>
      </c>
      <c r="N36" s="140">
        <f>IF($B36=0,"",SUMIFS(INPUT_DATA!N:N,INPUT_DATA!$A:$A,$B36,INPUT_DATA!$B:$B,"S"))</f>
        <v>0</v>
      </c>
      <c r="O36" s="141">
        <f t="shared" si="7"/>
        <v>8062678431.4300003</v>
      </c>
      <c r="P36" s="142">
        <f>IF($B36=0,"",SUMIFS(INPUT_DATA!O:O,INPUT_DATA!$A:$A,$B36,INPUT_DATA!$B:$B,"S"))</f>
        <v>8062678431.4300003</v>
      </c>
      <c r="Q36" s="142">
        <f t="shared" si="8"/>
        <v>0</v>
      </c>
      <c r="R36" s="142">
        <f>IF($B36=0,"",SUMIFS(INPUT_DATA!BL:BL,INPUT_DATA!$A:$A,$B36,INPUT_DATA!$B:$B,"S"))</f>
        <v>7863322.6900000004</v>
      </c>
      <c r="S36" s="143">
        <f>IF($B36=0,"",SUMIFS(INPUT_DATA!P:P,INPUT_DATA!$A:$A,$B36,INPUT_DATA!$B:$B,"S"))</f>
        <v>0</v>
      </c>
      <c r="T36" s="143">
        <f>IF($B36=0,"",SUMIFS(INPUT_DATA!Q:Q,INPUT_DATA!$A:$A,$B36,INPUT_DATA!$B:$B,"S"))</f>
        <v>0</v>
      </c>
      <c r="U36" s="143">
        <f>IF($B36=0,"",SUMIFS(INPUT_DATA!R:R,INPUT_DATA!$A:$A,$B36,INPUT_DATA!$B:$B,"S"))</f>
        <v>0</v>
      </c>
      <c r="V36" s="144">
        <f>IF($B36=0,"",SUMIFS(INPUT_DATA!S:S,INPUT_DATA!$A:$A,$B36,INPUT_DATA!$B:$B,"S"))</f>
        <v>129108.29</v>
      </c>
      <c r="W36" s="144">
        <f>IF($B36=0,"",SUMIFS(INPUT_DATA!T:T,INPUT_DATA!$A:$A,$B36,INPUT_DATA!$B:$B,"S"))</f>
        <v>24117.33</v>
      </c>
      <c r="X36" s="144">
        <f>IF($B36=0,"",SUMIFS(INPUT_DATA!U:U,INPUT_DATA!$A:$A,$B36,INPUT_DATA!$B:$B,"S"))</f>
        <v>0</v>
      </c>
      <c r="Y36" s="144">
        <f>IF($B36=0,"",SUMIFS(INPUT_DATA!V:V,INPUT_DATA!$A:$A,$B36,INPUT_DATA!$B:$B,"S"))</f>
        <v>0</v>
      </c>
      <c r="Z36" s="144">
        <f>IF($B36=0,"",SUMIFS(INPUT_DATA!W:W,INPUT_DATA!$A:$A,$B36,INPUT_DATA!$B:$B,"S"))</f>
        <v>0</v>
      </c>
      <c r="AA36" s="144">
        <f>IF($B36=0,"",SUMIFS(INPUT_DATA!X:X,INPUT_DATA!$A:$A,$B36,INPUT_DATA!$B:$B,"S"))</f>
        <v>0</v>
      </c>
      <c r="AB36" s="144">
        <f>IF($B36=0,"",SUMIFS(INPUT_DATA!Y:Y,INPUT_DATA!$A:$A,$B36,INPUT_DATA!$B:$B,"S"))</f>
        <v>0</v>
      </c>
      <c r="AC36" s="144">
        <f>IF($B36=0,"",SUMIFS(INPUT_DATA!Z:Z,INPUT_DATA!$A:$A,$B36,INPUT_DATA!$B:$B,"S"))</f>
        <v>0</v>
      </c>
      <c r="AD36" s="144">
        <f>IF($B36=0,"",SUMIFS(INPUT_DATA!AA:AA,INPUT_DATA!$A:$A,$B36,INPUT_DATA!$B:$B,"S"))</f>
        <v>0</v>
      </c>
      <c r="AE36" s="144">
        <f>IF($B36=0,"",SUMIFS(INPUT_DATA!AB:AB,INPUT_DATA!$A:$A,$B36,INPUT_DATA!$B:$B,"S"))</f>
        <v>0</v>
      </c>
      <c r="AF36" s="144">
        <f>IF($B36=0,"",SUMIFS(INPUT_DATA!AC:AC,INPUT_DATA!$A:$A,$B36,INPUT_DATA!$B:$B,"S"))</f>
        <v>0</v>
      </c>
      <c r="AG36" s="144">
        <f>IF($B36=0,"",SUMIFS(INPUT_DATA!AD:AD,INPUT_DATA!$A:$A,$B36,INPUT_DATA!$B:$B,"S"))</f>
        <v>0</v>
      </c>
      <c r="AH36" s="144">
        <f>IF($B36=0,"",SUMIFS(INPUT_DATA!AE:AE,INPUT_DATA!$A:$A,$B36,INPUT_DATA!$B:$B,"S"))</f>
        <v>0</v>
      </c>
      <c r="AI36" s="144">
        <f>IF($B36=0,"",SUMIFS(INPUT_DATA!AF:AF,INPUT_DATA!$A:$A,$B36,INPUT_DATA!$B:$B,"S"))</f>
        <v>0</v>
      </c>
      <c r="AJ36" s="144">
        <f>IF($B36=0,"",SUMIFS(INPUT_DATA!AG:AG,INPUT_DATA!$A:$A,$B36,INPUT_DATA!$B:$B,"S"))</f>
        <v>0</v>
      </c>
      <c r="AK36" s="144">
        <f>IF($B36=0,"",SUMIFS(INPUT_DATA!AK:AK,INPUT_DATA!$A:$A,$B36,INPUT_DATA!$B:$B,"S"))</f>
        <v>0</v>
      </c>
      <c r="AL36" s="144">
        <f>IF($B36=0,"",SUMIFS(INPUT_DATA!AL:AL,INPUT_DATA!$A:$A,$B36,INPUT_DATA!$B:$B,"S"))</f>
        <v>0</v>
      </c>
      <c r="AM36" s="144">
        <f>IF($B36=0,"",SUMIFS(INPUT_DATA!AM:AM,INPUT_DATA!$A:$A,$B36,INPUT_DATA!$B:$B,"S"))</f>
        <v>0</v>
      </c>
      <c r="AN36" s="144">
        <f>IF($B36=0,"",SUMIFS(INPUT_DATA!AN:AN,INPUT_DATA!$A:$A,$B36,INPUT_DATA!$B:$B,"S"))</f>
        <v>0</v>
      </c>
      <c r="AO36" s="144">
        <f>IF($B36=0,"",SUMIFS(INPUT_DATA!AO:AO,INPUT_DATA!$A:$A,$B36,INPUT_DATA!$B:$B,"S"))</f>
        <v>0</v>
      </c>
      <c r="AP36" s="144">
        <f>IF($B36=0,"",SUMIFS(INPUT_DATA!AP:AP,INPUT_DATA!$A:$A,$B36,INPUT_DATA!$B:$B,"S"))</f>
        <v>0</v>
      </c>
      <c r="AQ36" s="145">
        <f t="shared" si="9"/>
        <v>129108.29</v>
      </c>
      <c r="AR36" s="146">
        <f t="shared" si="10"/>
        <v>24117.33</v>
      </c>
      <c r="AS36" s="147">
        <f t="shared" si="11"/>
        <v>0</v>
      </c>
      <c r="AT36" s="145">
        <f>IF($B36=0,"",SUMIFS(INPUT_DATA!AQ:AQ,INPUT_DATA!$A:$A,$B36,INPUT_DATA!$B:$B,"S"))</f>
        <v>129108.29</v>
      </c>
      <c r="AU36" s="146">
        <f>IF($B36=0,"",SUMIFS(INPUT_DATA!AR:AR,INPUT_DATA!$A:$A,$B36,INPUT_DATA!$B:$B,"S"))</f>
        <v>24117.33</v>
      </c>
      <c r="AV36" s="147">
        <f>IF($B36=0,"",SUMIFS(INPUT_DATA!AS:AS,INPUT_DATA!$A:$A,$B36,INPUT_DATA!$B:$B,"S"))</f>
        <v>0</v>
      </c>
      <c r="AW36" s="145">
        <f t="shared" si="12"/>
        <v>0</v>
      </c>
      <c r="AX36" s="146">
        <f t="shared" si="13"/>
        <v>0</v>
      </c>
      <c r="AY36" s="147">
        <f t="shared" si="14"/>
        <v>0</v>
      </c>
      <c r="AZ36" s="148"/>
      <c r="BA36" s="138">
        <f>IF($B36=0,"",SUMIFS(INPUT_DATA!C:C,INPUT_DATA!$A:$A,$B36,INPUT_DATA!$B:$B,"D"))</f>
        <v>64473.05</v>
      </c>
      <c r="BB36" s="149">
        <f>IF($B36=0,"",SUMIFS(INPUT_DATA!E:E,INPUT_DATA!$A:$A,$B36,INPUT_DATA!$B:$B,"D"))</f>
        <v>2865.87</v>
      </c>
      <c r="BC36" s="149">
        <f>IF($B36=0,"",SUMIFS(INPUT_DATA!F:F,INPUT_DATA!$A:$A,$B36,INPUT_DATA!$B:$B,"D"))</f>
        <v>0</v>
      </c>
      <c r="BD36" s="149">
        <f>IF($B36=0,"",SUMIFS(INPUT_DATA!G:G,INPUT_DATA!$A:$A,$B36,INPUT_DATA!$B:$B,"D"))</f>
        <v>0</v>
      </c>
      <c r="BE36" s="149">
        <f>IF($B36=0,"",SUMIFS(INPUT_DATA!H:H,INPUT_DATA!$A:$A,$B36,INPUT_DATA!$B:$B,"D"))</f>
        <v>0</v>
      </c>
      <c r="BF36" s="149">
        <f>IF($B36=0,"",SUMIFS(INPUT_DATA!I:I,INPUT_DATA!$A:$A,$B36,INPUT_DATA!$B:$B,"D"))</f>
        <v>0</v>
      </c>
      <c r="BG36" s="149">
        <f>IF($B36=0,"",SUMIFS(INPUT_DATA!J:J,INPUT_DATA!$A:$A,$B36,INPUT_DATA!$B:$B,"D"))</f>
        <v>0</v>
      </c>
      <c r="BH36" s="149">
        <f>IF($B36=0,"",SUMIFS(INPUT_DATA!K:K,INPUT_DATA!$A:$A,$B36,INPUT_DATA!$B:$B,"D"))</f>
        <v>259157.33</v>
      </c>
      <c r="BI36" s="149">
        <f>IF($B36=0,"",SUMIFS(INPUT_DATA!L:L,INPUT_DATA!$A:$A,$B36,INPUT_DATA!$B:$B,"D"))</f>
        <v>0</v>
      </c>
      <c r="BJ36" s="149">
        <f>IF($B36=0,"",SUMIFS(INPUT_DATA!M:M,INPUT_DATA!$A:$A,$B36,INPUT_DATA!$B:$B,"D"))</f>
        <v>63768.42</v>
      </c>
      <c r="BK36" s="149">
        <f>IF($B36=0,"",SUMIFS(INPUT_DATA!N:N,INPUT_DATA!$A:$A,$B36,INPUT_DATA!$B:$B,"D"))</f>
        <v>0</v>
      </c>
      <c r="BL36" s="150">
        <f t="shared" si="5"/>
        <v>256996.09000000003</v>
      </c>
      <c r="BM36" s="150">
        <f>IF($B36=0,"",SUMIFS(INPUT_DATA!O:O,INPUT_DATA!$A:$A,$B36,INPUT_DATA!$B:$B,"D"))</f>
        <v>256996.09</v>
      </c>
      <c r="BN36" s="150">
        <f t="shared" si="15"/>
        <v>2.9103830456733704E-11</v>
      </c>
      <c r="BO36" s="153">
        <f>IF($B36=0,"",SUMIFS(INPUT_DATA!P:P,INPUT_DATA!$A:$A,$B36,INPUT_DATA!$B:$B,"D"))</f>
        <v>0</v>
      </c>
      <c r="BP36" s="139">
        <f>IF($B36=0,"",SUMIFS(INPUT_DATA!Q:Q,INPUT_DATA!$A:$A,$B36,INPUT_DATA!$B:$B,"D"))</f>
        <v>0</v>
      </c>
      <c r="BQ36" s="139">
        <f>IF($B36=0,"",SUMIFS(INPUT_DATA!R:R,INPUT_DATA!$A:$A,$B36,INPUT_DATA!$B:$B,"D"))</f>
        <v>0</v>
      </c>
      <c r="BR36" s="149">
        <f>IF($B36=0,"",SUMIFS(INPUT_DATA!S:S,INPUT_DATA!$A:$A,$B36,INPUT_DATA!$B:$B,"D"))</f>
        <v>3909.79</v>
      </c>
      <c r="BS36" s="149">
        <f>IF($B36=0,"",SUMIFS(INPUT_DATA!T:T,INPUT_DATA!$A:$A,$B36,INPUT_DATA!$B:$B,"D"))</f>
        <v>230.22</v>
      </c>
      <c r="BT36" s="149">
        <f>IF($B36=0,"",SUMIFS(INPUT_DATA!U:U,INPUT_DATA!$A:$A,$B36,INPUT_DATA!$B:$B,"D"))</f>
        <v>0</v>
      </c>
      <c r="BU36" s="149">
        <f>IF($B36=0,"",SUMIFS(INPUT_DATA!V:V,INPUT_DATA!$A:$A,$B36,INPUT_DATA!$B:$B,"D"))</f>
        <v>0</v>
      </c>
      <c r="BV36" s="149">
        <f>IF($B36=0,"",SUMIFS(INPUT_DATA!W:W,INPUT_DATA!$A:$A,$B36,INPUT_DATA!$B:$B,"D"))</f>
        <v>0</v>
      </c>
      <c r="BW36" s="149">
        <f>IF($B36=0,"",SUMIFS(INPUT_DATA!X:X,INPUT_DATA!$A:$A,$B36,INPUT_DATA!$B:$B,"D"))</f>
        <v>0</v>
      </c>
      <c r="BX36" s="149">
        <f>IF($B36=0,"",SUMIFS(INPUT_DATA!Y:Y,INPUT_DATA!$A:$A,$B36,INPUT_DATA!$B:$B,"D"))</f>
        <v>0</v>
      </c>
      <c r="BY36" s="149">
        <f>IF($B36=0,"",SUMIFS(INPUT_DATA!Z:Z,INPUT_DATA!$A:$A,$B36,INPUT_DATA!$B:$B,"D"))</f>
        <v>0</v>
      </c>
      <c r="BZ36" s="149">
        <f>IF($B36=0,"",SUMIFS(INPUT_DATA!AA:AA,INPUT_DATA!$A:$A,$B36,INPUT_DATA!$B:$B,"D"))</f>
        <v>0</v>
      </c>
      <c r="CA36" s="149">
        <f>IF($B36=0,"",SUMIFS(INPUT_DATA!AB:AB,INPUT_DATA!$A:$A,$B36,INPUT_DATA!$B:$B,"D"))</f>
        <v>0</v>
      </c>
      <c r="CB36" s="149">
        <f>IF($B36=0,"",SUMIFS(INPUT_DATA!AC:AC,INPUT_DATA!$A:$A,$B36,INPUT_DATA!$B:$B,"D"))</f>
        <v>0</v>
      </c>
      <c r="CC36" s="149">
        <f>IF($B36=0,"",SUMIFS(INPUT_DATA!AD:AD,INPUT_DATA!$A:$A,$B36,INPUT_DATA!$B:$B,"D"))</f>
        <v>0</v>
      </c>
      <c r="CD36" s="149">
        <f>IF($B36=0,"",SUMIFS(INPUT_DATA!AE:AE,INPUT_DATA!$A:$A,$B36,INPUT_DATA!$B:$B,"D"))</f>
        <v>0</v>
      </c>
      <c r="CE36" s="149">
        <f>IF($B36=0,"",SUMIFS(INPUT_DATA!AF:AF,INPUT_DATA!$A:$A,$B36,INPUT_DATA!$B:$B,"D"))</f>
        <v>0</v>
      </c>
      <c r="CF36" s="149">
        <f>IF($B36=0,"",SUMIFS(INPUT_DATA!AG:AG,INPUT_DATA!$A:$A,$B36,INPUT_DATA!$B:$B,"D"))</f>
        <v>0</v>
      </c>
      <c r="CG36" s="149">
        <f>IF($B36=0,"",SUMIFS(INPUT_DATA!AH:AH,INPUT_DATA!$A:$A,$B36,INPUT_DATA!$B:$B,"D"))</f>
        <v>0</v>
      </c>
      <c r="CH36" s="149">
        <f>IF($B36=0,"",SUMIFS(INPUT_DATA!AI:AI,INPUT_DATA!$A:$A,$B36,INPUT_DATA!$B:$B,"D"))</f>
        <v>0</v>
      </c>
      <c r="CI36" s="149">
        <f>IF($B36=0,"",SUMIFS(INPUT_DATA!AJ:AJ,INPUT_DATA!$A:$A,$B36,INPUT_DATA!$B:$B,"D"))</f>
        <v>0</v>
      </c>
      <c r="CJ36" s="140">
        <f>IF($B36=0,"",SUMIFS(INPUT_DATA!AK:AK,INPUT_DATA!$A:$A,$B36,INPUT_DATA!$B:$B,"D"))</f>
        <v>0</v>
      </c>
      <c r="CK36" s="140">
        <f>IF($B36=0,"",SUMIFS(INPUT_DATA!AL:AL,INPUT_DATA!$A:$A,$B36,INPUT_DATA!$B:$B,"D"))</f>
        <v>0</v>
      </c>
      <c r="CL36" s="140">
        <f>IF($B36=0,"",SUMIFS(INPUT_DATA!AM:AM,INPUT_DATA!$A:$A,$B36,INPUT_DATA!$B:$B,"D"))</f>
        <v>0</v>
      </c>
      <c r="CM36" s="140">
        <f>IF($B36=0,"",SUMIFS(INPUT_DATA!AN:AN,INPUT_DATA!$A:$A,$B36,INPUT_DATA!$B:$B,"D"))</f>
        <v>0</v>
      </c>
      <c r="CN36" s="140">
        <f>IF($B36=0,"",SUMIFS(INPUT_DATA!AO:AO,INPUT_DATA!$A:$A,$B36,INPUT_DATA!$B:$B,"D"))</f>
        <v>0</v>
      </c>
      <c r="CO36" s="140">
        <f>IF($B36=0,"",SUMIFS(INPUT_DATA!AP:AP,INPUT_DATA!$A:$A,$B36,INPUT_DATA!$B:$B,"D"))</f>
        <v>0</v>
      </c>
      <c r="CP36" s="154">
        <f t="shared" si="6"/>
        <v>3909.79</v>
      </c>
      <c r="CQ36" s="154">
        <f t="shared" si="2"/>
        <v>230.22</v>
      </c>
      <c r="CR36" s="154">
        <f t="shared" si="3"/>
        <v>0</v>
      </c>
      <c r="CS36" s="139">
        <f>IF($B36=0,"",SUMIFS(INPUT_DATA!AQ:AQ,INPUT_DATA!$A:$A,$B36,INPUT_DATA!$B:$B,"D"))</f>
        <v>3909.79</v>
      </c>
      <c r="CT36" s="154">
        <f>IF($B36=0,"",SUMIFS(INPUT_DATA!AR:AR,INPUT_DATA!$A:$A,$B36,INPUT_DATA!$B:$B,"D"))</f>
        <v>230.22</v>
      </c>
      <c r="CU36" s="154">
        <f>IF($B36=0,"",SUMIFS(INPUT_DATA!AS:AS,INPUT_DATA!$A:$A,$B36,INPUT_DATA!$B:$B,"D"))</f>
        <v>0</v>
      </c>
      <c r="CV36" s="139">
        <f t="shared" si="17"/>
        <v>0</v>
      </c>
      <c r="CW36" s="154">
        <f t="shared" si="18"/>
        <v>0</v>
      </c>
      <c r="CX36" s="155">
        <f t="shared" si="19"/>
        <v>0</v>
      </c>
      <c r="CY36" s="148"/>
    </row>
    <row r="37" spans="2:103" ht="13">
      <c r="B37" s="137">
        <f>INPUT_DATA!CQ24</f>
        <v>45596</v>
      </c>
      <c r="C37" s="139">
        <f>IF($B37=0,"",SUMIFS(INPUT_DATA!C:C,INPUT_DATA!$A:$A,$B37,INPUT_DATA!$B:$B,"S"))</f>
        <v>8182368484.4700003</v>
      </c>
      <c r="D37" s="139">
        <f>IF($B37=0,"",SUMIFS(INPUT_DATA!D:D,INPUT_DATA!$A:$A,$B37,INPUT_DATA!$B:$B,"S"))</f>
        <v>0</v>
      </c>
      <c r="E37" s="140">
        <f>IF($B37=0,"",SUMIFS(INPUT_DATA!E:E,INPUT_DATA!$A:$A,$B37,INPUT_DATA!$B:$B,"S"))</f>
        <v>42217161.75</v>
      </c>
      <c r="F37" s="140">
        <f>IF($B37=0,"",SUMIFS(INPUT_DATA!F:F,INPUT_DATA!$A:$A,$B37,INPUT_DATA!$B:$B,"S"))</f>
        <v>12577297.26</v>
      </c>
      <c r="G37" s="140">
        <f>IF($B37=0,"",SUMIFS(INPUT_DATA!G:G,INPUT_DATA!$A:$A,$B37,INPUT_DATA!$B:$B,"S"))</f>
        <v>0</v>
      </c>
      <c r="H37" s="140">
        <f>IF($B37=0,"",SUMIFS(INPUT_DATA!H:H,INPUT_DATA!$A:$A,$B37,INPUT_DATA!$B:$B,"S"))</f>
        <v>0</v>
      </c>
      <c r="I37" s="140">
        <f>IF($B37=0,"",SUMIFS(INPUT_DATA!I:I,INPUT_DATA!$A:$A,$B37,INPUT_DATA!$B:$B,"S"))</f>
        <v>0</v>
      </c>
      <c r="J37" s="140">
        <f>IF($B37=0,"",SUMIFS(INPUT_DATA!J:J,INPUT_DATA!$A:$A,$B37,INPUT_DATA!$B:$B,"S"))</f>
        <v>0</v>
      </c>
      <c r="K37" s="140">
        <f>IF($B37=0,"",SUMIFS(INPUT_DATA!K:K,INPUT_DATA!$A:$A,$B37,INPUT_DATA!$B:$B,"S"))</f>
        <v>65384.86</v>
      </c>
      <c r="L37" s="140">
        <f>IF($B37=0,"",SUMIFS(INPUT_DATA!L:L,INPUT_DATA!$A:$A,$B37,INPUT_DATA!$B:$B,"S"))</f>
        <v>0</v>
      </c>
      <c r="M37" s="140">
        <f>IF($B37=0,"",SUMIFS(INPUT_DATA!M:M,INPUT_DATA!$A:$A,$B37,INPUT_DATA!$B:$B,"S"))</f>
        <v>1682935.28</v>
      </c>
      <c r="N37" s="140">
        <f>IF($B37=0,"",SUMIFS(INPUT_DATA!N:N,INPUT_DATA!$A:$A,$B37,INPUT_DATA!$B:$B,"S"))</f>
        <v>5026773.66</v>
      </c>
      <c r="O37" s="141">
        <f t="shared" si="7"/>
        <v>8120798931.6600008</v>
      </c>
      <c r="P37" s="142">
        <f>IF($B37=0,"",SUMIFS(INPUT_DATA!O:O,INPUT_DATA!$A:$A,$B37,INPUT_DATA!$B:$B,"S"))</f>
        <v>8120798931.6599998</v>
      </c>
      <c r="Q37" s="142">
        <f t="shared" si="8"/>
        <v>9.5367431640625E-7</v>
      </c>
      <c r="R37" s="142">
        <f>IF($B37=0,"",SUMIFS(INPUT_DATA!BL:BL,INPUT_DATA!$A:$A,$B37,INPUT_DATA!$B:$B,"S"))</f>
        <v>8000386.2400000002</v>
      </c>
      <c r="S37" s="143">
        <f>IF($B37=0,"",SUMIFS(INPUT_DATA!P:P,INPUT_DATA!$A:$A,$B37,INPUT_DATA!$B:$B,"S"))</f>
        <v>0</v>
      </c>
      <c r="T37" s="143">
        <f>IF($B37=0,"",SUMIFS(INPUT_DATA!Q:Q,INPUT_DATA!$A:$A,$B37,INPUT_DATA!$B:$B,"S"))</f>
        <v>0</v>
      </c>
      <c r="U37" s="143">
        <f>IF($B37=0,"",SUMIFS(INPUT_DATA!R:R,INPUT_DATA!$A:$A,$B37,INPUT_DATA!$B:$B,"S"))</f>
        <v>0</v>
      </c>
      <c r="V37" s="144">
        <f>IF($B37=0,"",SUMIFS(INPUT_DATA!S:S,INPUT_DATA!$A:$A,$B37,INPUT_DATA!$B:$B,"S"))</f>
        <v>0</v>
      </c>
      <c r="W37" s="144">
        <f>IF($B37=0,"",SUMIFS(INPUT_DATA!T:T,INPUT_DATA!$A:$A,$B37,INPUT_DATA!$B:$B,"S"))</f>
        <v>0</v>
      </c>
      <c r="X37" s="144">
        <f>IF($B37=0,"",SUMIFS(INPUT_DATA!U:U,INPUT_DATA!$A:$A,$B37,INPUT_DATA!$B:$B,"S"))</f>
        <v>0</v>
      </c>
      <c r="Y37" s="144">
        <f>IF($B37=0,"",SUMIFS(INPUT_DATA!V:V,INPUT_DATA!$A:$A,$B37,INPUT_DATA!$B:$B,"S"))</f>
        <v>0</v>
      </c>
      <c r="Z37" s="144">
        <f>IF($B37=0,"",SUMIFS(INPUT_DATA!W:W,INPUT_DATA!$A:$A,$B37,INPUT_DATA!$B:$B,"S"))</f>
        <v>0</v>
      </c>
      <c r="AA37" s="144">
        <f>IF($B37=0,"",SUMIFS(INPUT_DATA!X:X,INPUT_DATA!$A:$A,$B37,INPUT_DATA!$B:$B,"S"))</f>
        <v>0</v>
      </c>
      <c r="AB37" s="144">
        <f>IF($B37=0,"",SUMIFS(INPUT_DATA!Y:Y,INPUT_DATA!$A:$A,$B37,INPUT_DATA!$B:$B,"S"))</f>
        <v>0</v>
      </c>
      <c r="AC37" s="144">
        <f>IF($B37=0,"",SUMIFS(INPUT_DATA!Z:Z,INPUT_DATA!$A:$A,$B37,INPUT_DATA!$B:$B,"S"))</f>
        <v>0</v>
      </c>
      <c r="AD37" s="144">
        <f>IF($B37=0,"",SUMIFS(INPUT_DATA!AA:AA,INPUT_DATA!$A:$A,$B37,INPUT_DATA!$B:$B,"S"))</f>
        <v>0</v>
      </c>
      <c r="AE37" s="144">
        <f>IF($B37=0,"",SUMIFS(INPUT_DATA!AB:AB,INPUT_DATA!$A:$A,$B37,INPUT_DATA!$B:$B,"S"))</f>
        <v>0</v>
      </c>
      <c r="AF37" s="144">
        <f>IF($B37=0,"",SUMIFS(INPUT_DATA!AC:AC,INPUT_DATA!$A:$A,$B37,INPUT_DATA!$B:$B,"S"))</f>
        <v>0</v>
      </c>
      <c r="AG37" s="144">
        <f>IF($B37=0,"",SUMIFS(INPUT_DATA!AD:AD,INPUT_DATA!$A:$A,$B37,INPUT_DATA!$B:$B,"S"))</f>
        <v>0</v>
      </c>
      <c r="AH37" s="144">
        <f>IF($B37=0,"",SUMIFS(INPUT_DATA!AE:AE,INPUT_DATA!$A:$A,$B37,INPUT_DATA!$B:$B,"S"))</f>
        <v>0</v>
      </c>
      <c r="AI37" s="144">
        <f>IF($B37=0,"",SUMIFS(INPUT_DATA!AF:AF,INPUT_DATA!$A:$A,$B37,INPUT_DATA!$B:$B,"S"))</f>
        <v>0</v>
      </c>
      <c r="AJ37" s="144">
        <f>IF($B37=0,"",SUMIFS(INPUT_DATA!AG:AG,INPUT_DATA!$A:$A,$B37,INPUT_DATA!$B:$B,"S"))</f>
        <v>0</v>
      </c>
      <c r="AK37" s="144">
        <f>IF($B37=0,"",SUMIFS(INPUT_DATA!AK:AK,INPUT_DATA!$A:$A,$B37,INPUT_DATA!$B:$B,"S"))</f>
        <v>0</v>
      </c>
      <c r="AL37" s="144">
        <f>IF($B37=0,"",SUMIFS(INPUT_DATA!AL:AL,INPUT_DATA!$A:$A,$B37,INPUT_DATA!$B:$B,"S"))</f>
        <v>0</v>
      </c>
      <c r="AM37" s="144">
        <f>IF($B37=0,"",SUMIFS(INPUT_DATA!AM:AM,INPUT_DATA!$A:$A,$B37,INPUT_DATA!$B:$B,"S"))</f>
        <v>0</v>
      </c>
      <c r="AN37" s="144">
        <f>IF($B37=0,"",SUMIFS(INPUT_DATA!AN:AN,INPUT_DATA!$A:$A,$B37,INPUT_DATA!$B:$B,"S"))</f>
        <v>0</v>
      </c>
      <c r="AO37" s="144">
        <f>IF($B37=0,"",SUMIFS(INPUT_DATA!AO:AO,INPUT_DATA!$A:$A,$B37,INPUT_DATA!$B:$B,"S"))</f>
        <v>0</v>
      </c>
      <c r="AP37" s="144">
        <f>IF($B37=0,"",SUMIFS(INPUT_DATA!AP:AP,INPUT_DATA!$A:$A,$B37,INPUT_DATA!$B:$B,"S"))</f>
        <v>0</v>
      </c>
      <c r="AQ37" s="145">
        <f t="shared" si="9"/>
        <v>0</v>
      </c>
      <c r="AR37" s="146">
        <f t="shared" si="10"/>
        <v>0</v>
      </c>
      <c r="AS37" s="147">
        <f t="shared" si="11"/>
        <v>0</v>
      </c>
      <c r="AT37" s="145">
        <f>IF($B37=0,"",SUMIFS(INPUT_DATA!AQ:AQ,INPUT_DATA!$A:$A,$B37,INPUT_DATA!$B:$B,"S"))</f>
        <v>0</v>
      </c>
      <c r="AU37" s="146">
        <f>IF($B37=0,"",SUMIFS(INPUT_DATA!AR:AR,INPUT_DATA!$A:$A,$B37,INPUT_DATA!$B:$B,"S"))</f>
        <v>0</v>
      </c>
      <c r="AV37" s="147">
        <f>IF($B37=0,"",SUMIFS(INPUT_DATA!AS:AS,INPUT_DATA!$A:$A,$B37,INPUT_DATA!$B:$B,"S"))</f>
        <v>0</v>
      </c>
      <c r="AW37" s="145">
        <f t="shared" si="12"/>
        <v>0</v>
      </c>
      <c r="AX37" s="146">
        <f t="shared" si="13"/>
        <v>0</v>
      </c>
      <c r="AY37" s="147">
        <f t="shared" si="14"/>
        <v>0</v>
      </c>
      <c r="AZ37" s="148"/>
      <c r="BA37" s="138">
        <f>IF($B37=0,"",SUMIFS(INPUT_DATA!C:C,INPUT_DATA!$A:$A,$B37,INPUT_DATA!$B:$B,"D"))</f>
        <v>0</v>
      </c>
      <c r="BB37" s="149">
        <f>IF($B37=0,"",SUMIFS(INPUT_DATA!E:E,INPUT_DATA!$A:$A,$B37,INPUT_DATA!$B:$B,"D"))</f>
        <v>911.81</v>
      </c>
      <c r="BC37" s="149">
        <f>IF($B37=0,"",SUMIFS(INPUT_DATA!F:F,INPUT_DATA!$A:$A,$B37,INPUT_DATA!$B:$B,"D"))</f>
        <v>0</v>
      </c>
      <c r="BD37" s="149">
        <f>IF($B37=0,"",SUMIFS(INPUT_DATA!G:G,INPUT_DATA!$A:$A,$B37,INPUT_DATA!$B:$B,"D"))</f>
        <v>0</v>
      </c>
      <c r="BE37" s="149">
        <f>IF($B37=0,"",SUMIFS(INPUT_DATA!H:H,INPUT_DATA!$A:$A,$B37,INPUT_DATA!$B:$B,"D"))</f>
        <v>0</v>
      </c>
      <c r="BF37" s="149">
        <f>IF($B37=0,"",SUMIFS(INPUT_DATA!I:I,INPUT_DATA!$A:$A,$B37,INPUT_DATA!$B:$B,"D"))</f>
        <v>0</v>
      </c>
      <c r="BG37" s="149">
        <f>IF($B37=0,"",SUMIFS(INPUT_DATA!J:J,INPUT_DATA!$A:$A,$B37,INPUT_DATA!$B:$B,"D"))</f>
        <v>0</v>
      </c>
      <c r="BH37" s="149">
        <f>IF($B37=0,"",SUMIFS(INPUT_DATA!K:K,INPUT_DATA!$A:$A,$B37,INPUT_DATA!$B:$B,"D"))</f>
        <v>65384.86</v>
      </c>
      <c r="BI37" s="149">
        <f>IF($B37=0,"",SUMIFS(INPUT_DATA!L:L,INPUT_DATA!$A:$A,$B37,INPUT_DATA!$B:$B,"D"))</f>
        <v>0</v>
      </c>
      <c r="BJ37" s="149">
        <f>IF($B37=0,"",SUMIFS(INPUT_DATA!M:M,INPUT_DATA!$A:$A,$B37,INPUT_DATA!$B:$B,"D"))</f>
        <v>0</v>
      </c>
      <c r="BK37" s="149">
        <f>IF($B37=0,"",SUMIFS(INPUT_DATA!N:N,INPUT_DATA!$A:$A,$B37,INPUT_DATA!$B:$B,"D"))</f>
        <v>0</v>
      </c>
      <c r="BL37" s="150">
        <f t="shared" si="5"/>
        <v>64473.05</v>
      </c>
      <c r="BM37" s="150">
        <f>IF($B37=0,"",SUMIFS(INPUT_DATA!O:O,INPUT_DATA!$A:$A,$B37,INPUT_DATA!$B:$B,"D"))</f>
        <v>64473.05</v>
      </c>
      <c r="BN37" s="150">
        <f t="shared" si="15"/>
        <v>0</v>
      </c>
      <c r="BO37" s="153">
        <f>IF($B37=0,"",SUMIFS(INPUT_DATA!P:P,INPUT_DATA!$A:$A,$B37,INPUT_DATA!$B:$B,"D"))</f>
        <v>0</v>
      </c>
      <c r="BP37" s="139">
        <f>IF($B37=0,"",SUMIFS(INPUT_DATA!Q:Q,INPUT_DATA!$A:$A,$B37,INPUT_DATA!$B:$B,"D"))</f>
        <v>0</v>
      </c>
      <c r="BQ37" s="139">
        <f>IF($B37=0,"",SUMIFS(INPUT_DATA!R:R,INPUT_DATA!$A:$A,$B37,INPUT_DATA!$B:$B,"D"))</f>
        <v>0</v>
      </c>
      <c r="BR37" s="149">
        <f>IF($B37=0,"",SUMIFS(INPUT_DATA!S:S,INPUT_DATA!$A:$A,$B37,INPUT_DATA!$B:$B,"D"))</f>
        <v>0</v>
      </c>
      <c r="BS37" s="149">
        <f>IF($B37=0,"",SUMIFS(INPUT_DATA!T:T,INPUT_DATA!$A:$A,$B37,INPUT_DATA!$B:$B,"D"))</f>
        <v>0</v>
      </c>
      <c r="BT37" s="149">
        <f>IF($B37=0,"",SUMIFS(INPUT_DATA!U:U,INPUT_DATA!$A:$A,$B37,INPUT_DATA!$B:$B,"D"))</f>
        <v>0</v>
      </c>
      <c r="BU37" s="149">
        <f>IF($B37=0,"",SUMIFS(INPUT_DATA!V:V,INPUT_DATA!$A:$A,$B37,INPUT_DATA!$B:$B,"D"))</f>
        <v>0</v>
      </c>
      <c r="BV37" s="149">
        <f>IF($B37=0,"",SUMIFS(INPUT_DATA!W:W,INPUT_DATA!$A:$A,$B37,INPUT_DATA!$B:$B,"D"))</f>
        <v>0</v>
      </c>
      <c r="BW37" s="149">
        <f>IF($B37=0,"",SUMIFS(INPUT_DATA!X:X,INPUT_DATA!$A:$A,$B37,INPUT_DATA!$B:$B,"D"))</f>
        <v>0</v>
      </c>
      <c r="BX37" s="149">
        <f>IF($B37=0,"",SUMIFS(INPUT_DATA!Y:Y,INPUT_DATA!$A:$A,$B37,INPUT_DATA!$B:$B,"D"))</f>
        <v>0</v>
      </c>
      <c r="BY37" s="149">
        <f>IF($B37=0,"",SUMIFS(INPUT_DATA!Z:Z,INPUT_DATA!$A:$A,$B37,INPUT_DATA!$B:$B,"D"))</f>
        <v>0</v>
      </c>
      <c r="BZ37" s="149">
        <f>IF($B37=0,"",SUMIFS(INPUT_DATA!AA:AA,INPUT_DATA!$A:$A,$B37,INPUT_DATA!$B:$B,"D"))</f>
        <v>0</v>
      </c>
      <c r="CA37" s="149">
        <f>IF($B37=0,"",SUMIFS(INPUT_DATA!AB:AB,INPUT_DATA!$A:$A,$B37,INPUT_DATA!$B:$B,"D"))</f>
        <v>0</v>
      </c>
      <c r="CB37" s="149">
        <f>IF($B37=0,"",SUMIFS(INPUT_DATA!AC:AC,INPUT_DATA!$A:$A,$B37,INPUT_DATA!$B:$B,"D"))</f>
        <v>0</v>
      </c>
      <c r="CC37" s="149">
        <f>IF($B37=0,"",SUMIFS(INPUT_DATA!AD:AD,INPUT_DATA!$A:$A,$B37,INPUT_DATA!$B:$B,"D"))</f>
        <v>0</v>
      </c>
      <c r="CD37" s="149">
        <f>IF($B37=0,"",SUMIFS(INPUT_DATA!AE:AE,INPUT_DATA!$A:$A,$B37,INPUT_DATA!$B:$B,"D"))</f>
        <v>0</v>
      </c>
      <c r="CE37" s="149">
        <f>IF($B37=0,"",SUMIFS(INPUT_DATA!AF:AF,INPUT_DATA!$A:$A,$B37,INPUT_DATA!$B:$B,"D"))</f>
        <v>0</v>
      </c>
      <c r="CF37" s="149">
        <f>IF($B37=0,"",SUMIFS(INPUT_DATA!AG:AG,INPUT_DATA!$A:$A,$B37,INPUT_DATA!$B:$B,"D"))</f>
        <v>0</v>
      </c>
      <c r="CG37" s="149">
        <f>IF($B37=0,"",SUMIFS(INPUT_DATA!AH:AH,INPUT_DATA!$A:$A,$B37,INPUT_DATA!$B:$B,"D"))</f>
        <v>0</v>
      </c>
      <c r="CH37" s="149">
        <f>IF($B37=0,"",SUMIFS(INPUT_DATA!AI:AI,INPUT_DATA!$A:$A,$B37,INPUT_DATA!$B:$B,"D"))</f>
        <v>0</v>
      </c>
      <c r="CI37" s="149">
        <f>IF($B37=0,"",SUMIFS(INPUT_DATA!AJ:AJ,INPUT_DATA!$A:$A,$B37,INPUT_DATA!$B:$B,"D"))</f>
        <v>0</v>
      </c>
      <c r="CJ37" s="140">
        <f>IF($B37=0,"",SUMIFS(INPUT_DATA!AK:AK,INPUT_DATA!$A:$A,$B37,INPUT_DATA!$B:$B,"D"))</f>
        <v>0</v>
      </c>
      <c r="CK37" s="140">
        <f>IF($B37=0,"",SUMIFS(INPUT_DATA!AL:AL,INPUT_DATA!$A:$A,$B37,INPUT_DATA!$B:$B,"D"))</f>
        <v>0</v>
      </c>
      <c r="CL37" s="140">
        <f>IF($B37=0,"",SUMIFS(INPUT_DATA!AM:AM,INPUT_DATA!$A:$A,$B37,INPUT_DATA!$B:$B,"D"))</f>
        <v>0</v>
      </c>
      <c r="CM37" s="140">
        <f>IF($B37=0,"",SUMIFS(INPUT_DATA!AN:AN,INPUT_DATA!$A:$A,$B37,INPUT_DATA!$B:$B,"D"))</f>
        <v>0</v>
      </c>
      <c r="CN37" s="140">
        <f>IF($B37=0,"",SUMIFS(INPUT_DATA!AO:AO,INPUT_DATA!$A:$A,$B37,INPUT_DATA!$B:$B,"D"))</f>
        <v>0</v>
      </c>
      <c r="CO37" s="140">
        <f>IF($B37=0,"",SUMIFS(INPUT_DATA!AP:AP,INPUT_DATA!$A:$A,$B37,INPUT_DATA!$B:$B,"D"))</f>
        <v>0</v>
      </c>
      <c r="CP37" s="154">
        <f t="shared" si="6"/>
        <v>0</v>
      </c>
      <c r="CQ37" s="154">
        <f t="shared" si="2"/>
        <v>0</v>
      </c>
      <c r="CR37" s="154">
        <f t="shared" si="3"/>
        <v>0</v>
      </c>
      <c r="CS37" s="139">
        <f>IF($B37=0,"",SUMIFS(INPUT_DATA!AQ:AQ,INPUT_DATA!$A:$A,$B37,INPUT_DATA!$B:$B,"D"))</f>
        <v>0</v>
      </c>
      <c r="CT37" s="154">
        <f>IF($B37=0,"",SUMIFS(INPUT_DATA!AR:AR,INPUT_DATA!$A:$A,$B37,INPUT_DATA!$B:$B,"D"))</f>
        <v>0</v>
      </c>
      <c r="CU37" s="154">
        <f>IF($B37=0,"",SUMIFS(INPUT_DATA!AS:AS,INPUT_DATA!$A:$A,$B37,INPUT_DATA!$B:$B,"D"))</f>
        <v>0</v>
      </c>
      <c r="CV37" s="139">
        <f t="shared" si="17"/>
        <v>0</v>
      </c>
      <c r="CW37" s="154">
        <f t="shared" si="18"/>
        <v>0</v>
      </c>
      <c r="CX37" s="155">
        <f t="shared" si="19"/>
        <v>0</v>
      </c>
      <c r="CY37" s="148"/>
    </row>
    <row r="38" spans="2:103" ht="13">
      <c r="B38" s="137">
        <f>INPUT_DATA!CQ25</f>
        <v>45565</v>
      </c>
      <c r="C38" s="139">
        <f>IF($B38=0,"",SUMIFS(INPUT_DATA!C:C,INPUT_DATA!$A:$A,$B38,INPUT_DATA!$B:$B,"S"))</f>
        <v>0</v>
      </c>
      <c r="D38" s="139">
        <f>IF($B38=0,"",SUMIFS(INPUT_DATA!D:D,INPUT_DATA!$A:$A,$B38,INPUT_DATA!$B:$B,"S"))</f>
        <v>8182368484.4700003</v>
      </c>
      <c r="E38" s="140">
        <f>IF($B38=0,"",SUMIFS(INPUT_DATA!E:E,INPUT_DATA!$A:$A,$B38,INPUT_DATA!$B:$B,"S"))</f>
        <v>0</v>
      </c>
      <c r="F38" s="140">
        <f>IF($B38=0,"",SUMIFS(INPUT_DATA!F:F,INPUT_DATA!$A:$A,$B38,INPUT_DATA!$B:$B,"S"))</f>
        <v>0</v>
      </c>
      <c r="G38" s="140">
        <f>IF($B38=0,"",SUMIFS(INPUT_DATA!G:G,INPUT_DATA!$A:$A,$B38,INPUT_DATA!$B:$B,"S"))</f>
        <v>0</v>
      </c>
      <c r="H38" s="140">
        <f>IF($B38=0,"",SUMIFS(INPUT_DATA!H:H,INPUT_DATA!$A:$A,$B38,INPUT_DATA!$B:$B,"S"))</f>
        <v>0</v>
      </c>
      <c r="I38" s="140">
        <f>IF($B38=0,"",SUMIFS(INPUT_DATA!I:I,INPUT_DATA!$A:$A,$B38,INPUT_DATA!$B:$B,"S"))</f>
        <v>0</v>
      </c>
      <c r="J38" s="140">
        <f>IF($B38=0,"",SUMIFS(INPUT_DATA!J:J,INPUT_DATA!$A:$A,$B38,INPUT_DATA!$B:$B,"S"))</f>
        <v>0</v>
      </c>
      <c r="K38" s="140">
        <f>IF($B38=0,"",SUMIFS(INPUT_DATA!K:K,INPUT_DATA!$A:$A,$B38,INPUT_DATA!$B:$B,"S"))</f>
        <v>0</v>
      </c>
      <c r="L38" s="140">
        <f>IF($B38=0,"",SUMIFS(INPUT_DATA!L:L,INPUT_DATA!$A:$A,$B38,INPUT_DATA!$B:$B,"S"))</f>
        <v>0</v>
      </c>
      <c r="M38" s="140">
        <f>IF($B38=0,"",SUMIFS(INPUT_DATA!M:M,INPUT_DATA!$A:$A,$B38,INPUT_DATA!$B:$B,"S"))</f>
        <v>0</v>
      </c>
      <c r="N38" s="140">
        <f>IF($B38=0,"",SUMIFS(INPUT_DATA!N:N,INPUT_DATA!$A:$A,$B38,INPUT_DATA!$B:$B,"S"))</f>
        <v>0</v>
      </c>
      <c r="O38" s="141">
        <f t="shared" si="7"/>
        <v>8182368484.4700003</v>
      </c>
      <c r="P38" s="142">
        <f>IF($B38=0,"",SUMIFS(INPUT_DATA!O:O,INPUT_DATA!$A:$A,$B38,INPUT_DATA!$B:$B,"S"))</f>
        <v>8182368484.4700003</v>
      </c>
      <c r="Q38" s="142">
        <f t="shared" si="8"/>
        <v>0</v>
      </c>
      <c r="R38" s="142">
        <f>IF($B38=0,"",SUMIFS(INPUT_DATA!BL:BL,INPUT_DATA!$A:$A,$B38,INPUT_DATA!$B:$B,"S"))</f>
        <v>8022567.3799999999</v>
      </c>
      <c r="S38" s="143">
        <f>IF($B38=0,"",SUMIFS(INPUT_DATA!P:P,INPUT_DATA!$A:$A,$B38,INPUT_DATA!$B:$B,"S"))</f>
        <v>0</v>
      </c>
      <c r="T38" s="143">
        <f>IF($B38=0,"",SUMIFS(INPUT_DATA!Q:Q,INPUT_DATA!$A:$A,$B38,INPUT_DATA!$B:$B,"S"))</f>
        <v>0</v>
      </c>
      <c r="U38" s="143">
        <f>IF($B38=0,"",SUMIFS(INPUT_DATA!R:R,INPUT_DATA!$A:$A,$B38,INPUT_DATA!$B:$B,"S"))</f>
        <v>0</v>
      </c>
      <c r="V38" s="144">
        <f>IF($B38=0,"",SUMIFS(INPUT_DATA!S:S,INPUT_DATA!$A:$A,$B38,INPUT_DATA!$B:$B,"S"))</f>
        <v>0</v>
      </c>
      <c r="W38" s="144">
        <f>IF($B38=0,"",SUMIFS(INPUT_DATA!T:T,INPUT_DATA!$A:$A,$B38,INPUT_DATA!$B:$B,"S"))</f>
        <v>0</v>
      </c>
      <c r="X38" s="144">
        <f>IF($B38=0,"",SUMIFS(INPUT_DATA!U:U,INPUT_DATA!$A:$A,$B38,INPUT_DATA!$B:$B,"S"))</f>
        <v>0</v>
      </c>
      <c r="Y38" s="144">
        <f>IF($B38=0,"",SUMIFS(INPUT_DATA!V:V,INPUT_DATA!$A:$A,$B38,INPUT_DATA!$B:$B,"S"))</f>
        <v>0</v>
      </c>
      <c r="Z38" s="144">
        <f>IF($B38=0,"",SUMIFS(INPUT_DATA!W:W,INPUT_DATA!$A:$A,$B38,INPUT_DATA!$B:$B,"S"))</f>
        <v>0</v>
      </c>
      <c r="AA38" s="144">
        <f>IF($B38=0,"",SUMIFS(INPUT_DATA!X:X,INPUT_DATA!$A:$A,$B38,INPUT_DATA!$B:$B,"S"))</f>
        <v>0</v>
      </c>
      <c r="AB38" s="144">
        <f>IF($B38=0,"",SUMIFS(INPUT_DATA!Y:Y,INPUT_DATA!$A:$A,$B38,INPUT_DATA!$B:$B,"S"))</f>
        <v>0</v>
      </c>
      <c r="AC38" s="144">
        <f>IF($B38=0,"",SUMIFS(INPUT_DATA!Z:Z,INPUT_DATA!$A:$A,$B38,INPUT_DATA!$B:$B,"S"))</f>
        <v>0</v>
      </c>
      <c r="AD38" s="144">
        <f>IF($B38=0,"",SUMIFS(INPUT_DATA!AA:AA,INPUT_DATA!$A:$A,$B38,INPUT_DATA!$B:$B,"S"))</f>
        <v>0</v>
      </c>
      <c r="AE38" s="144">
        <f>IF($B38=0,"",SUMIFS(INPUT_DATA!AB:AB,INPUT_DATA!$A:$A,$B38,INPUT_DATA!$B:$B,"S"))</f>
        <v>0</v>
      </c>
      <c r="AF38" s="144">
        <f>IF($B38=0,"",SUMIFS(INPUT_DATA!AC:AC,INPUT_DATA!$A:$A,$B38,INPUT_DATA!$B:$B,"S"))</f>
        <v>0</v>
      </c>
      <c r="AG38" s="144">
        <f>IF($B38=0,"",SUMIFS(INPUT_DATA!AD:AD,INPUT_DATA!$A:$A,$B38,INPUT_DATA!$B:$B,"S"))</f>
        <v>0</v>
      </c>
      <c r="AH38" s="144">
        <f>IF($B38=0,"",SUMIFS(INPUT_DATA!AE:AE,INPUT_DATA!$A:$A,$B38,INPUT_DATA!$B:$B,"S"))</f>
        <v>0</v>
      </c>
      <c r="AI38" s="144">
        <f>IF($B38=0,"",SUMIFS(INPUT_DATA!AF:AF,INPUT_DATA!$A:$A,$B38,INPUT_DATA!$B:$B,"S"))</f>
        <v>0</v>
      </c>
      <c r="AJ38" s="144">
        <f>IF($B38=0,"",SUMIFS(INPUT_DATA!AG:AG,INPUT_DATA!$A:$A,$B38,INPUT_DATA!$B:$B,"S"))</f>
        <v>0</v>
      </c>
      <c r="AK38" s="144">
        <f>IF($B38=0,"",SUMIFS(INPUT_DATA!AK:AK,INPUT_DATA!$A:$A,$B38,INPUT_DATA!$B:$B,"S"))</f>
        <v>0</v>
      </c>
      <c r="AL38" s="144">
        <f>IF($B38=0,"",SUMIFS(INPUT_DATA!AL:AL,INPUT_DATA!$A:$A,$B38,INPUT_DATA!$B:$B,"S"))</f>
        <v>0</v>
      </c>
      <c r="AM38" s="144">
        <f>IF($B38=0,"",SUMIFS(INPUT_DATA!AM:AM,INPUT_DATA!$A:$A,$B38,INPUT_DATA!$B:$B,"S"))</f>
        <v>0</v>
      </c>
      <c r="AN38" s="144">
        <f>IF($B38=0,"",SUMIFS(INPUT_DATA!AN:AN,INPUT_DATA!$A:$A,$B38,INPUT_DATA!$B:$B,"S"))</f>
        <v>0</v>
      </c>
      <c r="AO38" s="144">
        <f>IF($B38=0,"",SUMIFS(INPUT_DATA!AO:AO,INPUT_DATA!$A:$A,$B38,INPUT_DATA!$B:$B,"S"))</f>
        <v>0</v>
      </c>
      <c r="AP38" s="144">
        <f>IF($B38=0,"",SUMIFS(INPUT_DATA!AP:AP,INPUT_DATA!$A:$A,$B38,INPUT_DATA!$B:$B,"S"))</f>
        <v>0</v>
      </c>
      <c r="AQ38" s="145">
        <f t="shared" si="9"/>
        <v>0</v>
      </c>
      <c r="AR38" s="146">
        <f t="shared" si="10"/>
        <v>0</v>
      </c>
      <c r="AS38" s="147">
        <f t="shared" si="11"/>
        <v>0</v>
      </c>
      <c r="AT38" s="145">
        <f>IF($B38=0,"",SUMIFS(INPUT_DATA!AQ:AQ,INPUT_DATA!$A:$A,$B38,INPUT_DATA!$B:$B,"S"))</f>
        <v>0</v>
      </c>
      <c r="AU38" s="146">
        <f>IF($B38=0,"",SUMIFS(INPUT_DATA!AR:AR,INPUT_DATA!$A:$A,$B38,INPUT_DATA!$B:$B,"S"))</f>
        <v>0</v>
      </c>
      <c r="AV38" s="147">
        <f>IF($B38=0,"",SUMIFS(INPUT_DATA!AS:AS,INPUT_DATA!$A:$A,$B38,INPUT_DATA!$B:$B,"S"))</f>
        <v>0</v>
      </c>
      <c r="AW38" s="145">
        <f t="shared" si="12"/>
        <v>0</v>
      </c>
      <c r="AX38" s="146">
        <f t="shared" si="13"/>
        <v>0</v>
      </c>
      <c r="AY38" s="147">
        <f t="shared" si="14"/>
        <v>0</v>
      </c>
      <c r="AZ38" s="148"/>
      <c r="BA38" s="138">
        <f>IF($B38=0,"",SUMIFS(INPUT_DATA!C:C,INPUT_DATA!$A:$A,$B38,INPUT_DATA!$B:$B,"D"))</f>
        <v>0</v>
      </c>
      <c r="BB38" s="149">
        <f>IF($B38=0,"",SUMIFS(INPUT_DATA!E:E,INPUT_DATA!$A:$A,$B38,INPUT_DATA!$B:$B,"D"))</f>
        <v>0</v>
      </c>
      <c r="BC38" s="149">
        <f>IF($B38=0,"",SUMIFS(INPUT_DATA!F:F,INPUT_DATA!$A:$A,$B38,INPUT_DATA!$B:$B,"D"))</f>
        <v>0</v>
      </c>
      <c r="BD38" s="149">
        <f>IF($B38=0,"",SUMIFS(INPUT_DATA!G:G,INPUT_DATA!$A:$A,$B38,INPUT_DATA!$B:$B,"D"))</f>
        <v>0</v>
      </c>
      <c r="BE38" s="149">
        <f>IF($B38=0,"",SUMIFS(INPUT_DATA!H:H,INPUT_DATA!$A:$A,$B38,INPUT_DATA!$B:$B,"D"))</f>
        <v>0</v>
      </c>
      <c r="BF38" s="149">
        <f>IF($B38=0,"",SUMIFS(INPUT_DATA!I:I,INPUT_DATA!$A:$A,$B38,INPUT_DATA!$B:$B,"D"))</f>
        <v>0</v>
      </c>
      <c r="BG38" s="149">
        <f>IF($B38=0,"",SUMIFS(INPUT_DATA!J:J,INPUT_DATA!$A:$A,$B38,INPUT_DATA!$B:$B,"D"))</f>
        <v>0</v>
      </c>
      <c r="BH38" s="149">
        <f>IF($B38=0,"",SUMIFS(INPUT_DATA!K:K,INPUT_DATA!$A:$A,$B38,INPUT_DATA!$B:$B,"D"))</f>
        <v>0</v>
      </c>
      <c r="BI38" s="149">
        <f>IF($B38=0,"",SUMIFS(INPUT_DATA!L:L,INPUT_DATA!$A:$A,$B38,INPUT_DATA!$B:$B,"D"))</f>
        <v>0</v>
      </c>
      <c r="BJ38" s="149">
        <f>IF($B38=0,"",SUMIFS(INPUT_DATA!M:M,INPUT_DATA!$A:$A,$B38,INPUT_DATA!$B:$B,"D"))</f>
        <v>0</v>
      </c>
      <c r="BK38" s="149">
        <f>IF($B38=0,"",SUMIFS(INPUT_DATA!N:N,INPUT_DATA!$A:$A,$B38,INPUT_DATA!$B:$B,"D"))</f>
        <v>0</v>
      </c>
      <c r="BL38" s="150">
        <f t="shared" si="5"/>
        <v>0</v>
      </c>
      <c r="BM38" s="150">
        <f>IF($B38=0,"",SUMIFS(INPUT_DATA!O:O,INPUT_DATA!$A:$A,$B38,INPUT_DATA!$B:$B,"D"))</f>
        <v>0</v>
      </c>
      <c r="BN38" s="150">
        <f t="shared" si="15"/>
        <v>0</v>
      </c>
      <c r="BO38" s="153">
        <f>IF($B38=0,"",SUMIFS(INPUT_DATA!P:P,INPUT_DATA!$A:$A,$B38,INPUT_DATA!$B:$B,"D"))</f>
        <v>0</v>
      </c>
      <c r="BP38" s="139">
        <f>IF($B38=0,"",SUMIFS(INPUT_DATA!Q:Q,INPUT_DATA!$A:$A,$B38,INPUT_DATA!$B:$B,"D"))</f>
        <v>0</v>
      </c>
      <c r="BQ38" s="139">
        <f>IF($B38=0,"",SUMIFS(INPUT_DATA!R:R,INPUT_DATA!$A:$A,$B38,INPUT_DATA!$B:$B,"D"))</f>
        <v>0</v>
      </c>
      <c r="BR38" s="149">
        <f>IF($B38=0,"",SUMIFS(INPUT_DATA!S:S,INPUT_DATA!$A:$A,$B38,INPUT_DATA!$B:$B,"D"))</f>
        <v>0</v>
      </c>
      <c r="BS38" s="149">
        <f>IF($B38=0,"",SUMIFS(INPUT_DATA!T:T,INPUT_DATA!$A:$A,$B38,INPUT_DATA!$B:$B,"D"))</f>
        <v>0</v>
      </c>
      <c r="BT38" s="149">
        <f>IF($B38=0,"",SUMIFS(INPUT_DATA!U:U,INPUT_DATA!$A:$A,$B38,INPUT_DATA!$B:$B,"D"))</f>
        <v>0</v>
      </c>
      <c r="BU38" s="149">
        <f>IF($B38=0,"",SUMIFS(INPUT_DATA!V:V,INPUT_DATA!$A:$A,$B38,INPUT_DATA!$B:$B,"D"))</f>
        <v>0</v>
      </c>
      <c r="BV38" s="149">
        <f>IF($B38=0,"",SUMIFS(INPUT_DATA!W:W,INPUT_DATA!$A:$A,$B38,INPUT_DATA!$B:$B,"D"))</f>
        <v>0</v>
      </c>
      <c r="BW38" s="149">
        <f>IF($B38=0,"",SUMIFS(INPUT_DATA!X:X,INPUT_DATA!$A:$A,$B38,INPUT_DATA!$B:$B,"D"))</f>
        <v>0</v>
      </c>
      <c r="BX38" s="149">
        <f>IF($B38=0,"",SUMIFS(INPUT_DATA!Y:Y,INPUT_DATA!$A:$A,$B38,INPUT_DATA!$B:$B,"D"))</f>
        <v>0</v>
      </c>
      <c r="BY38" s="149">
        <f>IF($B38=0,"",SUMIFS(INPUT_DATA!Z:Z,INPUT_DATA!$A:$A,$B38,INPUT_DATA!$B:$B,"D"))</f>
        <v>0</v>
      </c>
      <c r="BZ38" s="149">
        <f>IF($B38=0,"",SUMIFS(INPUT_DATA!AA:AA,INPUT_DATA!$A:$A,$B38,INPUT_DATA!$B:$B,"D"))</f>
        <v>0</v>
      </c>
      <c r="CA38" s="149">
        <f>IF($B38=0,"",SUMIFS(INPUT_DATA!AB:AB,INPUT_DATA!$A:$A,$B38,INPUT_DATA!$B:$B,"D"))</f>
        <v>0</v>
      </c>
      <c r="CB38" s="149">
        <f>IF($B38=0,"",SUMIFS(INPUT_DATA!AC:AC,INPUT_DATA!$A:$A,$B38,INPUT_DATA!$B:$B,"D"))</f>
        <v>0</v>
      </c>
      <c r="CC38" s="149">
        <f>IF($B38=0,"",SUMIFS(INPUT_DATA!AD:AD,INPUT_DATA!$A:$A,$B38,INPUT_DATA!$B:$B,"D"))</f>
        <v>0</v>
      </c>
      <c r="CD38" s="149">
        <f>IF($B38=0,"",SUMIFS(INPUT_DATA!AE:AE,INPUT_DATA!$A:$A,$B38,INPUT_DATA!$B:$B,"D"))</f>
        <v>0</v>
      </c>
      <c r="CE38" s="149">
        <f>IF($B38=0,"",SUMIFS(INPUT_DATA!AF:AF,INPUT_DATA!$A:$A,$B38,INPUT_DATA!$B:$B,"D"))</f>
        <v>0</v>
      </c>
      <c r="CF38" s="149">
        <f>IF($B38=0,"",SUMIFS(INPUT_DATA!AG:AG,INPUT_DATA!$A:$A,$B38,INPUT_DATA!$B:$B,"D"))</f>
        <v>0</v>
      </c>
      <c r="CG38" s="149">
        <f>IF($B38=0,"",SUMIFS(INPUT_DATA!AH:AH,INPUT_DATA!$A:$A,$B38,INPUT_DATA!$B:$B,"D"))</f>
        <v>0</v>
      </c>
      <c r="CH38" s="149">
        <f>IF($B38=0,"",SUMIFS(INPUT_DATA!AI:AI,INPUT_DATA!$A:$A,$B38,INPUT_DATA!$B:$B,"D"))</f>
        <v>0</v>
      </c>
      <c r="CI38" s="149">
        <f>IF($B38=0,"",SUMIFS(INPUT_DATA!AJ:AJ,INPUT_DATA!$A:$A,$B38,INPUT_DATA!$B:$B,"D"))</f>
        <v>0</v>
      </c>
      <c r="CJ38" s="140">
        <f>IF($B38=0,"",SUMIFS(INPUT_DATA!AK:AK,INPUT_DATA!$A:$A,$B38,INPUT_DATA!$B:$B,"D"))</f>
        <v>0</v>
      </c>
      <c r="CK38" s="140">
        <f>IF($B38=0,"",SUMIFS(INPUT_DATA!AL:AL,INPUT_DATA!$A:$A,$B38,INPUT_DATA!$B:$B,"D"))</f>
        <v>0</v>
      </c>
      <c r="CL38" s="140">
        <f>IF($B38=0,"",SUMIFS(INPUT_DATA!AM:AM,INPUT_DATA!$A:$A,$B38,INPUT_DATA!$B:$B,"D"))</f>
        <v>0</v>
      </c>
      <c r="CM38" s="140">
        <f>IF($B38=0,"",SUMIFS(INPUT_DATA!AN:AN,INPUT_DATA!$A:$A,$B38,INPUT_DATA!$B:$B,"D"))</f>
        <v>0</v>
      </c>
      <c r="CN38" s="140">
        <f>IF($B38=0,"",SUMIFS(INPUT_DATA!AO:AO,INPUT_DATA!$A:$A,$B38,INPUT_DATA!$B:$B,"D"))</f>
        <v>0</v>
      </c>
      <c r="CO38" s="140">
        <f>IF($B38=0,"",SUMIFS(INPUT_DATA!AP:AP,INPUT_DATA!$A:$A,$B38,INPUT_DATA!$B:$B,"D"))</f>
        <v>0</v>
      </c>
      <c r="CP38" s="154">
        <f t="shared" si="6"/>
        <v>0</v>
      </c>
      <c r="CQ38" s="154">
        <f t="shared" si="2"/>
        <v>0</v>
      </c>
      <c r="CR38" s="154">
        <f t="shared" si="3"/>
        <v>0</v>
      </c>
      <c r="CS38" s="139">
        <f>IF($B38=0,"",SUMIFS(INPUT_DATA!AQ:AQ,INPUT_DATA!$A:$A,$B38,INPUT_DATA!$B:$B,"D"))</f>
        <v>0</v>
      </c>
      <c r="CT38" s="154">
        <f>IF($B38=0,"",SUMIFS(INPUT_DATA!AR:AR,INPUT_DATA!$A:$A,$B38,INPUT_DATA!$B:$B,"D"))</f>
        <v>0</v>
      </c>
      <c r="CU38" s="154">
        <f>IF($B38=0,"",SUMIFS(INPUT_DATA!AS:AS,INPUT_DATA!$A:$A,$B38,INPUT_DATA!$B:$B,"D"))</f>
        <v>0</v>
      </c>
      <c r="CV38" s="139">
        <f t="shared" si="17"/>
        <v>0</v>
      </c>
      <c r="CW38" s="154">
        <f t="shared" si="18"/>
        <v>0</v>
      </c>
      <c r="CX38" s="155">
        <f t="shared" si="19"/>
        <v>0</v>
      </c>
      <c r="CY38" s="148"/>
    </row>
    <row r="39" spans="2:103" ht="13">
      <c r="B39" s="137">
        <f>INPUT_DATA!CQ26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ht="13">
      <c r="B40" s="137">
        <f>INPUT_DATA!CQ27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ht="13">
      <c r="B41" s="137">
        <f>INPUT_DATA!CQ28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ht="13">
      <c r="B42" s="137">
        <f>INPUT_DATA!CQ29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ht="13">
      <c r="B43" s="137">
        <f>INPUT_DATA!CQ30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ht="13">
      <c r="B44" s="137">
        <f>INPUT_DATA!CQ31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ht="13">
      <c r="B45" s="137">
        <f>INPUT_DATA!CQ32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ht="13">
      <c r="B46" s="137">
        <f>INPUT_DATA!CQ33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ht="13">
      <c r="B47" s="137">
        <f>INPUT_DATA!CQ34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ht="13">
      <c r="B48" s="137">
        <f>INPUT_DATA!CQ35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ht="13">
      <c r="B49" s="137">
        <f>INPUT_DATA!CQ36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ht="13">
      <c r="A50" s="156">
        <f t="shared" ref="A50:A87" si="20">A49-1</f>
        <v>-1</v>
      </c>
      <c r="B50" s="137">
        <f>INPUT_DATA!CQ37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ht="13">
      <c r="A51" s="156">
        <f t="shared" si="20"/>
        <v>-2</v>
      </c>
      <c r="B51" s="137">
        <f>INPUT_DATA!CQ38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ht="13">
      <c r="A52" s="156">
        <f t="shared" si="20"/>
        <v>-3</v>
      </c>
      <c r="B52" s="137">
        <f>INPUT_DATA!CQ39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ht="13">
      <c r="A53" s="156">
        <f t="shared" si="20"/>
        <v>-4</v>
      </c>
      <c r="B53" s="137">
        <f>INPUT_DATA!CQ40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ht="13">
      <c r="A54" s="156">
        <f t="shared" si="20"/>
        <v>-5</v>
      </c>
      <c r="B54" s="137">
        <f>INPUT_DATA!CQ41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ht="13">
      <c r="A55" s="156">
        <f t="shared" si="20"/>
        <v>-6</v>
      </c>
      <c r="B55" s="137">
        <f>INPUT_DATA!CQ42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ht="13">
      <c r="A56" s="156">
        <f t="shared" si="20"/>
        <v>-7</v>
      </c>
      <c r="B56" s="137">
        <f>INPUT_DATA!CQ43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ht="13">
      <c r="A57" s="156">
        <f t="shared" si="20"/>
        <v>-8</v>
      </c>
      <c r="B57" s="137">
        <f>INPUT_DATA!CQ44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ht="13">
      <c r="A58" s="156">
        <f t="shared" si="20"/>
        <v>-9</v>
      </c>
      <c r="B58" s="137">
        <f>INPUT_DATA!CQ45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ht="13">
      <c r="A59" s="156">
        <f t="shared" si="20"/>
        <v>-10</v>
      </c>
      <c r="B59" s="137">
        <f>INPUT_DATA!CQ46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ht="13">
      <c r="A60" s="156">
        <f t="shared" si="20"/>
        <v>-11</v>
      </c>
      <c r="B60" s="137">
        <f>INPUT_DATA!CQ47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ht="13">
      <c r="A61" s="156">
        <f t="shared" si="20"/>
        <v>-12</v>
      </c>
      <c r="B61" s="137">
        <f>INPUT_DATA!CQ48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ht="13">
      <c r="A62" s="156">
        <f t="shared" si="20"/>
        <v>-13</v>
      </c>
      <c r="B62" s="137">
        <f>INPUT_DATA!CQ49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ht="13">
      <c r="A63" s="156">
        <f t="shared" si="20"/>
        <v>-14</v>
      </c>
      <c r="B63" s="137">
        <f>INPUT_DATA!CQ50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ht="13">
      <c r="A64" s="156">
        <f t="shared" si="20"/>
        <v>-15</v>
      </c>
      <c r="B64" s="137">
        <f>INPUT_DATA!CQ51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ht="13">
      <c r="A65" s="156">
        <f t="shared" si="20"/>
        <v>-16</v>
      </c>
      <c r="B65" s="137">
        <f>INPUT_DATA!CQ52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ht="13">
      <c r="A66" s="156">
        <f t="shared" si="20"/>
        <v>-17</v>
      </c>
      <c r="B66" s="137">
        <f>INPUT_DATA!CQ53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ht="13">
      <c r="A67" s="156">
        <f t="shared" si="20"/>
        <v>-18</v>
      </c>
      <c r="B67" s="137">
        <f>INPUT_DATA!CQ54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ht="13">
      <c r="A68" s="156">
        <f t="shared" si="20"/>
        <v>-19</v>
      </c>
      <c r="B68" s="137">
        <f>INPUT_DATA!CQ55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ht="13">
      <c r="A69" s="156">
        <f t="shared" si="20"/>
        <v>-20</v>
      </c>
      <c r="B69" s="137">
        <f>INPUT_DATA!CQ56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ht="13">
      <c r="A70" s="156">
        <f t="shared" si="20"/>
        <v>-21</v>
      </c>
      <c r="B70" s="137">
        <f>INPUT_DATA!CQ57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ht="13">
      <c r="A71" s="156">
        <f t="shared" si="20"/>
        <v>-22</v>
      </c>
      <c r="B71" s="137">
        <f>INPUT_DATA!CQ58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ht="13">
      <c r="A72" s="156">
        <f t="shared" si="20"/>
        <v>-23</v>
      </c>
      <c r="B72" s="137">
        <f>INPUT_DATA!CQ59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ht="13">
      <c r="A73" s="156">
        <f t="shared" si="20"/>
        <v>-24</v>
      </c>
      <c r="B73" s="137">
        <f>INPUT_DATA!CQ60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ht="13">
      <c r="A74" s="156">
        <f t="shared" si="20"/>
        <v>-25</v>
      </c>
      <c r="B74" s="137">
        <f>INPUT_DATA!CQ61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ht="13">
      <c r="A75" s="156">
        <f t="shared" si="20"/>
        <v>-26</v>
      </c>
      <c r="B75" s="137">
        <f>INPUT_DATA!CQ62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ht="13">
      <c r="A76" s="156">
        <f t="shared" si="20"/>
        <v>-27</v>
      </c>
      <c r="B76" s="137">
        <f>INPUT_DATA!CQ63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ht="13">
      <c r="A77" s="156">
        <f t="shared" si="20"/>
        <v>-28</v>
      </c>
      <c r="B77" s="137">
        <f>INPUT_DATA!CQ64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ht="13">
      <c r="A78" s="156">
        <f t="shared" si="20"/>
        <v>-29</v>
      </c>
      <c r="B78" s="137">
        <f>INPUT_DATA!CQ65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ht="13">
      <c r="A79" s="156">
        <f t="shared" si="20"/>
        <v>-30</v>
      </c>
      <c r="B79" s="137">
        <f>INPUT_DATA!CQ66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ht="13">
      <c r="A80" s="156">
        <f t="shared" si="20"/>
        <v>-31</v>
      </c>
      <c r="B80" s="137">
        <f>INPUT_DATA!CQ67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ht="13">
      <c r="A81" s="156">
        <f t="shared" si="20"/>
        <v>-32</v>
      </c>
      <c r="B81" s="137">
        <f>INPUT_DATA!CQ68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ht="13">
      <c r="A82" s="156">
        <f t="shared" si="20"/>
        <v>-33</v>
      </c>
      <c r="B82" s="137">
        <f>INPUT_DATA!CQ69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ht="13">
      <c r="A83" s="156">
        <f t="shared" si="20"/>
        <v>-34</v>
      </c>
      <c r="B83" s="137">
        <f>INPUT_DATA!CQ70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ht="13">
      <c r="A84" s="156">
        <f t="shared" si="20"/>
        <v>-35</v>
      </c>
      <c r="B84" s="137">
        <f>INPUT_DATA!CQ71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ht="13">
      <c r="A85" s="156">
        <f t="shared" si="20"/>
        <v>-36</v>
      </c>
      <c r="B85" s="137">
        <f>INPUT_DATA!CQ72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ht="13">
      <c r="A86" s="156">
        <f t="shared" si="20"/>
        <v>-37</v>
      </c>
      <c r="B86" s="137">
        <f>INPUT_DATA!CQ73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INPUT_DATA!CQ74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defaultColWidth="11.453125" defaultRowHeight="12.5"/>
  <cols>
    <col min="1" max="1" width="2.7265625" style="592" customWidth="1"/>
    <col min="2" max="2" width="6.26953125" style="592" customWidth="1"/>
    <col min="3" max="4" width="20.7265625" style="592" customWidth="1"/>
    <col min="5" max="5" width="18.54296875" style="1306" customWidth="1"/>
    <col min="6" max="17" width="15.7265625" style="592" customWidth="1"/>
    <col min="18" max="18" width="3.7265625" style="592" customWidth="1"/>
    <col min="19" max="19" width="4.54296875" style="592" customWidth="1"/>
    <col min="20" max="16384" width="11.453125" style="592"/>
  </cols>
  <sheetData>
    <row r="1" spans="1:18" ht="13"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46203</v>
      </c>
      <c r="R2" s="619"/>
    </row>
    <row r="3" spans="1:18" ht="14">
      <c r="A3" s="603"/>
      <c r="B3" s="596"/>
      <c r="C3" s="596"/>
      <c r="D3" s="596"/>
      <c r="E3" s="1308"/>
      <c r="F3" s="596"/>
      <c r="G3" s="596"/>
      <c r="H3" s="596"/>
      <c r="I3" s="596"/>
      <c r="J3" s="596"/>
      <c r="K3" s="596"/>
      <c r="L3" s="596"/>
      <c r="M3" s="596"/>
      <c r="N3" s="596"/>
      <c r="O3" s="540"/>
      <c r="P3" s="540" t="s">
        <v>233</v>
      </c>
      <c r="Q3" s="621">
        <f>'Cashflow Synthesis'!L3</f>
        <v>46218</v>
      </c>
      <c r="R3" s="603"/>
    </row>
    <row r="4" spans="1:18">
      <c r="A4" s="603"/>
      <c r="B4" s="2110"/>
      <c r="C4" s="2111"/>
      <c r="D4" s="2111"/>
      <c r="E4" s="2148" t="s">
        <v>573</v>
      </c>
      <c r="F4" s="2148"/>
      <c r="G4" s="2148"/>
      <c r="H4" s="2148"/>
      <c r="I4" s="2148"/>
      <c r="J4" s="2148"/>
      <c r="K4" s="2148"/>
      <c r="L4" s="2148"/>
      <c r="M4" s="2148"/>
      <c r="N4" s="2148"/>
      <c r="O4" s="540"/>
      <c r="P4" s="540" t="s">
        <v>234</v>
      </c>
      <c r="Q4" s="621">
        <f>'Cashflow Synthesis'!L4</f>
        <v>46223</v>
      </c>
      <c r="R4" s="603"/>
    </row>
    <row r="5" spans="1:18">
      <c r="A5" s="603"/>
      <c r="B5" s="2110"/>
      <c r="C5" s="2111"/>
      <c r="D5" s="2111"/>
      <c r="E5" s="2148"/>
      <c r="F5" s="2148"/>
      <c r="G5" s="2148"/>
      <c r="H5" s="2148"/>
      <c r="I5" s="2148"/>
      <c r="J5" s="2148"/>
      <c r="K5" s="2148"/>
      <c r="L5" s="2148"/>
      <c r="M5" s="2148"/>
      <c r="N5" s="2148"/>
      <c r="O5" s="540"/>
      <c r="P5" s="540" t="s">
        <v>235</v>
      </c>
      <c r="Q5" s="621">
        <f>'Cashflow Synthesis'!L5</f>
        <v>46230</v>
      </c>
      <c r="R5" s="603"/>
    </row>
    <row r="6" spans="1:18" ht="14">
      <c r="A6" s="603"/>
      <c r="B6" s="596"/>
      <c r="C6" s="596"/>
      <c r="D6" s="596"/>
      <c r="E6" s="1308"/>
      <c r="F6" s="596"/>
      <c r="G6" s="596"/>
      <c r="H6" s="596"/>
      <c r="I6" s="596"/>
      <c r="J6" s="596"/>
      <c r="K6" s="596"/>
      <c r="L6" s="596"/>
      <c r="M6" s="596"/>
      <c r="N6" s="596"/>
      <c r="O6" s="540"/>
      <c r="P6" s="540" t="s">
        <v>236</v>
      </c>
      <c r="Q6" s="624">
        <f>'Cashflow Synthesis'!L6</f>
        <v>21</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ht="13">
      <c r="A9" s="603"/>
      <c r="B9" s="629"/>
      <c r="C9" s="2149" t="s">
        <v>574</v>
      </c>
      <c r="D9" s="2151" t="s">
        <v>246</v>
      </c>
      <c r="E9" s="2153" t="s">
        <v>575</v>
      </c>
      <c r="F9" s="2154"/>
      <c r="G9" s="2154"/>
      <c r="H9" s="2154"/>
      <c r="I9" s="2154"/>
      <c r="J9" s="2154"/>
      <c r="K9" s="2154"/>
      <c r="L9" s="2154"/>
      <c r="M9" s="2154"/>
      <c r="N9" s="2154"/>
      <c r="O9" s="2154"/>
      <c r="P9" s="2154"/>
      <c r="Q9" s="2154"/>
      <c r="R9" s="772"/>
    </row>
    <row r="10" spans="1:18" ht="39.5" thickBot="1">
      <c r="A10" s="603"/>
      <c r="B10" s="629"/>
      <c r="C10" s="2150"/>
      <c r="D10" s="2152"/>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ht="13">
      <c r="A11" s="603"/>
      <c r="B11" s="629"/>
      <c r="C11" s="1304">
        <f>'07 - Delinquent Home Loans Stat'!B13</f>
        <v>46203</v>
      </c>
      <c r="D11" s="1303">
        <f>IF($C11=0,"",'07 - Delinquent Home Loans Stat'!C13)</f>
        <v>10731409727.809999</v>
      </c>
      <c r="E11" s="1046">
        <f>IF($C11=0,"",'07 - Delinquent Home Loans Stat'!E13/$D11)</f>
        <v>0.99395866449381864</v>
      </c>
      <c r="F11" s="1046">
        <f>IF($C11=0,"",'07 - Delinquent Home Loans Stat'!G13/$D11)</f>
        <v>3.6914484531646225E-3</v>
      </c>
      <c r="G11" s="1046">
        <f>IF($C11=0,"",'07 - Delinquent Home Loans Stat'!I13/$D11)</f>
        <v>1.2409343672238715E-3</v>
      </c>
      <c r="H11" s="1046">
        <f>IF($C11=0,"",'07 - Delinquent Home Loans Stat'!K13/$D11)</f>
        <v>3.8572921125850512E-4</v>
      </c>
      <c r="I11" s="1046">
        <f>IF($C11=0,"",'07 - Delinquent Home Loans Stat'!M13/$D11)</f>
        <v>1.5955694856778429E-4</v>
      </c>
      <c r="J11" s="1046">
        <f>IF($C11=0,"",'07 - Delinquent Home Loans Stat'!O13/$D11)</f>
        <v>2.1653382816781233E-4</v>
      </c>
      <c r="K11" s="1046">
        <f>IF($C11=0,"",'07 - Delinquent Home Loans Stat'!Q13/$D11)</f>
        <v>5.9137767180334071E-5</v>
      </c>
      <c r="L11" s="1046">
        <f>IF($C11=0,"",'07 - Delinquent Home Loans Stat'!S13/$D11)</f>
        <v>7.8200700680101562E-5</v>
      </c>
      <c r="M11" s="1046">
        <f>IF($C11=0,"",'07 - Delinquent Home Loans Stat'!U13/$D11)</f>
        <v>6.2596507545433777E-5</v>
      </c>
      <c r="N11" s="1046">
        <f>IF($C11=0,"",'07 - Delinquent Home Loans Stat'!W13/$D11)</f>
        <v>4.6984397463957034E-5</v>
      </c>
      <c r="O11" s="1046">
        <f>IF($C11=0,"",'07 - Delinquent Home Loans Stat'!Y13/$D11)</f>
        <v>7.1831929779211953E-5</v>
      </c>
      <c r="P11" s="1046">
        <f>IF($C11=0,"",'07 - Delinquent Home Loans Stat'!AA13/$D11)</f>
        <v>2.1085677999378525E-5</v>
      </c>
      <c r="Q11" s="1046">
        <f>IF($C11=0,"",'07 - Delinquent Home Loans Stat'!AC13/$D11)</f>
        <v>7.2957171504789455E-6</v>
      </c>
      <c r="R11" s="772"/>
    </row>
    <row r="12" spans="1:18">
      <c r="A12" s="603"/>
      <c r="B12" s="629"/>
      <c r="C12" s="1305">
        <f>'07 - Delinquent Home Loans Stat'!B14</f>
        <v>46173</v>
      </c>
      <c r="D12" s="1314">
        <f>IF($C12=0,"",'07 - Delinquent Home Loans Stat'!C14)</f>
        <v>10826314196.07</v>
      </c>
      <c r="E12" s="1315">
        <f>IF($C12=0,"",'07 - Delinquent Home Loans Stat'!E14/$D12)</f>
        <v>0.99456111629372679</v>
      </c>
      <c r="F12" s="1699">
        <f>IF($C12=0,"",'07 - Delinquent Home Loans Stat'!G14/$D12)</f>
        <v>3.0425823279687696E-3</v>
      </c>
      <c r="G12" s="1699">
        <f>IF($C12=0,"",'07 - Delinquent Home Loans Stat'!I14/$D12)</f>
        <v>9.8043322480453258E-4</v>
      </c>
      <c r="H12" s="1699">
        <f>IF($C12=0,"",'07 - Delinquent Home Loans Stat'!K14/$D12)</f>
        <v>4.8761708411495532E-4</v>
      </c>
      <c r="I12" s="1699">
        <f>IF($C12=0,"",'07 - Delinquent Home Loans Stat'!M14/$D12)</f>
        <v>3.6206066801782811E-4</v>
      </c>
      <c r="J12" s="1699">
        <f>IF($C12=0,"",'07 - Delinquent Home Loans Stat'!O14/$D12)</f>
        <v>1.3144275366740882E-4</v>
      </c>
      <c r="K12" s="1699">
        <f>IF($C12=0,"",'07 - Delinquent Home Loans Stat'!Q14/$D12)</f>
        <v>1.2420578468784222E-4</v>
      </c>
      <c r="L12" s="1699">
        <f>IF($C12=0,"",'07 - Delinquent Home Loans Stat'!S14/$D12)</f>
        <v>6.3899401723545453E-5</v>
      </c>
      <c r="M12" s="1699">
        <f>IF($C12=0,"",'07 - Delinquent Home Loans Stat'!U14/$D12)</f>
        <v>1.0176871740891754E-4</v>
      </c>
      <c r="N12" s="1699">
        <f>IF($C12=0,"",'07 - Delinquent Home Loans Stat'!W14/$D12)</f>
        <v>8.9400153410598655E-5</v>
      </c>
      <c r="O12" s="1699">
        <f>IF($C12=0,"",'07 - Delinquent Home Loans Stat'!Y14/$D12)</f>
        <v>2.9632921619479453E-5</v>
      </c>
      <c r="P12" s="1699">
        <f>IF($C12=0,"",'07 - Delinquent Home Loans Stat'!AA14/$D12)</f>
        <v>6.7274465419116382E-6</v>
      </c>
      <c r="Q12" s="1699">
        <f>IF($C12=0,"",'07 - Delinquent Home Loans Stat'!AC14/$D12)</f>
        <v>1.9113222307469608E-5</v>
      </c>
      <c r="R12" s="772"/>
    </row>
    <row r="13" spans="1:18">
      <c r="A13" s="603"/>
      <c r="B13" s="629"/>
      <c r="C13" s="1305">
        <f>'07 - Delinquent Home Loans Stat'!B15</f>
        <v>46142</v>
      </c>
      <c r="D13" s="1314">
        <f>IF($C13=0,"",'07 - Delinquent Home Loans Stat'!C15)</f>
        <v>10910642357.889997</v>
      </c>
      <c r="E13" s="1315">
        <f>IF($C13=0,"",'07 - Delinquent Home Loans Stat'!E15/$D13)</f>
        <v>0.99488901474351121</v>
      </c>
      <c r="F13" s="1699">
        <f>IF($C13=0,"",'07 - Delinquent Home Loans Stat'!G15/$D13)</f>
        <v>2.9320622948351008E-3</v>
      </c>
      <c r="G13" s="1699">
        <f>IF($C13=0,"",'07 - Delinquent Home Loans Stat'!I15/$D13)</f>
        <v>9.3688542935402666E-4</v>
      </c>
      <c r="H13" s="1699">
        <f>IF($C13=0,"",'07 - Delinquent Home Loans Stat'!K15/$D13)</f>
        <v>4.2909340865842364E-4</v>
      </c>
      <c r="I13" s="1699">
        <f>IF($C13=0,"",'07 - Delinquent Home Loans Stat'!M15/$D13)</f>
        <v>2.3899884300710304E-4</v>
      </c>
      <c r="J13" s="1699">
        <f>IF($C13=0,"",'07 - Delinquent Home Loans Stat'!O15/$D13)</f>
        <v>1.8351306498027426E-4</v>
      </c>
      <c r="K13" s="1699">
        <f>IF($C13=0,"",'07 - Delinquent Home Loans Stat'!Q15/$D13)</f>
        <v>9.4424416657282477E-5</v>
      </c>
      <c r="L13" s="1699">
        <f>IF($C13=0,"",'07 - Delinquent Home Loans Stat'!S15/$D13)</f>
        <v>1.3811546291866761E-4</v>
      </c>
      <c r="M13" s="1699">
        <f>IF($C13=0,"",'07 - Delinquent Home Loans Stat'!U15/$D13)</f>
        <v>7.9256354633846785E-5</v>
      </c>
      <c r="N13" s="1699">
        <f>IF($C13=0,"",'07 - Delinquent Home Loans Stat'!W15/$D13)</f>
        <v>2.7175344977336424E-5</v>
      </c>
      <c r="O13" s="1699">
        <f>IF($C13=0,"",'07 - Delinquent Home Loans Stat'!Y15/$D13)</f>
        <v>3.8330126337389786E-6</v>
      </c>
      <c r="P13" s="1699">
        <f>IF($C13=0,"",'07 - Delinquent Home Loans Stat'!AA15/$D13)</f>
        <v>4.762762383318505E-5</v>
      </c>
      <c r="Q13" s="1699">
        <f>IF($C13=0,"",'07 - Delinquent Home Loans Stat'!AC15/$D13)</f>
        <v>0</v>
      </c>
      <c r="R13" s="772"/>
    </row>
    <row r="14" spans="1:18">
      <c r="A14" s="603"/>
      <c r="B14" s="629"/>
      <c r="C14" s="1305">
        <f>'07 - Delinquent Home Loans Stat'!B16</f>
        <v>46112</v>
      </c>
      <c r="D14" s="1314">
        <f>IF($C14=0,"",'07 - Delinquent Home Loans Stat'!C16)</f>
        <v>11003433195.969999</v>
      </c>
      <c r="E14" s="1315">
        <f>IF($C14=0,"",'07 - Delinquent Home Loans Stat'!E16/$D14)</f>
        <v>0.99495756379742273</v>
      </c>
      <c r="F14" s="1699">
        <f>IF($C14=0,"",'07 - Delinquent Home Loans Stat'!G16/$D14)</f>
        <v>3.0815631290803587E-3</v>
      </c>
      <c r="G14" s="1699">
        <f>IF($C14=0,"",'07 - Delinquent Home Loans Stat'!I16/$D14)</f>
        <v>8.7275168022260454E-4</v>
      </c>
      <c r="H14" s="1699">
        <f>IF($C14=0,"",'07 - Delinquent Home Loans Stat'!K16/$D14)</f>
        <v>4.1218495802392891E-4</v>
      </c>
      <c r="I14" s="1699">
        <f>IF($C14=0,"",'07 - Delinquent Home Loans Stat'!M16/$D14)</f>
        <v>2.0559696230341599E-4</v>
      </c>
      <c r="J14" s="1699">
        <f>IF($C14=0,"",'07 - Delinquent Home Loans Stat'!O16/$D14)</f>
        <v>1.2012736538302548E-4</v>
      </c>
      <c r="K14" s="1699">
        <f>IF($C14=0,"",'07 - Delinquent Home Loans Stat'!Q16/$D14)</f>
        <v>1.1975108100648051E-4</v>
      </c>
      <c r="L14" s="1699">
        <f>IF($C14=0,"",'07 - Delinquent Home Loans Stat'!S16/$D14)</f>
        <v>8.9522218425497837E-5</v>
      </c>
      <c r="M14" s="1699">
        <f>IF($C14=0,"",'07 - Delinquent Home Loans Stat'!U16/$D14)</f>
        <v>1.1454823031611893E-5</v>
      </c>
      <c r="N14" s="1699">
        <f>IF($C14=0,"",'07 - Delinquent Home Loans Stat'!W16/$D14)</f>
        <v>6.3328399199552877E-5</v>
      </c>
      <c r="O14" s="1699">
        <f>IF($C14=0,"",'07 - Delinquent Home Loans Stat'!Y16/$D14)</f>
        <v>4.7510945055900294E-5</v>
      </c>
      <c r="P14" s="1699">
        <f>IF($C14=0,"",'07 - Delinquent Home Loans Stat'!AA16/$D14)</f>
        <v>1.8644640844926282E-5</v>
      </c>
      <c r="Q14" s="1699">
        <f>IF($C14=0,"",'07 - Delinquent Home Loans Stat'!AC16/$D14)</f>
        <v>0</v>
      </c>
      <c r="R14" s="772"/>
    </row>
    <row r="15" spans="1:18">
      <c r="A15" s="603"/>
      <c r="B15" s="629"/>
      <c r="C15" s="1305">
        <f>'07 - Delinquent Home Loans Stat'!B17</f>
        <v>46081</v>
      </c>
      <c r="D15" s="1314">
        <f>IF($C15=0,"",'07 - Delinquent Home Loans Stat'!C17)</f>
        <v>11124620357.440001</v>
      </c>
      <c r="E15" s="1315">
        <f>IF($C15=0,"",'07 - Delinquent Home Loans Stat'!E17/$D15)</f>
        <v>0.99490166571913008</v>
      </c>
      <c r="F15" s="1699">
        <f>IF($C15=0,"",'07 - Delinquent Home Loans Stat'!G17/$D15)</f>
        <v>3.3174407677937739E-3</v>
      </c>
      <c r="G15" s="1699">
        <f>IF($C15=0,"",'07 - Delinquent Home Loans Stat'!I17/$D15)</f>
        <v>7.5932130523003859E-4</v>
      </c>
      <c r="H15" s="1699">
        <f>IF($C15=0,"",'07 - Delinquent Home Loans Stat'!K17/$D15)</f>
        <v>3.2165282185174997E-4</v>
      </c>
      <c r="I15" s="1699">
        <f>IF($C15=0,"",'07 - Delinquent Home Loans Stat'!M17/$D15)</f>
        <v>2.1163973460230491E-4</v>
      </c>
      <c r="J15" s="1699">
        <f>IF($C15=0,"",'07 - Delinquent Home Loans Stat'!O17/$D15)</f>
        <v>1.8068391148788385E-4</v>
      </c>
      <c r="K15" s="1699">
        <f>IF($C15=0,"",'07 - Delinquent Home Loans Stat'!Q17/$D15)</f>
        <v>1.1453109041585303E-4</v>
      </c>
      <c r="L15" s="1699">
        <f>IF($C15=0,"",'07 - Delinquent Home Loans Stat'!S17/$D15)</f>
        <v>5.109186396818265E-5</v>
      </c>
      <c r="M15" s="1699">
        <f>IF($C15=0,"",'07 - Delinquent Home Loans Stat'!U17/$D15)</f>
        <v>6.3023182587179923E-5</v>
      </c>
      <c r="N15" s="1699">
        <f>IF($C15=0,"",'07 - Delinquent Home Loans Stat'!W17/$D15)</f>
        <v>4.7274661345928672E-5</v>
      </c>
      <c r="O15" s="1699">
        <f>IF($C15=0,"",'07 - Delinquent Home Loans Stat'!Y17/$D15)</f>
        <v>1.8546067494520588E-5</v>
      </c>
      <c r="P15" s="1699">
        <f>IF($C15=0,"",'07 - Delinquent Home Loans Stat'!AA17/$D15)</f>
        <v>0</v>
      </c>
      <c r="Q15" s="1699">
        <f>IF($C15=0,"",'07 - Delinquent Home Loans Stat'!AC17/$D15)</f>
        <v>1.3128874092527675E-5</v>
      </c>
      <c r="R15" s="772"/>
    </row>
    <row r="16" spans="1:18">
      <c r="A16" s="603"/>
      <c r="B16" s="629"/>
      <c r="C16" s="1305">
        <f>'07 - Delinquent Home Loans Stat'!B18</f>
        <v>46053</v>
      </c>
      <c r="D16" s="1314">
        <f>IF($C16=0,"",'07 - Delinquent Home Loans Stat'!C18)</f>
        <v>11215080214.710003</v>
      </c>
      <c r="E16" s="1315">
        <f>IF($C16=0,"",'07 - Delinquent Home Loans Stat'!E18/$D16)</f>
        <v>0.99463709070746409</v>
      </c>
      <c r="F16" s="1699">
        <f>IF($C16=0,"",'07 - Delinquent Home Loans Stat'!G18/$D16)</f>
        <v>2.7183805640562972E-3</v>
      </c>
      <c r="G16" s="1699">
        <f>IF($C16=0,"",'07 - Delinquent Home Loans Stat'!I18/$D16)</f>
        <v>1.4114376586658514E-3</v>
      </c>
      <c r="H16" s="1699">
        <f>IF($C16=0,"",'07 - Delinquent Home Loans Stat'!K18/$D16)</f>
        <v>5.3373868000950212E-4</v>
      </c>
      <c r="I16" s="1699">
        <f>IF($C16=0,"",'07 - Delinquent Home Loans Stat'!M18/$D16)</f>
        <v>2.867852729025859E-4</v>
      </c>
      <c r="J16" s="1699">
        <f>IF($C16=0,"",'07 - Delinquent Home Loans Stat'!O18/$D16)</f>
        <v>1.5671707882166473E-4</v>
      </c>
      <c r="K16" s="1699">
        <f>IF($C16=0,"",'07 - Delinquent Home Loans Stat'!Q18/$D16)</f>
        <v>8.0414417260886263E-5</v>
      </c>
      <c r="L16" s="1699">
        <f>IF($C16=0,"",'07 - Delinquent Home Loans Stat'!S18/$D16)</f>
        <v>6.0305479501868054E-5</v>
      </c>
      <c r="M16" s="1699">
        <f>IF($C16=0,"",'07 - Delinquent Home Loans Stat'!U18/$D16)</f>
        <v>4.7171792788972009E-5</v>
      </c>
      <c r="N16" s="1699">
        <f>IF($C16=0,"",'07 - Delinquent Home Loans Stat'!W18/$D16)</f>
        <v>4.0275741354711286E-5</v>
      </c>
      <c r="O16" s="1699">
        <f>IF($C16=0,"",'07 - Delinquent Home Loans Stat'!Y18/$D16)</f>
        <v>1.4543438555710549E-5</v>
      </c>
      <c r="P16" s="1699">
        <f>IF($C16=0,"",'07 - Delinquent Home Loans Stat'!AA18/$D16)</f>
        <v>1.4815801297797186E-6</v>
      </c>
      <c r="Q16" s="1699">
        <f>IF($C16=0,"",'07 - Delinquent Home Loans Stat'!AC18/$D16)</f>
        <v>1.1657588487732512E-5</v>
      </c>
      <c r="R16" s="772"/>
    </row>
    <row r="17" spans="1:18">
      <c r="A17" s="603"/>
      <c r="B17" s="629"/>
      <c r="C17" s="1305">
        <f>'07 - Delinquent Home Loans Stat'!B19</f>
        <v>46022</v>
      </c>
      <c r="D17" s="1314">
        <f>IF($C17=0,"",'07 - Delinquent Home Loans Stat'!C19)</f>
        <v>11314220550.59</v>
      </c>
      <c r="E17" s="1315">
        <f>IF($C17=0,"",'07 - Delinquent Home Loans Stat'!E19/$D17)</f>
        <v>0.99460031545285588</v>
      </c>
      <c r="F17" s="1699">
        <f>IF($C17=0,"",'07 - Delinquent Home Loans Stat'!G19/$D17)</f>
        <v>3.1239057389734984E-3</v>
      </c>
      <c r="G17" s="1699">
        <f>IF($C17=0,"",'07 - Delinquent Home Loans Stat'!I19/$D17)</f>
        <v>9.8631351228327217E-4</v>
      </c>
      <c r="H17" s="1699">
        <f>IF($C17=0,"",'07 - Delinquent Home Loans Stat'!K19/$D17)</f>
        <v>4.5142641220067593E-4</v>
      </c>
      <c r="I17" s="1699">
        <f>IF($C17=0,"",'07 - Delinquent Home Loans Stat'!M19/$D17)</f>
        <v>3.358949088014571E-4</v>
      </c>
      <c r="J17" s="1699">
        <f>IF($C17=0,"",'07 - Delinquent Home Loans Stat'!O19/$D17)</f>
        <v>1.0103960099490783E-4</v>
      </c>
      <c r="K17" s="1699">
        <f>IF($C17=0,"",'07 - Delinquent Home Loans Stat'!Q19/$D17)</f>
        <v>6.7114641844276439E-5</v>
      </c>
      <c r="L17" s="1699">
        <f>IF($C17=0,"",'07 - Delinquent Home Loans Stat'!S19/$D17)</f>
        <v>6.3607103713606838E-5</v>
      </c>
      <c r="M17" s="1699">
        <f>IF($C17=0,"",'07 - Delinquent Home Loans Stat'!U19/$D17)</f>
        <v>5.4754129745835215E-5</v>
      </c>
      <c r="N17" s="1699">
        <f>IF($C17=0,"",'07 - Delinquent Home Loans Stat'!W19/$D17)</f>
        <v>1.8108431693009204E-5</v>
      </c>
      <c r="O17" s="1699">
        <f>IF($C17=0,"",'07 - Delinquent Home Loans Stat'!Y19/$D17)</f>
        <v>1.3139018223597204E-5</v>
      </c>
      <c r="P17" s="1699">
        <f>IF($C17=0,"",'07 - Delinquent Home Loans Stat'!AA19/$D17)</f>
        <v>1.7503099848064494E-4</v>
      </c>
      <c r="Q17" s="1699">
        <f>IF($C17=0,"",'07 - Delinquent Home Loans Stat'!AC19/$D17)</f>
        <v>9.3500501892269965E-6</v>
      </c>
      <c r="R17" s="772"/>
    </row>
    <row r="18" spans="1:18">
      <c r="A18" s="603"/>
      <c r="B18" s="629"/>
      <c r="C18" s="1305">
        <f>'07 - Delinquent Home Loans Stat'!B20</f>
        <v>45991</v>
      </c>
      <c r="D18" s="1314">
        <f>IF($C18=0,"",'07 - Delinquent Home Loans Stat'!C20)</f>
        <v>11410540020.710003</v>
      </c>
      <c r="E18" s="1315">
        <f>IF($C18=0,"",'07 - Delinquent Home Loans Stat'!E20/$D18)</f>
        <v>0.99439708124383541</v>
      </c>
      <c r="F18" s="1699">
        <f>IF($C18=0,"",'07 - Delinquent Home Loans Stat'!G20/$D18)</f>
        <v>3.4561175105142961E-3</v>
      </c>
      <c r="G18" s="1699">
        <f>IF($C18=0,"",'07 - Delinquent Home Loans Stat'!I20/$D18)</f>
        <v>1.0025725626689639E-3</v>
      </c>
      <c r="H18" s="1699">
        <f>IF($C18=0,"",'07 - Delinquent Home Loans Stat'!K20/$D18)</f>
        <v>4.6657421649959129E-4</v>
      </c>
      <c r="I18" s="1699">
        <f>IF($C18=0,"",'07 - Delinquent Home Loans Stat'!M20/$D18)</f>
        <v>2.0957322139528346E-4</v>
      </c>
      <c r="J18" s="1699">
        <f>IF($C18=0,"",'07 - Delinquent Home Loans Stat'!O20/$D18)</f>
        <v>7.0588102626003692E-5</v>
      </c>
      <c r="K18" s="1699">
        <f>IF($C18=0,"",'07 - Delinquent Home Loans Stat'!Q20/$D18)</f>
        <v>9.391435532893565E-5</v>
      </c>
      <c r="L18" s="1699">
        <f>IF($C18=0,"",'07 - Delinquent Home Loans Stat'!S20/$D18)</f>
        <v>6.0930707813839212E-5</v>
      </c>
      <c r="M18" s="1699">
        <f>IF($C18=0,"",'07 - Delinquent Home Loans Stat'!U20/$D18)</f>
        <v>4.5472207192496627E-5</v>
      </c>
      <c r="N18" s="1699">
        <f>IF($C18=0,"",'07 - Delinquent Home Loans Stat'!W20/$D18)</f>
        <v>1.3141928403724155E-5</v>
      </c>
      <c r="O18" s="1699">
        <f>IF($C18=0,"",'07 - Delinquent Home Loans Stat'!Y20/$D18)</f>
        <v>1.7642340821260615E-4</v>
      </c>
      <c r="P18" s="1699">
        <f>IF($C18=0,"",'07 - Delinquent Home Loans Stat'!AA20/$D18)</f>
        <v>7.6105355086074622E-6</v>
      </c>
      <c r="Q18" s="1699">
        <f>IF($C18=0,"",'07 - Delinquent Home Loans Stat'!AC20/$D18)</f>
        <v>0</v>
      </c>
      <c r="R18" s="772"/>
    </row>
    <row r="19" spans="1:18">
      <c r="A19" s="603"/>
      <c r="B19" s="629"/>
      <c r="C19" s="1305">
        <f>'07 - Delinquent Home Loans Stat'!B21</f>
        <v>45961</v>
      </c>
      <c r="D19" s="1314">
        <f>IF($C19=0,"",'07 - Delinquent Home Loans Stat'!C21)</f>
        <v>11501221849.949997</v>
      </c>
      <c r="E19" s="1065">
        <f>IF($C19=0,"",'07 - Delinquent Home Loans Stat'!E21/$D19)</f>
        <v>0.99559571848357853</v>
      </c>
      <c r="F19" s="1047">
        <f>IF($C19=0,"",'07 - Delinquent Home Loans Stat'!G21/$D19)</f>
        <v>2.4193798052961628E-3</v>
      </c>
      <c r="G19" s="1047">
        <f>IF($C19=0,"",'07 - Delinquent Home Loans Stat'!I21/$D19)</f>
        <v>9.6052216574259272E-4</v>
      </c>
      <c r="H19" s="1047">
        <f>IF($C19=0,"",'07 - Delinquent Home Loans Stat'!K21/$D19)</f>
        <v>4.1420250058220651E-4</v>
      </c>
      <c r="I19" s="1047">
        <f>IF($C19=0,"",'07 - Delinquent Home Loans Stat'!M21/$D19)</f>
        <v>1.3534459732265469E-4</v>
      </c>
      <c r="J19" s="1047">
        <f>IF($C19=0,"",'07 - Delinquent Home Loans Stat'!O21/$D19)</f>
        <v>1.3580619871329504E-4</v>
      </c>
      <c r="K19" s="1047">
        <f>IF($C19=0,"",'07 - Delinquent Home Loans Stat'!Q21/$D19)</f>
        <v>7.5532117485741467E-5</v>
      </c>
      <c r="L19" s="1047">
        <f>IF($C19=0,"",'07 - Delinquent Home Loans Stat'!S21/$D19)</f>
        <v>5.5125476951195096E-5</v>
      </c>
      <c r="M19" s="1047">
        <f>IF($C19=0,"",'07 - Delinquent Home Loans Stat'!U21/$D19)</f>
        <v>1.3151044469301979E-5</v>
      </c>
      <c r="N19" s="1047">
        <f>IF($C19=0,"",'07 - Delinquent Home Loans Stat'!W21/$D19)</f>
        <v>1.7620717402375914E-4</v>
      </c>
      <c r="O19" s="1047">
        <f>IF($C19=0,"",'07 - Delinquent Home Loans Stat'!Y21/$D19)</f>
        <v>7.5739344164010472E-6</v>
      </c>
      <c r="P19" s="1047">
        <f>IF($C19=0,"",'07 - Delinquent Home Loans Stat'!AA21/$D19)</f>
        <v>0</v>
      </c>
      <c r="Q19" s="1047">
        <f>IF($C19=0,"",'07 - Delinquent Home Loans Stat'!AC21/$D19)</f>
        <v>1.1436501418375113E-5</v>
      </c>
      <c r="R19" s="772"/>
    </row>
    <row r="20" spans="1:18">
      <c r="A20" s="603"/>
      <c r="B20" s="629"/>
      <c r="C20" s="1305">
        <f>'07 - Delinquent Home Loans Stat'!B22</f>
        <v>45930</v>
      </c>
      <c r="D20" s="1314">
        <f>IF($C20=0,"",'07 - Delinquent Home Loans Stat'!C22)</f>
        <v>11613993146.950001</v>
      </c>
      <c r="E20" s="1065">
        <f>IF($C20=0,"",'07 - Delinquent Home Loans Stat'!E22/$D20)</f>
        <v>0.9962392068156618</v>
      </c>
      <c r="F20" s="1047">
        <f>IF($C20=0,"",'07 - Delinquent Home Loans Stat'!G22/$D20)</f>
        <v>1.7917875554683748E-3</v>
      </c>
      <c r="G20" s="1047">
        <f>IF($C20=0,"",'07 - Delinquent Home Loans Stat'!I22/$D20)</f>
        <v>9.1996254990092576E-4</v>
      </c>
      <c r="H20" s="1047">
        <f>IF($C20=0,"",'07 - Delinquent Home Loans Stat'!K22/$D20)</f>
        <v>3.0553437866733029E-4</v>
      </c>
      <c r="I20" s="1047">
        <f>IF($C20=0,"",'07 - Delinquent Home Loans Stat'!M22/$D20)</f>
        <v>2.6027899635827243E-4</v>
      </c>
      <c r="J20" s="1047">
        <f>IF($C20=0,"",'07 - Delinquent Home Loans Stat'!O22/$D20)</f>
        <v>1.0486442902024929E-4</v>
      </c>
      <c r="K20" s="1047">
        <f>IF($C20=0,"",'07 - Delinquent Home Loans Stat'!Q22/$D20)</f>
        <v>1.7067483637361696E-4</v>
      </c>
      <c r="L20" s="1047">
        <f>IF($C20=0,"",'07 - Delinquent Home Loans Stat'!S22/$D20)</f>
        <v>1.3134801103276104E-5</v>
      </c>
      <c r="M20" s="1047">
        <f>IF($C20=0,"",'07 - Delinquent Home Loans Stat'!U22/$D20)</f>
        <v>1.7565805526032681E-4</v>
      </c>
      <c r="N20" s="1047">
        <f>IF($C20=0,"",'07 - Delinquent Home Loans Stat'!W22/$D20)</f>
        <v>7.5235338005125979E-6</v>
      </c>
      <c r="O20" s="1047">
        <f>IF($C20=0,"",'07 - Delinquent Home Loans Stat'!Y22/$D20)</f>
        <v>0</v>
      </c>
      <c r="P20" s="1047">
        <f>IF($C20=0,"",'07 - Delinquent Home Loans Stat'!AA22/$D20)</f>
        <v>1.1374048385304139E-5</v>
      </c>
      <c r="Q20" s="1047">
        <f>IF($C20=0,"",'07 - Delinquent Home Loans Stat'!AC22/$D20)</f>
        <v>0</v>
      </c>
      <c r="R20" s="772"/>
    </row>
    <row r="21" spans="1:18">
      <c r="A21" s="603"/>
      <c r="B21" s="629"/>
      <c r="C21" s="1305">
        <f>'07 - Delinquent Home Loans Stat'!B23</f>
        <v>45900</v>
      </c>
      <c r="D21" s="1314">
        <f>IF($C21=0,"",'07 - Delinquent Home Loans Stat'!C23)</f>
        <v>7430770897.8499994</v>
      </c>
      <c r="E21" s="1065">
        <f>IF($C21=0,"",'07 - Delinquent Home Loans Stat'!E23/$D21)</f>
        <v>0.9938275980594059</v>
      </c>
      <c r="F21" s="1047">
        <f>IF($C21=0,"",'07 - Delinquent Home Loans Stat'!G23/$D21)</f>
        <v>3.2382763256719833E-3</v>
      </c>
      <c r="G21" s="1047">
        <f>IF($C21=0,"",'07 - Delinquent Home Loans Stat'!I23/$D21)</f>
        <v>1.2493714444467869E-3</v>
      </c>
      <c r="H21" s="1047">
        <f>IF($C21=0,"",'07 - Delinquent Home Loans Stat'!K23/$D21)</f>
        <v>6.322952684975707E-4</v>
      </c>
      <c r="I21" s="1047">
        <f>IF($C21=0,"",'07 - Delinquent Home Loans Stat'!M23/$D21)</f>
        <v>2.5831608003893373E-4</v>
      </c>
      <c r="J21" s="1047">
        <f>IF($C21=0,"",'07 - Delinquent Home Loans Stat'!O23/$D21)</f>
        <v>3.211709380907596E-4</v>
      </c>
      <c r="K21" s="1047">
        <f>IF($C21=0,"",'07 - Delinquent Home Loans Stat'!Q23/$D21)</f>
        <v>1.2765629744747764E-4</v>
      </c>
      <c r="L21" s="1047">
        <f>IF($C21=0,"",'07 - Delinquent Home Loans Stat'!S23/$D21)</f>
        <v>3.010019513112905E-4</v>
      </c>
      <c r="M21" s="1047">
        <f>IF($C21=0,"",'07 - Delinquent Home Loans Stat'!U23/$D21)</f>
        <v>1.6937719077897572E-5</v>
      </c>
      <c r="N21" s="1047">
        <f>IF($C21=0,"",'07 - Delinquent Home Loans Stat'!W23/$D21)</f>
        <v>0</v>
      </c>
      <c r="O21" s="1047">
        <f>IF($C21=0,"",'07 - Delinquent Home Loans Stat'!Y23/$D21)</f>
        <v>1.7853031916026913E-5</v>
      </c>
      <c r="P21" s="1047">
        <f>IF($C21=0,"",'07 - Delinquent Home Loans Stat'!AA23/$D21)</f>
        <v>9.5228840954407836E-6</v>
      </c>
      <c r="Q21" s="1047">
        <f>IF($C21=0,"",'07 - Delinquent Home Loans Stat'!AC23/$D21)</f>
        <v>0</v>
      </c>
      <c r="R21" s="772"/>
    </row>
    <row r="22" spans="1:18">
      <c r="A22" s="603"/>
      <c r="B22" s="629"/>
      <c r="C22" s="1305">
        <f>'07 - Delinquent Home Loans Stat'!B24</f>
        <v>45869</v>
      </c>
      <c r="D22" s="1314">
        <f>IF($C22=0,"",'07 - Delinquent Home Loans Stat'!C24)</f>
        <v>7501402080.4800005</v>
      </c>
      <c r="E22" s="1065">
        <f>IF($C22=0,"",'07 - Delinquent Home Loans Stat'!E24/$D22)</f>
        <v>0.99375937046198104</v>
      </c>
      <c r="F22" s="1047">
        <f>IF($C22=0,"",'07 - Delinquent Home Loans Stat'!G24/$D22)</f>
        <v>3.1795108093277723E-3</v>
      </c>
      <c r="G22" s="1047">
        <f>IF($C22=0,"",'07 - Delinquent Home Loans Stat'!I24/$D22)</f>
        <v>1.6925544709886519E-3</v>
      </c>
      <c r="H22" s="1047">
        <f>IF($C22=0,"",'07 - Delinquent Home Loans Stat'!K24/$D22)</f>
        <v>4.2543620322719593E-4</v>
      </c>
      <c r="I22" s="1047">
        <f>IF($C22=0,"",'07 - Delinquent Home Loans Stat'!M24/$D22)</f>
        <v>3.2471606159313306E-4</v>
      </c>
      <c r="J22" s="1047">
        <f>IF($C22=0,"",'07 - Delinquent Home Loans Stat'!O24/$D22)</f>
        <v>1.7129064756355261E-4</v>
      </c>
      <c r="K22" s="1047">
        <f>IF($C22=0,"",'07 - Delinquent Home Loans Stat'!Q24/$D22)</f>
        <v>3.7531280816503699E-4</v>
      </c>
      <c r="L22" s="1047">
        <f>IF($C22=0,"",'07 - Delinquent Home Loans Stat'!S24/$D22)</f>
        <v>4.4537016735759646E-5</v>
      </c>
      <c r="M22" s="1047">
        <f>IF($C22=0,"",'07 - Delinquent Home Loans Stat'!U24/$D22)</f>
        <v>0</v>
      </c>
      <c r="N22" s="1047">
        <f>IF($C22=0,"",'07 - Delinquent Home Loans Stat'!W24/$D22)</f>
        <v>1.7759981210269323E-5</v>
      </c>
      <c r="O22" s="1047">
        <f>IF($C22=0,"",'07 - Delinquent Home Loans Stat'!Y24/$D22)</f>
        <v>9.5115392075389814E-6</v>
      </c>
      <c r="P22" s="1047">
        <f>IF($C22=0,"",'07 - Delinquent Home Loans Stat'!AA24/$D22)</f>
        <v>0</v>
      </c>
      <c r="Q22" s="1047">
        <f>IF($C22=0,"",'07 - Delinquent Home Loans Stat'!AC24/$D22)</f>
        <v>0</v>
      </c>
      <c r="R22" s="772"/>
    </row>
    <row r="23" spans="1:18">
      <c r="A23" s="603"/>
      <c r="B23" s="629"/>
      <c r="C23" s="1305">
        <f>'07 - Delinquent Home Loans Stat'!B25</f>
        <v>45838</v>
      </c>
      <c r="D23" s="1314">
        <f>IF($C23=0,"",'07 - Delinquent Home Loans Stat'!C25)</f>
        <v>7570005186.9900017</v>
      </c>
      <c r="E23" s="1065">
        <f>IF($C23=0,"",'07 - Delinquent Home Loans Stat'!E25/$D23)</f>
        <v>0.99350363531130481</v>
      </c>
      <c r="F23" s="1047">
        <f>IF($C23=0,"",'07 - Delinquent Home Loans Stat'!G25/$D23)</f>
        <v>3.9183293402463527E-3</v>
      </c>
      <c r="G23" s="1047">
        <f>IF($C23=0,"",'07 - Delinquent Home Loans Stat'!I25/$D23)</f>
        <v>1.1685859694261903E-3</v>
      </c>
      <c r="H23" s="1047">
        <f>IF($C23=0,"",'07 - Delinquent Home Loans Stat'!K25/$D23)</f>
        <v>6.2407565692546994E-4</v>
      </c>
      <c r="I23" s="1047">
        <f>IF($C23=0,"",'07 - Delinquent Home Loans Stat'!M25/$D23)</f>
        <v>2.4302617297565E-4</v>
      </c>
      <c r="J23" s="1047">
        <f>IF($C23=0,"",'07 - Delinquent Home Loans Stat'!O25/$D23)</f>
        <v>4.3753082041373965E-4</v>
      </c>
      <c r="K23" s="1047">
        <f>IF($C23=0,"",'07 - Delinquent Home Loans Stat'!Q25/$D23)</f>
        <v>7.7640530684193335E-5</v>
      </c>
      <c r="L23" s="1047">
        <f>IF($C23=0,"",'07 - Delinquent Home Loans Stat'!S25/$D23)</f>
        <v>0</v>
      </c>
      <c r="M23" s="1047">
        <f>IF($C23=0,"",'07 - Delinquent Home Loans Stat'!U25/$D23)</f>
        <v>1.7673307573147996E-5</v>
      </c>
      <c r="N23" s="1047">
        <f>IF($C23=0,"",'07 - Delinquent Home Loans Stat'!W25/$D23)</f>
        <v>9.5028904502777065E-6</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45808</v>
      </c>
      <c r="D24" s="1314">
        <f>IF($C24=0,"",'07 - Delinquent Home Loans Stat'!C26)</f>
        <v>7635175945.3200016</v>
      </c>
      <c r="E24" s="1065">
        <f>IF($C24=0,"",'07 - Delinquent Home Loans Stat'!E26/$D24)</f>
        <v>0.99421826062082308</v>
      </c>
      <c r="F24" s="1047">
        <f>IF($C24=0,"",'07 - Delinquent Home Loans Stat'!G26/$D24)</f>
        <v>3.2737078227150673E-3</v>
      </c>
      <c r="G24" s="1047">
        <f>IF($C24=0,"",'07 - Delinquent Home Loans Stat'!I26/$D24)</f>
        <v>1.3946722022204431E-3</v>
      </c>
      <c r="H24" s="1047">
        <f>IF($C24=0,"",'07 - Delinquent Home Loans Stat'!K26/$D24)</f>
        <v>4.3130812617599488E-4</v>
      </c>
      <c r="I24" s="1047">
        <f>IF($C24=0,"",'07 - Delinquent Home Loans Stat'!M26/$D24)</f>
        <v>5.0959149964119516E-4</v>
      </c>
      <c r="J24" s="1047">
        <f>IF($C24=0,"",'07 - Delinquent Home Loans Stat'!O26/$D24)</f>
        <v>1.4536511901605995E-4</v>
      </c>
      <c r="K24" s="1047">
        <f>IF($C24=0,"",'07 - Delinquent Home Loans Stat'!Q26/$D24)</f>
        <v>0</v>
      </c>
      <c r="L24" s="1047">
        <f>IF($C24=0,"",'07 - Delinquent Home Loans Stat'!S26/$D24)</f>
        <v>1.7596004461737294E-5</v>
      </c>
      <c r="M24" s="1047">
        <f>IF($C24=0,"",'07 - Delinquent Home Loans Stat'!U26/$D24)</f>
        <v>9.4986049462885612E-6</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45777</v>
      </c>
      <c r="D25" s="1314">
        <f>IF($C25=0,"",'07 - Delinquent Home Loans Stat'!C27)</f>
        <v>7700874478.6100006</v>
      </c>
      <c r="E25" s="1065">
        <f>IF($C25=0,"",'07 - Delinquent Home Loans Stat'!E27/$D25)</f>
        <v>0.99490872454434853</v>
      </c>
      <c r="F25" s="1047">
        <f>IF($C25=0,"",'07 - Delinquent Home Loans Stat'!G27/$D25)</f>
        <v>3.3837026057725516E-3</v>
      </c>
      <c r="G25" s="1047">
        <f>IF($C25=0,"",'07 - Delinquent Home Loans Stat'!I27/$D25)</f>
        <v>8.0540468841916663E-4</v>
      </c>
      <c r="H25" s="1047">
        <f>IF($C25=0,"",'07 - Delinquent Home Loans Stat'!K27/$D25)</f>
        <v>6.1688111307294858E-4</v>
      </c>
      <c r="I25" s="1047">
        <f>IF($C25=0,"",'07 - Delinquent Home Loans Stat'!M27/$D25)</f>
        <v>2.1371072266809077E-4</v>
      </c>
      <c r="J25" s="1047">
        <f>IF($C25=0,"",'07 - Delinquent Home Loans Stat'!O27/$D25)</f>
        <v>4.1860539461511407E-5</v>
      </c>
      <c r="K25" s="1047">
        <f>IF($C25=0,"",'07 - Delinquent Home Loans Stat'!Q27/$D25)</f>
        <v>1.7518718215019007E-5</v>
      </c>
      <c r="L25" s="1047">
        <f>IF($C25=0,"",'07 - Delinquent Home Loans Stat'!S27/$D25)</f>
        <v>1.2197068042193814E-5</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45747</v>
      </c>
      <c r="D26" s="1314">
        <f>IF($C26=0,"",'07 - Delinquent Home Loans Stat'!C28)</f>
        <v>7762584280.3299999</v>
      </c>
      <c r="E26" s="1065">
        <f>IF($C26=0,"",'07 - Delinquent Home Loans Stat'!E28/$D26)</f>
        <v>0.99797260673743937</v>
      </c>
      <c r="F26" s="1047">
        <f>IF($C26=0,"",'07 - Delinquent Home Loans Stat'!G28/$D26)</f>
        <v>4.1685417550950415E-4</v>
      </c>
      <c r="G26" s="1047">
        <f>IF($C26=0,"",'07 - Delinquent Home Loans Stat'!I28/$D26)</f>
        <v>9.2411992462064973E-4</v>
      </c>
      <c r="H26" s="1047">
        <f>IF($C26=0,"",'07 - Delinquent Home Loans Stat'!K28/$D26)</f>
        <v>3.3670672492703511E-4</v>
      </c>
      <c r="I26" s="1047">
        <f>IF($C26=0,"",'07 - Delinquent Home Loans Stat'!M28/$D26)</f>
        <v>2.1458754969281776E-4</v>
      </c>
      <c r="J26" s="1047">
        <f>IF($C26=0,"",'07 - Delinquent Home Loans Stat'!O28/$D26)</f>
        <v>1.2291892307279874E-4</v>
      </c>
      <c r="K26" s="1047">
        <f>IF($C26=0,"",'07 - Delinquent Home Loans Stat'!Q28/$D26)</f>
        <v>1.2205964737811779E-5</v>
      </c>
      <c r="L26" s="1047">
        <f>IF($C26=0,"",'07 - Delinquent Home Loans Stat'!S28/$D26)</f>
        <v>0</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45716</v>
      </c>
      <c r="D27" s="1314">
        <f>IF($C27=0,"",'07 - Delinquent Home Loans Stat'!C29)</f>
        <v>7821840687.46</v>
      </c>
      <c r="E27" s="1065">
        <f>IF($C27=0,"",'07 - Delinquent Home Loans Stat'!E29/$D27)</f>
        <v>0.99602147191518597</v>
      </c>
      <c r="F27" s="1047">
        <f>IF($C27=0,"",'07 - Delinquent Home Loans Stat'!G29/$D27)</f>
        <v>2.2603822740017185E-3</v>
      </c>
      <c r="G27" s="1047">
        <f>IF($C27=0,"",'07 - Delinquent Home Loans Stat'!I29/$D27)</f>
        <v>1.1703971029065805E-3</v>
      </c>
      <c r="H27" s="1047">
        <f>IF($C27=0,"",'07 - Delinquent Home Loans Stat'!K29/$D27)</f>
        <v>3.622736441746904E-4</v>
      </c>
      <c r="I27" s="1047">
        <f>IF($C27=0,"",'07 - Delinquent Home Loans Stat'!M29/$D27)</f>
        <v>1.4925295549315291E-4</v>
      </c>
      <c r="J27" s="1047">
        <f>IF($C27=0,"",'07 - Delinquent Home Loans Stat'!O29/$D27)</f>
        <v>3.6222108237799481E-5</v>
      </c>
      <c r="K27" s="1047">
        <f>IF($C27=0,"",'07 - Delinquent Home Loans Stat'!Q29/$D27)</f>
        <v>0</v>
      </c>
      <c r="L27" s="1047">
        <f>IF($C27=0,"",'07 - Delinquent Home Loans Stat'!S29/$D27)</f>
        <v>0</v>
      </c>
      <c r="M27" s="1047">
        <f>IF($C27=0,"",'07 - Delinquent Home Loans Stat'!U29/$D27)</f>
        <v>0</v>
      </c>
      <c r="N27" s="1047">
        <f>IF($C27=0,"",'07 - Delinquent Home Loans Stat'!W29/$D27)</f>
        <v>0</v>
      </c>
      <c r="O27" s="1047">
        <f>IF($C27=0,"",'07 - Delinquent Home Loans Stat'!Y29/$D27)</f>
        <v>0</v>
      </c>
      <c r="P27" s="1047">
        <f>IF($C27=0,"",'07 - Delinquent Home Loans Stat'!AA29/$D27)</f>
        <v>0</v>
      </c>
      <c r="Q27" s="1047">
        <f>IF($C27=0,"",'07 - Delinquent Home Loans Stat'!AC29/$D27)</f>
        <v>0</v>
      </c>
      <c r="R27" s="772"/>
    </row>
    <row r="28" spans="1:18">
      <c r="A28" s="603"/>
      <c r="B28" s="629"/>
      <c r="C28" s="1305">
        <f>'07 - Delinquent Home Loans Stat'!B30</f>
        <v>45688</v>
      </c>
      <c r="D28" s="1314">
        <f>IF($C28=0,"",'07 - Delinquent Home Loans Stat'!C30)</f>
        <v>7882097726.960001</v>
      </c>
      <c r="E28" s="1065">
        <f>IF($C28=0,"",'07 - Delinquent Home Loans Stat'!E30/$D28)</f>
        <v>0.99616706702497926</v>
      </c>
      <c r="F28" s="1047">
        <f>IF($C28=0,"",'07 - Delinquent Home Loans Stat'!G30/$D28)</f>
        <v>2.4194558733738442E-3</v>
      </c>
      <c r="G28" s="1047">
        <f>IF($C28=0,"",'07 - Delinquent Home Loans Stat'!I30/$D28)</f>
        <v>9.5313034679887375E-4</v>
      </c>
      <c r="H28" s="1047">
        <f>IF($C28=0,"",'07 - Delinquent Home Loans Stat'!K30/$D28)</f>
        <v>2.8352381655408784E-4</v>
      </c>
      <c r="I28" s="1047">
        <f>IF($C28=0,"",'07 - Delinquent Home Loans Stat'!M30/$D28)</f>
        <v>1.768229382938064E-4</v>
      </c>
      <c r="J28" s="1047">
        <f>IF($C28=0,"",'07 - Delinquent Home Loans Stat'!O30/$D28)</f>
        <v>0</v>
      </c>
      <c r="K28" s="1047">
        <f>IF($C28=0,"",'07 - Delinquent Home Loans Stat'!Q30/$D28)</f>
        <v>0</v>
      </c>
      <c r="L28" s="1047">
        <f>IF($C28=0,"",'07 - Delinquent Home Loans Stat'!S30/$D28)</f>
        <v>0</v>
      </c>
      <c r="M28" s="1047">
        <f>IF($C28=0,"",'07 - Delinquent Home Loans Stat'!U30/$D28)</f>
        <v>0</v>
      </c>
      <c r="N28" s="1047">
        <f>IF($C28=0,"",'07 - Delinquent Home Loans Stat'!W30/$D28)</f>
        <v>0</v>
      </c>
      <c r="O28" s="1047">
        <f>IF($C28=0,"",'07 - Delinquent Home Loans Stat'!Y30/$D28)</f>
        <v>0</v>
      </c>
      <c r="P28" s="1047">
        <f>IF($C28=0,"",'07 - Delinquent Home Loans Stat'!AA30/$D28)</f>
        <v>0</v>
      </c>
      <c r="Q28" s="1047">
        <f>IF($C28=0,"",'07 - Delinquent Home Loans Stat'!AC30/$D28)</f>
        <v>0</v>
      </c>
      <c r="R28" s="772"/>
    </row>
    <row r="29" spans="1:18">
      <c r="A29" s="603"/>
      <c r="B29" s="629"/>
      <c r="C29" s="1305">
        <f>'07 - Delinquent Home Loans Stat'!B31</f>
        <v>45657</v>
      </c>
      <c r="D29" s="1314">
        <f>IF($C29=0,"",'07 - Delinquent Home Loans Stat'!C31)</f>
        <v>7942231678.2000008</v>
      </c>
      <c r="E29" s="1065">
        <f>IF($C29=0,"",'07 - Delinquent Home Loans Stat'!E31/$D29)</f>
        <v>0.99634179587460925</v>
      </c>
      <c r="F29" s="1047">
        <f>IF($C29=0,"",'07 - Delinquent Home Loans Stat'!G31/$D29)</f>
        <v>2.5511106047956533E-3</v>
      </c>
      <c r="G29" s="1047">
        <f>IF($C29=0,"",'07 - Delinquent Home Loans Stat'!I31/$D29)</f>
        <v>7.8182039149571575E-4</v>
      </c>
      <c r="H29" s="1047">
        <f>IF($C29=0,"",'07 - Delinquent Home Loans Stat'!K31/$D29)</f>
        <v>3.2527312909933788E-4</v>
      </c>
      <c r="I29" s="1047">
        <f>IF($C29=0,"",'07 - Delinquent Home Loans Stat'!M31/$D29)</f>
        <v>0</v>
      </c>
      <c r="J29" s="1047">
        <f>IF($C29=0,"",'07 - Delinquent Home Loans Stat'!O31/$D29)</f>
        <v>0</v>
      </c>
      <c r="K29" s="1047">
        <f>IF($C29=0,"",'07 - Delinquent Home Loans Stat'!Q31/$D29)</f>
        <v>0</v>
      </c>
      <c r="L29" s="1047">
        <f>IF($C29=0,"",'07 - Delinquent Home Loans Stat'!S31/$D29)</f>
        <v>0</v>
      </c>
      <c r="M29" s="1047">
        <f>IF($C29=0,"",'07 - Delinquent Home Loans Stat'!U31/$D29)</f>
        <v>0</v>
      </c>
      <c r="N29" s="1047">
        <f>IF($C29=0,"",'07 - Delinquent Home Loans Stat'!W31/$D29)</f>
        <v>0</v>
      </c>
      <c r="O29" s="1047">
        <f>IF($C29=0,"",'07 - Delinquent Home Loans Stat'!Y31/$D29)</f>
        <v>0</v>
      </c>
      <c r="P29" s="1047">
        <f>IF($C29=0,"",'07 - Delinquent Home Loans Stat'!AA31/$D29)</f>
        <v>0</v>
      </c>
      <c r="Q29" s="1047">
        <f>IF($C29=0,"",'07 - Delinquent Home Loans Stat'!AC31/$D29)</f>
        <v>0</v>
      </c>
      <c r="R29" s="772"/>
    </row>
    <row r="30" spans="1:18">
      <c r="A30" s="603"/>
      <c r="B30" s="629"/>
      <c r="C30" s="1305">
        <f>'07 - Delinquent Home Loans Stat'!B32</f>
        <v>45626</v>
      </c>
      <c r="D30" s="1314">
        <f>IF($C30=0,"",'07 - Delinquent Home Loans Stat'!C32)</f>
        <v>8062678431.4300003</v>
      </c>
      <c r="E30" s="1065">
        <f>IF($C30=0,"",'07 - Delinquent Home Loans Stat'!E32/$D30)</f>
        <v>0.99706241150736319</v>
      </c>
      <c r="F30" s="1047">
        <f>IF($C30=0,"",'07 - Delinquent Home Loans Stat'!G32/$D30)</f>
        <v>2.1891429020901095E-3</v>
      </c>
      <c r="G30" s="1047">
        <f>IF($C30=0,"",'07 - Delinquent Home Loans Stat'!I32/$D30)</f>
        <v>7.4844559054672885E-4</v>
      </c>
      <c r="H30" s="1047">
        <f>IF($C30=0,"",'07 - Delinquent Home Loans Stat'!K32/$D30)</f>
        <v>0</v>
      </c>
      <c r="I30" s="1047">
        <f>IF($C30=0,"",'07 - Delinquent Home Loans Stat'!M32/$D30)</f>
        <v>0</v>
      </c>
      <c r="J30" s="1047">
        <f>IF($C30=0,"",'07 - Delinquent Home Loans Stat'!O32/$D30)</f>
        <v>0</v>
      </c>
      <c r="K30" s="1047">
        <f>IF($C30=0,"",'07 - Delinquent Home Loans Stat'!Q32/$D30)</f>
        <v>0</v>
      </c>
      <c r="L30" s="1047">
        <f>IF($C30=0,"",'07 - Delinquent Home Loans Stat'!S32/$D30)</f>
        <v>0</v>
      </c>
      <c r="M30" s="1047">
        <f>IF($C30=0,"",'07 - Delinquent Home Loans Stat'!U32/$D30)</f>
        <v>0</v>
      </c>
      <c r="N30" s="1047">
        <f>IF($C30=0,"",'07 - Delinquent Home Loans Stat'!W32/$D30)</f>
        <v>0</v>
      </c>
      <c r="O30" s="1047">
        <f>IF($C30=0,"",'07 - Delinquent Home Loans Stat'!Y32/$D30)</f>
        <v>0</v>
      </c>
      <c r="P30" s="1047">
        <f>IF($C30=0,"",'07 - Delinquent Home Loans Stat'!AA32/$D30)</f>
        <v>0</v>
      </c>
      <c r="Q30" s="1047">
        <f>IF($C30=0,"",'07 - Delinquent Home Loans Stat'!AC32/$D30)</f>
        <v>0</v>
      </c>
      <c r="R30" s="772"/>
    </row>
    <row r="31" spans="1:18">
      <c r="A31" s="603"/>
      <c r="B31" s="629"/>
      <c r="C31" s="1305">
        <f>'07 - Delinquent Home Loans Stat'!B33</f>
        <v>45596</v>
      </c>
      <c r="D31" s="1314">
        <f>IF($C31=0,"",'07 - Delinquent Home Loans Stat'!C33)</f>
        <v>8120798931.6599998</v>
      </c>
      <c r="E31" s="1065">
        <f>IF($C31=0,"",'07 - Delinquent Home Loans Stat'!E33/$D31)</f>
        <v>1</v>
      </c>
      <c r="F31" s="1047">
        <f>IF($C31=0,"",'07 - Delinquent Home Loans Stat'!G33/$D31)</f>
        <v>0</v>
      </c>
      <c r="G31" s="1047">
        <f>IF($C31=0,"",'07 - Delinquent Home Loans Stat'!I33/$D31)</f>
        <v>0</v>
      </c>
      <c r="H31" s="1047">
        <f>IF($C31=0,"",'07 - Delinquent Home Loans Stat'!K33/$D31)</f>
        <v>0</v>
      </c>
      <c r="I31" s="1047">
        <f>IF($C31=0,"",'07 - Delinquent Home Loans Stat'!M33/$D31)</f>
        <v>0</v>
      </c>
      <c r="J31" s="1047">
        <f>IF($C31=0,"",'07 - Delinquent Home Loans Stat'!O33/$D31)</f>
        <v>0</v>
      </c>
      <c r="K31" s="1047">
        <f>IF($C31=0,"",'07 - Delinquent Home Loans Stat'!Q33/$D31)</f>
        <v>0</v>
      </c>
      <c r="L31" s="1047">
        <f>IF($C31=0,"",'07 - Delinquent Home Loans Stat'!S33/$D31)</f>
        <v>0</v>
      </c>
      <c r="M31" s="1047">
        <f>IF($C31=0,"",'07 - Delinquent Home Loans Stat'!U33/$D31)</f>
        <v>0</v>
      </c>
      <c r="N31" s="1047">
        <f>IF($C31=0,"",'07 - Delinquent Home Loans Stat'!W33/$D31)</f>
        <v>0</v>
      </c>
      <c r="O31" s="1047">
        <f>IF($C31=0,"",'07 - Delinquent Home Loans Stat'!Y33/$D31)</f>
        <v>0</v>
      </c>
      <c r="P31" s="1047">
        <f>IF($C31=0,"",'07 - Delinquent Home Loans Stat'!AA33/$D31)</f>
        <v>0</v>
      </c>
      <c r="Q31" s="1047">
        <f>IF($C31=0,"",'07 - Delinquent Home Loans Stat'!AC33/$D31)</f>
        <v>0</v>
      </c>
      <c r="R31" s="772"/>
    </row>
    <row r="32" spans="1:18" ht="13"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4.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4.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4.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4.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4.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4.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4.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4.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4.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4.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4.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4.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4.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4.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4.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4.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4.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4.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4.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4.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4.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4.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4.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4.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4.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4.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4.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4.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4.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4.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4.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4.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4.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4.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4.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4.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4.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4.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4.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4.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4.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4.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4.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4.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4.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4.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4.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4.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4.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4.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4.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4.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4.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4.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4.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4.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4.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4.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4.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4.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4.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4.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4.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4.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4.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4.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4.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4.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4.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4.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4.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4.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4.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4.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4.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4.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4.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4.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4.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4.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4.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4.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4.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4.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4.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4.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4.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4.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4.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4.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4.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4.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4.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4.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4.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4.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4.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4.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4.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4.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4.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4.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4.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4.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4.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4.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4.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4.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4.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4.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4.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4.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4.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4.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4.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4.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4.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4.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4.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4.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4.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4.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4.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4.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4.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4.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4.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4.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4.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4.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4.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4.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4.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4.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4.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4.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4.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4.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4.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4.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4.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4.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4.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4.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4.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4.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4.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4.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4.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4.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4.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4.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4.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4.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4.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4.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4.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4.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4.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4.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4.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4.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4.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4.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4.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4.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4.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4.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4.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4.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4.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4.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4.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4.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4.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4.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4.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4.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4.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4.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4.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4.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4.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4.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4.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4.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4.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4.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4.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4.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4.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4.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4.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4.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4.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4.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4.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4.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4.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4.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4.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4.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4.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4.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4.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4.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4.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4.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4.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4.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4.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4.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4.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4.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4.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4.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4.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4.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4.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4.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4.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4.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4.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4.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4.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4.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4.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4.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4.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4.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4.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4.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4.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4.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4.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4.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4.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4.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4.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4.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4.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4.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4.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4.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4.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4.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4.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4.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4.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4.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4.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4.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4.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4.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4.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4.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4.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4.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4.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4.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4.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4.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4.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4.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4.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4.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4.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4.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4.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4.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4.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4.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4.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4.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4.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4.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4.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4.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4.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4.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4.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4.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4.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4.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4.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4.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4.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4.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4.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4.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4.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4.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4.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4.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4.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4.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4.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4.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4.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4.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4.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4.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4.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4.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4.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4.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4.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4.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4.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4.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4.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4.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4.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4.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4.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4.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4.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4.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4.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4.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4.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4.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4.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4.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4.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4.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4.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4.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4.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4.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4.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4.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4.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4.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4.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4.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4.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4.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4.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4.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4.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4.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4.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4.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4.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4.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4.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4.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4.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4.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4.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4.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4.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4.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4.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4.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4.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4.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4.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4.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4.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4.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4.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4.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4.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4.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4.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4.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4.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4.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4.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4.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4.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4.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4.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4.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4.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4.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4.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4.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4.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4.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4.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4.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4.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4.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4.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4.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4.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4.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4.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4.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4.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4.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4.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4.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4.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4.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4.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4.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4.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4.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4.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4.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4.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4.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4.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4.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4.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4.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4.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4.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4.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4.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4.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4.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4.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4.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4.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4.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4.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4.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4.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4.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4.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4.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4.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4.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4.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4.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4.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4.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4.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4.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4.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4.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4.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4.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4.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4.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4.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4.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4.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4.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4.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4.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4.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4.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4.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4.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4.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4.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4.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4.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4.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4.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4.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4.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4.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4.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4.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4.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4.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4.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4.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4.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4.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4.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4.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4.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4.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4.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4.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4.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4.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4.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4.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4.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4.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4.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4.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4.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4.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4.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4.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4.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4.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4.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4.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4.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4.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4.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4.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4.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4.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4.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4.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4.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4.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4.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4.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4.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4.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4.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4.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4.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4.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4.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4.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4.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4.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4.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4.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4.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4.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4.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4.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4.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4.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4.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4.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4.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4.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4.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4.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4.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4.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4.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4.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4.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4.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4.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4.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4.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4.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4.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85" zoomScaleNormal="85" workbookViewId="0"/>
  </sheetViews>
  <sheetFormatPr defaultColWidth="11.453125" defaultRowHeight="12.5"/>
  <cols>
    <col min="1" max="1" width="2.7265625" style="592" customWidth="1"/>
    <col min="2" max="2" width="6.26953125" style="592" customWidth="1"/>
    <col min="3" max="7" width="21.1796875" style="592" customWidth="1"/>
    <col min="8" max="8" width="21.1796875" style="954" customWidth="1"/>
    <col min="9" max="12" width="21.1796875" style="592" customWidth="1"/>
    <col min="13" max="13" width="5.54296875" style="592" customWidth="1"/>
    <col min="14" max="14" width="6.81640625" style="592" customWidth="1"/>
    <col min="15" max="15" width="15.1796875" style="592" bestFit="1" customWidth="1"/>
    <col min="16" max="16384" width="11.453125" style="592"/>
  </cols>
  <sheetData>
    <row r="1" spans="2:15" ht="13" thickBot="1"/>
    <row r="2" spans="2:15" ht="28.5" thickTop="1">
      <c r="B2" s="1052"/>
      <c r="C2" s="810"/>
      <c r="D2" s="810"/>
      <c r="E2" s="811"/>
      <c r="F2" s="811"/>
      <c r="G2" s="811"/>
      <c r="H2" s="1321"/>
      <c r="I2" s="811"/>
      <c r="J2" s="811"/>
      <c r="K2" s="534" t="s">
        <v>232</v>
      </c>
      <c r="L2" s="618">
        <f>'Delinquencies Analysis'!Q2</f>
        <v>46203</v>
      </c>
      <c r="M2" s="1053"/>
    </row>
    <row r="3" spans="2:15" ht="14">
      <c r="B3" s="759"/>
      <c r="C3" s="596"/>
      <c r="D3" s="596"/>
      <c r="E3" s="596"/>
      <c r="F3" s="596"/>
      <c r="G3" s="596"/>
      <c r="H3" s="1322"/>
      <c r="I3" s="596"/>
      <c r="J3" s="596"/>
      <c r="K3" s="540" t="s">
        <v>233</v>
      </c>
      <c r="L3" s="621">
        <f>'Delinquencies Analysis'!Q3</f>
        <v>46218</v>
      </c>
      <c r="M3" s="766"/>
    </row>
    <row r="4" spans="2:15" ht="14">
      <c r="B4" s="2110"/>
      <c r="C4" s="2111"/>
      <c r="D4" s="2111"/>
      <c r="E4" s="2148" t="s">
        <v>589</v>
      </c>
      <c r="F4" s="2148"/>
      <c r="G4" s="2148"/>
      <c r="H4" s="2148"/>
      <c r="I4" s="2148"/>
      <c r="J4" s="2148"/>
      <c r="K4" s="540" t="s">
        <v>234</v>
      </c>
      <c r="L4" s="621">
        <f>'Delinquencies Analysis'!Q4</f>
        <v>46223</v>
      </c>
      <c r="M4" s="766"/>
    </row>
    <row r="5" spans="2:15" ht="14">
      <c r="B5" s="2110"/>
      <c r="C5" s="2111"/>
      <c r="D5" s="2111"/>
      <c r="E5" s="2148"/>
      <c r="F5" s="2148"/>
      <c r="G5" s="2148"/>
      <c r="H5" s="2148"/>
      <c r="I5" s="2148"/>
      <c r="J5" s="2148"/>
      <c r="K5" s="540" t="s">
        <v>235</v>
      </c>
      <c r="L5" s="621">
        <f>'Delinquencies Analysis'!Q5</f>
        <v>46230</v>
      </c>
      <c r="M5" s="766"/>
    </row>
    <row r="6" spans="2:15" ht="14">
      <c r="B6" s="759"/>
      <c r="C6" s="596"/>
      <c r="D6" s="596"/>
      <c r="E6" s="596"/>
      <c r="F6" s="596"/>
      <c r="G6" s="596"/>
      <c r="H6" s="1322"/>
      <c r="I6" s="596"/>
      <c r="J6" s="596"/>
      <c r="K6" s="540" t="s">
        <v>236</v>
      </c>
      <c r="L6" s="624">
        <f>'Delinquencies Analysis'!Q6</f>
        <v>21</v>
      </c>
      <c r="M6" s="766"/>
    </row>
    <row r="7" spans="2:15" ht="14">
      <c r="B7" s="759"/>
      <c r="C7" s="596"/>
      <c r="D7" s="596"/>
      <c r="E7" s="596"/>
      <c r="F7" s="596"/>
      <c r="G7" s="596"/>
      <c r="H7" s="1322"/>
      <c r="I7" s="596"/>
      <c r="J7" s="596"/>
      <c r="K7" s="540"/>
      <c r="L7" s="1054"/>
      <c r="M7" s="766"/>
    </row>
    <row r="8" spans="2:15" ht="14">
      <c r="B8" s="1055"/>
      <c r="C8" s="1056"/>
      <c r="D8" s="1056"/>
      <c r="E8" s="1056"/>
      <c r="F8" s="1056"/>
      <c r="G8" s="1056"/>
      <c r="H8" s="1323"/>
      <c r="I8" s="1056"/>
      <c r="J8" s="1056"/>
      <c r="K8" s="1057"/>
      <c r="L8" s="1058"/>
      <c r="M8" s="1059"/>
    </row>
    <row r="9" spans="2:15" ht="98.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ht="13">
      <c r="B10" s="767"/>
      <c r="C10" s="1304">
        <f>'08 - Default &amp; Recovery Stat'!B12</f>
        <v>46203</v>
      </c>
      <c r="D10" s="1060">
        <f>IF($C10=0,"",'02 - Monthly Asset Follow up'!C17)</f>
        <v>10826314196.07</v>
      </c>
      <c r="E10" s="1061">
        <f>IF($C10=0,"",_xlfn.XLOOKUP($C10,INPUT_DATA!$CQ:$CQ,INPUT_DATA!DS:DS,""))</f>
        <v>8</v>
      </c>
      <c r="F10" s="1062">
        <f>'Key Figures'!F35</f>
        <v>1114351.0900000001</v>
      </c>
      <c r="G10" s="1063">
        <f>IF($C10=0,"",IF(G11="",E10,E10+G11))</f>
        <v>105</v>
      </c>
      <c r="H10" s="1325">
        <f>IF($C10=0,"",IF(H11="",F10,F10+H11))</f>
        <v>13356732.550000003</v>
      </c>
      <c r="I10" s="1064">
        <f>IFERROR(IF($C10=0,"",H10/'08 - Default &amp; Recovery Stat'!D12),"")</f>
        <v>1.0746689669593606E-3</v>
      </c>
      <c r="J10" s="1062">
        <f>IF($C10=0,"",'08 - Default &amp; Recovery Stat'!G12)</f>
        <v>57371.880000000005</v>
      </c>
      <c r="K10" s="1062">
        <f t="shared" ref="K10:K15" si="0">IF($C10=0,"",IF(K11="",J10,J10+K11))</f>
        <v>1865968.8899999997</v>
      </c>
      <c r="L10" s="1065">
        <f>IFERROR(IF($C10=0,"",K10/H10),"")</f>
        <v>0.13970249707515475</v>
      </c>
      <c r="M10" s="772"/>
      <c r="O10" s="954"/>
    </row>
    <row r="11" spans="2:15">
      <c r="B11" s="767"/>
      <c r="C11" s="1305">
        <f>'08 - Default &amp; Recovery Stat'!B13</f>
        <v>46173</v>
      </c>
      <c r="D11" s="1316">
        <f>IF($C11=0,"",'02 - Monthly Asset Follow up'!C18)</f>
        <v>10910642357.889999</v>
      </c>
      <c r="E11" s="1317">
        <f>IF($C11=0,"",_xlfn.XLOOKUP($C11,INPUT_DATA!$CQ:$CQ,INPUT_DATA!DS:DS,""))</f>
        <v>7</v>
      </c>
      <c r="F11" s="1316">
        <f>IF($C11=0,"",'02 - Monthly Asset Follow up'!K18)</f>
        <v>1035980.47</v>
      </c>
      <c r="G11" s="1317">
        <f t="shared" ref="G11:G54" si="1">IF($C11=0,"",IF(G12="",E11,E11+G12))</f>
        <v>97</v>
      </c>
      <c r="H11" s="1326">
        <f t="shared" ref="H11:H55" si="2">IF($C11=0,"",IF(H12="",F11,F11+H12))</f>
        <v>12242381.460000003</v>
      </c>
      <c r="I11" s="1318">
        <f>IFERROR(IF($C11=0,"",H11/'08 - Default &amp; Recovery Stat'!D13),"")</f>
        <v>9.8500942408558069E-4</v>
      </c>
      <c r="J11" s="1316">
        <f>IF($C11=0,"",'08 - Default &amp; Recovery Stat'!G13)</f>
        <v>159095.67000000001</v>
      </c>
      <c r="K11" s="1316">
        <f t="shared" si="0"/>
        <v>1808597.0099999998</v>
      </c>
      <c r="L11" s="1320">
        <f>IFERROR(IF($C11=0,"",K11/H11),"")</f>
        <v>0.14773245025155418</v>
      </c>
      <c r="M11" s="772"/>
    </row>
    <row r="12" spans="2:15">
      <c r="B12" s="767"/>
      <c r="C12" s="1305">
        <f>'08 - Default &amp; Recovery Stat'!B14</f>
        <v>46142</v>
      </c>
      <c r="D12" s="1316">
        <f>IF($C12=0,"",'02 - Monthly Asset Follow up'!C19)</f>
        <v>11003433195.969999</v>
      </c>
      <c r="E12" s="1317">
        <f>IF($C12=0,"",_xlfn.XLOOKUP($C12,INPUT_DATA!$CQ:$CQ,INPUT_DATA!DS:DS,""))</f>
        <v>4</v>
      </c>
      <c r="F12" s="1316">
        <f>IF($C12=0,"",'02 - Monthly Asset Follow up'!K19)</f>
        <v>644714.96</v>
      </c>
      <c r="G12" s="1317">
        <f t="shared" si="1"/>
        <v>90</v>
      </c>
      <c r="H12" s="1326">
        <f t="shared" si="2"/>
        <v>11206400.990000002</v>
      </c>
      <c r="I12" s="1318">
        <f>IFERROR(IF($C12=0,"",H12/'08 - Default &amp; Recovery Stat'!D14),"")</f>
        <v>9.0165550071268422E-4</v>
      </c>
      <c r="J12" s="1316">
        <f>IF($C12=0,"",'08 - Default &amp; Recovery Stat'!G14)</f>
        <v>2575.1800000000003</v>
      </c>
      <c r="K12" s="1316">
        <f t="shared" si="0"/>
        <v>1649501.3399999999</v>
      </c>
      <c r="L12" s="1320">
        <f t="shared" ref="L12:L55" si="3">IFERROR(IF($C12=0,"",K12/H12),"")</f>
        <v>0.14719278218510362</v>
      </c>
      <c r="M12" s="772"/>
    </row>
    <row r="13" spans="2:15">
      <c r="B13" s="767"/>
      <c r="C13" s="1305">
        <f>'08 - Default &amp; Recovery Stat'!B15</f>
        <v>46112</v>
      </c>
      <c r="D13" s="1316">
        <f>IF($C13=0,"",'02 - Monthly Asset Follow up'!C20)</f>
        <v>11124620357.440001</v>
      </c>
      <c r="E13" s="1317">
        <f>IF($C13=0,"",_xlfn.XLOOKUP($C13,INPUT_DATA!$CQ:$CQ,INPUT_DATA!DS:DS,""))</f>
        <v>4</v>
      </c>
      <c r="F13" s="1316">
        <f>IF($C13=0,"",'02 - Monthly Asset Follow up'!K20)</f>
        <v>533922.61</v>
      </c>
      <c r="G13" s="1317">
        <f t="shared" si="1"/>
        <v>86</v>
      </c>
      <c r="H13" s="1326">
        <f t="shared" si="2"/>
        <v>10561686.030000001</v>
      </c>
      <c r="I13" s="1318">
        <f>IFERROR(IF($C13=0,"",H13/'08 - Default &amp; Recovery Stat'!D15),"")</f>
        <v>8.4978239795699222E-4</v>
      </c>
      <c r="J13" s="1316">
        <f>IF($C13=0,"",'08 - Default &amp; Recovery Stat'!G15)</f>
        <v>101335.99</v>
      </c>
      <c r="K13" s="1316">
        <f t="shared" si="0"/>
        <v>1646926.16</v>
      </c>
      <c r="L13" s="1320">
        <f t="shared" si="3"/>
        <v>0.15593401993980688</v>
      </c>
      <c r="M13" s="772"/>
    </row>
    <row r="14" spans="2:15">
      <c r="B14" s="767"/>
      <c r="C14" s="1305">
        <f>'08 - Default &amp; Recovery Stat'!B16</f>
        <v>46081</v>
      </c>
      <c r="D14" s="1316">
        <f>IF($C14=0,"",'02 - Monthly Asset Follow up'!C21)</f>
        <v>11215080214.709999</v>
      </c>
      <c r="E14" s="1317">
        <f>IF($C14=0,"",_xlfn.XLOOKUP($C14,INPUT_DATA!$CQ:$CQ,INPUT_DATA!DS:DS,""))</f>
        <v>3</v>
      </c>
      <c r="F14" s="1316">
        <f>IF($C14=0,"",'02 - Monthly Asset Follow up'!K21)</f>
        <v>340969.13</v>
      </c>
      <c r="G14" s="1317">
        <f t="shared" si="1"/>
        <v>82</v>
      </c>
      <c r="H14" s="1326">
        <f t="shared" si="2"/>
        <v>10027763.420000002</v>
      </c>
      <c r="I14" s="1318">
        <f>IFERROR(IF($C14=0,"",H14/'08 - Default &amp; Recovery Stat'!D16),"")</f>
        <v>8.0682353376045296E-4</v>
      </c>
      <c r="J14" s="1316">
        <f>IF($C14=0,"",'08 - Default &amp; Recovery Stat'!G16)</f>
        <v>164020.23000000001</v>
      </c>
      <c r="K14" s="1316">
        <f t="shared" si="0"/>
        <v>1545590.17</v>
      </c>
      <c r="L14" s="1320">
        <f t="shared" si="3"/>
        <v>0.15413109636365949</v>
      </c>
      <c r="M14" s="772"/>
    </row>
    <row r="15" spans="2:15">
      <c r="B15" s="767"/>
      <c r="C15" s="1305">
        <f>'08 - Default &amp; Recovery Stat'!B17</f>
        <v>46053</v>
      </c>
      <c r="D15" s="1316">
        <f>IF($C15=0,"",'02 - Monthly Asset Follow up'!C22)</f>
        <v>11314220550.59</v>
      </c>
      <c r="E15" s="1317">
        <f>IF($C15=0,"",_xlfn.XLOOKUP($C15,INPUT_DATA!$CQ:$CQ,INPUT_DATA!DS:DS,""))</f>
        <v>6</v>
      </c>
      <c r="F15" s="1316">
        <f>IF($C15=0,"",'02 - Monthly Asset Follow up'!K22)</f>
        <v>2770700.2</v>
      </c>
      <c r="G15" s="1317">
        <f t="shared" si="1"/>
        <v>79</v>
      </c>
      <c r="H15" s="1326">
        <f t="shared" si="2"/>
        <v>9686794.290000001</v>
      </c>
      <c r="I15" s="1318">
        <f>IFERROR(IF($C15=0,"",H15/'08 - Default &amp; Recovery Stat'!D17),"")</f>
        <v>7.7938950816097111E-4</v>
      </c>
      <c r="J15" s="1319">
        <f>IF($C15=0,"",'08 - Default &amp; Recovery Stat'!G17)</f>
        <v>847684.58000000007</v>
      </c>
      <c r="K15" s="1319">
        <f t="shared" si="0"/>
        <v>1381569.94</v>
      </c>
      <c r="L15" s="1320">
        <f t="shared" si="3"/>
        <v>0.14262406102979192</v>
      </c>
      <c r="M15" s="772"/>
    </row>
    <row r="16" spans="2:15">
      <c r="B16" s="767"/>
      <c r="C16" s="1305">
        <f>'08 - Default &amp; Recovery Stat'!B18</f>
        <v>46022</v>
      </c>
      <c r="D16" s="1316">
        <f>IF($C16=0,"",'02 - Monthly Asset Follow up'!C23)</f>
        <v>11410540020.709999</v>
      </c>
      <c r="E16" s="1317">
        <f>IF($C16=0,"",_xlfn.XLOOKUP($C16,INPUT_DATA!$CQ:$CQ,INPUT_DATA!DS:DS,""))</f>
        <v>7</v>
      </c>
      <c r="F16" s="1316">
        <f>IF($C16=0,"",'02 - Monthly Asset Follow up'!K23)</f>
        <v>998490.2</v>
      </c>
      <c r="G16" s="1317">
        <f t="shared" si="1"/>
        <v>73</v>
      </c>
      <c r="H16" s="1326">
        <f t="shared" si="2"/>
        <v>6916094.0900000008</v>
      </c>
      <c r="I16" s="1318">
        <f>IFERROR(IF($C16=0,"",H16/'08 - Default &amp; Recovery Stat'!D18),"")</f>
        <v>5.5646181903178408E-4</v>
      </c>
      <c r="J16" s="1319">
        <f>IF($C16=0,"",'08 - Default &amp; Recovery Stat'!G18)</f>
        <v>10317.209999999999</v>
      </c>
      <c r="K16" s="1319">
        <f t="shared" ref="K16:K55" si="4">IF($C16=0,"",IF(K17="",J16,J16+K17))</f>
        <v>533885.36</v>
      </c>
      <c r="L16" s="1320">
        <f t="shared" si="3"/>
        <v>7.7194635158585573E-2</v>
      </c>
      <c r="M16" s="772"/>
    </row>
    <row r="17" spans="2:13">
      <c r="B17" s="767"/>
      <c r="C17" s="1305">
        <f>'08 - Default &amp; Recovery Stat'!B19</f>
        <v>45991</v>
      </c>
      <c r="D17" s="1316">
        <f>IF($C17=0,"",'02 - Monthly Asset Follow up'!C24)</f>
        <v>11501221849.950001</v>
      </c>
      <c r="E17" s="1317">
        <f>IF($C17=0,"",_xlfn.XLOOKUP($C17,INPUT_DATA!$CQ:$CQ,INPUT_DATA!DS:DS,""))</f>
        <v>7</v>
      </c>
      <c r="F17" s="1316">
        <f>IF($C17=0,"",'02 - Monthly Asset Follow up'!K24)</f>
        <v>563823.34</v>
      </c>
      <c r="G17" s="1317">
        <f t="shared" si="1"/>
        <v>66</v>
      </c>
      <c r="H17" s="1326">
        <f t="shared" si="2"/>
        <v>5917603.8900000006</v>
      </c>
      <c r="I17" s="1318">
        <f>IFERROR(IF($C17=0,"",H17/'08 - Default &amp; Recovery Stat'!D19),"")</f>
        <v>4.7612432423384818E-4</v>
      </c>
      <c r="J17" s="1319">
        <f>IF($C17=0,"",'08 - Default &amp; Recovery Stat'!G19)</f>
        <v>311624.19</v>
      </c>
      <c r="K17" s="1319">
        <f t="shared" si="4"/>
        <v>523568.14999999997</v>
      </c>
      <c r="L17" s="1320">
        <f t="shared" si="3"/>
        <v>8.8476376542330537E-2</v>
      </c>
      <c r="M17" s="772"/>
    </row>
    <row r="18" spans="2:13">
      <c r="B18" s="767"/>
      <c r="C18" s="1305">
        <f>'08 - Default &amp; Recovery Stat'!B20</f>
        <v>45961</v>
      </c>
      <c r="D18" s="1316">
        <f>IF($C18=0,"",'02 - Monthly Asset Follow up'!C25)</f>
        <v>11613993146.950001</v>
      </c>
      <c r="E18" s="1317">
        <f>IF($C18=0,"",_xlfn.XLOOKUP($C18,INPUT_DATA!$CQ:$CQ,INPUT_DATA!DS:DS,""))</f>
        <v>3</v>
      </c>
      <c r="F18" s="1316">
        <f>IF($C18=0,"",'02 - Monthly Asset Follow up'!K25)</f>
        <v>229091.41</v>
      </c>
      <c r="G18" s="1317">
        <f t="shared" si="1"/>
        <v>59</v>
      </c>
      <c r="H18" s="1326">
        <f t="shared" si="2"/>
        <v>5353780.5500000007</v>
      </c>
      <c r="I18" s="1318">
        <f>IFERROR(IF($C18=0,"",H18/'08 - Default &amp; Recovery Stat'!D20),"")</f>
        <v>4.3075967804683023E-4</v>
      </c>
      <c r="J18" s="1319">
        <f>IF($C18=0,"",'08 - Default &amp; Recovery Stat'!G20)</f>
        <v>1137.19</v>
      </c>
      <c r="K18" s="1319">
        <f t="shared" si="4"/>
        <v>211943.95999999996</v>
      </c>
      <c r="L18" s="1320">
        <f t="shared" si="3"/>
        <v>3.9587718999800979E-2</v>
      </c>
      <c r="M18" s="772"/>
    </row>
    <row r="19" spans="2:13">
      <c r="B19" s="767"/>
      <c r="C19" s="1305">
        <f>'08 - Default &amp; Recovery Stat'!B21</f>
        <v>45930</v>
      </c>
      <c r="D19" s="1316">
        <f>IF($C19=0,"",'02 - Monthly Asset Follow up'!C26)</f>
        <v>7430770897.8500004</v>
      </c>
      <c r="E19" s="1317">
        <f>IF($C19=0,"",_xlfn.XLOOKUP($C19,INPUT_DATA!$CQ:$CQ,INPUT_DATA!DS:DS,""))</f>
        <v>6</v>
      </c>
      <c r="F19" s="1316">
        <f>IF($C19=0,"",'02 - Monthly Asset Follow up'!K26)</f>
        <v>414679.66</v>
      </c>
      <c r="G19" s="1317">
        <f t="shared" si="1"/>
        <v>56</v>
      </c>
      <c r="H19" s="1326">
        <f t="shared" si="2"/>
        <v>5124689.1400000006</v>
      </c>
      <c r="I19" s="1318">
        <f>IFERROR(IF($C19=0,"",H19/'08 - Default &amp; Recovery Stat'!D21),"")</f>
        <v>4.1232721876067319E-4</v>
      </c>
      <c r="J19" s="1319">
        <f>IF($C19=0,"",'08 - Default &amp; Recovery Stat'!G21)</f>
        <v>1788.58</v>
      </c>
      <c r="K19" s="1319">
        <f t="shared" si="4"/>
        <v>210806.76999999996</v>
      </c>
      <c r="L19" s="1320">
        <f t="shared" si="3"/>
        <v>4.1135523392936947E-2</v>
      </c>
      <c r="M19" s="772"/>
    </row>
    <row r="20" spans="2:13">
      <c r="B20" s="767"/>
      <c r="C20" s="1305">
        <f>'08 - Default &amp; Recovery Stat'!B22</f>
        <v>45900</v>
      </c>
      <c r="D20" s="1316">
        <f>IF($C20=0,"",'02 - Monthly Asset Follow up'!C27)</f>
        <v>7501402080.4799995</v>
      </c>
      <c r="E20" s="1317">
        <f>IF($C20=0,"",_xlfn.XLOOKUP($C20,INPUT_DATA!$CQ:$CQ,INPUT_DATA!DS:DS,""))</f>
        <v>4</v>
      </c>
      <c r="F20" s="1316">
        <f>IF($C20=0,"",'02 - Monthly Asset Follow up'!K27)</f>
        <v>325275.99</v>
      </c>
      <c r="G20" s="1317">
        <f t="shared" si="1"/>
        <v>50</v>
      </c>
      <c r="H20" s="1326">
        <f t="shared" si="2"/>
        <v>4710009.4800000004</v>
      </c>
      <c r="I20" s="1318">
        <f>IFERROR(IF($C20=0,"",H20/'08 - Default &amp; Recovery Stat'!D22),"")</f>
        <v>5.7562910897248395E-4</v>
      </c>
      <c r="J20" s="1319">
        <f>IF($C20=0,"",'08 - Default &amp; Recovery Stat'!G22)</f>
        <v>2472.34</v>
      </c>
      <c r="K20" s="1319">
        <f t="shared" si="4"/>
        <v>209018.18999999997</v>
      </c>
      <c r="L20" s="1320">
        <f t="shared" si="3"/>
        <v>4.4377445711637924E-2</v>
      </c>
      <c r="M20" s="772"/>
    </row>
    <row r="21" spans="2:13">
      <c r="B21" s="767"/>
      <c r="C21" s="1305">
        <f>'08 - Default &amp; Recovery Stat'!B23</f>
        <v>45869</v>
      </c>
      <c r="D21" s="1316">
        <f>IF($C21=0,"",'02 - Monthly Asset Follow up'!C28)</f>
        <v>7570005186.9899998</v>
      </c>
      <c r="E21" s="1317">
        <f>IF($C21=0,"",_xlfn.XLOOKUP($C21,INPUT_DATA!$CQ:$CQ,INPUT_DATA!DS:DS,""))</f>
        <v>5</v>
      </c>
      <c r="F21" s="1316">
        <f>IF($C21=0,"",'02 - Monthly Asset Follow up'!K28)</f>
        <v>619098.98</v>
      </c>
      <c r="G21" s="1317">
        <f t="shared" si="1"/>
        <v>46</v>
      </c>
      <c r="H21" s="1326">
        <f t="shared" si="2"/>
        <v>4384733.49</v>
      </c>
      <c r="I21" s="1318">
        <f>IFERROR(IF($C21=0,"",H21/'08 - Default &amp; Recovery Stat'!D23),"")</f>
        <v>5.358758284135152E-4</v>
      </c>
      <c r="J21" s="1319">
        <f>IF($C21=0,"",'08 - Default &amp; Recovery Stat'!G23)</f>
        <v>5836.2100000000009</v>
      </c>
      <c r="K21" s="1319">
        <f t="shared" si="4"/>
        <v>206545.84999999998</v>
      </c>
      <c r="L21" s="1320">
        <f t="shared" si="3"/>
        <v>4.7105679392158442E-2</v>
      </c>
      <c r="M21" s="772"/>
    </row>
    <row r="22" spans="2:13">
      <c r="B22" s="767"/>
      <c r="C22" s="1305">
        <f>'08 - Default &amp; Recovery Stat'!B24</f>
        <v>45838</v>
      </c>
      <c r="D22" s="1316">
        <f>IF($C22=0,"",'02 - Monthly Asset Follow up'!C29)</f>
        <v>7635175945.3199997</v>
      </c>
      <c r="E22" s="1317">
        <f>IF($C22=0,"",_xlfn.XLOOKUP($C22,INPUT_DATA!$CQ:$CQ,INPUT_DATA!DS:DS,""))</f>
        <v>3</v>
      </c>
      <c r="F22" s="1316">
        <f>IF($C22=0,"",'02 - Monthly Asset Follow up'!K29)</f>
        <v>183346.71</v>
      </c>
      <c r="G22" s="1317">
        <f t="shared" si="1"/>
        <v>41</v>
      </c>
      <c r="H22" s="1326">
        <f t="shared" si="2"/>
        <v>3765634.51</v>
      </c>
      <c r="I22" s="1318">
        <f>IFERROR(IF($C22=0,"",H22/'08 - Default &amp; Recovery Stat'!D24),"")</f>
        <v>4.602132643069194E-4</v>
      </c>
      <c r="J22" s="1319">
        <f>IF($C22=0,"",'08 - Default &amp; Recovery Stat'!G24)</f>
        <v>8765.27</v>
      </c>
      <c r="K22" s="1319">
        <f t="shared" si="4"/>
        <v>200709.63999999998</v>
      </c>
      <c r="L22" s="1320">
        <f t="shared" si="3"/>
        <v>5.3300350702384015E-2</v>
      </c>
      <c r="M22" s="772"/>
    </row>
    <row r="23" spans="2:13">
      <c r="B23" s="767"/>
      <c r="C23" s="1305">
        <f>'08 - Default &amp; Recovery Stat'!B25</f>
        <v>45808</v>
      </c>
      <c r="D23" s="1316">
        <f>IF($C23=0,"",'02 - Monthly Asset Follow up'!C30)</f>
        <v>7700874478.6099997</v>
      </c>
      <c r="E23" s="1317">
        <f>IF($C23=0,"",_xlfn.XLOOKUP($C23,INPUT_DATA!$CQ:$CQ,INPUT_DATA!DS:DS,""))</f>
        <v>10</v>
      </c>
      <c r="F23" s="1316">
        <f>IF($C23=0,"",'02 - Monthly Asset Follow up'!K30)</f>
        <v>723701.24</v>
      </c>
      <c r="G23" s="1317">
        <f t="shared" si="1"/>
        <v>38</v>
      </c>
      <c r="H23" s="1326">
        <f t="shared" si="2"/>
        <v>3582287.8</v>
      </c>
      <c r="I23" s="1318">
        <f>IFERROR(IF($C23=0,"",H23/'08 - Default &amp; Recovery Stat'!D25),"")</f>
        <v>4.3780572908677027E-4</v>
      </c>
      <c r="J23" s="1319">
        <f>IF($C23=0,"",'08 - Default &amp; Recovery Stat'!G25)</f>
        <v>14058.619999999999</v>
      </c>
      <c r="K23" s="1319">
        <f t="shared" si="4"/>
        <v>191944.37</v>
      </c>
      <c r="L23" s="1320">
        <f t="shared" si="3"/>
        <v>5.3581504534616117E-2</v>
      </c>
      <c r="M23" s="772"/>
    </row>
    <row r="24" spans="2:13">
      <c r="B24" s="767"/>
      <c r="C24" s="1305">
        <f>'08 - Default &amp; Recovery Stat'!B26</f>
        <v>45777</v>
      </c>
      <c r="D24" s="1316">
        <f>IF($C24=0,"",'02 - Monthly Asset Follow up'!C31)</f>
        <v>7762584280.3299999</v>
      </c>
      <c r="E24" s="1317">
        <f>IF($C24=0,"",_xlfn.XLOOKUP($C24,INPUT_DATA!$CQ:$CQ,INPUT_DATA!DS:DS,""))</f>
        <v>10</v>
      </c>
      <c r="F24" s="1316">
        <f>IF($C24=0,"",'02 - Monthly Asset Follow up'!K31)</f>
        <v>1236920.96</v>
      </c>
      <c r="G24" s="1317">
        <f t="shared" si="1"/>
        <v>28</v>
      </c>
      <c r="H24" s="1326">
        <f t="shared" si="2"/>
        <v>2858586.56</v>
      </c>
      <c r="I24" s="1318">
        <f>IFERROR(IF($C24=0,"",H24/'08 - Default &amp; Recovery Stat'!D26),"")</f>
        <v>3.4935930414592669E-4</v>
      </c>
      <c r="J24" s="1319">
        <f>IF($C24=0,"",'08 - Default &amp; Recovery Stat'!G26)</f>
        <v>5807.5</v>
      </c>
      <c r="K24" s="1319">
        <f t="shared" si="4"/>
        <v>177885.75</v>
      </c>
      <c r="L24" s="1320">
        <f t="shared" si="3"/>
        <v>6.2228568653173826E-2</v>
      </c>
      <c r="M24" s="772"/>
    </row>
    <row r="25" spans="2:13">
      <c r="B25" s="767"/>
      <c r="C25" s="1305">
        <f>'08 - Default &amp; Recovery Stat'!B27</f>
        <v>45747</v>
      </c>
      <c r="D25" s="1316">
        <f>IF($C25=0,"",'02 - Monthly Asset Follow up'!C32)</f>
        <v>7821840687.46</v>
      </c>
      <c r="E25" s="1317">
        <f>IF($C25=0,"",_xlfn.XLOOKUP($C25,INPUT_DATA!$CQ:$CQ,INPUT_DATA!DS:DS,""))</f>
        <v>4</v>
      </c>
      <c r="F25" s="1316">
        <f>IF($C25=0,"",'02 - Monthly Asset Follow up'!K32)</f>
        <v>394532.89</v>
      </c>
      <c r="G25" s="1317">
        <f t="shared" si="1"/>
        <v>18</v>
      </c>
      <c r="H25" s="1326">
        <f t="shared" si="2"/>
        <v>1621665.6</v>
      </c>
      <c r="I25" s="1318">
        <f>IFERROR(IF($C25=0,"",H25/'08 - Default &amp; Recovery Stat'!D27),"")</f>
        <v>1.9819024321355051E-4</v>
      </c>
      <c r="J25" s="1319">
        <f>IF($C25=0,"",'08 - Default &amp; Recovery Stat'!G27)</f>
        <v>115581.97</v>
      </c>
      <c r="K25" s="1319">
        <f t="shared" si="4"/>
        <v>172078.25</v>
      </c>
      <c r="L25" s="1320">
        <f t="shared" si="3"/>
        <v>0.10611204307472515</v>
      </c>
      <c r="M25" s="772"/>
    </row>
    <row r="26" spans="2:13">
      <c r="B26" s="767"/>
      <c r="C26" s="1305">
        <f>'08 - Default &amp; Recovery Stat'!B28</f>
        <v>45716</v>
      </c>
      <c r="D26" s="1316">
        <f>IF($C26=0,"",'02 - Monthly Asset Follow up'!C33)</f>
        <v>7882097726.96</v>
      </c>
      <c r="E26" s="1317">
        <f>IF($C26=0,"",_xlfn.XLOOKUP($C26,INPUT_DATA!$CQ:$CQ,INPUT_DATA!DS:DS,""))</f>
        <v>2</v>
      </c>
      <c r="F26" s="1316">
        <f>IF($C26=0,"",'02 - Monthly Asset Follow up'!K33)</f>
        <v>208258.58</v>
      </c>
      <c r="G26" s="1317">
        <f t="shared" si="1"/>
        <v>14</v>
      </c>
      <c r="H26" s="1326">
        <f t="shared" si="2"/>
        <v>1227132.71</v>
      </c>
      <c r="I26" s="1318">
        <f>IFERROR(IF($C26=0,"",H26/'08 - Default &amp; Recovery Stat'!D28),"")</f>
        <v>1.4997279972529684E-4</v>
      </c>
      <c r="J26" s="1319">
        <f>IF($C26=0,"",'08 - Default &amp; Recovery Stat'!G28)</f>
        <v>3590.35</v>
      </c>
      <c r="K26" s="1319">
        <f t="shared" si="4"/>
        <v>56496.279999999992</v>
      </c>
      <c r="L26" s="1320">
        <f t="shared" si="3"/>
        <v>4.6039258459665701E-2</v>
      </c>
      <c r="M26" s="772"/>
    </row>
    <row r="27" spans="2:13">
      <c r="B27" s="767"/>
      <c r="C27" s="1305">
        <f>'08 - Default &amp; Recovery Stat'!B29</f>
        <v>45688</v>
      </c>
      <c r="D27" s="1316">
        <f>IF($C27=0,"",'02 - Monthly Asset Follow up'!C34)</f>
        <v>7942231678.1999998</v>
      </c>
      <c r="E27" s="1317">
        <f>IF($C27=0,"",_xlfn.XLOOKUP($C27,INPUT_DATA!$CQ:$CQ,INPUT_DATA!DS:DS,""))</f>
        <v>6</v>
      </c>
      <c r="F27" s="1316">
        <f>IF($C27=0,"",'02 - Monthly Asset Follow up'!K34)</f>
        <v>411919.03</v>
      </c>
      <c r="G27" s="1317">
        <f t="shared" si="1"/>
        <v>12</v>
      </c>
      <c r="H27" s="1326">
        <f t="shared" si="2"/>
        <v>1018874.13</v>
      </c>
      <c r="I27" s="1318">
        <f>IFERROR(IF($C27=0,"",H27/'08 - Default &amp; Recovery Stat'!D29),"")</f>
        <v>1.2452068517004657E-4</v>
      </c>
      <c r="J27" s="1319">
        <f>IF($C27=0,"",'08 - Default &amp; Recovery Stat'!G29)</f>
        <v>1637.84</v>
      </c>
      <c r="K27" s="1319">
        <f t="shared" si="4"/>
        <v>52905.929999999993</v>
      </c>
      <c r="L27" s="1320">
        <f t="shared" si="3"/>
        <v>5.1925874298133362E-2</v>
      </c>
      <c r="M27" s="772"/>
    </row>
    <row r="28" spans="2:13">
      <c r="B28" s="767"/>
      <c r="C28" s="1305">
        <f>'08 - Default &amp; Recovery Stat'!B30</f>
        <v>45657</v>
      </c>
      <c r="D28" s="1316">
        <f>IF($C28=0,"",'02 - Monthly Asset Follow up'!C35)</f>
        <v>8062678431.4300003</v>
      </c>
      <c r="E28" s="1317">
        <f>IF($C28=0,"",_xlfn.XLOOKUP($C28,INPUT_DATA!$CQ:$CQ,INPUT_DATA!DS:DS,""))</f>
        <v>3</v>
      </c>
      <c r="F28" s="1316">
        <f>IF($C28=0,"",'02 - Monthly Asset Follow up'!K35)</f>
        <v>282412.90999999997</v>
      </c>
      <c r="G28" s="1317">
        <f t="shared" si="1"/>
        <v>6</v>
      </c>
      <c r="H28" s="1326">
        <f t="shared" si="2"/>
        <v>606955.1</v>
      </c>
      <c r="I28" s="1318">
        <f>IFERROR(IF($C28=0,"",H28/'08 - Default &amp; Recovery Stat'!D30),"")</f>
        <v>7.4178411929503143E-5</v>
      </c>
      <c r="J28" s="1319">
        <f>IF($C28=0,"",'08 - Default &amp; Recovery Stat'!G30)</f>
        <v>50914.85</v>
      </c>
      <c r="K28" s="1319">
        <f t="shared" si="4"/>
        <v>51268.09</v>
      </c>
      <c r="L28" s="1320">
        <f t="shared" si="3"/>
        <v>8.4467681382033033E-2</v>
      </c>
      <c r="M28" s="772"/>
    </row>
    <row r="29" spans="2:13">
      <c r="B29" s="767"/>
      <c r="C29" s="1305">
        <f>'08 - Default &amp; Recovery Stat'!B31</f>
        <v>45626</v>
      </c>
      <c r="D29" s="1316">
        <f>IF($C29=0,"",'02 - Monthly Asset Follow up'!C36)</f>
        <v>8120798931.6599998</v>
      </c>
      <c r="E29" s="1317">
        <f>IF($C29=0,"",_xlfn.XLOOKUP($C29,INPUT_DATA!$CQ:$CQ,INPUT_DATA!DS:DS,""))</f>
        <v>2</v>
      </c>
      <c r="F29" s="1316">
        <f>IF($C29=0,"",'02 - Monthly Asset Follow up'!K36)</f>
        <v>259157.33</v>
      </c>
      <c r="G29" s="1317">
        <f t="shared" si="1"/>
        <v>3</v>
      </c>
      <c r="H29" s="1326">
        <f t="shared" si="2"/>
        <v>324542.19</v>
      </c>
      <c r="I29" s="1318">
        <f>IFERROR(IF($C29=0,"",H29/'08 - Default &amp; Recovery Stat'!D31),"")</f>
        <v>3.9663599924151023E-5</v>
      </c>
      <c r="J29" s="1319">
        <f>IF($C29=0,"",'08 - Default &amp; Recovery Stat'!G31)</f>
        <v>-558.57000000000005</v>
      </c>
      <c r="K29" s="1319">
        <f t="shared" si="4"/>
        <v>353.2399999999999</v>
      </c>
      <c r="L29" s="1320">
        <f t="shared" si="3"/>
        <v>1.0884255141065016E-3</v>
      </c>
      <c r="M29" s="772"/>
    </row>
    <row r="30" spans="2:13">
      <c r="B30" s="767"/>
      <c r="C30" s="1305">
        <f>'08 - Default &amp; Recovery Stat'!B32</f>
        <v>45596</v>
      </c>
      <c r="D30" s="1316">
        <f>IF($C30=0,"",'02 - Monthly Asset Follow up'!C37)</f>
        <v>8182368484.4700003</v>
      </c>
      <c r="E30" s="1317">
        <f>IF($C30=0,"",_xlfn.XLOOKUP($C30,INPUT_DATA!$CQ:$CQ,INPUT_DATA!DS:DS,""))</f>
        <v>1</v>
      </c>
      <c r="F30" s="1316">
        <f>IF($C30=0,"",'02 - Monthly Asset Follow up'!K37)</f>
        <v>65384.86</v>
      </c>
      <c r="G30" s="1317">
        <f t="shared" si="1"/>
        <v>1</v>
      </c>
      <c r="H30" s="1326">
        <f t="shared" si="2"/>
        <v>65384.86</v>
      </c>
      <c r="I30" s="1318">
        <f>IFERROR(IF($C30=0,"",H30/'08 - Default &amp; Recovery Stat'!D32),"")</f>
        <v>7.9909454241885314E-6</v>
      </c>
      <c r="J30" s="1319">
        <f>IF($C30=0,"",'08 - Default &amp; Recovery Stat'!G32)</f>
        <v>911.81</v>
      </c>
      <c r="K30" s="1319">
        <f t="shared" si="4"/>
        <v>911.81</v>
      </c>
      <c r="L30" s="1320">
        <f t="shared" si="3"/>
        <v>1.3945277240021618E-2</v>
      </c>
      <c r="M30" s="772"/>
    </row>
    <row r="31" spans="2:13">
      <c r="B31" s="767"/>
      <c r="C31" s="1305">
        <f>'08 - Default &amp; Recovery Stat'!B33</f>
        <v>45565</v>
      </c>
      <c r="D31" s="1316">
        <f>IF($C31=0,"",'02 - Monthly Asset Follow up'!C38)</f>
        <v>0</v>
      </c>
      <c r="E31" s="1317">
        <f>IF($C31=0,"",_xlfn.XLOOKUP($C31,INPUT_DATA!$CQ:$CQ,INPUT_DATA!DS:DS,""))</f>
        <v>0</v>
      </c>
      <c r="F31" s="1316">
        <f>IF($C31=0,"",'02 - Monthly Asset Follow up'!K38)</f>
        <v>0</v>
      </c>
      <c r="G31" s="1317">
        <f t="shared" si="1"/>
        <v>0</v>
      </c>
      <c r="H31" s="1326">
        <f t="shared" si="2"/>
        <v>0</v>
      </c>
      <c r="I31" s="1318">
        <f>IFERROR(IF($C31=0,"",H31/'08 - Default &amp; Recovery Stat'!D33),"")</f>
        <v>0</v>
      </c>
      <c r="J31" s="1319">
        <f>IF($C31=0,"",'08 - Default &amp; Recovery Stat'!G33)</f>
        <v>0</v>
      </c>
      <c r="K31" s="1319">
        <f t="shared" si="4"/>
        <v>0</v>
      </c>
      <c r="L31" s="1320" t="str">
        <f t="shared" si="3"/>
        <v/>
      </c>
      <c r="M31" s="772"/>
    </row>
    <row r="32" spans="2:13">
      <c r="B32" s="767"/>
      <c r="C32" s="1305" t="str">
        <f>'08 - Default &amp; Recovery Stat'!B34</f>
        <v/>
      </c>
      <c r="D32" s="1316" t="str">
        <f>IF($C32=0,"",'02 - Monthly Asset Follow up'!C39)</f>
        <v/>
      </c>
      <c r="E32" s="1317" t="str">
        <f>IF($C32=0,"",_xlfn.XLOOKUP($C32,INPUT_DATA!$CQ:$CQ,INPUT_DATA!DS:DS,""))</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IF($C33=0,"",_xlfn.XLOOKUP($C33,INPUT_DATA!$CQ:$CQ,INPUT_DATA!DS:DS,""))</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IF($C34=0,"",_xlfn.XLOOKUP($C34,INPUT_DATA!$CQ:$CQ,INPUT_DATA!DS:DS,""))</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IF($C35=0,"",_xlfn.XLOOKUP($C35,INPUT_DATA!$CQ:$CQ,INPUT_DATA!DS:DS,""))</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IF($C36=0,"",_xlfn.XLOOKUP($C36,INPUT_DATA!$CQ:$CQ,INPUT_DATA!DS:DS,""))</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IF($C37=0,"",_xlfn.XLOOKUP($C37,INPUT_DATA!$CQ:$CQ,INPUT_DATA!DS:DS,""))</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IF($C38=0,"",_xlfn.XLOOKUP($C38,INPUT_DATA!$CQ:$CQ,INPUT_DATA!DS:DS,""))</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IF($C39=0,"",_xlfn.XLOOKUP($C39,INPUT_DATA!$CQ:$CQ,INPUT_DATA!DS:DS,""))</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IF($C40=0,"",_xlfn.XLOOKUP($C40,INPUT_DATA!$CQ:$CQ,INPUT_DATA!DS:DS,""))</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IF($C41=0,"",_xlfn.XLOOKUP($C41,INPUT_DATA!$CQ:$CQ,INPUT_DATA!DS:DS,""))</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IF($C42=0,"",_xlfn.XLOOKUP($C42,INPUT_DATA!$CQ:$CQ,INPUT_DATA!DS:DS,""))</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IF($C43=0,"",_xlfn.XLOOKUP($C43,INPUT_DATA!$CQ:$CQ,INPUT_DATA!DS:DS,""))</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IF($C44=0,"",_xlfn.XLOOKUP($C44,INPUT_DATA!$CQ:$CQ,INPUT_DATA!DS:DS,""))</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IF($C45=0,"",_xlfn.XLOOKUP($C45,INPUT_DATA!$CQ:$CQ,INPUT_DATA!DS:DS,""))</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IF($C46=0,"",_xlfn.XLOOKUP($C46,INPUT_DATA!$CQ:$CQ,INPUT_DATA!DS:DS,""))</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IF($C47=0,"",_xlfn.XLOOKUP($C47,INPUT_DATA!$CQ:$CQ,INPUT_DATA!DS:DS,""))</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IF($C48=0,"",_xlfn.XLOOKUP($C48,INPUT_DATA!$CQ:$CQ,INPUT_DATA!DS:DS,""))</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IF($C49=0,"",_xlfn.XLOOKUP($C49,INPUT_DATA!$CQ:$CQ,INPUT_DATA!DS:DS,""))</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IF($C50=0,"",_xlfn.XLOOKUP($C50,INPUT_DATA!$CQ:$CQ,INPUT_DATA!DS:DS,""))</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IF($C51=0,"",_xlfn.XLOOKUP($C51,INPUT_DATA!$CQ:$CQ,INPUT_DATA!DS:DS,""))</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IF($C52=0,"",_xlfn.XLOOKUP($C52,INPUT_DATA!$CQ:$CQ,INPUT_DATA!DS:DS,""))</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IF($C53=0,"",_xlfn.XLOOKUP($C53,INPUT_DATA!$CQ:$CQ,INPUT_DATA!DS:DS,""))</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IF($C54=0,"",_xlfn.XLOOKUP($C54,INPUT_DATA!$CQ:$CQ,INPUT_DATA!DS:DS,""))</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IF($C55=0,"",_xlfn.XLOOKUP($C55,INPUT_DATA!$CQ:$CQ,INPUT_DATA!DS:DS,""))</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defaultColWidth="11.453125" defaultRowHeight="12.5"/>
  <cols>
    <col min="1" max="1" width="2.7265625" style="592" customWidth="1"/>
    <col min="2" max="2" width="6.26953125" style="592" customWidth="1"/>
    <col min="3" max="8" width="28.54296875" style="592" customWidth="1"/>
    <col min="9" max="9" width="13.7265625" style="592" customWidth="1"/>
    <col min="10" max="10" width="7.453125" style="592" customWidth="1"/>
    <col min="11" max="16384" width="11.453125" style="592"/>
  </cols>
  <sheetData>
    <row r="1" spans="2:9" ht="13" thickBot="1"/>
    <row r="2" spans="2:9" ht="28.5" thickTop="1">
      <c r="B2" s="1192"/>
      <c r="C2" s="1066"/>
      <c r="D2" s="1066"/>
      <c r="E2" s="757"/>
      <c r="F2" s="757"/>
      <c r="G2" s="757"/>
      <c r="H2" s="534" t="s">
        <v>232</v>
      </c>
      <c r="I2" s="535">
        <f>'Default &amp; Recovery Analysis'!L2</f>
        <v>46203</v>
      </c>
    </row>
    <row r="3" spans="2:9" ht="14">
      <c r="B3" s="623"/>
      <c r="C3" s="761"/>
      <c r="D3" s="761"/>
      <c r="E3" s="596"/>
      <c r="F3" s="596"/>
      <c r="G3" s="596"/>
      <c r="H3" s="540" t="s">
        <v>233</v>
      </c>
      <c r="I3" s="541">
        <f>'Default &amp; Recovery Analysis'!L3</f>
        <v>46218</v>
      </c>
    </row>
    <row r="4" spans="2:9" ht="23">
      <c r="B4" s="2110"/>
      <c r="C4" s="2111"/>
      <c r="D4" s="2111"/>
      <c r="E4" s="2148" t="s">
        <v>599</v>
      </c>
      <c r="F4" s="2148"/>
      <c r="G4" s="1043"/>
      <c r="H4" s="540" t="s">
        <v>234</v>
      </c>
      <c r="I4" s="541">
        <f>'Default &amp; Recovery Analysis'!L4</f>
        <v>46223</v>
      </c>
    </row>
    <row r="5" spans="2:9" ht="23">
      <c r="B5" s="2110"/>
      <c r="C5" s="2111"/>
      <c r="D5" s="2111"/>
      <c r="E5" s="2148"/>
      <c r="F5" s="2148"/>
      <c r="G5" s="1043"/>
      <c r="H5" s="540" t="s">
        <v>235</v>
      </c>
      <c r="I5" s="541">
        <f>'Default &amp; Recovery Analysis'!L5</f>
        <v>46230</v>
      </c>
    </row>
    <row r="6" spans="2:9" ht="14">
      <c r="B6" s="759"/>
      <c r="C6" s="596"/>
      <c r="D6" s="596"/>
      <c r="E6" s="596"/>
      <c r="F6" s="596"/>
      <c r="G6" s="596"/>
      <c r="H6" s="540" t="s">
        <v>236</v>
      </c>
      <c r="I6" s="543">
        <f>'Default &amp; Recovery Analysis'!L6</f>
        <v>21</v>
      </c>
    </row>
    <row r="7" spans="2:9" ht="14">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ht="13">
      <c r="B10" s="1327">
        <f>I6</f>
        <v>21</v>
      </c>
      <c r="C10" s="1743">
        <f>'05 - Prepayment Rate'!B12</f>
        <v>46203</v>
      </c>
      <c r="D10" s="1060">
        <f>'Default &amp; Recovery Analysis'!D10</f>
        <v>10826314196.07</v>
      </c>
      <c r="E10" s="1060">
        <f>IF($C10=0,"",'05 - Prepayment Rate'!E12)</f>
        <v>21785339.800000001</v>
      </c>
      <c r="F10" s="1064">
        <f>'05 - Prepayment Rate'!D12</f>
        <v>2.0122582261568002E-3</v>
      </c>
      <c r="G10" s="1071">
        <f>IF(C11=0,"",F10*12)</f>
        <v>2.4147098713881602E-2</v>
      </c>
      <c r="H10" s="1071">
        <f t="shared" ref="H10:H15" si="0">IF(C12=0,"",((1+E10/D10)^12)-1)</f>
        <v>2.4416145505643971E-2</v>
      </c>
      <c r="I10" s="772"/>
    </row>
    <row r="11" spans="2:9" ht="13">
      <c r="B11" s="767"/>
      <c r="C11" s="1744">
        <f>'05 - Prepayment Rate'!B13</f>
        <v>46173</v>
      </c>
      <c r="D11" s="1060">
        <f>'Default &amp; Recovery Analysis'!D11</f>
        <v>10910642357.889999</v>
      </c>
      <c r="E11" s="1060">
        <f>IF($C11=0,"",'05 - Prepayment Rate'!E13)</f>
        <v>20665137.280000001</v>
      </c>
      <c r="F11" s="1064">
        <f>'05 - Prepayment Rate'!D13</f>
        <v>1.8940348883359802E-3</v>
      </c>
      <c r="G11" s="1071">
        <f>IF(C12=0,"",F11*12)</f>
        <v>2.2728418660031762E-2</v>
      </c>
      <c r="H11" s="1071">
        <f t="shared" si="0"/>
        <v>2.296668616018227E-2</v>
      </c>
      <c r="I11" s="772"/>
    </row>
    <row r="12" spans="2:9" ht="13">
      <c r="B12" s="767"/>
      <c r="C12" s="1744">
        <f>'05 - Prepayment Rate'!B14</f>
        <v>46142</v>
      </c>
      <c r="D12" s="1060">
        <f>'Default &amp; Recovery Analysis'!D12</f>
        <v>11003433195.969999</v>
      </c>
      <c r="E12" s="1060">
        <f>IF($C12=0,"",'05 - Prepayment Rate'!E14)</f>
        <v>25843781</v>
      </c>
      <c r="F12" s="1064">
        <f>'05 - Prepayment Rate'!D14</f>
        <v>2.3487015861072586E-3</v>
      </c>
      <c r="G12" s="1071">
        <f t="shared" ref="G12:G34" si="1">IF(C13=0,"",F12*12)</f>
        <v>2.8184419033287104E-2</v>
      </c>
      <c r="H12" s="1071">
        <f t="shared" si="0"/>
        <v>2.8551366899093544E-2</v>
      </c>
      <c r="I12" s="772"/>
    </row>
    <row r="13" spans="2:9" ht="13">
      <c r="B13" s="767"/>
      <c r="C13" s="1744">
        <f>'05 - Prepayment Rate'!B15</f>
        <v>46112</v>
      </c>
      <c r="D13" s="1060">
        <f>'Default &amp; Recovery Analysis'!D13</f>
        <v>11124620357.440001</v>
      </c>
      <c r="E13" s="1060">
        <f>IF($C13=0,"",'05 - Prepayment Rate'!E15)</f>
        <v>27792090.75</v>
      </c>
      <c r="F13" s="1064">
        <f>'05 - Prepayment Rate'!D15</f>
        <v>2.4982507139142966E-3</v>
      </c>
      <c r="G13" s="1071">
        <f t="shared" si="1"/>
        <v>2.9979008566971561E-2</v>
      </c>
      <c r="H13" s="1071">
        <f t="shared" si="0"/>
        <v>3.0394381152941685E-2</v>
      </c>
      <c r="I13" s="772"/>
    </row>
    <row r="14" spans="2:9" ht="13">
      <c r="B14" s="767"/>
      <c r="C14" s="1744">
        <f>'05 - Prepayment Rate'!B16</f>
        <v>46081</v>
      </c>
      <c r="D14" s="1060">
        <f>'Default &amp; Recovery Analysis'!D14</f>
        <v>11215080214.709999</v>
      </c>
      <c r="E14" s="1060">
        <f>IF($C14=0,"",'05 - Prepayment Rate'!E16)</f>
        <v>26628699.350000001</v>
      </c>
      <c r="F14" s="1064">
        <f>'05 - Prepayment Rate'!D16</f>
        <v>2.3743654829212089E-3</v>
      </c>
      <c r="G14" s="1071">
        <f t="shared" si="1"/>
        <v>2.8492385795054507E-2</v>
      </c>
      <c r="H14" s="1071">
        <f t="shared" si="0"/>
        <v>2.8867428807878737E-2</v>
      </c>
      <c r="I14" s="772"/>
    </row>
    <row r="15" spans="2:9" ht="13">
      <c r="B15" s="767"/>
      <c r="C15" s="1744">
        <f>'05 - Prepayment Rate'!B17</f>
        <v>46053</v>
      </c>
      <c r="D15" s="1060">
        <f>IF($C16=0,"",'02 - Monthly Asset Follow up'!C22)</f>
        <v>11314220550.59</v>
      </c>
      <c r="E15" s="1060">
        <f>IF($C15=0,"",'05 - Prepayment Rate'!E17)</f>
        <v>31941079.600000001</v>
      </c>
      <c r="F15" s="1064">
        <f>'05 - Prepayment Rate'!D17</f>
        <v>2.823091476534314E-3</v>
      </c>
      <c r="G15" s="1071">
        <f t="shared" si="1"/>
        <v>3.3877097718411769E-2</v>
      </c>
      <c r="H15" s="1071">
        <f t="shared" si="0"/>
        <v>3.4408089017158305E-2</v>
      </c>
      <c r="I15" s="772"/>
    </row>
    <row r="16" spans="2:9" ht="13">
      <c r="B16" s="767"/>
      <c r="C16" s="1744">
        <f>'05 - Prepayment Rate'!B18</f>
        <v>46022</v>
      </c>
      <c r="D16" s="1060">
        <f>IF($C17=0,"",'02 - Monthly Asset Follow up'!C23)</f>
        <v>11410540020.709999</v>
      </c>
      <c r="E16" s="1060">
        <f>IF($C16=0,"",'05 - Prepayment Rate'!E18)</f>
        <v>28299915.91</v>
      </c>
      <c r="F16" s="1064">
        <f>'05 - Prepayment Rate'!D18</f>
        <v>2.4801557032915161E-3</v>
      </c>
      <c r="G16" s="1071">
        <f t="shared" si="1"/>
        <v>2.9761868439498192E-2</v>
      </c>
      <c r="H16" s="1071">
        <f>IF(C17=0,"",((1+E16/D16)^12)-1)</f>
        <v>3.0171220906261009E-2</v>
      </c>
      <c r="I16" s="772"/>
    </row>
    <row r="17" spans="2:9" ht="13">
      <c r="B17" s="767"/>
      <c r="C17" s="1744">
        <f>'05 - Prepayment Rate'!B19</f>
        <v>45991</v>
      </c>
      <c r="D17" s="1060">
        <f>IF($C18=0,"",'02 - Monthly Asset Follow up'!C24)</f>
        <v>11501221849.950001</v>
      </c>
      <c r="E17" s="1060">
        <f>IF($C17=0,"",'05 - Prepayment Rate'!E19)</f>
        <v>24036133.25</v>
      </c>
      <c r="F17" s="1064">
        <f>'05 - Prepayment Rate'!D19</f>
        <v>2.089876498652575E-3</v>
      </c>
      <c r="G17" s="1071">
        <f t="shared" si="1"/>
        <v>2.50785179838309E-2</v>
      </c>
      <c r="H17" s="1071">
        <f t="shared" ref="H17:H34" si="2">IF(C18=0,"",((1+E17/D17)^12)-1)</f>
        <v>2.5368796083804268E-2</v>
      </c>
      <c r="I17" s="772"/>
    </row>
    <row r="18" spans="2:9" ht="13">
      <c r="B18" s="767"/>
      <c r="C18" s="1744">
        <f>'05 - Prepayment Rate'!B20</f>
        <v>45961</v>
      </c>
      <c r="D18" s="1060">
        <f>IF($C19=0,"",'02 - Monthly Asset Follow up'!C25)</f>
        <v>11613993146.950001</v>
      </c>
      <c r="E18" s="1060">
        <f>IF($C18=0,"",'05 - Prepayment Rate'!E20)</f>
        <v>30948441.43</v>
      </c>
      <c r="F18" s="1064">
        <f>'05 - Prepayment Rate'!D20</f>
        <v>2.6647545799635243E-3</v>
      </c>
      <c r="G18" s="1071">
        <f t="shared" si="1"/>
        <v>3.1977054959562295E-2</v>
      </c>
      <c r="H18" s="1071">
        <f t="shared" si="2"/>
        <v>3.2449903430048055E-2</v>
      </c>
      <c r="I18" s="772"/>
    </row>
    <row r="19" spans="2:9" ht="13">
      <c r="B19" s="767"/>
      <c r="C19" s="1744">
        <f>'05 - Prepayment Rate'!B21</f>
        <v>45930</v>
      </c>
      <c r="D19" s="1060">
        <f>IF($C20=0,"",'02 - Monthly Asset Follow up'!C26)</f>
        <v>7430770897.8500004</v>
      </c>
      <c r="E19" s="1060">
        <f>IF($C19=0,"",'05 - Prepayment Rate'!E21)</f>
        <v>18140271.010000002</v>
      </c>
      <c r="F19" s="1064">
        <f>'05 - Prepayment Rate'!D21</f>
        <v>2.4412367517949798E-3</v>
      </c>
      <c r="G19" s="1071">
        <f t="shared" si="1"/>
        <v>2.9294841021539758E-2</v>
      </c>
      <c r="H19" s="1071">
        <f t="shared" si="2"/>
        <v>2.9691395460031078E-2</v>
      </c>
      <c r="I19" s="772"/>
    </row>
    <row r="20" spans="2:9" ht="13">
      <c r="B20" s="767"/>
      <c r="C20" s="1744">
        <f>'05 - Prepayment Rate'!B22</f>
        <v>45900</v>
      </c>
      <c r="D20" s="1060">
        <f>IF($C21=0,"",'02 - Monthly Asset Follow up'!C27)</f>
        <v>7501402080.4799995</v>
      </c>
      <c r="E20" s="1060">
        <f>IF($C20=0,"",'05 - Prepayment Rate'!E22)</f>
        <v>24368146.75</v>
      </c>
      <c r="F20" s="1064">
        <f>'05 - Prepayment Rate'!D22</f>
        <v>3.2484789494766999E-3</v>
      </c>
      <c r="G20" s="1071">
        <f t="shared" si="1"/>
        <v>3.8981747393720401E-2</v>
      </c>
      <c r="H20" s="1071">
        <f t="shared" si="2"/>
        <v>3.9685817014228908E-2</v>
      </c>
      <c r="I20" s="772"/>
    </row>
    <row r="21" spans="2:9" ht="13">
      <c r="B21" s="767"/>
      <c r="C21" s="1744">
        <f>'05 - Prepayment Rate'!B23</f>
        <v>45869</v>
      </c>
      <c r="D21" s="1060">
        <f>IF($C22=0,"",'02 - Monthly Asset Follow up'!C28)</f>
        <v>7570005186.9899998</v>
      </c>
      <c r="E21" s="1060">
        <f>IF($C21=0,"",'05 - Prepayment Rate'!E23)</f>
        <v>23530806</v>
      </c>
      <c r="F21" s="1064">
        <f>'05 - Prepayment Rate'!D23</f>
        <v>3.1084266679817646E-3</v>
      </c>
      <c r="G21" s="1071">
        <f t="shared" si="1"/>
        <v>3.7301120015781175E-2</v>
      </c>
      <c r="H21" s="1071">
        <f t="shared" si="2"/>
        <v>3.7945486951348251E-2</v>
      </c>
      <c r="I21" s="772"/>
    </row>
    <row r="22" spans="2:9" ht="13">
      <c r="B22" s="767"/>
      <c r="C22" s="1744">
        <f>'05 - Prepayment Rate'!B24</f>
        <v>45838</v>
      </c>
      <c r="D22" s="1060">
        <f>IF($C23=0,"",'02 - Monthly Asset Follow up'!C29)</f>
        <v>7635175945.3199997</v>
      </c>
      <c r="E22" s="1060">
        <f>IF($C22=0,"",'05 - Prepayment Rate'!E24)</f>
        <v>17402933.100000001</v>
      </c>
      <c r="F22" s="1064">
        <f>'05 - Prepayment Rate'!D24</f>
        <v>2.2793100282996323E-3</v>
      </c>
      <c r="G22" s="1071">
        <f t="shared" si="1"/>
        <v>2.7351720339595587E-2</v>
      </c>
      <c r="H22" s="1071">
        <f t="shared" si="2"/>
        <v>2.7697225677268067E-2</v>
      </c>
      <c r="I22" s="772"/>
    </row>
    <row r="23" spans="2:9" ht="13">
      <c r="B23" s="767"/>
      <c r="C23" s="1744">
        <f>'05 - Prepayment Rate'!B25</f>
        <v>45808</v>
      </c>
      <c r="D23" s="1060">
        <f>IF($C24=0,"",'02 - Monthly Asset Follow up'!C30)</f>
        <v>7700874478.6099997</v>
      </c>
      <c r="E23" s="1060">
        <f>IF($C23=0,"",'05 - Prepayment Rate'!E25)</f>
        <v>19519847.550000001</v>
      </c>
      <c r="F23" s="1064">
        <f>'05 - Prepayment Rate'!D25</f>
        <v>2.5347572674010543E-3</v>
      </c>
      <c r="G23" s="1071">
        <f t="shared" si="1"/>
        <v>3.041708720881265E-2</v>
      </c>
      <c r="H23" s="1071">
        <f t="shared" si="2"/>
        <v>3.0844740232787826E-2</v>
      </c>
      <c r="I23" s="772"/>
    </row>
    <row r="24" spans="2:9" ht="13">
      <c r="B24" s="767"/>
      <c r="C24" s="1744">
        <f>'05 - Prepayment Rate'!B26</f>
        <v>45777</v>
      </c>
      <c r="D24" s="1060">
        <f>IF($C25=0,"",'02 - Monthly Asset Follow up'!C31)</f>
        <v>7762584280.3299999</v>
      </c>
      <c r="E24" s="1060">
        <f>IF($C24=0,"",'05 - Prepayment Rate'!E26)</f>
        <v>14842897.939999999</v>
      </c>
      <c r="F24" s="1064">
        <f>'05 - Prepayment Rate'!D26</f>
        <v>1.9121077986375182E-3</v>
      </c>
      <c r="G24" s="1071">
        <f t="shared" si="1"/>
        <v>2.2945293583650217E-2</v>
      </c>
      <c r="H24" s="1071">
        <f t="shared" si="2"/>
        <v>2.318814454452478E-2</v>
      </c>
      <c r="I24" s="772"/>
    </row>
    <row r="25" spans="2:9" ht="13">
      <c r="B25" s="767"/>
      <c r="C25" s="1744">
        <f>'05 - Prepayment Rate'!B27</f>
        <v>45747</v>
      </c>
      <c r="D25" s="1060">
        <f>IF($C26=0,"",'02 - Monthly Asset Follow up'!C32)</f>
        <v>7821840687.46</v>
      </c>
      <c r="E25" s="1060">
        <f>IF($C25=0,"",'05 - Prepayment Rate'!E27)</f>
        <v>15107591.52</v>
      </c>
      <c r="F25" s="1064">
        <f>'05 - Prepayment Rate'!D27</f>
        <v>1.9314624426217909E-3</v>
      </c>
      <c r="G25" s="1071">
        <f t="shared" si="1"/>
        <v>2.3177549311461491E-2</v>
      </c>
      <c r="H25" s="1071">
        <f t="shared" si="2"/>
        <v>2.3425357525328261E-2</v>
      </c>
      <c r="I25" s="772"/>
    </row>
    <row r="26" spans="2:9" ht="13">
      <c r="B26" s="767"/>
      <c r="C26" s="1744">
        <f>'05 - Prepayment Rate'!B28</f>
        <v>45716</v>
      </c>
      <c r="D26" s="1060">
        <f>IF($C27=0,"",'02 - Monthly Asset Follow up'!C33)</f>
        <v>7882097726.96</v>
      </c>
      <c r="E26" s="1060">
        <f>IF($C26=0,"",'05 - Prepayment Rate'!E28)</f>
        <v>13656654.539999999</v>
      </c>
      <c r="F26" s="1064">
        <f>'05 - Prepayment Rate'!D28</f>
        <v>1.7326167491286807E-3</v>
      </c>
      <c r="G26" s="1071">
        <f t="shared" si="1"/>
        <v>2.079140098954417E-2</v>
      </c>
      <c r="H26" s="1071">
        <f t="shared" si="2"/>
        <v>2.0990679149982094E-2</v>
      </c>
      <c r="I26" s="772"/>
    </row>
    <row r="27" spans="2:9" ht="13">
      <c r="B27" s="767"/>
      <c r="C27" s="1744">
        <f>'05 - Prepayment Rate'!B29</f>
        <v>45688</v>
      </c>
      <c r="D27" s="1060">
        <f>IF($C28=0,"",'02 - Monthly Asset Follow up'!C34)</f>
        <v>7942231678.1999998</v>
      </c>
      <c r="E27" s="1060">
        <f>IF($C27=0,"",'05 - Prepayment Rate'!E29)</f>
        <v>13800626.789999999</v>
      </c>
      <c r="F27" s="1064">
        <f>'05 - Prepayment Rate'!D29</f>
        <v>1.737625814653612E-3</v>
      </c>
      <c r="G27" s="1071">
        <f t="shared" si="1"/>
        <v>2.0851509775843345E-2</v>
      </c>
      <c r="H27" s="1071">
        <f t="shared" si="2"/>
        <v>2.1051945197799293E-2</v>
      </c>
      <c r="I27" s="772"/>
    </row>
    <row r="28" spans="2:9" ht="13">
      <c r="B28" s="767"/>
      <c r="C28" s="1744">
        <f>'05 - Prepayment Rate'!B30</f>
        <v>45657</v>
      </c>
      <c r="D28" s="1060">
        <f>IF($C29=0,"",'02 - Monthly Asset Follow up'!C35)</f>
        <v>8062678431.4300003</v>
      </c>
      <c r="E28" s="1060">
        <f>IF($C28=0,"",'05 - Prepayment Rate'!E30)</f>
        <v>14770590.32</v>
      </c>
      <c r="F28" s="1064">
        <f>'05 - Prepayment Rate'!D30</f>
        <v>1.8319706590828628E-3</v>
      </c>
      <c r="G28" s="1071">
        <f t="shared" si="1"/>
        <v>2.1983647908994354E-2</v>
      </c>
      <c r="H28" s="1071">
        <f t="shared" si="2"/>
        <v>2.2206509817060294E-2</v>
      </c>
      <c r="I28" s="772"/>
    </row>
    <row r="29" spans="2:9" ht="13">
      <c r="B29" s="767"/>
      <c r="C29" s="1744">
        <f>'05 - Prepayment Rate'!B31</f>
        <v>45626</v>
      </c>
      <c r="D29" s="1060">
        <f>IF($C30=0,"",'02 - Monthly Asset Follow up'!C36)</f>
        <v>8120798931.6599998</v>
      </c>
      <c r="E29" s="1060">
        <f>IF($C29=0,"",'05 - Prepayment Rate'!E31)</f>
        <v>12780562.119999999</v>
      </c>
      <c r="F29" s="1064">
        <f>'05 - Prepayment Rate'!D31</f>
        <v>1.573806004502008E-3</v>
      </c>
      <c r="G29" s="1071">
        <f t="shared" si="1"/>
        <v>1.8885672054024097E-2</v>
      </c>
      <c r="H29" s="1071">
        <f t="shared" si="2"/>
        <v>1.9050005794088554E-2</v>
      </c>
      <c r="I29" s="772"/>
    </row>
    <row r="30" spans="2:9" ht="13">
      <c r="B30" s="767"/>
      <c r="C30" s="1744">
        <f>'05 - Prepayment Rate'!B32</f>
        <v>45596</v>
      </c>
      <c r="D30" s="1060">
        <f>IF($C31=0,"",'02 - Monthly Asset Follow up'!C37)</f>
        <v>8182368484.4700003</v>
      </c>
      <c r="E30" s="1060">
        <f>IF($C30=0,"",'05 - Prepayment Rate'!E32)</f>
        <v>12577297.26</v>
      </c>
      <c r="F30" s="1064">
        <f>'05 - Prepayment Rate'!D32</f>
        <v>1.5371218350617552E-3</v>
      </c>
      <c r="G30" s="1071">
        <f t="shared" si="1"/>
        <v>1.8445462020741064E-2</v>
      </c>
      <c r="H30" s="1071">
        <f t="shared" si="2"/>
        <v>1.8602204865709515E-2</v>
      </c>
      <c r="I30" s="772"/>
    </row>
    <row r="31" spans="2:9" ht="13">
      <c r="B31" s="767"/>
      <c r="C31" s="1744">
        <f>'05 - Prepayment Rate'!B33</f>
        <v>45565</v>
      </c>
      <c r="D31" s="1060" t="str">
        <f>IF($C32=0,"",'02 - Monthly Asset Follow up'!C38)</f>
        <v/>
      </c>
      <c r="E31" s="1060" t="str">
        <f>IF($C31=0,"",'05 - Prepayment Rate'!E33)</f>
        <v/>
      </c>
      <c r="F31" s="1064" t="str">
        <f>'05 - Prepayment Rate'!D33</f>
        <v/>
      </c>
      <c r="G31" s="1071" t="str">
        <f t="shared" si="1"/>
        <v/>
      </c>
      <c r="H31" s="1071" t="str">
        <f t="shared" si="2"/>
        <v/>
      </c>
      <c r="I31" s="772"/>
    </row>
    <row r="32" spans="2:9" ht="13">
      <c r="B32" s="767"/>
      <c r="C32" s="1744">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ht="13">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ht="13">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ht="13">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 thickBot="1">
      <c r="B37" s="780"/>
      <c r="C37" s="1038"/>
      <c r="D37" s="1038"/>
      <c r="E37" s="1038"/>
      <c r="F37" s="1038"/>
      <c r="G37" s="1038"/>
      <c r="H37" s="1038"/>
      <c r="I37" s="784"/>
    </row>
    <row r="38" spans="2:9" ht="13"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608</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10731409727.809999</v>
      </c>
      <c r="C7" s="1104"/>
      <c r="H7" s="1565" t="s">
        <v>1312</v>
      </c>
      <c r="AB7" s="1105"/>
    </row>
    <row r="8" spans="1:28" s="1106" customFormat="1">
      <c r="B8" s="1107"/>
      <c r="C8" s="1108"/>
      <c r="D8" s="1109"/>
      <c r="E8" s="1109"/>
      <c r="F8" s="1110"/>
      <c r="G8" s="1111"/>
      <c r="H8" s="1564"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46234</v>
      </c>
      <c r="E11" s="1126">
        <f>'00 - Cover'!F21</f>
        <v>46261</v>
      </c>
      <c r="F11" s="1127">
        <f>IF(E11&lt;&gt;"",E11-$A$31,"")</f>
        <v>31</v>
      </c>
      <c r="G11" s="1128">
        <f>IF(F11&lt;&gt;"",COUNTIF($F$11:F11,"&gt;0"),"")</f>
        <v>1</v>
      </c>
      <c r="H11" s="1129">
        <v>5.7045189783785418E-3</v>
      </c>
      <c r="I11" s="1128"/>
      <c r="J11" s="1130">
        <f>IF(G11=1,$A$7,N10)</f>
        <v>10731409727.809999</v>
      </c>
      <c r="K11" s="1131">
        <f>H11*J11</f>
        <v>61217530.457048245</v>
      </c>
      <c r="L11" s="1130">
        <f>IF(E11&lt;&gt;"",(1-(1-$A$25)^(1/12))*(J11-K11),"")</f>
        <v>0</v>
      </c>
      <c r="M11" s="1130">
        <f>IF(J11-K11-L11&lt;$A$27*$A$5,J11-K11-L11,0)</f>
        <v>0</v>
      </c>
      <c r="N11" s="1130">
        <f>IF(E11&lt;&gt;"",J11-K11-L11-M11,"")</f>
        <v>10670192197.352951</v>
      </c>
      <c r="O11" s="1073"/>
      <c r="P11" s="1130">
        <f>IF(G11&lt;&gt; "", R11+X11-N11, "")</f>
        <v>61217945.407049179</v>
      </c>
      <c r="Q11" s="1130">
        <f>IF(E11&lt;&gt;"", N11*(1-$A$15), "")</f>
        <v>10136682587.485304</v>
      </c>
      <c r="R11" s="1130">
        <f>$A$13</f>
        <v>10194839630.92</v>
      </c>
      <c r="S11" s="1130">
        <f>IF(E11&lt;&gt;"", MIN(P11,MAX(R11-Q11,0)), "")</f>
        <v>58157043.434696198</v>
      </c>
      <c r="T11" s="1130">
        <f>IF(E11&lt;&gt;"", R11-S11, "")</f>
        <v>10136682587.485304</v>
      </c>
      <c r="U11" s="1132">
        <f>IF(E11&lt;&gt;"", R11/$A$11, "")</f>
        <v>0.8634426139067688</v>
      </c>
      <c r="V11" s="1133">
        <f>IF(E11&lt;&gt;"", IFERROR(1-T11/N11, "n.a."), "")</f>
        <v>4.9999999999999933E-2</v>
      </c>
      <c r="X11" s="1134">
        <f>$A$21</f>
        <v>536570511.84000009</v>
      </c>
      <c r="Y11" s="1134">
        <f>IF(E11&lt;&gt;"", P11-S11, "")</f>
        <v>3060901.9723529816</v>
      </c>
      <c r="Z11" s="1134">
        <f>IF(E11&lt;&gt;"", X11-Y11, "")</f>
        <v>533509609.86764711</v>
      </c>
      <c r="AA11" s="1132">
        <f>IF(E11&lt;&gt;"", X11/$A$19, "")</f>
        <v>0.92384730000000015</v>
      </c>
      <c r="AB11" s="1105"/>
    </row>
    <row r="12" spans="1:28">
      <c r="A12" s="1103" t="s">
        <v>609</v>
      </c>
      <c r="B12" s="1135"/>
      <c r="C12" s="1124"/>
      <c r="D12" s="1125">
        <f t="shared" ref="D12:D75" ca="1" si="0">IF(E12&lt;&gt;"",EOMONTH(E12,-1),"")</f>
        <v>46265</v>
      </c>
      <c r="E12" s="1126">
        <f t="shared" ref="E12:E75" ca="1" si="1">IF(INDIRECT("A"&amp;(IFERROR(MATCH(E11,A:A),999)+1))&gt;0,INDIRECT("A"&amp;(IFERROR(MATCH(E11,A:A),999)+1)),"")</f>
        <v>46293</v>
      </c>
      <c r="F12" s="1127">
        <f t="shared" ref="F12:F75" ca="1" si="2">IF(E12&lt;&gt;"",E12-$A$31,"")</f>
        <v>63</v>
      </c>
      <c r="G12" s="1128">
        <f ca="1">IF(F12&lt;&gt;"",COUNTIF($F$11:F12,"&gt;0"),"")</f>
        <v>2</v>
      </c>
      <c r="H12" s="1129">
        <v>5.7662737037847715E-3</v>
      </c>
      <c r="I12" s="1128"/>
      <c r="J12" s="1130">
        <f t="shared" ref="J12:J75" ca="1" si="3">IF(G12=1,$A$7,N11)</f>
        <v>10670192197.352951</v>
      </c>
      <c r="K12" s="1131">
        <f t="shared" ref="K12:K75" ca="1" si="4">H12*J12</f>
        <v>61527248.681925774</v>
      </c>
      <c r="L12" s="1130">
        <f t="shared" ref="L12:L75" ca="1" si="5">IF(E12&lt;&gt;"",(1-(1-$A$25)^(1/12))*(J12-K12),"")</f>
        <v>0</v>
      </c>
      <c r="M12" s="1130">
        <f t="shared" ref="M12:M75" ca="1" si="6">IF(J12-K12-L12&lt;$A$27*$A$5,J12-K12-L12,0)</f>
        <v>0</v>
      </c>
      <c r="N12" s="1130">
        <f ca="1">IF(E12&lt;&gt;"",J12-K12-L12-M12,"")</f>
        <v>10608664948.671024</v>
      </c>
      <c r="O12" s="1073"/>
      <c r="P12" s="1130">
        <f t="shared" ref="P12:P75" ca="1" si="7">IF(G12&lt;&gt; "", R12+X12-N12, "")</f>
        <v>61527248.681926727</v>
      </c>
      <c r="Q12" s="1130">
        <f t="shared" ref="Q12:Q75" ca="1" si="8">IF(E12&lt;&gt;"", N12*(1-$A$15), "")</f>
        <v>10078231701.237473</v>
      </c>
      <c r="R12" s="1130">
        <f ca="1">IF(E12&lt;&gt;"", T11, "")</f>
        <v>10136682587.485304</v>
      </c>
      <c r="S12" s="1130">
        <f ca="1">IF(E12&lt;&gt;"", MIN(P12,MAX(R12-Q12,0)), "")</f>
        <v>58450886.247831345</v>
      </c>
      <c r="T12" s="1130">
        <f t="shared" ref="T12:T75" ca="1" si="9">IF(E12&lt;&gt;"", R12-S12, "")</f>
        <v>10078231701.237473</v>
      </c>
      <c r="U12" s="1132">
        <f t="shared" ref="U12:U75" ca="1" si="10">IF(E12&lt;&gt;"", R12/$A$11, "")</f>
        <v>0.85851705632879127</v>
      </c>
      <c r="V12" s="1133">
        <f t="shared" ref="V12:V75" ca="1" si="11">IF(E12&lt;&gt;"", IFERROR(1-T12/N12, "n.a."), "")</f>
        <v>5.0000000000000044E-2</v>
      </c>
      <c r="X12" s="1134">
        <f ca="1">IF(E12&lt;&gt;"", Z11, "")</f>
        <v>533509609.86764711</v>
      </c>
      <c r="Y12" s="1134">
        <f t="shared" ref="Y12:Y75" ca="1" si="12">IF(E12&lt;&gt;"", P12-S12, "")</f>
        <v>3076362.4340953827</v>
      </c>
      <c r="Z12" s="1134">
        <f t="shared" ref="Z12:Z75" ca="1" si="13">IF(E12&lt;&gt;"", X12-Y12, "")</f>
        <v>530433247.43355173</v>
      </c>
      <c r="AA12" s="1132">
        <f t="shared" ref="AA12:AA75" ca="1" si="14">IF(E12&lt;&gt;"", X12/$A$19, "")</f>
        <v>0.91857715197597645</v>
      </c>
      <c r="AB12" s="1105"/>
    </row>
    <row r="13" spans="1:28">
      <c r="A13" s="1197">
        <f>'11 - Notes Follow-up'!G25+'11 - Notes Follow-up'!O25</f>
        <v>10194839630.92</v>
      </c>
      <c r="B13" s="1136"/>
      <c r="C13" s="1137"/>
      <c r="D13" s="1125">
        <f t="shared" ca="1" si="0"/>
        <v>46295</v>
      </c>
      <c r="E13" s="1126">
        <f t="shared" ca="1" si="1"/>
        <v>46322</v>
      </c>
      <c r="F13" s="1127">
        <f t="shared" ca="1" si="2"/>
        <v>92</v>
      </c>
      <c r="G13" s="1128">
        <f ca="1">IF(F13&lt;&gt;"",COUNTIF($F$11:F13,"&gt;0"),"")</f>
        <v>3</v>
      </c>
      <c r="H13" s="1129">
        <v>5.7983312736019704E-3</v>
      </c>
      <c r="I13" s="1128"/>
      <c r="J13" s="1130">
        <f t="shared" ca="1" si="3"/>
        <v>10608664948.671024</v>
      </c>
      <c r="K13" s="1131">
        <f t="shared" ca="1" si="4"/>
        <v>61512553.743044242</v>
      </c>
      <c r="L13" s="1130">
        <f t="shared" ca="1" si="5"/>
        <v>0</v>
      </c>
      <c r="M13" s="1130">
        <f t="shared" ca="1" si="6"/>
        <v>0</v>
      </c>
      <c r="N13" s="1130">
        <f t="shared" ref="N13:N76" ca="1" si="15">IF(E13&lt;&gt;"",J13-K13-L13-M13,"")</f>
        <v>10547152394.92798</v>
      </c>
      <c r="O13" s="1073"/>
      <c r="P13" s="1130">
        <f t="shared" ca="1" si="7"/>
        <v>61512553.7430439</v>
      </c>
      <c r="Q13" s="1130">
        <f t="shared" ca="1" si="8"/>
        <v>10019794775.181581</v>
      </c>
      <c r="R13" s="1130">
        <f t="shared" ref="R13:R76" ca="1" si="16">IF(E13&lt;&gt;"", T12, "")</f>
        <v>10078231701.237473</v>
      </c>
      <c r="S13" s="1130">
        <f t="shared" ref="S13:S76" ca="1" si="17">IF(E13&lt;&gt;"", MIN(P13,MAX(R13-Q13,0)), "")</f>
        <v>58436926.055891037</v>
      </c>
      <c r="T13" s="1130">
        <f t="shared" ca="1" si="9"/>
        <v>10019794775.181581</v>
      </c>
      <c r="U13" s="1132">
        <f t="shared" ca="1" si="10"/>
        <v>0.85356661200263162</v>
      </c>
      <c r="V13" s="1133">
        <f t="shared" ca="1" si="11"/>
        <v>5.0000000000000044E-2</v>
      </c>
      <c r="X13" s="1134">
        <f t="shared" ref="X13:X76" ca="1" si="18">IF(E13&lt;&gt;"", Z12, "")</f>
        <v>530433247.43355173</v>
      </c>
      <c r="Y13" s="1134">
        <f t="shared" ca="1" si="12"/>
        <v>3075627.6871528625</v>
      </c>
      <c r="Z13" s="1134">
        <f t="shared" ca="1" si="13"/>
        <v>527357619.74639887</v>
      </c>
      <c r="AA13" s="1132">
        <f t="shared" ca="1" si="14"/>
        <v>0.91328038469964146</v>
      </c>
      <c r="AB13" s="1105"/>
    </row>
    <row r="14" spans="1:28">
      <c r="A14" s="1103" t="s">
        <v>625</v>
      </c>
      <c r="B14" s="1138"/>
      <c r="C14" s="1139"/>
      <c r="D14" s="1125">
        <f t="shared" ca="1" si="0"/>
        <v>46326</v>
      </c>
      <c r="E14" s="1126">
        <f t="shared" ca="1" si="1"/>
        <v>46353</v>
      </c>
      <c r="F14" s="1127">
        <f t="shared" ca="1" si="2"/>
        <v>123</v>
      </c>
      <c r="G14" s="1128">
        <f ca="1">IF(F14&lt;&gt;"",COUNTIF($F$11:F14,"&gt;0"),"")</f>
        <v>4</v>
      </c>
      <c r="H14" s="1129">
        <v>5.8450978549635232E-3</v>
      </c>
      <c r="I14" s="1128"/>
      <c r="J14" s="1130">
        <f t="shared" ca="1" si="3"/>
        <v>10547152394.92798</v>
      </c>
      <c r="K14" s="1131">
        <f t="shared" ca="1" si="4"/>
        <v>61649137.839566924</v>
      </c>
      <c r="L14" s="1130">
        <f t="shared" ca="1" si="5"/>
        <v>0</v>
      </c>
      <c r="M14" s="1130">
        <f t="shared" ca="1" si="6"/>
        <v>0</v>
      </c>
      <c r="N14" s="1130">
        <f t="shared" ca="1" si="15"/>
        <v>10485503257.088413</v>
      </c>
      <c r="O14" s="1073"/>
      <c r="P14" s="1130">
        <f t="shared" ca="1" si="7"/>
        <v>61649137.839567184</v>
      </c>
      <c r="Q14" s="1130">
        <f t="shared" ca="1" si="8"/>
        <v>9961228094.2339916</v>
      </c>
      <c r="R14" s="1130">
        <f t="shared" ca="1" si="16"/>
        <v>10019794775.181581</v>
      </c>
      <c r="S14" s="1130">
        <f t="shared" ca="1" si="17"/>
        <v>58566680.947589874</v>
      </c>
      <c r="T14" s="1130">
        <f t="shared" ca="1" si="9"/>
        <v>9961228094.2339916</v>
      </c>
      <c r="U14" s="1132">
        <f t="shared" ca="1" si="10"/>
        <v>0.84861735002215444</v>
      </c>
      <c r="V14" s="1133">
        <f t="shared" ca="1" si="11"/>
        <v>5.0000000000000044E-2</v>
      </c>
      <c r="X14" s="1134">
        <f t="shared" ca="1" si="18"/>
        <v>527357619.74639887</v>
      </c>
      <c r="Y14" s="1134">
        <f t="shared" ca="1" si="12"/>
        <v>3082456.8919773102</v>
      </c>
      <c r="Z14" s="1134">
        <f t="shared" ca="1" si="13"/>
        <v>524275162.85442156</v>
      </c>
      <c r="AA14" s="1132">
        <f t="shared" ca="1" si="14"/>
        <v>0.90798488248346909</v>
      </c>
      <c r="AB14" s="1105"/>
    </row>
    <row r="15" spans="1:28">
      <c r="A15" s="1198">
        <f>'11bis - Notes Calculation'!N17</f>
        <v>0.05</v>
      </c>
      <c r="B15" s="1136"/>
      <c r="C15" s="1140"/>
      <c r="D15" s="1125">
        <f t="shared" ca="1" si="0"/>
        <v>46356</v>
      </c>
      <c r="E15" s="1126">
        <f t="shared" ca="1" si="1"/>
        <v>46384</v>
      </c>
      <c r="F15" s="1127">
        <f t="shared" ca="1" si="2"/>
        <v>154</v>
      </c>
      <c r="G15" s="1128">
        <f ca="1">IF(F15&lt;&gt;"",COUNTIF($F$11:F15,"&gt;0"),"")</f>
        <v>5</v>
      </c>
      <c r="H15" s="1129">
        <v>5.8812501649786412E-3</v>
      </c>
      <c r="I15" s="1128"/>
      <c r="J15" s="1130">
        <f t="shared" ca="1" si="3"/>
        <v>10485503257.088413</v>
      </c>
      <c r="K15" s="1131">
        <f t="shared" ca="1" si="4"/>
        <v>61667867.760635309</v>
      </c>
      <c r="L15" s="1130">
        <f t="shared" ca="1" si="5"/>
        <v>0</v>
      </c>
      <c r="M15" s="1130">
        <f t="shared" ca="1" si="6"/>
        <v>0</v>
      </c>
      <c r="N15" s="1130">
        <f t="shared" ca="1" si="15"/>
        <v>10423835389.327778</v>
      </c>
      <c r="O15" s="1073"/>
      <c r="P15" s="1130">
        <f t="shared" ca="1" si="7"/>
        <v>61667867.760635376</v>
      </c>
      <c r="Q15" s="1130">
        <f t="shared" ca="1" si="8"/>
        <v>9902643619.8613892</v>
      </c>
      <c r="R15" s="1130">
        <f t="shared" ca="1" si="16"/>
        <v>9961228094.2339916</v>
      </c>
      <c r="S15" s="1130">
        <f t="shared" ca="1" si="17"/>
        <v>58584474.372602463</v>
      </c>
      <c r="T15" s="1130">
        <f t="shared" ca="1" si="9"/>
        <v>9902643619.8613892</v>
      </c>
      <c r="U15" s="1132">
        <f t="shared" ca="1" si="10"/>
        <v>0.84365709856985494</v>
      </c>
      <c r="V15" s="1133">
        <f t="shared" ca="1" si="11"/>
        <v>4.9999999999999933E-2</v>
      </c>
      <c r="X15" s="1134">
        <f t="shared" ca="1" si="18"/>
        <v>524275162.85442156</v>
      </c>
      <c r="Y15" s="1134">
        <f t="shared" ca="1" si="12"/>
        <v>3083393.3880329132</v>
      </c>
      <c r="Z15" s="1134">
        <f t="shared" ca="1" si="13"/>
        <v>521191769.46638864</v>
      </c>
      <c r="AA15" s="1132">
        <f t="shared" ca="1" si="14"/>
        <v>0.9026776219945275</v>
      </c>
      <c r="AB15" s="1105"/>
    </row>
    <row r="16" spans="1:28">
      <c r="C16" s="1139"/>
      <c r="D16" s="1125">
        <f t="shared" ca="1" si="0"/>
        <v>46387</v>
      </c>
      <c r="E16" s="1126">
        <f t="shared" ca="1" si="1"/>
        <v>46414</v>
      </c>
      <c r="F16" s="1127">
        <f t="shared" ca="1" si="2"/>
        <v>184</v>
      </c>
      <c r="G16" s="1128">
        <f ca="1">IF(F16&lt;&gt;"",COUNTIF($F$11:F16,"&gt;0"),"")</f>
        <v>6</v>
      </c>
      <c r="H16" s="1129">
        <v>5.9276766132720128E-3</v>
      </c>
      <c r="I16" s="1128"/>
      <c r="J16" s="1130">
        <f t="shared" ca="1" si="3"/>
        <v>10423835389.327778</v>
      </c>
      <c r="K16" s="1131">
        <f t="shared" ca="1" si="4"/>
        <v>61789125.257915437</v>
      </c>
      <c r="L16" s="1130">
        <f t="shared" ca="1" si="5"/>
        <v>0</v>
      </c>
      <c r="M16" s="1130">
        <f t="shared" ca="1" si="6"/>
        <v>0</v>
      </c>
      <c r="N16" s="1130">
        <f t="shared" ca="1" si="15"/>
        <v>10362046264.069862</v>
      </c>
      <c r="O16" s="1073"/>
      <c r="P16" s="1130">
        <f t="shared" ca="1" si="7"/>
        <v>61789125.257915497</v>
      </c>
      <c r="Q16" s="1130">
        <f t="shared" ca="1" si="8"/>
        <v>9843943950.8663692</v>
      </c>
      <c r="R16" s="1130">
        <f t="shared" ca="1" si="16"/>
        <v>9902643619.8613892</v>
      </c>
      <c r="S16" s="1130">
        <f t="shared" ca="1" si="17"/>
        <v>58699668.995019913</v>
      </c>
      <c r="T16" s="1130">
        <f t="shared" ca="1" si="9"/>
        <v>9843943950.8663692</v>
      </c>
      <c r="U16" s="1132">
        <f t="shared" ca="1" si="10"/>
        <v>0.8386953401197057</v>
      </c>
      <c r="V16" s="1133">
        <f t="shared" ca="1" si="11"/>
        <v>5.0000000000000044E-2</v>
      </c>
      <c r="X16" s="1134">
        <f t="shared" ca="1" si="18"/>
        <v>521191769.46638864</v>
      </c>
      <c r="Y16" s="1134">
        <f t="shared" ca="1" si="12"/>
        <v>3089456.2628955841</v>
      </c>
      <c r="Z16" s="1134">
        <f t="shared" ca="1" si="13"/>
        <v>518102313.20349306</v>
      </c>
      <c r="AA16" s="1132">
        <f t="shared" ca="1" si="14"/>
        <v>0.89736874908124764</v>
      </c>
      <c r="AB16" s="1105"/>
    </row>
    <row r="17" spans="1:28" ht="15.5">
      <c r="A17" s="1094" t="s">
        <v>626</v>
      </c>
      <c r="C17" s="1104"/>
      <c r="D17" s="1125">
        <f t="shared" ca="1" si="0"/>
        <v>46418</v>
      </c>
      <c r="E17" s="1126">
        <f t="shared" ca="1" si="1"/>
        <v>46444</v>
      </c>
      <c r="F17" s="1127">
        <f t="shared" ca="1" si="2"/>
        <v>214</v>
      </c>
      <c r="G17" s="1128">
        <f ca="1">IF(F17&lt;&gt;"",COUNTIF($F$11:F17,"&gt;0"),"")</f>
        <v>7</v>
      </c>
      <c r="H17" s="1129">
        <v>5.9647273934845015E-3</v>
      </c>
      <c r="I17" s="1128"/>
      <c r="J17" s="1130">
        <f t="shared" ca="1" si="3"/>
        <v>10362046264.069862</v>
      </c>
      <c r="K17" s="1131">
        <f t="shared" ca="1" si="4"/>
        <v>61806781.203851245</v>
      </c>
      <c r="L17" s="1130">
        <f t="shared" ca="1" si="5"/>
        <v>0</v>
      </c>
      <c r="M17" s="1130">
        <f t="shared" ca="1" si="6"/>
        <v>0</v>
      </c>
      <c r="N17" s="1130">
        <f t="shared" ca="1" si="15"/>
        <v>10300239482.866011</v>
      </c>
      <c r="O17" s="1073"/>
      <c r="P17" s="1130">
        <f t="shared" ca="1" si="7"/>
        <v>61806781.2038517</v>
      </c>
      <c r="Q17" s="1130">
        <f t="shared" ca="1" si="8"/>
        <v>9785227508.7227097</v>
      </c>
      <c r="R17" s="1130">
        <f t="shared" ca="1" si="16"/>
        <v>9843943950.8663692</v>
      </c>
      <c r="S17" s="1130">
        <f t="shared" ca="1" si="17"/>
        <v>58716442.143659592</v>
      </c>
      <c r="T17" s="1130">
        <f t="shared" ca="1" si="9"/>
        <v>9785227508.7227097</v>
      </c>
      <c r="U17" s="1132">
        <f t="shared" ca="1" si="10"/>
        <v>0.83372382536641787</v>
      </c>
      <c r="V17" s="1133">
        <f t="shared" ca="1" si="11"/>
        <v>5.0000000000000044E-2</v>
      </c>
      <c r="X17" s="1134">
        <f t="shared" ca="1" si="18"/>
        <v>518102313.20349306</v>
      </c>
      <c r="Y17" s="1134">
        <f t="shared" ca="1" si="12"/>
        <v>3090339.0601921082</v>
      </c>
      <c r="Z17" s="1134">
        <f t="shared" ca="1" si="13"/>
        <v>515011974.14330095</v>
      </c>
      <c r="AA17" s="1132">
        <f t="shared" ca="1" si="14"/>
        <v>0.8920494373338379</v>
      </c>
      <c r="AB17" s="1105"/>
    </row>
    <row r="18" spans="1:28">
      <c r="A18" s="1103" t="s">
        <v>607</v>
      </c>
      <c r="C18" s="1104"/>
      <c r="D18" s="1125">
        <f t="shared" ca="1" si="0"/>
        <v>46446</v>
      </c>
      <c r="E18" s="1126">
        <f t="shared" ca="1" si="1"/>
        <v>46476</v>
      </c>
      <c r="F18" s="1127">
        <f t="shared" ca="1" si="2"/>
        <v>246</v>
      </c>
      <c r="G18" s="1128">
        <f ca="1">IF(F18&lt;&gt;"",COUNTIF($F$11:F18,"&gt;0"),"")</f>
        <v>8</v>
      </c>
      <c r="H18" s="1129">
        <v>6.0052876992465311E-3</v>
      </c>
      <c r="I18" s="1128"/>
      <c r="J18" s="1130">
        <f t="shared" ca="1" si="3"/>
        <v>10300239482.866011</v>
      </c>
      <c r="K18" s="1131">
        <f t="shared" ca="1" si="4"/>
        <v>61855901.465748705</v>
      </c>
      <c r="L18" s="1130">
        <f t="shared" ca="1" si="5"/>
        <v>0</v>
      </c>
      <c r="M18" s="1130">
        <f t="shared" ca="1" si="6"/>
        <v>0</v>
      </c>
      <c r="N18" s="1130">
        <f t="shared" ca="1" si="15"/>
        <v>10238383581.400263</v>
      </c>
      <c r="O18" s="1073"/>
      <c r="P18" s="1130">
        <f t="shared" ca="1" si="7"/>
        <v>61855901.465747833</v>
      </c>
      <c r="Q18" s="1130">
        <f t="shared" ca="1" si="8"/>
        <v>9726464402.3302498</v>
      </c>
      <c r="R18" s="1130">
        <f t="shared" ca="1" si="16"/>
        <v>9785227508.7227097</v>
      </c>
      <c r="S18" s="1130">
        <f t="shared" ca="1" si="17"/>
        <v>58763106.392459869</v>
      </c>
      <c r="T18" s="1130">
        <f t="shared" ca="1" si="9"/>
        <v>9726464402.3302498</v>
      </c>
      <c r="U18" s="1132">
        <f t="shared" ca="1" si="10"/>
        <v>0.82875089002665403</v>
      </c>
      <c r="V18" s="1133">
        <f t="shared" ca="1" si="11"/>
        <v>5.0000000000000044E-2</v>
      </c>
      <c r="X18" s="1134">
        <f t="shared" ca="1" si="18"/>
        <v>515011974.14330095</v>
      </c>
      <c r="Y18" s="1134">
        <f t="shared" ca="1" si="12"/>
        <v>3092795.0732879639</v>
      </c>
      <c r="Z18" s="1134">
        <f t="shared" ca="1" si="13"/>
        <v>511919179.07001299</v>
      </c>
      <c r="AA18" s="1132">
        <f t="shared" ca="1" si="14"/>
        <v>0.88672860561863109</v>
      </c>
      <c r="AB18" s="1105"/>
    </row>
    <row r="19" spans="1:28">
      <c r="A19" s="1197">
        <v>580800000</v>
      </c>
      <c r="C19" s="1104"/>
      <c r="D19" s="1125">
        <f t="shared" ca="1" si="0"/>
        <v>46477</v>
      </c>
      <c r="E19" s="1126">
        <f t="shared" ca="1" si="1"/>
        <v>46504</v>
      </c>
      <c r="F19" s="1127">
        <f t="shared" ca="1" si="2"/>
        <v>274</v>
      </c>
      <c r="G19" s="1128">
        <f ca="1">IF(F19&lt;&gt;"",COUNTIF($F$11:F19,"&gt;0"),"")</f>
        <v>9</v>
      </c>
      <c r="H19" s="1129">
        <v>6.0525303175296792E-3</v>
      </c>
      <c r="I19" s="1128"/>
      <c r="J19" s="1130">
        <f t="shared" ca="1" si="3"/>
        <v>10238383581.400263</v>
      </c>
      <c r="K19" s="1131">
        <f t="shared" ca="1" si="4"/>
        <v>61968127.028923184</v>
      </c>
      <c r="L19" s="1130">
        <f t="shared" ca="1" si="5"/>
        <v>0</v>
      </c>
      <c r="M19" s="1130">
        <f t="shared" ca="1" si="6"/>
        <v>0</v>
      </c>
      <c r="N19" s="1130">
        <f t="shared" ca="1" si="15"/>
        <v>10176415454.37134</v>
      </c>
      <c r="O19" s="1073"/>
      <c r="P19" s="1130">
        <f t="shared" ca="1" si="7"/>
        <v>61968127.028923035</v>
      </c>
      <c r="Q19" s="1130">
        <f t="shared" ca="1" si="8"/>
        <v>9667594681.6527729</v>
      </c>
      <c r="R19" s="1130">
        <f t="shared" ca="1" si="16"/>
        <v>9726464402.3302498</v>
      </c>
      <c r="S19" s="1130">
        <f t="shared" ca="1" si="17"/>
        <v>58869720.677476883</v>
      </c>
      <c r="T19" s="1130">
        <f t="shared" ca="1" si="9"/>
        <v>9667594681.6527729</v>
      </c>
      <c r="U19" s="1132">
        <f t="shared" ca="1" si="10"/>
        <v>0.82377400250103749</v>
      </c>
      <c r="V19" s="1133">
        <f t="shared" ca="1" si="11"/>
        <v>5.0000000000000044E-2</v>
      </c>
      <c r="X19" s="1134">
        <f t="shared" ca="1" si="18"/>
        <v>511919179.07001299</v>
      </c>
      <c r="Y19" s="1134">
        <f t="shared" ca="1" si="12"/>
        <v>3098406.3514461517</v>
      </c>
      <c r="Z19" s="1134">
        <f t="shared" ca="1" si="13"/>
        <v>508820772.71856683</v>
      </c>
      <c r="AA19" s="1132">
        <f t="shared" ca="1" si="14"/>
        <v>0.88140354523073861</v>
      </c>
      <c r="AB19" s="1105"/>
    </row>
    <row r="20" spans="1:28">
      <c r="A20" s="1103" t="s">
        <v>609</v>
      </c>
      <c r="C20" s="1104"/>
      <c r="D20" s="1125">
        <f t="shared" ca="1" si="0"/>
        <v>46507</v>
      </c>
      <c r="E20" s="1126">
        <f t="shared" ca="1" si="1"/>
        <v>46534</v>
      </c>
      <c r="F20" s="1127">
        <f t="shared" ca="1" si="2"/>
        <v>304</v>
      </c>
      <c r="G20" s="1128">
        <f ca="1">IF(F20&lt;&gt;"",COUNTIF($F$11:F20,"&gt;0"),"")</f>
        <v>10</v>
      </c>
      <c r="H20" s="1129">
        <v>6.088585956135875E-3</v>
      </c>
      <c r="I20" s="1128"/>
      <c r="J20" s="1130">
        <f t="shared" ca="1" si="3"/>
        <v>10176415454.37134</v>
      </c>
      <c r="K20" s="1131">
        <f t="shared" ca="1" si="4"/>
        <v>61959980.219289422</v>
      </c>
      <c r="L20" s="1130">
        <f t="shared" ca="1" si="5"/>
        <v>0</v>
      </c>
      <c r="M20" s="1130">
        <f t="shared" ca="1" si="6"/>
        <v>0</v>
      </c>
      <c r="N20" s="1130">
        <f t="shared" ca="1" si="15"/>
        <v>10114455474.15205</v>
      </c>
      <c r="O20" s="1073"/>
      <c r="P20" s="1130">
        <f t="shared" ca="1" si="7"/>
        <v>61959980.21928978</v>
      </c>
      <c r="Q20" s="1130">
        <f t="shared" ca="1" si="8"/>
        <v>9608732700.4444466</v>
      </c>
      <c r="R20" s="1130">
        <f t="shared" ca="1" si="16"/>
        <v>9667594681.6527729</v>
      </c>
      <c r="S20" s="1130">
        <f t="shared" ca="1" si="17"/>
        <v>58861981.20832634</v>
      </c>
      <c r="T20" s="1130">
        <f t="shared" ca="1" si="9"/>
        <v>9608732700.4444466</v>
      </c>
      <c r="U20" s="1132">
        <f t="shared" ca="1" si="10"/>
        <v>0.81878808537610714</v>
      </c>
      <c r="V20" s="1133">
        <f t="shared" ca="1" si="11"/>
        <v>5.0000000000000044E-2</v>
      </c>
      <c r="X20" s="1134">
        <f t="shared" ca="1" si="18"/>
        <v>508820772.71856683</v>
      </c>
      <c r="Y20" s="1134">
        <f t="shared" ca="1" si="12"/>
        <v>3097999.0109634399</v>
      </c>
      <c r="Z20" s="1134">
        <f t="shared" ca="1" si="13"/>
        <v>505722773.70760339</v>
      </c>
      <c r="AA20" s="1132">
        <f t="shared" ca="1" si="14"/>
        <v>0.87606882355125149</v>
      </c>
      <c r="AB20" s="1105"/>
    </row>
    <row r="21" spans="1:28">
      <c r="A21" s="1197">
        <f>'11 - Notes Follow-up'!W25</f>
        <v>536570511.84000009</v>
      </c>
      <c r="C21" s="1104"/>
      <c r="D21" s="1125">
        <f t="shared" ca="1" si="0"/>
        <v>46538</v>
      </c>
      <c r="E21" s="1126">
        <f t="shared" ca="1" si="1"/>
        <v>46566</v>
      </c>
      <c r="F21" s="1127">
        <f t="shared" ca="1" si="2"/>
        <v>336</v>
      </c>
      <c r="G21" s="1128">
        <f ca="1">IF(F21&lt;&gt;"",COUNTIF($F$11:F21,"&gt;0"),"")</f>
        <v>11</v>
      </c>
      <c r="H21" s="1141">
        <v>6.133374550511099E-3</v>
      </c>
      <c r="I21" s="1128"/>
      <c r="J21" s="1130">
        <f t="shared" ca="1" si="3"/>
        <v>10114455474.15205</v>
      </c>
      <c r="K21" s="1131">
        <f t="shared" ca="1" si="4"/>
        <v>62035743.797441855</v>
      </c>
      <c r="L21" s="1130">
        <f t="shared" ca="1" si="5"/>
        <v>0</v>
      </c>
      <c r="M21" s="1130">
        <f t="shared" ca="1" si="6"/>
        <v>0</v>
      </c>
      <c r="N21" s="1130">
        <f t="shared" ca="1" si="15"/>
        <v>10052419730.354609</v>
      </c>
      <c r="O21" s="1073"/>
      <c r="P21" s="1130">
        <f t="shared" ca="1" si="7"/>
        <v>62035743.797441483</v>
      </c>
      <c r="Q21" s="1130">
        <f t="shared" ca="1" si="8"/>
        <v>9549798743.8368778</v>
      </c>
      <c r="R21" s="1130">
        <f t="shared" ca="1" si="16"/>
        <v>9608732700.4444466</v>
      </c>
      <c r="S21" s="1130">
        <f t="shared" ca="1" si="17"/>
        <v>58933956.607568741</v>
      </c>
      <c r="T21" s="1130">
        <f t="shared" ca="1" si="9"/>
        <v>9549798743.8368778</v>
      </c>
      <c r="U21" s="1132">
        <f t="shared" ca="1" si="10"/>
        <v>0.81380282373843471</v>
      </c>
      <c r="V21" s="1133">
        <f t="shared" ca="1" si="11"/>
        <v>5.0000000000000044E-2</v>
      </c>
      <c r="X21" s="1134">
        <f t="shared" ca="1" si="18"/>
        <v>505722773.70760339</v>
      </c>
      <c r="Y21" s="1134">
        <f t="shared" ca="1" si="12"/>
        <v>3101787.1898727417</v>
      </c>
      <c r="Z21" s="1134">
        <f t="shared" ca="1" si="13"/>
        <v>502620986.51773065</v>
      </c>
      <c r="AA21" s="1132">
        <f t="shared" ca="1" si="14"/>
        <v>0.87073480321557062</v>
      </c>
      <c r="AB21" s="1105"/>
    </row>
    <row r="22" spans="1:28">
      <c r="A22" s="1142"/>
      <c r="C22" s="1104"/>
      <c r="D22" s="1125">
        <f t="shared" ca="1" si="0"/>
        <v>46568</v>
      </c>
      <c r="E22" s="1126">
        <f t="shared" ca="1" si="1"/>
        <v>46595</v>
      </c>
      <c r="F22" s="1127">
        <f t="shared" ca="1" si="2"/>
        <v>365</v>
      </c>
      <c r="G22" s="1128">
        <f ca="1">IF(F22&lt;&gt;"",COUNTIF($F$11:F22,"&gt;0"),"")</f>
        <v>12</v>
      </c>
      <c r="H22" s="1129">
        <v>6.1692309126794949E-3</v>
      </c>
      <c r="I22" s="1128"/>
      <c r="J22" s="1130">
        <f t="shared" ca="1" si="3"/>
        <v>10052419730.354609</v>
      </c>
      <c r="K22" s="1131">
        <f t="shared" ca="1" si="4"/>
        <v>62015698.547732919</v>
      </c>
      <c r="L22" s="1130">
        <f t="shared" ca="1" si="5"/>
        <v>0</v>
      </c>
      <c r="M22" s="1130">
        <f t="shared" ca="1" si="6"/>
        <v>0</v>
      </c>
      <c r="N22" s="1130">
        <f t="shared" ca="1" si="15"/>
        <v>9990404031.8068752</v>
      </c>
      <c r="O22" s="1073"/>
      <c r="P22" s="1130">
        <f t="shared" ca="1" si="7"/>
        <v>62015698.547733307</v>
      </c>
      <c r="Q22" s="1130">
        <f t="shared" ca="1" si="8"/>
        <v>9490883830.2165318</v>
      </c>
      <c r="R22" s="1130">
        <f t="shared" ca="1" si="16"/>
        <v>9549798743.8368778</v>
      </c>
      <c r="S22" s="1130">
        <f t="shared" ca="1" si="17"/>
        <v>58914913.620346069</v>
      </c>
      <c r="T22" s="1130">
        <f t="shared" ca="1" si="9"/>
        <v>9490883830.2165318</v>
      </c>
      <c r="U22" s="1132">
        <f t="shared" ca="1" si="10"/>
        <v>0.80881146621018341</v>
      </c>
      <c r="V22" s="1133">
        <f t="shared" ca="1" si="11"/>
        <v>4.9999999999999933E-2</v>
      </c>
      <c r="X22" s="1134">
        <f t="shared" ca="1" si="18"/>
        <v>502620986.51773065</v>
      </c>
      <c r="Y22" s="1134">
        <f t="shared" ca="1" si="12"/>
        <v>3100784.9273872375</v>
      </c>
      <c r="Z22" s="1134">
        <f t="shared" ca="1" si="13"/>
        <v>499520201.59034342</v>
      </c>
      <c r="AA22" s="1132">
        <f t="shared" ca="1" si="14"/>
        <v>0.86539426053328283</v>
      </c>
      <c r="AB22" s="1105"/>
    </row>
    <row r="23" spans="1:28" ht="15.5">
      <c r="A23" s="1094" t="s">
        <v>627</v>
      </c>
      <c r="C23" s="1104"/>
      <c r="D23" s="1125">
        <f t="shared" ca="1" si="0"/>
        <v>46599</v>
      </c>
      <c r="E23" s="1126">
        <f t="shared" ca="1" si="1"/>
        <v>46626</v>
      </c>
      <c r="F23" s="1127">
        <f t="shared" ca="1" si="2"/>
        <v>396</v>
      </c>
      <c r="G23" s="1128">
        <f ca="1">IF(F23&lt;&gt;"",COUNTIF($F$11:F23,"&gt;0"),"")</f>
        <v>13</v>
      </c>
      <c r="H23" s="1129">
        <v>6.211379484955426E-3</v>
      </c>
      <c r="I23" s="1128"/>
      <c r="J23" s="1130">
        <f t="shared" ca="1" si="3"/>
        <v>9990404031.8068752</v>
      </c>
      <c r="K23" s="1131">
        <f t="shared" ca="1" si="4"/>
        <v>62054190.649581201</v>
      </c>
      <c r="L23" s="1130">
        <f t="shared" ca="1" si="5"/>
        <v>0</v>
      </c>
      <c r="M23" s="1130">
        <f t="shared" ca="1" si="6"/>
        <v>0</v>
      </c>
      <c r="N23" s="1130">
        <f t="shared" ca="1" si="15"/>
        <v>9928349841.1572933</v>
      </c>
      <c r="O23" s="1073"/>
      <c r="P23" s="1130">
        <f t="shared" ca="1" si="7"/>
        <v>62054190.649581909</v>
      </c>
      <c r="Q23" s="1130">
        <f t="shared" ca="1" si="8"/>
        <v>9431932349.0994282</v>
      </c>
      <c r="R23" s="1130">
        <f t="shared" ca="1" si="16"/>
        <v>9490883830.2165318</v>
      </c>
      <c r="S23" s="1130">
        <f t="shared" ca="1" si="17"/>
        <v>58951481.117103577</v>
      </c>
      <c r="T23" s="1130">
        <f t="shared" ca="1" si="9"/>
        <v>9431932349.0994282</v>
      </c>
      <c r="U23" s="1132">
        <f t="shared" ca="1" si="10"/>
        <v>0.80382172151030995</v>
      </c>
      <c r="V23" s="1133">
        <f t="shared" ca="1" si="11"/>
        <v>5.0000000000000044E-2</v>
      </c>
      <c r="X23" s="1134">
        <f t="shared" ca="1" si="18"/>
        <v>499520201.59034342</v>
      </c>
      <c r="Y23" s="1134">
        <f t="shared" ca="1" si="12"/>
        <v>3102709.5324783325</v>
      </c>
      <c r="Z23" s="1134">
        <f t="shared" ca="1" si="13"/>
        <v>496417492.05786508</v>
      </c>
      <c r="AA23" s="1132">
        <f t="shared" ca="1" si="14"/>
        <v>0.86005544350954444</v>
      </c>
      <c r="AB23" s="1105"/>
    </row>
    <row r="24" spans="1:28">
      <c r="A24" s="1103" t="s">
        <v>259</v>
      </c>
      <c r="C24" s="1104"/>
      <c r="D24" s="1125">
        <f t="shared" ca="1" si="0"/>
        <v>46630</v>
      </c>
      <c r="E24" s="1126">
        <f t="shared" ca="1" si="1"/>
        <v>46657</v>
      </c>
      <c r="F24" s="1127">
        <f t="shared" ca="1" si="2"/>
        <v>427</v>
      </c>
      <c r="G24" s="1128">
        <f ca="1">IF(F24&lt;&gt;"",COUNTIF($F$11:F24,"&gt;0"),"")</f>
        <v>14</v>
      </c>
      <c r="H24" s="1129">
        <v>6.2630015066440572E-3</v>
      </c>
      <c r="I24" s="1128"/>
      <c r="J24" s="1130">
        <f t="shared" ca="1" si="3"/>
        <v>9928349841.1572933</v>
      </c>
      <c r="K24" s="1131">
        <f t="shared" ca="1" si="4"/>
        <v>62181270.013657413</v>
      </c>
      <c r="L24" s="1130">
        <f t="shared" ca="1" si="5"/>
        <v>0</v>
      </c>
      <c r="M24" s="1130">
        <f t="shared" ca="1" si="6"/>
        <v>0</v>
      </c>
      <c r="N24" s="1130">
        <f t="shared" ca="1" si="15"/>
        <v>9866168571.1436367</v>
      </c>
      <c r="O24" s="1073"/>
      <c r="P24" s="1130">
        <f t="shared" ca="1" si="7"/>
        <v>62181270.013656616</v>
      </c>
      <c r="Q24" s="1130">
        <f t="shared" ca="1" si="8"/>
        <v>9372860142.5864544</v>
      </c>
      <c r="R24" s="1130">
        <f t="shared" ca="1" si="16"/>
        <v>9431932349.0994282</v>
      </c>
      <c r="S24" s="1130">
        <f t="shared" ca="1" si="17"/>
        <v>59072206.512973785</v>
      </c>
      <c r="T24" s="1130">
        <f t="shared" ca="1" si="9"/>
        <v>9372860142.5864544</v>
      </c>
      <c r="U24" s="1132">
        <f t="shared" ca="1" si="10"/>
        <v>0.79882887975975914</v>
      </c>
      <c r="V24" s="1133">
        <f t="shared" ca="1" si="11"/>
        <v>5.0000000000000044E-2</v>
      </c>
      <c r="X24" s="1134">
        <f t="shared" ca="1" si="18"/>
        <v>496417492.05786508</v>
      </c>
      <c r="Y24" s="1134">
        <f t="shared" ca="1" si="12"/>
        <v>3109063.5006828308</v>
      </c>
      <c r="Z24" s="1134">
        <f t="shared" ca="1" si="13"/>
        <v>493308428.55718225</v>
      </c>
      <c r="AA24" s="1132">
        <f t="shared" ca="1" si="14"/>
        <v>0.85471331277180629</v>
      </c>
      <c r="AB24" s="1105"/>
    </row>
    <row r="25" spans="1:28">
      <c r="A25" s="1198">
        <v>0</v>
      </c>
      <c r="C25" s="1104"/>
      <c r="D25" s="1125">
        <f t="shared" ca="1" si="0"/>
        <v>46660</v>
      </c>
      <c r="E25" s="1126">
        <f t="shared" ca="1" si="1"/>
        <v>46687</v>
      </c>
      <c r="F25" s="1127">
        <f t="shared" ca="1" si="2"/>
        <v>457</v>
      </c>
      <c r="G25" s="1128">
        <f ca="1">IF(F25&lt;&gt;"",COUNTIF($F$11:F25,"&gt;0"),"")</f>
        <v>15</v>
      </c>
      <c r="H25" s="1129">
        <v>6.292677908475707E-3</v>
      </c>
      <c r="I25" s="1128"/>
      <c r="J25" s="1130">
        <f t="shared" ca="1" si="3"/>
        <v>9866168571.1436367</v>
      </c>
      <c r="K25" s="1131">
        <f t="shared" ca="1" si="4"/>
        <v>62084621.008932896</v>
      </c>
      <c r="L25" s="1130">
        <f t="shared" ca="1" si="5"/>
        <v>0</v>
      </c>
      <c r="M25" s="1130">
        <f t="shared" ca="1" si="6"/>
        <v>0</v>
      </c>
      <c r="N25" s="1130">
        <f t="shared" ca="1" si="15"/>
        <v>9804083950.1347046</v>
      </c>
      <c r="O25" s="1073"/>
      <c r="P25" s="1130">
        <f t="shared" ca="1" si="7"/>
        <v>62084621.008932114</v>
      </c>
      <c r="Q25" s="1130">
        <f t="shared" ca="1" si="8"/>
        <v>9313879752.6279697</v>
      </c>
      <c r="R25" s="1130">
        <f t="shared" ca="1" si="16"/>
        <v>9372860142.5864544</v>
      </c>
      <c r="S25" s="1130">
        <f t="shared" ca="1" si="17"/>
        <v>58980389.95848465</v>
      </c>
      <c r="T25" s="1130">
        <f t="shared" ca="1" si="9"/>
        <v>9313879752.6279697</v>
      </c>
      <c r="U25" s="1132">
        <f t="shared" ca="1" si="10"/>
        <v>0.79382581328227309</v>
      </c>
      <c r="V25" s="1133">
        <f t="shared" ca="1" si="11"/>
        <v>4.9999999999999933E-2</v>
      </c>
      <c r="X25" s="1134">
        <f t="shared" ca="1" si="18"/>
        <v>493308428.55718225</v>
      </c>
      <c r="Y25" s="1134">
        <f t="shared" ca="1" si="12"/>
        <v>3104231.050447464</v>
      </c>
      <c r="Z25" s="1134">
        <f t="shared" ca="1" si="13"/>
        <v>490204197.50673479</v>
      </c>
      <c r="AA25" s="1132">
        <f t="shared" ca="1" si="14"/>
        <v>0.84936024200616778</v>
      </c>
      <c r="AB25" s="1105"/>
    </row>
    <row r="26" spans="1:28">
      <c r="A26" s="1103" t="s">
        <v>628</v>
      </c>
      <c r="C26" s="1104"/>
      <c r="D26" s="1125">
        <f t="shared" ca="1" si="0"/>
        <v>46691</v>
      </c>
      <c r="E26" s="1126">
        <f t="shared" ca="1" si="1"/>
        <v>46720</v>
      </c>
      <c r="F26" s="1127">
        <f t="shared" ca="1" si="2"/>
        <v>490</v>
      </c>
      <c r="G26" s="1128">
        <f ca="1">IF(F26&lt;&gt;"",COUNTIF($F$11:F26,"&gt;0"),"")</f>
        <v>16</v>
      </c>
      <c r="H26" s="1129">
        <v>6.3358665088783829E-3</v>
      </c>
      <c r="I26" s="1128"/>
      <c r="J26" s="1130">
        <f t="shared" ca="1" si="3"/>
        <v>9804083950.1347046</v>
      </c>
      <c r="K26" s="1131">
        <f t="shared" ca="1" si="4"/>
        <v>62117367.149890557</v>
      </c>
      <c r="L26" s="1130">
        <f t="shared" ca="1" si="5"/>
        <v>0</v>
      </c>
      <c r="M26" s="1130">
        <f t="shared" ca="1" si="6"/>
        <v>0</v>
      </c>
      <c r="N26" s="1130">
        <f t="shared" ca="1" si="15"/>
        <v>9741966582.9848137</v>
      </c>
      <c r="O26" s="1073"/>
      <c r="P26" s="1130">
        <f t="shared" ca="1" si="7"/>
        <v>62117367.1498909</v>
      </c>
      <c r="Q26" s="1130">
        <f t="shared" ca="1" si="8"/>
        <v>9254868253.8355732</v>
      </c>
      <c r="R26" s="1130">
        <f t="shared" ca="1" si="16"/>
        <v>9313879752.6279697</v>
      </c>
      <c r="S26" s="1130">
        <f t="shared" ca="1" si="17"/>
        <v>59011498.792396545</v>
      </c>
      <c r="T26" s="1130">
        <f t="shared" ca="1" si="9"/>
        <v>9254868253.8355732</v>
      </c>
      <c r="U26" s="1132">
        <f t="shared" ca="1" si="10"/>
        <v>0.78883052312385404</v>
      </c>
      <c r="V26" s="1133">
        <f t="shared" ca="1" si="11"/>
        <v>4.9999999999999933E-2</v>
      </c>
      <c r="X26" s="1134">
        <f t="shared" ca="1" si="18"/>
        <v>490204197.50673479</v>
      </c>
      <c r="Y26" s="1134">
        <f t="shared" ca="1" si="12"/>
        <v>3105868.3574943542</v>
      </c>
      <c r="Z26" s="1134">
        <f t="shared" ca="1" si="13"/>
        <v>487098329.14924043</v>
      </c>
      <c r="AA26" s="1132">
        <f t="shared" ca="1" si="14"/>
        <v>0.84401549157495659</v>
      </c>
      <c r="AB26" s="1105"/>
    </row>
    <row r="27" spans="1:28">
      <c r="A27" s="1198">
        <v>0</v>
      </c>
      <c r="C27" s="1104"/>
      <c r="D27" s="1125">
        <f t="shared" ca="1" si="0"/>
        <v>46721</v>
      </c>
      <c r="E27" s="1126">
        <f t="shared" ca="1" si="1"/>
        <v>46748</v>
      </c>
      <c r="F27" s="1127">
        <f t="shared" ca="1" si="2"/>
        <v>518</v>
      </c>
      <c r="G27" s="1128">
        <f ca="1">IF(F27&lt;&gt;"",COUNTIF($F$11:F27,"&gt;0"),"")</f>
        <v>17</v>
      </c>
      <c r="H27" s="1129">
        <v>6.3739095470263527E-3</v>
      </c>
      <c r="I27" s="1128"/>
      <c r="J27" s="1130">
        <f t="shared" ca="1" si="3"/>
        <v>9741966582.9848137</v>
      </c>
      <c r="K27" s="1131">
        <f t="shared" ca="1" si="4"/>
        <v>62094413.810098596</v>
      </c>
      <c r="L27" s="1130">
        <f t="shared" ca="1" si="5"/>
        <v>0</v>
      </c>
      <c r="M27" s="1130">
        <f t="shared" ca="1" si="6"/>
        <v>0</v>
      </c>
      <c r="N27" s="1130">
        <f t="shared" ca="1" si="15"/>
        <v>9679872169.174715</v>
      </c>
      <c r="O27" s="1073"/>
      <c r="P27" s="1130">
        <f t="shared" ca="1" si="7"/>
        <v>62094413.810098648</v>
      </c>
      <c r="Q27" s="1130">
        <f t="shared" ca="1" si="8"/>
        <v>9195878560.7159786</v>
      </c>
      <c r="R27" s="1130">
        <f t="shared" ca="1" si="16"/>
        <v>9254868253.8355732</v>
      </c>
      <c r="S27" s="1130">
        <f t="shared" ca="1" si="17"/>
        <v>58989693.119594574</v>
      </c>
      <c r="T27" s="1130">
        <f t="shared" ca="1" si="9"/>
        <v>9195878560.7159786</v>
      </c>
      <c r="U27" s="1132">
        <f t="shared" ca="1" si="10"/>
        <v>0.78383259823121254</v>
      </c>
      <c r="V27" s="1133">
        <f t="shared" ca="1" si="11"/>
        <v>5.0000000000000044E-2</v>
      </c>
      <c r="X27" s="1134">
        <f t="shared" ca="1" si="18"/>
        <v>487098329.14924043</v>
      </c>
      <c r="Y27" s="1134">
        <f t="shared" ca="1" si="12"/>
        <v>3104720.6905040741</v>
      </c>
      <c r="Z27" s="1134">
        <f t="shared" ca="1" si="13"/>
        <v>483993608.45873636</v>
      </c>
      <c r="AA27" s="1132">
        <f t="shared" ca="1" si="14"/>
        <v>0.83866792208891261</v>
      </c>
      <c r="AB27" s="1105"/>
    </row>
    <row r="28" spans="1:28">
      <c r="C28" s="1104"/>
      <c r="D28" s="1125">
        <f t="shared" ca="1" si="0"/>
        <v>46752</v>
      </c>
      <c r="E28" s="1126">
        <f t="shared" ca="1" si="1"/>
        <v>46779</v>
      </c>
      <c r="F28" s="1127">
        <f t="shared" ca="1" si="2"/>
        <v>549</v>
      </c>
      <c r="G28" s="1128">
        <f ca="1">IF(F28&lt;&gt;"",COUNTIF($F$11:F28,"&gt;0"),"")</f>
        <v>18</v>
      </c>
      <c r="H28" s="1129">
        <v>6.4206566612116898E-3</v>
      </c>
      <c r="I28" s="1128"/>
      <c r="J28" s="1130">
        <f t="shared" ca="1" si="3"/>
        <v>9679872169.174715</v>
      </c>
      <c r="K28" s="1131">
        <f t="shared" ca="1" si="4"/>
        <v>62151135.722689286</v>
      </c>
      <c r="L28" s="1130">
        <f t="shared" ca="1" si="5"/>
        <v>0</v>
      </c>
      <c r="M28" s="1130">
        <f t="shared" ca="1" si="6"/>
        <v>0</v>
      </c>
      <c r="N28" s="1130">
        <f t="shared" ca="1" si="15"/>
        <v>9617721033.4520264</v>
      </c>
      <c r="O28" s="1073"/>
      <c r="P28" s="1130">
        <f t="shared" ca="1" si="7"/>
        <v>62151135.722688675</v>
      </c>
      <c r="Q28" s="1130">
        <f t="shared" ca="1" si="8"/>
        <v>9136834981.7794247</v>
      </c>
      <c r="R28" s="1130">
        <f t="shared" ca="1" si="16"/>
        <v>9195878560.7159786</v>
      </c>
      <c r="S28" s="1130">
        <f t="shared" ca="1" si="17"/>
        <v>59043578.936553955</v>
      </c>
      <c r="T28" s="1130">
        <f t="shared" ca="1" si="9"/>
        <v>9136834981.7794247</v>
      </c>
      <c r="U28" s="1132">
        <f t="shared" ca="1" si="10"/>
        <v>0.77883652015007609</v>
      </c>
      <c r="V28" s="1133">
        <f t="shared" ca="1" si="11"/>
        <v>5.0000000000000044E-2</v>
      </c>
      <c r="X28" s="1134">
        <f t="shared" ca="1" si="18"/>
        <v>483993608.45873636</v>
      </c>
      <c r="Y28" s="1134">
        <f t="shared" ca="1" si="12"/>
        <v>3107556.7861347198</v>
      </c>
      <c r="Z28" s="1134">
        <f t="shared" ca="1" si="13"/>
        <v>480886051.67260164</v>
      </c>
      <c r="AA28" s="1132">
        <f t="shared" ca="1" si="14"/>
        <v>0.83332232861352684</v>
      </c>
      <c r="AB28" s="1105"/>
    </row>
    <row r="29" spans="1:28" ht="15.5">
      <c r="A29" s="1094" t="s">
        <v>629</v>
      </c>
      <c r="C29" s="1104"/>
      <c r="D29" s="1125">
        <f t="shared" ca="1" si="0"/>
        <v>46783</v>
      </c>
      <c r="E29" s="1126">
        <f t="shared" ca="1" si="1"/>
        <v>46811</v>
      </c>
      <c r="F29" s="1127">
        <f t="shared" ca="1" si="2"/>
        <v>581</v>
      </c>
      <c r="G29" s="1128">
        <f ca="1">IF(F29&lt;&gt;"",COUNTIF($F$11:F29,"&gt;0"),"")</f>
        <v>19</v>
      </c>
      <c r="H29" s="1129">
        <v>6.457233226186688E-3</v>
      </c>
      <c r="I29" s="1128"/>
      <c r="J29" s="1130">
        <f t="shared" ca="1" si="3"/>
        <v>9617721033.4520264</v>
      </c>
      <c r="K29" s="1131">
        <f t="shared" ca="1" si="4"/>
        <v>62103867.817400992</v>
      </c>
      <c r="L29" s="1130">
        <f t="shared" ca="1" si="5"/>
        <v>0</v>
      </c>
      <c r="M29" s="1130">
        <f t="shared" ca="1" si="6"/>
        <v>0</v>
      </c>
      <c r="N29" s="1130">
        <f t="shared" ca="1" si="15"/>
        <v>9555617165.6346245</v>
      </c>
      <c r="O29" s="1073"/>
      <c r="P29" s="1130">
        <f t="shared" ca="1" si="7"/>
        <v>62103867.817401886</v>
      </c>
      <c r="Q29" s="1130">
        <f t="shared" ca="1" si="8"/>
        <v>9077836307.3528919</v>
      </c>
      <c r="R29" s="1130">
        <f t="shared" ca="1" si="16"/>
        <v>9136834981.7794247</v>
      </c>
      <c r="S29" s="1130">
        <f t="shared" ca="1" si="17"/>
        <v>58998674.426532745</v>
      </c>
      <c r="T29" s="1130">
        <f t="shared" ca="1" si="9"/>
        <v>9077836307.3528919</v>
      </c>
      <c r="U29" s="1132">
        <f t="shared" ca="1" si="10"/>
        <v>0.7738358782589797</v>
      </c>
      <c r="V29" s="1133">
        <f t="shared" ca="1" si="11"/>
        <v>5.0000000000000155E-2</v>
      </c>
      <c r="X29" s="1134">
        <f t="shared" ca="1" si="18"/>
        <v>480886051.67260164</v>
      </c>
      <c r="Y29" s="1134">
        <f t="shared" ca="1" si="12"/>
        <v>3105193.3908691406</v>
      </c>
      <c r="Z29" s="1134">
        <f t="shared" ca="1" si="13"/>
        <v>477780858.2817325</v>
      </c>
      <c r="AA29" s="1132">
        <f t="shared" ca="1" si="14"/>
        <v>0.82797185205337753</v>
      </c>
      <c r="AB29" s="1105"/>
    </row>
    <row r="30" spans="1:28">
      <c r="A30" s="1103" t="s">
        <v>630</v>
      </c>
      <c r="C30" s="1104"/>
      <c r="D30" s="1125">
        <f t="shared" ca="1" si="0"/>
        <v>46812</v>
      </c>
      <c r="E30" s="1126">
        <f t="shared" ca="1" si="1"/>
        <v>46839</v>
      </c>
      <c r="F30" s="1127">
        <f t="shared" ca="1" si="2"/>
        <v>609</v>
      </c>
      <c r="G30" s="1128">
        <f ca="1">IF(F30&lt;&gt;"",COUNTIF($F$11:F30,"&gt;0"),"")</f>
        <v>20</v>
      </c>
      <c r="H30" s="1129">
        <v>6.4969380648127462E-3</v>
      </c>
      <c r="I30" s="1128"/>
      <c r="J30" s="1130">
        <f t="shared" ca="1" si="3"/>
        <v>9555617165.6346245</v>
      </c>
      <c r="K30" s="1131">
        <f t="shared" ca="1" si="4"/>
        <v>62082252.896189675</v>
      </c>
      <c r="L30" s="1130">
        <f t="shared" ca="1" si="5"/>
        <v>0</v>
      </c>
      <c r="M30" s="1130">
        <f t="shared" ca="1" si="6"/>
        <v>0</v>
      </c>
      <c r="N30" s="1130">
        <f t="shared" ca="1" si="15"/>
        <v>9493534912.7384357</v>
      </c>
      <c r="O30" s="1073"/>
      <c r="P30" s="1130">
        <f t="shared" ca="1" si="7"/>
        <v>62082252.896188736</v>
      </c>
      <c r="Q30" s="1130">
        <f t="shared" ca="1" si="8"/>
        <v>9018858167.1015129</v>
      </c>
      <c r="R30" s="1130">
        <f t="shared" ca="1" si="16"/>
        <v>9077836307.3528919</v>
      </c>
      <c r="S30" s="1130">
        <f t="shared" ca="1" si="17"/>
        <v>58978140.251379013</v>
      </c>
      <c r="T30" s="1130">
        <f t="shared" ca="1" si="9"/>
        <v>9018858167.1015129</v>
      </c>
      <c r="U30" s="1132">
        <f t="shared" ca="1" si="10"/>
        <v>0.76883903951427024</v>
      </c>
      <c r="V30" s="1133">
        <f t="shared" ca="1" si="11"/>
        <v>5.0000000000000155E-2</v>
      </c>
      <c r="X30" s="1134">
        <f t="shared" ca="1" si="18"/>
        <v>477780858.2817325</v>
      </c>
      <c r="Y30" s="1134">
        <f t="shared" ca="1" si="12"/>
        <v>3104112.6448097229</v>
      </c>
      <c r="Z30" s="1134">
        <f t="shared" ca="1" si="13"/>
        <v>474676745.63692278</v>
      </c>
      <c r="AA30" s="1132">
        <f t="shared" ca="1" si="14"/>
        <v>0.82262544469995269</v>
      </c>
      <c r="AB30" s="1105"/>
    </row>
    <row r="31" spans="1:28">
      <c r="A31" s="1528">
        <f>'00 - Cover'!F20</f>
        <v>46230</v>
      </c>
      <c r="C31" s="1104"/>
      <c r="D31" s="1125">
        <f t="shared" ca="1" si="0"/>
        <v>46843</v>
      </c>
      <c r="E31" s="1126">
        <f t="shared" ca="1" si="1"/>
        <v>46870</v>
      </c>
      <c r="F31" s="1127">
        <f t="shared" ca="1" si="2"/>
        <v>640</v>
      </c>
      <c r="G31" s="1128">
        <f ca="1">IF(F31&lt;&gt;"",COUNTIF($F$11:F31,"&gt;0"),"")</f>
        <v>21</v>
      </c>
      <c r="H31" s="1129">
        <v>6.5436261874657333E-3</v>
      </c>
      <c r="I31" s="1128"/>
      <c r="J31" s="1130">
        <f t="shared" ca="1" si="3"/>
        <v>9493534912.7384357</v>
      </c>
      <c r="K31" s="1131">
        <f t="shared" ca="1" si="4"/>
        <v>62122143.666615441</v>
      </c>
      <c r="L31" s="1130">
        <f t="shared" ca="1" si="5"/>
        <v>0</v>
      </c>
      <c r="M31" s="1130">
        <f t="shared" ca="1" si="6"/>
        <v>0</v>
      </c>
      <c r="N31" s="1130">
        <f t="shared" ca="1" si="15"/>
        <v>9431412769.0718212</v>
      </c>
      <c r="O31" s="1073"/>
      <c r="P31" s="1130">
        <f t="shared" ca="1" si="7"/>
        <v>62122143.666614532</v>
      </c>
      <c r="Q31" s="1130">
        <f t="shared" ca="1" si="8"/>
        <v>8959842130.6182289</v>
      </c>
      <c r="R31" s="1130">
        <f t="shared" ca="1" si="16"/>
        <v>9018858167.1015129</v>
      </c>
      <c r="S31" s="1130">
        <f t="shared" ca="1" si="17"/>
        <v>59016036.483283997</v>
      </c>
      <c r="T31" s="1130">
        <f t="shared" ca="1" si="9"/>
        <v>8959842130.6182289</v>
      </c>
      <c r="U31" s="1132">
        <f t="shared" ca="1" si="10"/>
        <v>0.76384393989273602</v>
      </c>
      <c r="V31" s="1133">
        <f t="shared" ca="1" si="11"/>
        <v>5.0000000000000155E-2</v>
      </c>
      <c r="X31" s="1134">
        <f t="shared" ca="1" si="18"/>
        <v>474676745.63692278</v>
      </c>
      <c r="Y31" s="1134">
        <f t="shared" ca="1" si="12"/>
        <v>3106107.1833305359</v>
      </c>
      <c r="Z31" s="1134">
        <f t="shared" ca="1" si="13"/>
        <v>471570638.45359224</v>
      </c>
      <c r="AA31" s="1132">
        <f t="shared" ca="1" si="14"/>
        <v>0.81728089813519766</v>
      </c>
      <c r="AB31" s="1105"/>
    </row>
    <row r="32" spans="1:28">
      <c r="A32" s="1103" t="s">
        <v>631</v>
      </c>
      <c r="C32" s="1104"/>
      <c r="D32" s="1125">
        <f t="shared" ca="1" si="0"/>
        <v>46873</v>
      </c>
      <c r="E32" s="1126">
        <f t="shared" ca="1" si="1"/>
        <v>46902</v>
      </c>
      <c r="F32" s="1127">
        <f t="shared" ca="1" si="2"/>
        <v>672</v>
      </c>
      <c r="G32" s="1128">
        <f ca="1">IF(F32&lt;&gt;"",COUNTIF($F$11:F32,"&gt;0"),"")</f>
        <v>22</v>
      </c>
      <c r="H32" s="1129">
        <v>6.5780392457232386E-3</v>
      </c>
      <c r="I32" s="1128"/>
      <c r="J32" s="1130">
        <f t="shared" ca="1" si="3"/>
        <v>9431412769.0718212</v>
      </c>
      <c r="K32" s="1131">
        <f t="shared" ca="1" si="4"/>
        <v>62040203.337569721</v>
      </c>
      <c r="L32" s="1130">
        <f t="shared" ca="1" si="5"/>
        <v>0</v>
      </c>
      <c r="M32" s="1130">
        <f t="shared" ca="1" si="6"/>
        <v>0</v>
      </c>
      <c r="N32" s="1130">
        <f t="shared" ca="1" si="15"/>
        <v>9369372565.734251</v>
      </c>
      <c r="O32" s="1073"/>
      <c r="P32" s="1130">
        <f t="shared" ca="1" si="7"/>
        <v>62040203.33757019</v>
      </c>
      <c r="Q32" s="1130">
        <f t="shared" ca="1" si="8"/>
        <v>8900903937.4475384</v>
      </c>
      <c r="R32" s="1130">
        <f t="shared" ca="1" si="16"/>
        <v>8959842130.6182289</v>
      </c>
      <c r="S32" s="1130">
        <f t="shared" ca="1" si="17"/>
        <v>58938193.170690536</v>
      </c>
      <c r="T32" s="1130">
        <f t="shared" ca="1" si="9"/>
        <v>8900903937.4475384</v>
      </c>
      <c r="U32" s="1132">
        <f t="shared" ca="1" si="10"/>
        <v>0.75884563068451694</v>
      </c>
      <c r="V32" s="1133">
        <f t="shared" ca="1" si="11"/>
        <v>5.0000000000000044E-2</v>
      </c>
      <c r="X32" s="1134">
        <f t="shared" ca="1" si="18"/>
        <v>471570638.45359224</v>
      </c>
      <c r="Y32" s="1134">
        <f t="shared" ca="1" si="12"/>
        <v>3102010.1668796539</v>
      </c>
      <c r="Z32" s="1134">
        <f t="shared" ca="1" si="13"/>
        <v>468468628.28671259</v>
      </c>
      <c r="AA32" s="1132">
        <f t="shared" ca="1" si="14"/>
        <v>0.81193291744764506</v>
      </c>
      <c r="AB32" s="1105"/>
    </row>
    <row r="33" spans="1:28">
      <c r="A33" s="1143">
        <f>A31</f>
        <v>46230</v>
      </c>
      <c r="C33" s="1104"/>
      <c r="D33" s="1125">
        <f t="shared" ca="1" si="0"/>
        <v>46904</v>
      </c>
      <c r="E33" s="1126">
        <f t="shared" ca="1" si="1"/>
        <v>46931</v>
      </c>
      <c r="F33" s="1127">
        <f t="shared" ca="1" si="2"/>
        <v>701</v>
      </c>
      <c r="G33" s="1128">
        <f ca="1">IF(F33&lt;&gt;"",COUNTIF($F$11:F33,"&gt;0"),"")</f>
        <v>23</v>
      </c>
      <c r="H33" s="1129">
        <v>6.6273728883381152E-3</v>
      </c>
      <c r="I33" s="1128"/>
      <c r="J33" s="1130">
        <f t="shared" ca="1" si="3"/>
        <v>9369372565.734251</v>
      </c>
      <c r="K33" s="1131">
        <f t="shared" ca="1" si="4"/>
        <v>62094325.7228861</v>
      </c>
      <c r="L33" s="1130">
        <f t="shared" ca="1" si="5"/>
        <v>0</v>
      </c>
      <c r="M33" s="1130">
        <f t="shared" ca="1" si="6"/>
        <v>0</v>
      </c>
      <c r="N33" s="1130">
        <f t="shared" ca="1" si="15"/>
        <v>9307278240.011364</v>
      </c>
      <c r="O33" s="1073"/>
      <c r="P33" s="1130">
        <f t="shared" ca="1" si="7"/>
        <v>62094325.722887039</v>
      </c>
      <c r="Q33" s="1130">
        <f t="shared" ca="1" si="8"/>
        <v>8841914328.0107956</v>
      </c>
      <c r="R33" s="1130">
        <f t="shared" ca="1" si="16"/>
        <v>8900903937.4475384</v>
      </c>
      <c r="S33" s="1130">
        <f t="shared" ca="1" si="17"/>
        <v>58989609.436742783</v>
      </c>
      <c r="T33" s="1130">
        <f t="shared" ca="1" si="9"/>
        <v>8841914328.0107956</v>
      </c>
      <c r="U33" s="1132">
        <f t="shared" ca="1" si="10"/>
        <v>0.75385391434442872</v>
      </c>
      <c r="V33" s="1133">
        <f t="shared" ca="1" si="11"/>
        <v>5.0000000000000044E-2</v>
      </c>
      <c r="X33" s="1134">
        <f t="shared" ca="1" si="18"/>
        <v>468468628.28671259</v>
      </c>
      <c r="Y33" s="1134">
        <f t="shared" ca="1" si="12"/>
        <v>3104716.2861442566</v>
      </c>
      <c r="Z33" s="1134">
        <f t="shared" ca="1" si="13"/>
        <v>465363912.00056833</v>
      </c>
      <c r="AA33" s="1132">
        <f t="shared" ca="1" si="14"/>
        <v>0.80659199085177791</v>
      </c>
      <c r="AB33" s="1105"/>
    </row>
    <row r="34" spans="1:28">
      <c r="A34" s="1144">
        <f>Calendar!J26</f>
        <v>45715</v>
      </c>
      <c r="C34" s="1104"/>
      <c r="D34" s="1125">
        <f t="shared" ca="1" si="0"/>
        <v>46934</v>
      </c>
      <c r="E34" s="1126">
        <f t="shared" ca="1" si="1"/>
        <v>46961</v>
      </c>
      <c r="F34" s="1127">
        <f t="shared" ca="1" si="2"/>
        <v>731</v>
      </c>
      <c r="G34" s="1128">
        <f ca="1">IF(F34&lt;&gt;"",COUNTIF($F$11:F34,"&gt;0"),"")</f>
        <v>24</v>
      </c>
      <c r="H34" s="1129">
        <v>6.6642395070978582E-3</v>
      </c>
      <c r="I34" s="1128"/>
      <c r="J34" s="1130">
        <f t="shared" ca="1" si="3"/>
        <v>9307278240.011364</v>
      </c>
      <c r="K34" s="1131">
        <f t="shared" ca="1" si="4"/>
        <v>62025931.350635953</v>
      </c>
      <c r="L34" s="1130">
        <f t="shared" ca="1" si="5"/>
        <v>0</v>
      </c>
      <c r="M34" s="1130">
        <f t="shared" ca="1" si="6"/>
        <v>0</v>
      </c>
      <c r="N34" s="1130">
        <f t="shared" ca="1" si="15"/>
        <v>9245252308.6607285</v>
      </c>
      <c r="O34" s="1073"/>
      <c r="P34" s="1130">
        <f t="shared" ca="1" si="7"/>
        <v>62025931.350635529</v>
      </c>
      <c r="Q34" s="1130">
        <f t="shared" ca="1" si="8"/>
        <v>8782989693.2276917</v>
      </c>
      <c r="R34" s="1130">
        <f t="shared" ca="1" si="16"/>
        <v>8841914328.0107956</v>
      </c>
      <c r="S34" s="1130">
        <f t="shared" ca="1" si="17"/>
        <v>58924634.783103943</v>
      </c>
      <c r="T34" s="1130">
        <f t="shared" ca="1" si="9"/>
        <v>8782989693.2276917</v>
      </c>
      <c r="U34" s="1132">
        <f t="shared" ca="1" si="10"/>
        <v>0.7488578433507348</v>
      </c>
      <c r="V34" s="1133">
        <f t="shared" ca="1" si="11"/>
        <v>5.0000000000000044E-2</v>
      </c>
      <c r="X34" s="1134">
        <f t="shared" ca="1" si="18"/>
        <v>465363912.00056833</v>
      </c>
      <c r="Y34" s="1134">
        <f t="shared" ca="1" si="12"/>
        <v>3101296.5675315857</v>
      </c>
      <c r="Z34" s="1134">
        <f t="shared" ca="1" si="13"/>
        <v>462262615.43303674</v>
      </c>
      <c r="AA34" s="1132">
        <f t="shared" ca="1" si="14"/>
        <v>0.80124640495965627</v>
      </c>
      <c r="AB34" s="1105"/>
    </row>
    <row r="35" spans="1:28">
      <c r="A35" s="1144">
        <f>Calendar!J27</f>
        <v>45743</v>
      </c>
      <c r="C35" s="1104"/>
      <c r="D35" s="1125">
        <f t="shared" ca="1" si="0"/>
        <v>46965</v>
      </c>
      <c r="E35" s="1126">
        <f t="shared" ca="1" si="1"/>
        <v>46993</v>
      </c>
      <c r="F35" s="1127">
        <f t="shared" ca="1" si="2"/>
        <v>763</v>
      </c>
      <c r="G35" s="1128">
        <f ca="1">IF(F35&lt;&gt;"",COUNTIF($F$11:F35,"&gt;0"),"")</f>
        <v>25</v>
      </c>
      <c r="H35" s="1129">
        <v>6.7086781094206106E-3</v>
      </c>
      <c r="I35" s="1128"/>
      <c r="J35" s="1130">
        <f t="shared" ca="1" si="3"/>
        <v>9245252308.6607285</v>
      </c>
      <c r="K35" s="1131">
        <f t="shared" ca="1" si="4"/>
        <v>62023421.779182591</v>
      </c>
      <c r="L35" s="1130">
        <f t="shared" ca="1" si="5"/>
        <v>0</v>
      </c>
      <c r="M35" s="1130">
        <f t="shared" ca="1" si="6"/>
        <v>0</v>
      </c>
      <c r="N35" s="1130">
        <f t="shared" ca="1" si="15"/>
        <v>9183228886.881546</v>
      </c>
      <c r="O35" s="1073"/>
      <c r="P35" s="1130">
        <f t="shared" ca="1" si="7"/>
        <v>62023421.779182434</v>
      </c>
      <c r="Q35" s="1130">
        <f t="shared" ca="1" si="8"/>
        <v>8724067442.537468</v>
      </c>
      <c r="R35" s="1130">
        <f t="shared" ca="1" si="16"/>
        <v>8782989693.2276917</v>
      </c>
      <c r="S35" s="1130">
        <f t="shared" ca="1" si="17"/>
        <v>58922250.690223694</v>
      </c>
      <c r="T35" s="1130">
        <f t="shared" ca="1" si="9"/>
        <v>8724067442.537468</v>
      </c>
      <c r="U35" s="1132">
        <f t="shared" ca="1" si="10"/>
        <v>0.74386727532587671</v>
      </c>
      <c r="V35" s="1133">
        <f t="shared" ca="1" si="11"/>
        <v>5.0000000000000044E-2</v>
      </c>
      <c r="X35" s="1134">
        <f t="shared" ca="1" si="18"/>
        <v>462262615.43303674</v>
      </c>
      <c r="Y35" s="1134">
        <f t="shared" ca="1" si="12"/>
        <v>3101171.0889587402</v>
      </c>
      <c r="Z35" s="1134">
        <f t="shared" ca="1" si="13"/>
        <v>459161444.344078</v>
      </c>
      <c r="AA35" s="1132">
        <f t="shared" ca="1" si="14"/>
        <v>0.7959067070128043</v>
      </c>
      <c r="AB35" s="1105"/>
    </row>
    <row r="36" spans="1:28">
      <c r="A36" s="1144">
        <f>Calendar!J28</f>
        <v>45775</v>
      </c>
      <c r="C36" s="1104"/>
      <c r="D36" s="1125">
        <f t="shared" ca="1" si="0"/>
        <v>46996</v>
      </c>
      <c r="E36" s="1126">
        <f t="shared" ca="1" si="1"/>
        <v>47023</v>
      </c>
      <c r="F36" s="1127">
        <f t="shared" ca="1" si="2"/>
        <v>793</v>
      </c>
      <c r="G36" s="1128">
        <f ca="1">IF(F36&lt;&gt;"",COUNTIF($F$11:F36,"&gt;0"),"")</f>
        <v>26</v>
      </c>
      <c r="H36" s="1129">
        <v>6.757731939292801E-3</v>
      </c>
      <c r="I36" s="1128"/>
      <c r="J36" s="1130">
        <f t="shared" ca="1" si="3"/>
        <v>9183228886.881546</v>
      </c>
      <c r="K36" s="1131">
        <f t="shared" ca="1" si="4"/>
        <v>62057799.154715702</v>
      </c>
      <c r="L36" s="1130">
        <f t="shared" ca="1" si="5"/>
        <v>0</v>
      </c>
      <c r="M36" s="1130">
        <f t="shared" ca="1" si="6"/>
        <v>0</v>
      </c>
      <c r="N36" s="1130">
        <f t="shared" ca="1" si="15"/>
        <v>9121171087.7268295</v>
      </c>
      <c r="O36" s="1073"/>
      <c r="P36" s="1130">
        <f t="shared" ca="1" si="7"/>
        <v>62057799.154716492</v>
      </c>
      <c r="Q36" s="1130">
        <f t="shared" ca="1" si="8"/>
        <v>8665112533.3404884</v>
      </c>
      <c r="R36" s="1130">
        <f t="shared" ca="1" si="16"/>
        <v>8724067442.537468</v>
      </c>
      <c r="S36" s="1130">
        <f t="shared" ca="1" si="17"/>
        <v>58954909.196979523</v>
      </c>
      <c r="T36" s="1130">
        <f t="shared" ca="1" si="9"/>
        <v>8665112533.3404884</v>
      </c>
      <c r="U36" s="1132">
        <f t="shared" ca="1" si="10"/>
        <v>0.7388769092195836</v>
      </c>
      <c r="V36" s="1133">
        <f t="shared" ca="1" si="11"/>
        <v>4.9999999999999933E-2</v>
      </c>
      <c r="X36" s="1134">
        <f t="shared" ca="1" si="18"/>
        <v>459161444.344078</v>
      </c>
      <c r="Y36" s="1134">
        <f t="shared" ca="1" si="12"/>
        <v>3102889.957736969</v>
      </c>
      <c r="Z36" s="1134">
        <f t="shared" ca="1" si="13"/>
        <v>456058554.38634104</v>
      </c>
      <c r="AA36" s="1132">
        <f t="shared" ca="1" si="14"/>
        <v>0.79056722511032718</v>
      </c>
      <c r="AB36" s="1105"/>
    </row>
    <row r="37" spans="1:28">
      <c r="A37" s="1144">
        <f>Calendar!J29</f>
        <v>45804</v>
      </c>
      <c r="C37" s="1104"/>
      <c r="D37" s="1125">
        <f t="shared" ca="1" si="0"/>
        <v>47026</v>
      </c>
      <c r="E37" s="1126">
        <f t="shared" ca="1" si="1"/>
        <v>47053</v>
      </c>
      <c r="F37" s="1127">
        <f t="shared" ca="1" si="2"/>
        <v>823</v>
      </c>
      <c r="G37" s="1128">
        <f ca="1">IF(F37&lt;&gt;"",COUNTIF($F$11:F37,"&gt;0"),"")</f>
        <v>27</v>
      </c>
      <c r="H37" s="1129">
        <v>6.7922906992823944E-3</v>
      </c>
      <c r="I37" s="1128"/>
      <c r="J37" s="1130">
        <f t="shared" ca="1" si="3"/>
        <v>9121171087.7268295</v>
      </c>
      <c r="K37" s="1131">
        <f t="shared" ca="1" si="4"/>
        <v>61953645.545730427</v>
      </c>
      <c r="L37" s="1130">
        <f t="shared" ca="1" si="5"/>
        <v>0</v>
      </c>
      <c r="M37" s="1130">
        <f t="shared" ca="1" si="6"/>
        <v>0</v>
      </c>
      <c r="N37" s="1130">
        <f t="shared" ca="1" si="15"/>
        <v>9059217442.1810989</v>
      </c>
      <c r="O37" s="1073"/>
      <c r="P37" s="1130">
        <f t="shared" ca="1" si="7"/>
        <v>61953645.545730591</v>
      </c>
      <c r="Q37" s="1130">
        <f t="shared" ca="1" si="8"/>
        <v>8606256570.0720444</v>
      </c>
      <c r="R37" s="1130">
        <f t="shared" ca="1" si="16"/>
        <v>8665112533.3404884</v>
      </c>
      <c r="S37" s="1130">
        <f t="shared" ca="1" si="17"/>
        <v>58855963.268444061</v>
      </c>
      <c r="T37" s="1130">
        <f t="shared" ca="1" si="9"/>
        <v>8606256570.0720444</v>
      </c>
      <c r="U37" s="1132">
        <f t="shared" ca="1" si="10"/>
        <v>0.73388377713094455</v>
      </c>
      <c r="V37" s="1133">
        <f t="shared" ca="1" si="11"/>
        <v>4.9999999999999933E-2</v>
      </c>
      <c r="X37" s="1134">
        <f t="shared" ca="1" si="18"/>
        <v>456058554.38634104</v>
      </c>
      <c r="Y37" s="1134">
        <f t="shared" ca="1" si="12"/>
        <v>3097682.2772865295</v>
      </c>
      <c r="Z37" s="1134">
        <f t="shared" ca="1" si="13"/>
        <v>452960872.10905451</v>
      </c>
      <c r="AA37" s="1132">
        <f t="shared" ca="1" si="14"/>
        <v>0.78522478372303894</v>
      </c>
      <c r="AB37" s="1105"/>
    </row>
    <row r="38" spans="1:28">
      <c r="A38" s="1144">
        <f>Calendar!J30</f>
        <v>45835</v>
      </c>
      <c r="C38" s="1104"/>
      <c r="D38" s="1125">
        <f t="shared" ca="1" si="0"/>
        <v>47057</v>
      </c>
      <c r="E38" s="1126">
        <f t="shared" ca="1" si="1"/>
        <v>47084</v>
      </c>
      <c r="F38" s="1127">
        <f t="shared" ca="1" si="2"/>
        <v>854</v>
      </c>
      <c r="G38" s="1128">
        <f ca="1">IF(F38&lt;&gt;"",COUNTIF($F$11:F38,"&gt;0"),"")</f>
        <v>28</v>
      </c>
      <c r="H38" s="1129">
        <v>6.8390234381432852E-3</v>
      </c>
      <c r="I38" s="1128"/>
      <c r="J38" s="1130">
        <f t="shared" ca="1" si="3"/>
        <v>9059217442.1810989</v>
      </c>
      <c r="K38" s="1131">
        <f t="shared" ca="1" si="4"/>
        <v>61956200.418312997</v>
      </c>
      <c r="L38" s="1130">
        <f t="shared" ca="1" si="5"/>
        <v>0</v>
      </c>
      <c r="M38" s="1130">
        <f t="shared" ca="1" si="6"/>
        <v>0</v>
      </c>
      <c r="N38" s="1130">
        <f t="shared" ca="1" si="15"/>
        <v>8997261241.7627869</v>
      </c>
      <c r="O38" s="1073"/>
      <c r="P38" s="1130">
        <f t="shared" ca="1" si="7"/>
        <v>61956200.418312073</v>
      </c>
      <c r="Q38" s="1130">
        <f t="shared" ca="1" si="8"/>
        <v>8547398179.6746473</v>
      </c>
      <c r="R38" s="1130">
        <f t="shared" ca="1" si="16"/>
        <v>8606256570.0720444</v>
      </c>
      <c r="S38" s="1130">
        <f t="shared" ca="1" si="17"/>
        <v>58858390.397397041</v>
      </c>
      <c r="T38" s="1130">
        <f t="shared" ca="1" si="9"/>
        <v>8547398179.6746473</v>
      </c>
      <c r="U38" s="1132">
        <f t="shared" ca="1" si="10"/>
        <v>0.72889902517718375</v>
      </c>
      <c r="V38" s="1133">
        <f t="shared" ca="1" si="11"/>
        <v>5.0000000000000044E-2</v>
      </c>
      <c r="X38" s="1134">
        <f t="shared" ca="1" si="18"/>
        <v>452960872.10905451</v>
      </c>
      <c r="Y38" s="1134">
        <f t="shared" ca="1" si="12"/>
        <v>3097810.0209150314</v>
      </c>
      <c r="Z38" s="1134">
        <f t="shared" ca="1" si="13"/>
        <v>449863062.08813947</v>
      </c>
      <c r="AA38" s="1132">
        <f t="shared" ca="1" si="14"/>
        <v>0.77989130872771095</v>
      </c>
      <c r="AB38" s="1105"/>
    </row>
    <row r="39" spans="1:28">
      <c r="A39" s="1144">
        <f>Calendar!J31</f>
        <v>45866</v>
      </c>
      <c r="C39" s="1104"/>
      <c r="D39" s="1125">
        <f t="shared" ca="1" si="0"/>
        <v>47087</v>
      </c>
      <c r="E39" s="1126">
        <f t="shared" ca="1" si="1"/>
        <v>47114</v>
      </c>
      <c r="F39" s="1127">
        <f t="shared" ca="1" si="2"/>
        <v>884</v>
      </c>
      <c r="G39" s="1128">
        <f ca="1">IF(F39&lt;&gt;"",COUNTIF($F$11:F39,"&gt;0"),"")</f>
        <v>29</v>
      </c>
      <c r="H39" s="1129">
        <v>6.8759064053799078E-3</v>
      </c>
      <c r="I39" s="1128"/>
      <c r="J39" s="1130">
        <f t="shared" ca="1" si="3"/>
        <v>8997261241.7627869</v>
      </c>
      <c r="K39" s="1131">
        <f t="shared" ca="1" si="4"/>
        <v>61864326.203113131</v>
      </c>
      <c r="L39" s="1130">
        <f t="shared" ca="1" si="5"/>
        <v>0</v>
      </c>
      <c r="M39" s="1130">
        <f t="shared" ca="1" si="6"/>
        <v>0</v>
      </c>
      <c r="N39" s="1130">
        <f t="shared" ca="1" si="15"/>
        <v>8935396915.5596733</v>
      </c>
      <c r="O39" s="1073"/>
      <c r="P39" s="1130">
        <f t="shared" ca="1" si="7"/>
        <v>61864326.203113556</v>
      </c>
      <c r="Q39" s="1130">
        <f t="shared" ca="1" si="8"/>
        <v>8488627069.7816896</v>
      </c>
      <c r="R39" s="1130">
        <f t="shared" ca="1" si="16"/>
        <v>8547398179.6746473</v>
      </c>
      <c r="S39" s="1130">
        <f t="shared" ca="1" si="17"/>
        <v>58771109.892957687</v>
      </c>
      <c r="T39" s="1130">
        <f t="shared" ca="1" si="9"/>
        <v>8488627069.7816896</v>
      </c>
      <c r="U39" s="1132">
        <f t="shared" ca="1" si="10"/>
        <v>0.72391406765995725</v>
      </c>
      <c r="V39" s="1133">
        <f t="shared" ca="1" si="11"/>
        <v>5.0000000000000044E-2</v>
      </c>
      <c r="X39" s="1134">
        <f t="shared" ca="1" si="18"/>
        <v>449863062.08813947</v>
      </c>
      <c r="Y39" s="1134">
        <f t="shared" ca="1" si="12"/>
        <v>3093216.3101558685</v>
      </c>
      <c r="Z39" s="1134">
        <f t="shared" ca="1" si="13"/>
        <v>446769845.77798361</v>
      </c>
      <c r="AA39" s="1132">
        <f t="shared" ca="1" si="14"/>
        <v>0.77455761378811894</v>
      </c>
      <c r="AB39" s="1105"/>
    </row>
    <row r="40" spans="1:28">
      <c r="A40" s="1144">
        <f>Calendar!J32</f>
        <v>45896</v>
      </c>
      <c r="C40" s="1104"/>
      <c r="D40" s="1125">
        <f t="shared" ca="1" si="0"/>
        <v>47118</v>
      </c>
      <c r="E40" s="1126">
        <f t="shared" ca="1" si="1"/>
        <v>47147</v>
      </c>
      <c r="F40" s="1127">
        <f t="shared" ca="1" si="2"/>
        <v>917</v>
      </c>
      <c r="G40" s="1128">
        <f ca="1">IF(F40&lt;&gt;"",COUNTIF($F$11:F40,"&gt;0"),"")</f>
        <v>30</v>
      </c>
      <c r="H40" s="1129">
        <v>6.9259289520733781E-3</v>
      </c>
      <c r="I40" s="1128"/>
      <c r="J40" s="1130">
        <f t="shared" ca="1" si="3"/>
        <v>8935396915.5596733</v>
      </c>
      <c r="K40" s="1131">
        <f t="shared" ca="1" si="4"/>
        <v>61885924.195741899</v>
      </c>
      <c r="L40" s="1130">
        <f t="shared" ca="1" si="5"/>
        <v>0</v>
      </c>
      <c r="M40" s="1130">
        <f t="shared" ca="1" si="6"/>
        <v>0</v>
      </c>
      <c r="N40" s="1130">
        <f t="shared" ca="1" si="15"/>
        <v>8873510991.3639317</v>
      </c>
      <c r="O40" s="1073"/>
      <c r="P40" s="1130">
        <f t="shared" ca="1" si="7"/>
        <v>61885924.195741653</v>
      </c>
      <c r="Q40" s="1130">
        <f t="shared" ca="1" si="8"/>
        <v>8429835441.7957344</v>
      </c>
      <c r="R40" s="1130">
        <f t="shared" ca="1" si="16"/>
        <v>8488627069.7816896</v>
      </c>
      <c r="S40" s="1130">
        <f t="shared" ca="1" si="17"/>
        <v>58791627.985955238</v>
      </c>
      <c r="T40" s="1130">
        <f t="shared" ca="1" si="9"/>
        <v>8429835441.7957344</v>
      </c>
      <c r="U40" s="1132">
        <f t="shared" ca="1" si="10"/>
        <v>0.71893650228518946</v>
      </c>
      <c r="V40" s="1133">
        <f t="shared" ca="1" si="11"/>
        <v>5.0000000000000044E-2</v>
      </c>
      <c r="X40" s="1134">
        <f t="shared" ca="1" si="18"/>
        <v>446769845.77798361</v>
      </c>
      <c r="Y40" s="1134">
        <f t="shared" ca="1" si="12"/>
        <v>3094296.2097864151</v>
      </c>
      <c r="Z40" s="1134">
        <f t="shared" ca="1" si="13"/>
        <v>443675549.56819719</v>
      </c>
      <c r="AA40" s="1132">
        <f t="shared" ca="1" si="14"/>
        <v>0.76923182813013702</v>
      </c>
      <c r="AB40" s="1105"/>
    </row>
    <row r="41" spans="1:28">
      <c r="A41" s="1144">
        <f>Calendar!J33</f>
        <v>45929</v>
      </c>
      <c r="C41" s="1104"/>
      <c r="D41" s="1125">
        <f t="shared" ca="1" si="0"/>
        <v>47149</v>
      </c>
      <c r="E41" s="1126">
        <f t="shared" ca="1" si="1"/>
        <v>47176</v>
      </c>
      <c r="F41" s="1127">
        <f t="shared" ca="1" si="2"/>
        <v>946</v>
      </c>
      <c r="G41" s="1128">
        <f ca="1">IF(F41&lt;&gt;"",COUNTIF($F$11:F41,"&gt;0"),"")</f>
        <v>31</v>
      </c>
      <c r="H41" s="1129">
        <v>6.968380032368336E-3</v>
      </c>
      <c r="I41" s="1128"/>
      <c r="J41" s="1130">
        <f t="shared" ca="1" si="3"/>
        <v>8873510991.3639317</v>
      </c>
      <c r="K41" s="1131">
        <f t="shared" ca="1" si="4"/>
        <v>61833996.809221379</v>
      </c>
      <c r="L41" s="1130">
        <f t="shared" ca="1" si="5"/>
        <v>0</v>
      </c>
      <c r="M41" s="1130">
        <f t="shared" ca="1" si="6"/>
        <v>0</v>
      </c>
      <c r="N41" s="1130">
        <f t="shared" ca="1" si="15"/>
        <v>8811676994.5547104</v>
      </c>
      <c r="O41" s="1073"/>
      <c r="P41" s="1130">
        <f t="shared" ca="1" si="7"/>
        <v>61833996.809221268</v>
      </c>
      <c r="Q41" s="1130">
        <f t="shared" ca="1" si="8"/>
        <v>8371093144.8269749</v>
      </c>
      <c r="R41" s="1130">
        <f t="shared" ca="1" si="16"/>
        <v>8429835441.7957344</v>
      </c>
      <c r="S41" s="1130">
        <f t="shared" ca="1" si="17"/>
        <v>58742296.968759537</v>
      </c>
      <c r="T41" s="1130">
        <f t="shared" ca="1" si="9"/>
        <v>8371093144.8269749</v>
      </c>
      <c r="U41" s="1132">
        <f t="shared" ca="1" si="10"/>
        <v>0.71395719914931011</v>
      </c>
      <c r="V41" s="1133">
        <f t="shared" ca="1" si="11"/>
        <v>5.0000000000000044E-2</v>
      </c>
      <c r="X41" s="1134">
        <f t="shared" ca="1" si="18"/>
        <v>443675549.56819719</v>
      </c>
      <c r="Y41" s="1134">
        <f t="shared" ca="1" si="12"/>
        <v>3091699.840461731</v>
      </c>
      <c r="Z41" s="1134">
        <f t="shared" ca="1" si="13"/>
        <v>440583849.72773546</v>
      </c>
      <c r="AA41" s="1132">
        <f t="shared" ca="1" si="14"/>
        <v>0.76390418314083541</v>
      </c>
      <c r="AB41" s="1105"/>
    </row>
    <row r="42" spans="1:28">
      <c r="A42" s="1144">
        <f>Calendar!J34</f>
        <v>45957</v>
      </c>
      <c r="C42" s="1104"/>
      <c r="D42" s="1125">
        <f t="shared" ca="1" si="0"/>
        <v>47177</v>
      </c>
      <c r="E42" s="1126">
        <f t="shared" ca="1" si="1"/>
        <v>47204</v>
      </c>
      <c r="F42" s="1127">
        <f t="shared" ca="1" si="2"/>
        <v>974</v>
      </c>
      <c r="G42" s="1128">
        <f ca="1">IF(F42&lt;&gt;"",COUNTIF($F$11:F42,"&gt;0"),"")</f>
        <v>32</v>
      </c>
      <c r="H42" s="1129">
        <v>7.012340494481766E-3</v>
      </c>
      <c r="I42" s="1128"/>
      <c r="J42" s="1130">
        <f t="shared" ca="1" si="3"/>
        <v>8811676994.5547104</v>
      </c>
      <c r="K42" s="1131">
        <f t="shared" ca="1" si="4"/>
        <v>61790479.413209379</v>
      </c>
      <c r="L42" s="1130">
        <f t="shared" ca="1" si="5"/>
        <v>0</v>
      </c>
      <c r="M42" s="1130">
        <f t="shared" ca="1" si="6"/>
        <v>0</v>
      </c>
      <c r="N42" s="1130">
        <f t="shared" ca="1" si="15"/>
        <v>8749886515.1415005</v>
      </c>
      <c r="O42" s="1073"/>
      <c r="P42" s="1130">
        <f t="shared" ca="1" si="7"/>
        <v>61790479.413209915</v>
      </c>
      <c r="Q42" s="1130">
        <f t="shared" ca="1" si="8"/>
        <v>8312392189.3844252</v>
      </c>
      <c r="R42" s="1130">
        <f t="shared" ca="1" si="16"/>
        <v>8371093144.8269749</v>
      </c>
      <c r="S42" s="1130">
        <f t="shared" ca="1" si="17"/>
        <v>58700955.442549706</v>
      </c>
      <c r="T42" s="1130">
        <f t="shared" ca="1" si="9"/>
        <v>8312392189.3844252</v>
      </c>
      <c r="U42" s="1132">
        <f t="shared" ca="1" si="10"/>
        <v>0.70898207405879254</v>
      </c>
      <c r="V42" s="1133">
        <f t="shared" ca="1" si="11"/>
        <v>5.0000000000000044E-2</v>
      </c>
      <c r="X42" s="1134">
        <f t="shared" ca="1" si="18"/>
        <v>440583849.72773546</v>
      </c>
      <c r="Y42" s="1134">
        <f t="shared" ca="1" si="12"/>
        <v>3089523.9706602097</v>
      </c>
      <c r="Z42" s="1134">
        <f t="shared" ca="1" si="13"/>
        <v>437494325.75707525</v>
      </c>
      <c r="AA42" s="1132">
        <f t="shared" ca="1" si="14"/>
        <v>0.75858100848439303</v>
      </c>
      <c r="AB42" s="1105"/>
    </row>
    <row r="43" spans="1:28">
      <c r="A43" s="1144">
        <f>Calendar!J35</f>
        <v>45988</v>
      </c>
      <c r="C43" s="1104"/>
      <c r="D43" s="1125">
        <f t="shared" ca="1" si="0"/>
        <v>47208</v>
      </c>
      <c r="E43" s="1126">
        <f t="shared" ca="1" si="1"/>
        <v>47235</v>
      </c>
      <c r="F43" s="1127">
        <f t="shared" ca="1" si="2"/>
        <v>1005</v>
      </c>
      <c r="G43" s="1128">
        <f ca="1">IF(F43&lt;&gt;"",COUNTIF($F$11:F43,"&gt;0"),"")</f>
        <v>33</v>
      </c>
      <c r="H43" s="1129">
        <v>7.0620336687723436E-3</v>
      </c>
      <c r="I43" s="1128"/>
      <c r="J43" s="1130">
        <f t="shared" ca="1" si="3"/>
        <v>8749886515.1415005</v>
      </c>
      <c r="K43" s="1131">
        <f t="shared" ca="1" si="4"/>
        <v>61791993.167866386</v>
      </c>
      <c r="L43" s="1130">
        <f t="shared" ca="1" si="5"/>
        <v>0</v>
      </c>
      <c r="M43" s="1130">
        <f t="shared" ca="1" si="6"/>
        <v>0</v>
      </c>
      <c r="N43" s="1130">
        <f t="shared" ca="1" si="15"/>
        <v>8688094521.9736347</v>
      </c>
      <c r="O43" s="1073"/>
      <c r="P43" s="1130">
        <f t="shared" ca="1" si="7"/>
        <v>61791993.167865753</v>
      </c>
      <c r="Q43" s="1130">
        <f t="shared" ca="1" si="8"/>
        <v>8253689795.8749523</v>
      </c>
      <c r="R43" s="1130">
        <f t="shared" ca="1" si="16"/>
        <v>8312392189.3844252</v>
      </c>
      <c r="S43" s="1130">
        <f t="shared" ca="1" si="17"/>
        <v>58702393.509472847</v>
      </c>
      <c r="T43" s="1130">
        <f t="shared" ca="1" si="9"/>
        <v>8253689795.8749523</v>
      </c>
      <c r="U43" s="1132">
        <f t="shared" ca="1" si="10"/>
        <v>0.70401045035100829</v>
      </c>
      <c r="V43" s="1133">
        <f t="shared" ca="1" si="11"/>
        <v>5.0000000000000044E-2</v>
      </c>
      <c r="X43" s="1134">
        <f t="shared" ca="1" si="18"/>
        <v>437494325.75707525</v>
      </c>
      <c r="Y43" s="1134">
        <f t="shared" ca="1" si="12"/>
        <v>3089599.6583929062</v>
      </c>
      <c r="Z43" s="1134">
        <f t="shared" ca="1" si="13"/>
        <v>434404726.09868234</v>
      </c>
      <c r="AA43" s="1132">
        <f t="shared" ca="1" si="14"/>
        <v>0.75326158016025357</v>
      </c>
      <c r="AB43" s="1105"/>
    </row>
    <row r="44" spans="1:28">
      <c r="A44" s="1144">
        <f>Calendar!J36</f>
        <v>46020</v>
      </c>
      <c r="C44" s="1104"/>
      <c r="D44" s="1125">
        <f t="shared" ca="1" si="0"/>
        <v>47238</v>
      </c>
      <c r="E44" s="1126">
        <f t="shared" ca="1" si="1"/>
        <v>47266</v>
      </c>
      <c r="F44" s="1127">
        <f t="shared" ca="1" si="2"/>
        <v>1036</v>
      </c>
      <c r="G44" s="1128">
        <f ca="1">IF(F44&lt;&gt;"",COUNTIF($F$11:F44,"&gt;0"),"")</f>
        <v>34</v>
      </c>
      <c r="H44" s="1129">
        <v>7.1038307982606843E-3</v>
      </c>
      <c r="I44" s="1128"/>
      <c r="J44" s="1130">
        <f t="shared" ca="1" si="3"/>
        <v>8688094521.9736347</v>
      </c>
      <c r="K44" s="1131">
        <f t="shared" ca="1" si="4"/>
        <v>61718753.44339624</v>
      </c>
      <c r="L44" s="1130">
        <f t="shared" ca="1" si="5"/>
        <v>0</v>
      </c>
      <c r="M44" s="1130">
        <f t="shared" ca="1" si="6"/>
        <v>0</v>
      </c>
      <c r="N44" s="1130">
        <f t="shared" ca="1" si="15"/>
        <v>8626375768.5302391</v>
      </c>
      <c r="O44" s="1073"/>
      <c r="P44" s="1130">
        <f t="shared" ca="1" si="7"/>
        <v>61718753.443395615</v>
      </c>
      <c r="Q44" s="1130">
        <f t="shared" ca="1" si="8"/>
        <v>8195056980.1037264</v>
      </c>
      <c r="R44" s="1130">
        <f t="shared" ca="1" si="16"/>
        <v>8253689795.8749523</v>
      </c>
      <c r="S44" s="1130">
        <f t="shared" ca="1" si="17"/>
        <v>58632815.771225929</v>
      </c>
      <c r="T44" s="1130">
        <f t="shared" ca="1" si="9"/>
        <v>8195056980.1037264</v>
      </c>
      <c r="U44" s="1132">
        <f t="shared" ca="1" si="10"/>
        <v>0.69903870484746189</v>
      </c>
      <c r="V44" s="1133">
        <f t="shared" ca="1" si="11"/>
        <v>5.0000000000000044E-2</v>
      </c>
      <c r="X44" s="1134">
        <f t="shared" ca="1" si="18"/>
        <v>434404726.09868234</v>
      </c>
      <c r="Y44" s="1134">
        <f t="shared" ca="1" si="12"/>
        <v>3085937.6721696854</v>
      </c>
      <c r="Z44" s="1134">
        <f t="shared" ca="1" si="13"/>
        <v>431318788.42651266</v>
      </c>
      <c r="AA44" s="1132">
        <f t="shared" ca="1" si="14"/>
        <v>0.74794202151976985</v>
      </c>
      <c r="AB44" s="1105"/>
    </row>
    <row r="45" spans="1:28">
      <c r="A45" s="1144">
        <f>Calendar!J37</f>
        <v>46049</v>
      </c>
      <c r="C45" s="1104"/>
      <c r="D45" s="1125">
        <f t="shared" ca="1" si="0"/>
        <v>47269</v>
      </c>
      <c r="E45" s="1126">
        <f t="shared" ca="1" si="1"/>
        <v>47296</v>
      </c>
      <c r="F45" s="1127">
        <f t="shared" ca="1" si="2"/>
        <v>1066</v>
      </c>
      <c r="G45" s="1128">
        <f ca="1">IF(F45&lt;&gt;"",COUNTIF($F$11:F45,"&gt;0"),"")</f>
        <v>35</v>
      </c>
      <c r="H45" s="1129">
        <v>7.1527899564139772E-3</v>
      </c>
      <c r="I45" s="1128"/>
      <c r="J45" s="1130">
        <f t="shared" ca="1" si="3"/>
        <v>8626375768.5302391</v>
      </c>
      <c r="K45" s="1131">
        <f t="shared" ca="1" si="4"/>
        <v>61702653.957396001</v>
      </c>
      <c r="L45" s="1130">
        <f t="shared" ca="1" si="5"/>
        <v>0</v>
      </c>
      <c r="M45" s="1130">
        <f t="shared" ca="1" si="6"/>
        <v>0</v>
      </c>
      <c r="N45" s="1130">
        <f t="shared" ca="1" si="15"/>
        <v>8564673114.5728436</v>
      </c>
      <c r="O45" s="1073"/>
      <c r="P45" s="1130">
        <f t="shared" ca="1" si="7"/>
        <v>61702653.957395554</v>
      </c>
      <c r="Q45" s="1130">
        <f t="shared" ca="1" si="8"/>
        <v>8136439458.8442011</v>
      </c>
      <c r="R45" s="1130">
        <f t="shared" ca="1" si="16"/>
        <v>8195056980.1037264</v>
      </c>
      <c r="S45" s="1130">
        <f t="shared" ca="1" si="17"/>
        <v>58617521.259525299</v>
      </c>
      <c r="T45" s="1130">
        <f t="shared" ca="1" si="9"/>
        <v>8136439458.8442011</v>
      </c>
      <c r="U45" s="1132">
        <f t="shared" ca="1" si="10"/>
        <v>0.69407285216679027</v>
      </c>
      <c r="V45" s="1133">
        <f t="shared" ca="1" si="11"/>
        <v>5.0000000000000044E-2</v>
      </c>
      <c r="X45" s="1134">
        <f t="shared" ca="1" si="18"/>
        <v>431318788.42651266</v>
      </c>
      <c r="Y45" s="1134">
        <f t="shared" ca="1" si="12"/>
        <v>3085132.6978702545</v>
      </c>
      <c r="Z45" s="1134">
        <f t="shared" ca="1" si="13"/>
        <v>428233655.7286424</v>
      </c>
      <c r="AA45" s="1132">
        <f t="shared" ca="1" si="14"/>
        <v>0.74262876795198463</v>
      </c>
      <c r="AB45" s="1105"/>
    </row>
    <row r="46" spans="1:28">
      <c r="A46" s="1144">
        <f>Calendar!J38</f>
        <v>46080</v>
      </c>
      <c r="C46" s="1104"/>
      <c r="D46" s="1125">
        <f t="shared" ca="1" si="0"/>
        <v>47299</v>
      </c>
      <c r="E46" s="1126">
        <f t="shared" ca="1" si="1"/>
        <v>47326</v>
      </c>
      <c r="F46" s="1127">
        <f t="shared" ca="1" si="2"/>
        <v>1096</v>
      </c>
      <c r="G46" s="1128">
        <f ca="1">IF(F46&lt;&gt;"",COUNTIF($F$11:F46,"&gt;0"),"")</f>
        <v>36</v>
      </c>
      <c r="H46" s="1129">
        <v>7.1967674030143786E-3</v>
      </c>
      <c r="I46" s="1128"/>
      <c r="J46" s="1130">
        <f t="shared" ca="1" si="3"/>
        <v>8564673114.5728436</v>
      </c>
      <c r="K46" s="1131">
        <f t="shared" ca="1" si="4"/>
        <v>61637960.288431473</v>
      </c>
      <c r="L46" s="1130">
        <f t="shared" ca="1" si="5"/>
        <v>0</v>
      </c>
      <c r="M46" s="1130">
        <f t="shared" ca="1" si="6"/>
        <v>0</v>
      </c>
      <c r="N46" s="1130">
        <f t="shared" ca="1" si="15"/>
        <v>8503035154.2844124</v>
      </c>
      <c r="O46" s="1073"/>
      <c r="P46" s="1130">
        <f t="shared" ca="1" si="7"/>
        <v>61637960.288431168</v>
      </c>
      <c r="Q46" s="1130">
        <f t="shared" ca="1" si="8"/>
        <v>8077883396.5701914</v>
      </c>
      <c r="R46" s="1130">
        <f t="shared" ca="1" si="16"/>
        <v>8136439458.8442011</v>
      </c>
      <c r="S46" s="1130">
        <f t="shared" ca="1" si="17"/>
        <v>58556062.274009705</v>
      </c>
      <c r="T46" s="1130">
        <f t="shared" ca="1" si="9"/>
        <v>8077883396.5701914</v>
      </c>
      <c r="U46" s="1132">
        <f t="shared" ca="1" si="10"/>
        <v>0.68910829484079217</v>
      </c>
      <c r="V46" s="1133">
        <f t="shared" ca="1" si="11"/>
        <v>5.0000000000000044E-2</v>
      </c>
      <c r="X46" s="1134">
        <f t="shared" ca="1" si="18"/>
        <v>428233655.7286424</v>
      </c>
      <c r="Y46" s="1134">
        <f t="shared" ca="1" si="12"/>
        <v>3081898.014421463</v>
      </c>
      <c r="Z46" s="1134">
        <f t="shared" ca="1" si="13"/>
        <v>425151757.71422094</v>
      </c>
      <c r="AA46" s="1132">
        <f t="shared" ca="1" si="14"/>
        <v>0.73731690035923281</v>
      </c>
      <c r="AB46" s="1105"/>
    </row>
    <row r="47" spans="1:28">
      <c r="A47" s="1144">
        <f>Calendar!J39</f>
        <v>46108</v>
      </c>
      <c r="C47" s="1104"/>
      <c r="D47" s="1125">
        <f t="shared" ca="1" si="0"/>
        <v>47330</v>
      </c>
      <c r="E47" s="1126">
        <f t="shared" ca="1" si="1"/>
        <v>47357</v>
      </c>
      <c r="F47" s="1127">
        <f t="shared" ca="1" si="2"/>
        <v>1127</v>
      </c>
      <c r="G47" s="1128">
        <f ca="1">IF(F47&lt;&gt;"",COUNTIF($F$11:F47,"&gt;0"),"")</f>
        <v>37</v>
      </c>
      <c r="H47" s="1129">
        <v>7.241597406579146E-3</v>
      </c>
      <c r="I47" s="1128"/>
      <c r="J47" s="1130">
        <f t="shared" ca="1" si="3"/>
        <v>8503035154.2844124</v>
      </c>
      <c r="K47" s="1131">
        <f t="shared" ca="1" si="4"/>
        <v>61575557.321317308</v>
      </c>
      <c r="L47" s="1130">
        <f t="shared" ca="1" si="5"/>
        <v>0</v>
      </c>
      <c r="M47" s="1130">
        <f t="shared" ca="1" si="6"/>
        <v>0</v>
      </c>
      <c r="N47" s="1130">
        <f t="shared" ca="1" si="15"/>
        <v>8441459596.9630947</v>
      </c>
      <c r="O47" s="1073"/>
      <c r="P47" s="1130">
        <f t="shared" ca="1" si="7"/>
        <v>61575557.321317673</v>
      </c>
      <c r="Q47" s="1130">
        <f t="shared" ca="1" si="8"/>
        <v>8019386617.1149397</v>
      </c>
      <c r="R47" s="1130">
        <f t="shared" ca="1" si="16"/>
        <v>8077883396.5701914</v>
      </c>
      <c r="S47" s="1130">
        <f t="shared" ca="1" si="17"/>
        <v>58496779.455251694</v>
      </c>
      <c r="T47" s="1130">
        <f t="shared" ca="1" si="9"/>
        <v>8019386617.1149397</v>
      </c>
      <c r="U47" s="1132">
        <f t="shared" ca="1" si="10"/>
        <v>0.68414894272733517</v>
      </c>
      <c r="V47" s="1133">
        <f t="shared" ca="1" si="11"/>
        <v>5.0000000000000044E-2</v>
      </c>
      <c r="X47" s="1134">
        <f t="shared" ca="1" si="18"/>
        <v>425151757.71422094</v>
      </c>
      <c r="Y47" s="1134">
        <f t="shared" ca="1" si="12"/>
        <v>3078777.866065979</v>
      </c>
      <c r="Z47" s="1134">
        <f t="shared" ca="1" si="13"/>
        <v>422072979.84815496</v>
      </c>
      <c r="AA47" s="1132">
        <f t="shared" ca="1" si="14"/>
        <v>0.7320106021250361</v>
      </c>
      <c r="AB47" s="1105"/>
    </row>
    <row r="48" spans="1:28">
      <c r="A48" s="1144">
        <f>Calendar!J40</f>
        <v>46139</v>
      </c>
      <c r="C48" s="1104"/>
      <c r="D48" s="1125">
        <f t="shared" ca="1" si="0"/>
        <v>47361</v>
      </c>
      <c r="E48" s="1126">
        <f t="shared" ca="1" si="1"/>
        <v>47388</v>
      </c>
      <c r="F48" s="1127">
        <f t="shared" ca="1" si="2"/>
        <v>1158</v>
      </c>
      <c r="G48" s="1128">
        <f ca="1">IF(F48&lt;&gt;"",COUNTIF($F$11:F48,"&gt;0"),"")</f>
        <v>38</v>
      </c>
      <c r="H48" s="1129">
        <v>7.301176100127843E-3</v>
      </c>
      <c r="I48" s="1128"/>
      <c r="J48" s="1130">
        <f t="shared" ca="1" si="3"/>
        <v>8441459596.9630947</v>
      </c>
      <c r="K48" s="1131">
        <f t="shared" ca="1" si="4"/>
        <v>61632583.059541762</v>
      </c>
      <c r="L48" s="1130">
        <f t="shared" ca="1" si="5"/>
        <v>0</v>
      </c>
      <c r="M48" s="1130">
        <f t="shared" ca="1" si="6"/>
        <v>0</v>
      </c>
      <c r="N48" s="1130">
        <f t="shared" ca="1" si="15"/>
        <v>8379827013.903553</v>
      </c>
      <c r="O48" s="1073"/>
      <c r="P48" s="1130">
        <f t="shared" ca="1" si="7"/>
        <v>61632583.059541702</v>
      </c>
      <c r="Q48" s="1130">
        <f t="shared" ca="1" si="8"/>
        <v>7960835663.208375</v>
      </c>
      <c r="R48" s="1130">
        <f t="shared" ca="1" si="16"/>
        <v>8019386617.1149397</v>
      </c>
      <c r="S48" s="1130">
        <f t="shared" ca="1" si="17"/>
        <v>58550953.906564713</v>
      </c>
      <c r="T48" s="1130">
        <f t="shared" ca="1" si="9"/>
        <v>7960835663.208375</v>
      </c>
      <c r="U48" s="1132">
        <f t="shared" ca="1" si="10"/>
        <v>0.67919461151796701</v>
      </c>
      <c r="V48" s="1133">
        <f t="shared" ca="1" si="11"/>
        <v>5.0000000000000044E-2</v>
      </c>
      <c r="X48" s="1134">
        <f t="shared" ca="1" si="18"/>
        <v>422072979.84815496</v>
      </c>
      <c r="Y48" s="1134">
        <f t="shared" ca="1" si="12"/>
        <v>3081629.1529769897</v>
      </c>
      <c r="Z48" s="1134">
        <f t="shared" ca="1" si="13"/>
        <v>418991350.69517797</v>
      </c>
      <c r="AA48" s="1132">
        <f t="shared" ca="1" si="14"/>
        <v>0.7267096760470988</v>
      </c>
      <c r="AB48" s="1105"/>
    </row>
    <row r="49" spans="1:28">
      <c r="A49" s="1144">
        <f>Calendar!J41</f>
        <v>46169</v>
      </c>
      <c r="C49" s="1104"/>
      <c r="D49" s="1125">
        <f t="shared" ca="1" si="0"/>
        <v>47391</v>
      </c>
      <c r="E49" s="1126">
        <f t="shared" ca="1" si="1"/>
        <v>47420</v>
      </c>
      <c r="F49" s="1127">
        <f t="shared" ca="1" si="2"/>
        <v>1190</v>
      </c>
      <c r="G49" s="1128">
        <f ca="1">IF(F49&lt;&gt;"",COUNTIF($F$11:F49,"&gt;0"),"")</f>
        <v>39</v>
      </c>
      <c r="H49" s="1129">
        <v>7.3377156243270942E-3</v>
      </c>
      <c r="I49" s="1128"/>
      <c r="J49" s="1130">
        <f t="shared" ca="1" si="3"/>
        <v>8379827013.903553</v>
      </c>
      <c r="K49" s="1131">
        <f t="shared" ca="1" si="4"/>
        <v>61488787.609078363</v>
      </c>
      <c r="L49" s="1130">
        <f t="shared" ca="1" si="5"/>
        <v>0</v>
      </c>
      <c r="M49" s="1130">
        <f t="shared" ca="1" si="6"/>
        <v>0</v>
      </c>
      <c r="N49" s="1130">
        <f t="shared" ca="1" si="15"/>
        <v>8318338226.2944746</v>
      </c>
      <c r="O49" s="1073"/>
      <c r="P49" s="1130">
        <f t="shared" ca="1" si="7"/>
        <v>61488787.609078407</v>
      </c>
      <c r="Q49" s="1130">
        <f t="shared" ca="1" si="8"/>
        <v>7902421314.9797506</v>
      </c>
      <c r="R49" s="1130">
        <f t="shared" ca="1" si="16"/>
        <v>7960835663.208375</v>
      </c>
      <c r="S49" s="1130">
        <f t="shared" ca="1" si="17"/>
        <v>58414348.228624344</v>
      </c>
      <c r="T49" s="1130">
        <f t="shared" ca="1" si="9"/>
        <v>7902421314.9797506</v>
      </c>
      <c r="U49" s="1132">
        <f t="shared" ca="1" si="10"/>
        <v>0.67423569205301637</v>
      </c>
      <c r="V49" s="1133">
        <f t="shared" ca="1" si="11"/>
        <v>5.0000000000000044E-2</v>
      </c>
      <c r="X49" s="1134">
        <f t="shared" ca="1" si="18"/>
        <v>418991350.69517797</v>
      </c>
      <c r="Y49" s="1134">
        <f t="shared" ca="1" si="12"/>
        <v>3074439.3804540634</v>
      </c>
      <c r="Z49" s="1134">
        <f t="shared" ca="1" si="13"/>
        <v>415916911.31472391</v>
      </c>
      <c r="AA49" s="1132">
        <f t="shared" ca="1" si="14"/>
        <v>0.72140384072861219</v>
      </c>
      <c r="AB49" s="1105"/>
    </row>
    <row r="50" spans="1:28">
      <c r="A50" s="1144">
        <f>Calendar!J42</f>
        <v>46202</v>
      </c>
      <c r="C50" s="1104"/>
      <c r="D50" s="1125">
        <f t="shared" ca="1" si="0"/>
        <v>47422</v>
      </c>
      <c r="E50" s="1126">
        <f t="shared" ca="1" si="1"/>
        <v>47449</v>
      </c>
      <c r="F50" s="1127">
        <f t="shared" ca="1" si="2"/>
        <v>1219</v>
      </c>
      <c r="G50" s="1128">
        <f ca="1">IF(F50&lt;&gt;"",COUNTIF($F$11:F50,"&gt;0"),"")</f>
        <v>40</v>
      </c>
      <c r="H50" s="1129">
        <v>7.3869780053145723E-3</v>
      </c>
      <c r="I50" s="1128"/>
      <c r="J50" s="1130">
        <f t="shared" ca="1" si="3"/>
        <v>8318338226.2944746</v>
      </c>
      <c r="K50" s="1131">
        <f t="shared" ca="1" si="4"/>
        <v>61447381.518404715</v>
      </c>
      <c r="L50" s="1130">
        <f t="shared" ca="1" si="5"/>
        <v>0</v>
      </c>
      <c r="M50" s="1130">
        <f t="shared" ca="1" si="6"/>
        <v>0</v>
      </c>
      <c r="N50" s="1130">
        <f t="shared" ca="1" si="15"/>
        <v>8256890844.7760696</v>
      </c>
      <c r="O50" s="1073"/>
      <c r="P50" s="1130">
        <f t="shared" ca="1" si="7"/>
        <v>61447381.518404961</v>
      </c>
      <c r="Q50" s="1130">
        <f t="shared" ca="1" si="8"/>
        <v>7844046302.5372658</v>
      </c>
      <c r="R50" s="1130">
        <f t="shared" ca="1" si="16"/>
        <v>7902421314.9797506</v>
      </c>
      <c r="S50" s="1130">
        <f t="shared" ca="1" si="17"/>
        <v>58375012.442484856</v>
      </c>
      <c r="T50" s="1130">
        <f t="shared" ca="1" si="9"/>
        <v>7844046302.5372658</v>
      </c>
      <c r="U50" s="1132">
        <f t="shared" ca="1" si="10"/>
        <v>0.66928834228096001</v>
      </c>
      <c r="V50" s="1133">
        <f t="shared" ca="1" si="11"/>
        <v>5.0000000000000044E-2</v>
      </c>
      <c r="X50" s="1134">
        <f t="shared" ca="1" si="18"/>
        <v>415916911.31472391</v>
      </c>
      <c r="Y50" s="1134">
        <f t="shared" ca="1" si="12"/>
        <v>3072369.075920105</v>
      </c>
      <c r="Z50" s="1134">
        <f t="shared" ca="1" si="13"/>
        <v>412844542.2388038</v>
      </c>
      <c r="AA50" s="1132">
        <f t="shared" ca="1" si="14"/>
        <v>0.71611038449504805</v>
      </c>
      <c r="AB50" s="1105"/>
    </row>
    <row r="51" spans="1:28">
      <c r="A51" s="1144">
        <f>Calendar!J43</f>
        <v>46230</v>
      </c>
      <c r="C51" s="1104"/>
      <c r="D51" s="1125">
        <f t="shared" ca="1" si="0"/>
        <v>47452</v>
      </c>
      <c r="E51" s="1126">
        <f t="shared" ca="1" si="1"/>
        <v>47479</v>
      </c>
      <c r="F51" s="1127">
        <f t="shared" ca="1" si="2"/>
        <v>1249</v>
      </c>
      <c r="G51" s="1128">
        <f ca="1">IF(F51&lt;&gt;"",COUNTIF($F$11:F51,"&gt;0"),"")</f>
        <v>41</v>
      </c>
      <c r="H51" s="1129">
        <v>7.4268595772451918E-3</v>
      </c>
      <c r="I51" s="1128"/>
      <c r="J51" s="1130">
        <f t="shared" ca="1" si="3"/>
        <v>8256890844.7760696</v>
      </c>
      <c r="K51" s="1131">
        <f t="shared" ca="1" si="4"/>
        <v>61322768.848793298</v>
      </c>
      <c r="L51" s="1130">
        <f t="shared" ca="1" si="5"/>
        <v>0</v>
      </c>
      <c r="M51" s="1130">
        <f t="shared" ca="1" si="6"/>
        <v>0</v>
      </c>
      <c r="N51" s="1130">
        <f t="shared" ca="1" si="15"/>
        <v>8195568075.9272766</v>
      </c>
      <c r="O51" s="1073"/>
      <c r="P51" s="1130">
        <f t="shared" ca="1" si="7"/>
        <v>61322768.84879303</v>
      </c>
      <c r="Q51" s="1130">
        <f t="shared" ca="1" si="8"/>
        <v>7785789672.1309128</v>
      </c>
      <c r="R51" s="1130">
        <f t="shared" ca="1" si="16"/>
        <v>7844046302.5372658</v>
      </c>
      <c r="S51" s="1130">
        <f t="shared" ca="1" si="17"/>
        <v>58256630.406352997</v>
      </c>
      <c r="T51" s="1130">
        <f t="shared" ca="1" si="9"/>
        <v>7785789672.1309128</v>
      </c>
      <c r="U51" s="1132">
        <f t="shared" ca="1" si="10"/>
        <v>0.66434432401731702</v>
      </c>
      <c r="V51" s="1133">
        <f t="shared" ca="1" si="11"/>
        <v>5.0000000000000044E-2</v>
      </c>
      <c r="X51" s="1134">
        <f t="shared" ca="1" si="18"/>
        <v>412844542.2388038</v>
      </c>
      <c r="Y51" s="1134">
        <f t="shared" ca="1" si="12"/>
        <v>3066138.442440033</v>
      </c>
      <c r="Z51" s="1134">
        <f t="shared" ca="1" si="13"/>
        <v>409778403.79636377</v>
      </c>
      <c r="AA51" s="1132">
        <f t="shared" ca="1" si="14"/>
        <v>0.71082049283540605</v>
      </c>
      <c r="AB51" s="1105"/>
    </row>
    <row r="52" spans="1:28">
      <c r="A52" s="1144">
        <f>Calendar!J44</f>
        <v>46261</v>
      </c>
      <c r="C52" s="1104"/>
      <c r="D52" s="1125">
        <f t="shared" ca="1" si="0"/>
        <v>47483</v>
      </c>
      <c r="E52" s="1126">
        <f t="shared" ca="1" si="1"/>
        <v>47511</v>
      </c>
      <c r="F52" s="1127">
        <f t="shared" ca="1" si="2"/>
        <v>1281</v>
      </c>
      <c r="G52" s="1128">
        <f ca="1">IF(F52&lt;&gt;"",COUNTIF($F$11:F52,"&gt;0"),"")</f>
        <v>42</v>
      </c>
      <c r="H52" s="1129">
        <v>7.4774122960432118E-3</v>
      </c>
      <c r="I52" s="1128"/>
      <c r="J52" s="1130">
        <f t="shared" ca="1" si="3"/>
        <v>8195568075.9272766</v>
      </c>
      <c r="K52" s="1131">
        <f t="shared" ca="1" si="4"/>
        <v>61281641.503997825</v>
      </c>
      <c r="L52" s="1130">
        <f t="shared" ca="1" si="5"/>
        <v>0</v>
      </c>
      <c r="M52" s="1130">
        <f t="shared" ca="1" si="6"/>
        <v>0</v>
      </c>
      <c r="N52" s="1130">
        <f t="shared" ca="1" si="15"/>
        <v>8134286434.4232788</v>
      </c>
      <c r="O52" s="1073"/>
      <c r="P52" s="1130">
        <f t="shared" ca="1" si="7"/>
        <v>61281641.503997803</v>
      </c>
      <c r="Q52" s="1130">
        <f t="shared" ca="1" si="8"/>
        <v>7727572112.7021141</v>
      </c>
      <c r="R52" s="1130">
        <f t="shared" ca="1" si="16"/>
        <v>7785789672.1309128</v>
      </c>
      <c r="S52" s="1130">
        <f t="shared" ca="1" si="17"/>
        <v>58217559.428798676</v>
      </c>
      <c r="T52" s="1130">
        <f t="shared" ca="1" si="9"/>
        <v>7727572112.7021141</v>
      </c>
      <c r="U52" s="1132">
        <f t="shared" ca="1" si="10"/>
        <v>0.65941033201190058</v>
      </c>
      <c r="V52" s="1133">
        <f t="shared" ca="1" si="11"/>
        <v>5.0000000000000044E-2</v>
      </c>
      <c r="X52" s="1134">
        <f t="shared" ca="1" si="18"/>
        <v>409778403.79636377</v>
      </c>
      <c r="Y52" s="1134">
        <f t="shared" ca="1" si="12"/>
        <v>3064082.0751991272</v>
      </c>
      <c r="Z52" s="1134">
        <f t="shared" ca="1" si="13"/>
        <v>406714321.72116464</v>
      </c>
      <c r="AA52" s="1132">
        <f t="shared" ca="1" si="14"/>
        <v>0.70554132885048859</v>
      </c>
      <c r="AB52" s="1105"/>
    </row>
    <row r="53" spans="1:28">
      <c r="A53" s="1144">
        <f>Calendar!J45</f>
        <v>46293</v>
      </c>
      <c r="C53" s="1104"/>
      <c r="D53" s="1125">
        <f t="shared" ca="1" si="0"/>
        <v>47514</v>
      </c>
      <c r="E53" s="1126">
        <f t="shared" ca="1" si="1"/>
        <v>47541</v>
      </c>
      <c r="F53" s="1127">
        <f t="shared" ca="1" si="2"/>
        <v>1311</v>
      </c>
      <c r="G53" s="1128">
        <f ca="1">IF(F53&lt;&gt;"",COUNTIF($F$11:F53,"&gt;0"),"")</f>
        <v>43</v>
      </c>
      <c r="H53" s="1129">
        <v>7.5155713887695976E-3</v>
      </c>
      <c r="I53" s="1128"/>
      <c r="J53" s="1130">
        <f t="shared" ca="1" si="3"/>
        <v>8134286434.4232788</v>
      </c>
      <c r="K53" s="1131">
        <f t="shared" ca="1" si="4"/>
        <v>61133810.394608259</v>
      </c>
      <c r="L53" s="1130">
        <f t="shared" ca="1" si="5"/>
        <v>0</v>
      </c>
      <c r="M53" s="1130">
        <f t="shared" ca="1" si="6"/>
        <v>0</v>
      </c>
      <c r="N53" s="1130">
        <f t="shared" ca="1" si="15"/>
        <v>8073152624.0286703</v>
      </c>
      <c r="O53" s="1073"/>
      <c r="P53" s="1130">
        <f t="shared" ca="1" si="7"/>
        <v>61133810.394608498</v>
      </c>
      <c r="Q53" s="1130">
        <f t="shared" ca="1" si="8"/>
        <v>7669494992.8272362</v>
      </c>
      <c r="R53" s="1130">
        <f t="shared" ca="1" si="16"/>
        <v>7727572112.7021141</v>
      </c>
      <c r="S53" s="1130">
        <f t="shared" ca="1" si="17"/>
        <v>58077119.87487793</v>
      </c>
      <c r="T53" s="1130">
        <f t="shared" ca="1" si="9"/>
        <v>7669494992.8272362</v>
      </c>
      <c r="U53" s="1132">
        <f t="shared" ca="1" si="10"/>
        <v>0.65447964908717682</v>
      </c>
      <c r="V53" s="1133">
        <f t="shared" ca="1" si="11"/>
        <v>5.0000000000000044E-2</v>
      </c>
      <c r="X53" s="1134">
        <f t="shared" ca="1" si="18"/>
        <v>406714321.72116464</v>
      </c>
      <c r="Y53" s="1134">
        <f t="shared" ca="1" si="12"/>
        <v>3056690.5197305679</v>
      </c>
      <c r="Z53" s="1134">
        <f t="shared" ca="1" si="13"/>
        <v>403657631.20143408</v>
      </c>
      <c r="AA53" s="1132">
        <f t="shared" ca="1" si="14"/>
        <v>0.70026570544277655</v>
      </c>
      <c r="AB53" s="1105"/>
    </row>
    <row r="54" spans="1:28">
      <c r="A54" s="1144">
        <f>Calendar!J46</f>
        <v>46322</v>
      </c>
      <c r="C54" s="1104"/>
      <c r="D54" s="1125">
        <f t="shared" ca="1" si="0"/>
        <v>47542</v>
      </c>
      <c r="E54" s="1126">
        <f t="shared" ca="1" si="1"/>
        <v>47569</v>
      </c>
      <c r="F54" s="1127">
        <f t="shared" ca="1" si="2"/>
        <v>1339</v>
      </c>
      <c r="G54" s="1128">
        <f ca="1">IF(F54&lt;&gt;"",COUNTIF($F$11:F54,"&gt;0"),"")</f>
        <v>44</v>
      </c>
      <c r="H54" s="1129">
        <v>7.5564666893313251E-3</v>
      </c>
      <c r="I54" s="1128"/>
      <c r="J54" s="1130">
        <f t="shared" ca="1" si="3"/>
        <v>8073152624.0286703</v>
      </c>
      <c r="K54" s="1131">
        <f t="shared" ca="1" si="4"/>
        <v>61004508.881360427</v>
      </c>
      <c r="L54" s="1130">
        <f t="shared" ca="1" si="5"/>
        <v>0</v>
      </c>
      <c r="M54" s="1130">
        <f t="shared" ca="1" si="6"/>
        <v>0</v>
      </c>
      <c r="N54" s="1130">
        <f t="shared" ca="1" si="15"/>
        <v>8012148115.1473103</v>
      </c>
      <c r="O54" s="1073"/>
      <c r="P54" s="1130">
        <f t="shared" ca="1" si="7"/>
        <v>61004508.881360054</v>
      </c>
      <c r="Q54" s="1130">
        <f t="shared" ca="1" si="8"/>
        <v>7611540709.3899441</v>
      </c>
      <c r="R54" s="1130">
        <f t="shared" ca="1" si="16"/>
        <v>7669494992.8272362</v>
      </c>
      <c r="S54" s="1130">
        <f t="shared" ca="1" si="17"/>
        <v>57954283.437292099</v>
      </c>
      <c r="T54" s="1130">
        <f t="shared" ca="1" si="9"/>
        <v>7611540709.3899441</v>
      </c>
      <c r="U54" s="1132">
        <f t="shared" ca="1" si="10"/>
        <v>0.64956086056196527</v>
      </c>
      <c r="V54" s="1133">
        <f t="shared" ca="1" si="11"/>
        <v>5.0000000000000044E-2</v>
      </c>
      <c r="X54" s="1134">
        <f t="shared" ca="1" si="18"/>
        <v>403657631.20143408</v>
      </c>
      <c r="Y54" s="1134">
        <f t="shared" ca="1" si="12"/>
        <v>3050225.444067955</v>
      </c>
      <c r="Z54" s="1134">
        <f t="shared" ca="1" si="13"/>
        <v>400607405.75736612</v>
      </c>
      <c r="AA54" s="1132">
        <f t="shared" ca="1" si="14"/>
        <v>0.69500280854241403</v>
      </c>
      <c r="AB54" s="1105"/>
    </row>
    <row r="55" spans="1:28">
      <c r="A55" s="1144">
        <f>Calendar!J47</f>
        <v>46353</v>
      </c>
      <c r="C55" s="1104"/>
      <c r="D55" s="1125">
        <f t="shared" ca="1" si="0"/>
        <v>47573</v>
      </c>
      <c r="E55" s="1126">
        <f t="shared" ca="1" si="1"/>
        <v>47602</v>
      </c>
      <c r="F55" s="1127">
        <f t="shared" ca="1" si="2"/>
        <v>1372</v>
      </c>
      <c r="G55" s="1128">
        <f ca="1">IF(F55&lt;&gt;"",COUNTIF($F$11:F55,"&gt;0"),"")</f>
        <v>45</v>
      </c>
      <c r="H55" s="1129">
        <v>7.6021845839023836E-3</v>
      </c>
      <c r="I55" s="1128"/>
      <c r="J55" s="1130">
        <f t="shared" ca="1" si="3"/>
        <v>8012148115.1473103</v>
      </c>
      <c r="K55" s="1131">
        <f t="shared" ca="1" si="4"/>
        <v>60909828.884915419</v>
      </c>
      <c r="L55" s="1130">
        <f t="shared" ca="1" si="5"/>
        <v>0</v>
      </c>
      <c r="M55" s="1130">
        <f t="shared" ca="1" si="6"/>
        <v>0</v>
      </c>
      <c r="N55" s="1130">
        <f t="shared" ca="1" si="15"/>
        <v>7951238286.2623949</v>
      </c>
      <c r="O55" s="1073"/>
      <c r="P55" s="1130">
        <f t="shared" ca="1" si="7"/>
        <v>60909828.884915352</v>
      </c>
      <c r="Q55" s="1130">
        <f t="shared" ca="1" si="8"/>
        <v>7553676371.949275</v>
      </c>
      <c r="R55" s="1130">
        <f t="shared" ca="1" si="16"/>
        <v>7611540709.3899441</v>
      </c>
      <c r="S55" s="1130">
        <f t="shared" ca="1" si="17"/>
        <v>57864337.44066906</v>
      </c>
      <c r="T55" s="1130">
        <f t="shared" ca="1" si="9"/>
        <v>7553676371.949275</v>
      </c>
      <c r="U55" s="1132">
        <f t="shared" ca="1" si="10"/>
        <v>0.64465247555643546</v>
      </c>
      <c r="V55" s="1133">
        <f t="shared" ca="1" si="11"/>
        <v>5.0000000000000044E-2</v>
      </c>
      <c r="X55" s="1134">
        <f t="shared" ca="1" si="18"/>
        <v>400607405.75736612</v>
      </c>
      <c r="Y55" s="1134">
        <f t="shared" ca="1" si="12"/>
        <v>3045491.4442462921</v>
      </c>
      <c r="Z55" s="1134">
        <f t="shared" ca="1" si="13"/>
        <v>397561914.31311983</v>
      </c>
      <c r="AA55" s="1132">
        <f t="shared" ca="1" si="14"/>
        <v>0.68975104297067169</v>
      </c>
      <c r="AB55" s="1105"/>
    </row>
    <row r="56" spans="1:28">
      <c r="A56" s="1144">
        <f>Calendar!J48</f>
        <v>46384</v>
      </c>
      <c r="C56" s="1104"/>
      <c r="D56" s="1125">
        <f t="shared" ca="1" si="0"/>
        <v>47603</v>
      </c>
      <c r="E56" s="1126">
        <f t="shared" ca="1" si="1"/>
        <v>47630</v>
      </c>
      <c r="F56" s="1127">
        <f t="shared" ca="1" si="2"/>
        <v>1400</v>
      </c>
      <c r="G56" s="1128">
        <f ca="1">IF(F56&lt;&gt;"",COUNTIF($F$11:F56,"&gt;0"),"")</f>
        <v>46</v>
      </c>
      <c r="H56" s="1129">
        <v>7.6384267972855018E-3</v>
      </c>
      <c r="I56" s="1128"/>
      <c r="J56" s="1130">
        <f t="shared" ca="1" si="3"/>
        <v>7951238286.2623949</v>
      </c>
      <c r="K56" s="1131">
        <f t="shared" ca="1" si="4"/>
        <v>60734951.597389124</v>
      </c>
      <c r="L56" s="1130">
        <f t="shared" ca="1" si="5"/>
        <v>0</v>
      </c>
      <c r="M56" s="1130">
        <f t="shared" ca="1" si="6"/>
        <v>0</v>
      </c>
      <c r="N56" s="1130">
        <f t="shared" ca="1" si="15"/>
        <v>7890503334.6650057</v>
      </c>
      <c r="O56" s="1073"/>
      <c r="P56" s="1130">
        <f t="shared" ca="1" si="7"/>
        <v>60734951.597389221</v>
      </c>
      <c r="Q56" s="1130">
        <f t="shared" ca="1" si="8"/>
        <v>7495978167.9317551</v>
      </c>
      <c r="R56" s="1130">
        <f t="shared" ca="1" si="16"/>
        <v>7553676371.949275</v>
      </c>
      <c r="S56" s="1130">
        <f t="shared" ca="1" si="17"/>
        <v>57698204.017519951</v>
      </c>
      <c r="T56" s="1130">
        <f t="shared" ca="1" si="9"/>
        <v>7495978167.9317551</v>
      </c>
      <c r="U56" s="1132">
        <f t="shared" ca="1" si="10"/>
        <v>0.63975170844478579</v>
      </c>
      <c r="V56" s="1133">
        <f t="shared" ca="1" si="11"/>
        <v>5.0000000000000044E-2</v>
      </c>
      <c r="X56" s="1134">
        <f t="shared" ca="1" si="18"/>
        <v>397561914.31311983</v>
      </c>
      <c r="Y56" s="1134">
        <f t="shared" ca="1" si="12"/>
        <v>3036747.5798692703</v>
      </c>
      <c r="Z56" s="1134">
        <f t="shared" ca="1" si="13"/>
        <v>394525166.73325056</v>
      </c>
      <c r="AA56" s="1132">
        <f t="shared" ca="1" si="14"/>
        <v>0.6845074282250686</v>
      </c>
      <c r="AB56" s="1105"/>
    </row>
    <row r="57" spans="1:28">
      <c r="A57" s="1144">
        <f>Calendar!J49</f>
        <v>46414</v>
      </c>
      <c r="C57" s="1104"/>
      <c r="D57" s="1125">
        <f t="shared" ca="1" si="0"/>
        <v>47634</v>
      </c>
      <c r="E57" s="1126">
        <f t="shared" ca="1" si="1"/>
        <v>47661</v>
      </c>
      <c r="F57" s="1127">
        <f t="shared" ca="1" si="2"/>
        <v>1431</v>
      </c>
      <c r="G57" s="1128">
        <f ca="1">IF(F57&lt;&gt;"",COUNTIF($F$11:F57,"&gt;0"),"")</f>
        <v>47</v>
      </c>
      <c r="H57" s="1129">
        <v>7.6781378872437739E-3</v>
      </c>
      <c r="I57" s="1128"/>
      <c r="J57" s="1130">
        <f t="shared" ca="1" si="3"/>
        <v>7890503334.6650057</v>
      </c>
      <c r="K57" s="1131">
        <f t="shared" ca="1" si="4"/>
        <v>60584372.60331472</v>
      </c>
      <c r="L57" s="1130">
        <f t="shared" ca="1" si="5"/>
        <v>0</v>
      </c>
      <c r="M57" s="1130">
        <f t="shared" ca="1" si="6"/>
        <v>0</v>
      </c>
      <c r="N57" s="1130">
        <f t="shared" ca="1" si="15"/>
        <v>7829918962.0616913</v>
      </c>
      <c r="O57" s="1073"/>
      <c r="P57" s="1130">
        <f t="shared" ca="1" si="7"/>
        <v>60584372.6033144</v>
      </c>
      <c r="Q57" s="1130">
        <f t="shared" ca="1" si="8"/>
        <v>7438423013.9586067</v>
      </c>
      <c r="R57" s="1130">
        <f t="shared" ca="1" si="16"/>
        <v>7495978167.9317551</v>
      </c>
      <c r="S57" s="1130">
        <f t="shared" ca="1" si="17"/>
        <v>57555153.973148346</v>
      </c>
      <c r="T57" s="1130">
        <f t="shared" ca="1" si="9"/>
        <v>7438423013.9586067</v>
      </c>
      <c r="U57" s="1132">
        <f t="shared" ca="1" si="10"/>
        <v>0.63486501185139199</v>
      </c>
      <c r="V57" s="1133">
        <f t="shared" ca="1" si="11"/>
        <v>5.0000000000000044E-2</v>
      </c>
      <c r="X57" s="1134">
        <f t="shared" ca="1" si="18"/>
        <v>394525166.73325056</v>
      </c>
      <c r="Y57" s="1134">
        <f t="shared" ca="1" si="12"/>
        <v>3029218.6301660538</v>
      </c>
      <c r="Z57" s="1134">
        <f t="shared" ca="1" si="13"/>
        <v>391495948.1030845</v>
      </c>
      <c r="AA57" s="1132">
        <f t="shared" ca="1" si="14"/>
        <v>0.6792788683423735</v>
      </c>
      <c r="AB57" s="1105"/>
    </row>
    <row r="58" spans="1:28">
      <c r="A58" s="1144">
        <f>Calendar!J50</f>
        <v>46444</v>
      </c>
      <c r="C58" s="1104"/>
      <c r="D58" s="1125">
        <f t="shared" ca="1" si="0"/>
        <v>47664</v>
      </c>
      <c r="E58" s="1126">
        <f t="shared" ca="1" si="1"/>
        <v>47693</v>
      </c>
      <c r="F58" s="1127">
        <f t="shared" ca="1" si="2"/>
        <v>1463</v>
      </c>
      <c r="G58" s="1128">
        <f ca="1">IF(F58&lt;&gt;"",COUNTIF($F$11:F58,"&gt;0"),"")</f>
        <v>48</v>
      </c>
      <c r="H58" s="1129">
        <v>7.7188372572796829E-3</v>
      </c>
      <c r="I58" s="1128"/>
      <c r="J58" s="1130">
        <f t="shared" ca="1" si="3"/>
        <v>7829918962.0616913</v>
      </c>
      <c r="K58" s="1131">
        <f t="shared" ca="1" si="4"/>
        <v>60437870.20584245</v>
      </c>
      <c r="L58" s="1130">
        <f t="shared" ca="1" si="5"/>
        <v>0</v>
      </c>
      <c r="M58" s="1130">
        <f t="shared" ca="1" si="6"/>
        <v>0</v>
      </c>
      <c r="N58" s="1130">
        <f t="shared" ca="1" si="15"/>
        <v>7769481091.8558493</v>
      </c>
      <c r="O58" s="1073"/>
      <c r="P58" s="1130">
        <f t="shared" ca="1" si="7"/>
        <v>60437870.205842018</v>
      </c>
      <c r="Q58" s="1130">
        <f t="shared" ca="1" si="8"/>
        <v>7381007037.2630568</v>
      </c>
      <c r="R58" s="1130">
        <f t="shared" ca="1" si="16"/>
        <v>7438423013.9586067</v>
      </c>
      <c r="S58" s="1130">
        <f t="shared" ca="1" si="17"/>
        <v>57415976.695549965</v>
      </c>
      <c r="T58" s="1130">
        <f t="shared" ca="1" si="9"/>
        <v>7381007037.2630568</v>
      </c>
      <c r="U58" s="1132">
        <f t="shared" ca="1" si="10"/>
        <v>0.62999043075061034</v>
      </c>
      <c r="V58" s="1133">
        <f t="shared" ca="1" si="11"/>
        <v>5.0000000000000044E-2</v>
      </c>
      <c r="X58" s="1134">
        <f t="shared" ca="1" si="18"/>
        <v>391495948.1030845</v>
      </c>
      <c r="Y58" s="1134">
        <f t="shared" ca="1" si="12"/>
        <v>3021893.5102920532</v>
      </c>
      <c r="Z58" s="1134">
        <f t="shared" ca="1" si="13"/>
        <v>388474054.59279245</v>
      </c>
      <c r="AA58" s="1132">
        <f t="shared" ca="1" si="14"/>
        <v>0.67406327152734935</v>
      </c>
      <c r="AB58" s="1105"/>
    </row>
    <row r="59" spans="1:28">
      <c r="A59" s="1144">
        <f>Calendar!J51</f>
        <v>46476</v>
      </c>
      <c r="C59" s="1104"/>
      <c r="D59" s="1125">
        <f t="shared" ca="1" si="0"/>
        <v>47695</v>
      </c>
      <c r="E59" s="1126">
        <f t="shared" ca="1" si="1"/>
        <v>47722</v>
      </c>
      <c r="F59" s="1127">
        <f t="shared" ca="1" si="2"/>
        <v>1492</v>
      </c>
      <c r="G59" s="1128">
        <f ca="1">IF(F59&lt;&gt;"",COUNTIF($F$11:F59,"&gt;0"),"")</f>
        <v>49</v>
      </c>
      <c r="H59" s="1129">
        <v>7.7639577829733165E-3</v>
      </c>
      <c r="I59" s="1128"/>
      <c r="J59" s="1130">
        <f t="shared" ca="1" si="3"/>
        <v>7769481091.8558493</v>
      </c>
      <c r="K59" s="1131">
        <f t="shared" ca="1" si="4"/>
        <v>60321923.192778245</v>
      </c>
      <c r="L59" s="1130">
        <f t="shared" ca="1" si="5"/>
        <v>0</v>
      </c>
      <c r="M59" s="1130">
        <f t="shared" ca="1" si="6"/>
        <v>0</v>
      </c>
      <c r="N59" s="1130">
        <f t="shared" ca="1" si="15"/>
        <v>7709159168.6630707</v>
      </c>
      <c r="O59" s="1073"/>
      <c r="P59" s="1130">
        <f t="shared" ca="1" si="7"/>
        <v>60321923.192778587</v>
      </c>
      <c r="Q59" s="1130">
        <f t="shared" ca="1" si="8"/>
        <v>7323701210.2299166</v>
      </c>
      <c r="R59" s="1130">
        <f t="shared" ca="1" si="16"/>
        <v>7381007037.2630568</v>
      </c>
      <c r="S59" s="1130">
        <f t="shared" ca="1" si="17"/>
        <v>57305827.033140182</v>
      </c>
      <c r="T59" s="1130">
        <f t="shared" ca="1" si="9"/>
        <v>7323701210.2299166</v>
      </c>
      <c r="U59" s="1132">
        <f t="shared" ca="1" si="10"/>
        <v>0.62512763714200292</v>
      </c>
      <c r="V59" s="1133">
        <f t="shared" ca="1" si="11"/>
        <v>5.0000000000000044E-2</v>
      </c>
      <c r="X59" s="1134">
        <f t="shared" ca="1" si="18"/>
        <v>388474054.59279245</v>
      </c>
      <c r="Y59" s="1134">
        <f t="shared" ca="1" si="12"/>
        <v>3016096.1596384048</v>
      </c>
      <c r="Z59" s="1134">
        <f t="shared" ca="1" si="13"/>
        <v>385457958.43315405</v>
      </c>
      <c r="AA59" s="1132">
        <f t="shared" ca="1" si="14"/>
        <v>0.66886028683332033</v>
      </c>
      <c r="AB59" s="1105"/>
    </row>
    <row r="60" spans="1:28">
      <c r="A60" s="1144">
        <f>Calendar!J52</f>
        <v>46504</v>
      </c>
      <c r="C60" s="1104"/>
      <c r="D60" s="1125">
        <f t="shared" ca="1" si="0"/>
        <v>47726</v>
      </c>
      <c r="E60" s="1126">
        <f t="shared" ca="1" si="1"/>
        <v>47753</v>
      </c>
      <c r="F60" s="1127">
        <f t="shared" ca="1" si="2"/>
        <v>1523</v>
      </c>
      <c r="G60" s="1128">
        <f ca="1">IF(F60&lt;&gt;"",COUNTIF($F$11:F60,"&gt;0"),"")</f>
        <v>50</v>
      </c>
      <c r="H60" s="1129">
        <v>7.8246363860947302E-3</v>
      </c>
      <c r="I60" s="1128"/>
      <c r="J60" s="1130">
        <f t="shared" ca="1" si="3"/>
        <v>7709159168.6630707</v>
      </c>
      <c r="K60" s="1131">
        <f t="shared" ca="1" si="4"/>
        <v>60321367.337316863</v>
      </c>
      <c r="L60" s="1130">
        <f t="shared" ca="1" si="5"/>
        <v>0</v>
      </c>
      <c r="M60" s="1130">
        <f t="shared" ca="1" si="6"/>
        <v>0</v>
      </c>
      <c r="N60" s="1130">
        <f t="shared" ca="1" si="15"/>
        <v>7648837801.3257542</v>
      </c>
      <c r="O60" s="1073"/>
      <c r="P60" s="1130">
        <f t="shared" ca="1" si="7"/>
        <v>60321367.337316513</v>
      </c>
      <c r="Q60" s="1130">
        <f t="shared" ca="1" si="8"/>
        <v>7266395911.2594662</v>
      </c>
      <c r="R60" s="1130">
        <f t="shared" ca="1" si="16"/>
        <v>7323701210.2299166</v>
      </c>
      <c r="S60" s="1130">
        <f t="shared" ca="1" si="17"/>
        <v>57305298.970450401</v>
      </c>
      <c r="T60" s="1130">
        <f t="shared" ca="1" si="9"/>
        <v>7266395911.2594662</v>
      </c>
      <c r="U60" s="1132">
        <f t="shared" ca="1" si="10"/>
        <v>0.62027417255826245</v>
      </c>
      <c r="V60" s="1133">
        <f t="shared" ca="1" si="11"/>
        <v>5.0000000000000044E-2</v>
      </c>
      <c r="X60" s="1134">
        <f t="shared" ca="1" si="18"/>
        <v>385457958.43315405</v>
      </c>
      <c r="Y60" s="1134">
        <f t="shared" ca="1" si="12"/>
        <v>3016068.3668661118</v>
      </c>
      <c r="Z60" s="1134">
        <f t="shared" ca="1" si="13"/>
        <v>382441890.06628793</v>
      </c>
      <c r="AA60" s="1132">
        <f t="shared" ca="1" si="14"/>
        <v>0.66366728380363993</v>
      </c>
      <c r="AB60" s="1105"/>
    </row>
    <row r="61" spans="1:28">
      <c r="A61" s="1144">
        <f>Calendar!J53</f>
        <v>46534</v>
      </c>
      <c r="C61" s="1104"/>
      <c r="D61" s="1125">
        <f t="shared" ca="1" si="0"/>
        <v>47756</v>
      </c>
      <c r="E61" s="1126">
        <f t="shared" ca="1" si="1"/>
        <v>47784</v>
      </c>
      <c r="F61" s="1127">
        <f t="shared" ca="1" si="2"/>
        <v>1554</v>
      </c>
      <c r="G61" s="1128">
        <f ca="1">IF(F61&lt;&gt;"",COUNTIF($F$11:F61,"&gt;0"),"")</f>
        <v>51</v>
      </c>
      <c r="H61" s="1129">
        <v>7.86624215048249E-3</v>
      </c>
      <c r="I61" s="1128"/>
      <c r="J61" s="1130">
        <f t="shared" ca="1" si="3"/>
        <v>7648837801.3257542</v>
      </c>
      <c r="K61" s="1131">
        <f t="shared" ca="1" si="4"/>
        <v>60167610.314992458</v>
      </c>
      <c r="L61" s="1130">
        <f t="shared" ca="1" si="5"/>
        <v>0</v>
      </c>
      <c r="M61" s="1130">
        <f t="shared" ca="1" si="6"/>
        <v>0</v>
      </c>
      <c r="N61" s="1130">
        <f t="shared" ca="1" si="15"/>
        <v>7588670191.0107613</v>
      </c>
      <c r="O61" s="1073"/>
      <c r="P61" s="1130">
        <f t="shared" ca="1" si="7"/>
        <v>60167610.314992905</v>
      </c>
      <c r="Q61" s="1130">
        <f t="shared" ca="1" si="8"/>
        <v>7209236681.4602232</v>
      </c>
      <c r="R61" s="1130">
        <f t="shared" ca="1" si="16"/>
        <v>7266395911.2594662</v>
      </c>
      <c r="S61" s="1130">
        <f t="shared" ca="1" si="17"/>
        <v>57159229.799242973</v>
      </c>
      <c r="T61" s="1130">
        <f t="shared" ca="1" si="9"/>
        <v>7209236681.4602232</v>
      </c>
      <c r="U61" s="1132">
        <f t="shared" ca="1" si="10"/>
        <v>0.61542075269830832</v>
      </c>
      <c r="V61" s="1133">
        <f t="shared" ca="1" si="11"/>
        <v>5.0000000000000044E-2</v>
      </c>
      <c r="X61" s="1134">
        <f t="shared" ca="1" si="18"/>
        <v>382441890.06628793</v>
      </c>
      <c r="Y61" s="1134">
        <f t="shared" ca="1" si="12"/>
        <v>3008380.5157499313</v>
      </c>
      <c r="Z61" s="1134">
        <f t="shared" ca="1" si="13"/>
        <v>379433509.550538</v>
      </c>
      <c r="AA61" s="1132">
        <f t="shared" ca="1" si="14"/>
        <v>0.65847432862652877</v>
      </c>
      <c r="AB61" s="1105"/>
    </row>
    <row r="62" spans="1:28">
      <c r="A62" s="1144">
        <f>Calendar!J54</f>
        <v>46566</v>
      </c>
      <c r="C62" s="1104"/>
      <c r="D62" s="1125">
        <f t="shared" ca="1" si="0"/>
        <v>47787</v>
      </c>
      <c r="E62" s="1126">
        <f t="shared" ca="1" si="1"/>
        <v>47814</v>
      </c>
      <c r="F62" s="1127">
        <f t="shared" ca="1" si="2"/>
        <v>1584</v>
      </c>
      <c r="G62" s="1128">
        <f ca="1">IF(F62&lt;&gt;"",COUNTIF($F$11:F62,"&gt;0"),"")</f>
        <v>52</v>
      </c>
      <c r="H62" s="1129">
        <v>7.9181245132533048E-3</v>
      </c>
      <c r="I62" s="1128"/>
      <c r="J62" s="1130">
        <f t="shared" ca="1" si="3"/>
        <v>7588670191.0107613</v>
      </c>
      <c r="K62" s="1131">
        <f t="shared" ca="1" si="4"/>
        <v>60088035.462436944</v>
      </c>
      <c r="L62" s="1130">
        <f t="shared" ca="1" si="5"/>
        <v>0</v>
      </c>
      <c r="M62" s="1130">
        <f t="shared" ca="1" si="6"/>
        <v>0</v>
      </c>
      <c r="N62" s="1130">
        <f t="shared" ca="1" si="15"/>
        <v>7528582155.5483246</v>
      </c>
      <c r="O62" s="1073"/>
      <c r="P62" s="1130">
        <f t="shared" ca="1" si="7"/>
        <v>60088035.462436676</v>
      </c>
      <c r="Q62" s="1130">
        <f t="shared" ca="1" si="8"/>
        <v>7152153047.7709084</v>
      </c>
      <c r="R62" s="1130">
        <f t="shared" ca="1" si="16"/>
        <v>7209236681.4602232</v>
      </c>
      <c r="S62" s="1130">
        <f t="shared" ca="1" si="17"/>
        <v>57083633.689314842</v>
      </c>
      <c r="T62" s="1130">
        <f t="shared" ca="1" si="9"/>
        <v>7152153047.7709084</v>
      </c>
      <c r="U62" s="1132">
        <f t="shared" ca="1" si="10"/>
        <v>0.6105797040331512</v>
      </c>
      <c r="V62" s="1133">
        <f t="shared" ca="1" si="11"/>
        <v>5.0000000000000044E-2</v>
      </c>
      <c r="X62" s="1134">
        <f t="shared" ca="1" si="18"/>
        <v>379433509.550538</v>
      </c>
      <c r="Y62" s="1134">
        <f t="shared" ca="1" si="12"/>
        <v>3004401.7731218338</v>
      </c>
      <c r="Z62" s="1134">
        <f t="shared" ca="1" si="13"/>
        <v>376429107.77741617</v>
      </c>
      <c r="AA62" s="1132">
        <f t="shared" ca="1" si="14"/>
        <v>0.65329461010767564</v>
      </c>
      <c r="AB62" s="1105"/>
    </row>
    <row r="63" spans="1:28">
      <c r="A63" s="1144">
        <f>Calendar!J55</f>
        <v>46595</v>
      </c>
      <c r="C63" s="1104"/>
      <c r="D63" s="1125">
        <f t="shared" ca="1" si="0"/>
        <v>47817</v>
      </c>
      <c r="E63" s="1126">
        <f t="shared" ca="1" si="1"/>
        <v>47844</v>
      </c>
      <c r="F63" s="1127">
        <f t="shared" ca="1" si="2"/>
        <v>1614</v>
      </c>
      <c r="G63" s="1128">
        <f ca="1">IF(F63&lt;&gt;"",COUNTIF($F$11:F63,"&gt;0"),"")</f>
        <v>53</v>
      </c>
      <c r="H63" s="1129">
        <v>7.9633707574121373E-3</v>
      </c>
      <c r="I63" s="1128"/>
      <c r="J63" s="1130">
        <f t="shared" ca="1" si="3"/>
        <v>7528582155.5483246</v>
      </c>
      <c r="K63" s="1131">
        <f t="shared" ca="1" si="4"/>
        <v>59952890.982268363</v>
      </c>
      <c r="L63" s="1130">
        <f t="shared" ca="1" si="5"/>
        <v>0</v>
      </c>
      <c r="M63" s="1130">
        <f t="shared" ca="1" si="6"/>
        <v>0</v>
      </c>
      <c r="N63" s="1130">
        <f t="shared" ca="1" si="15"/>
        <v>7468629264.5660563</v>
      </c>
      <c r="O63" s="1073"/>
      <c r="P63" s="1130">
        <f t="shared" ca="1" si="7"/>
        <v>59952890.982268333</v>
      </c>
      <c r="Q63" s="1130">
        <f t="shared" ca="1" si="8"/>
        <v>7095197801.3377533</v>
      </c>
      <c r="R63" s="1130">
        <f t="shared" ca="1" si="16"/>
        <v>7152153047.7709084</v>
      </c>
      <c r="S63" s="1130">
        <f t="shared" ca="1" si="17"/>
        <v>56955246.43315506</v>
      </c>
      <c r="T63" s="1130">
        <f t="shared" ca="1" si="9"/>
        <v>7095197801.3377533</v>
      </c>
      <c r="U63" s="1132">
        <f t="shared" ca="1" si="10"/>
        <v>0.60574505791135136</v>
      </c>
      <c r="V63" s="1133">
        <f t="shared" ca="1" si="11"/>
        <v>5.0000000000000044E-2</v>
      </c>
      <c r="X63" s="1134">
        <f t="shared" ca="1" si="18"/>
        <v>376429107.77741617</v>
      </c>
      <c r="Y63" s="1134">
        <f t="shared" ca="1" si="12"/>
        <v>2997644.5491132736</v>
      </c>
      <c r="Z63" s="1134">
        <f t="shared" ca="1" si="13"/>
        <v>373431463.2283029</v>
      </c>
      <c r="AA63" s="1132">
        <f t="shared" ca="1" si="14"/>
        <v>0.64812174204100581</v>
      </c>
      <c r="AB63" s="1105"/>
    </row>
    <row r="64" spans="1:28">
      <c r="A64" s="1144">
        <f>Calendar!J56</f>
        <v>46626</v>
      </c>
      <c r="C64" s="1104"/>
      <c r="D64" s="1125">
        <f t="shared" ca="1" si="0"/>
        <v>47848</v>
      </c>
      <c r="E64" s="1126">
        <f t="shared" ca="1" si="1"/>
        <v>47875</v>
      </c>
      <c r="F64" s="1127">
        <f t="shared" ca="1" si="2"/>
        <v>1645</v>
      </c>
      <c r="G64" s="1128">
        <f ca="1">IF(F64&lt;&gt;"",COUNTIF($F$11:F64,"&gt;0"),"")</f>
        <v>54</v>
      </c>
      <c r="H64" s="1129">
        <v>8.0161210986723595E-3</v>
      </c>
      <c r="I64" s="1128"/>
      <c r="J64" s="1130">
        <f t="shared" ca="1" si="3"/>
        <v>7468629264.5660563</v>
      </c>
      <c r="K64" s="1131">
        <f t="shared" ca="1" si="4"/>
        <v>59869436.625849791</v>
      </c>
      <c r="L64" s="1130">
        <f t="shared" ca="1" si="5"/>
        <v>0</v>
      </c>
      <c r="M64" s="1130">
        <f t="shared" ca="1" si="6"/>
        <v>0</v>
      </c>
      <c r="N64" s="1130">
        <f t="shared" ca="1" si="15"/>
        <v>7408759827.9402065</v>
      </c>
      <c r="O64" s="1073"/>
      <c r="P64" s="1130">
        <f t="shared" ca="1" si="7"/>
        <v>59869436.625849724</v>
      </c>
      <c r="Q64" s="1130">
        <f t="shared" ca="1" si="8"/>
        <v>7038321836.5431957</v>
      </c>
      <c r="R64" s="1130">
        <f t="shared" ca="1" si="16"/>
        <v>7095197801.3377533</v>
      </c>
      <c r="S64" s="1130">
        <f t="shared" ca="1" si="17"/>
        <v>56875964.794557571</v>
      </c>
      <c r="T64" s="1130">
        <f t="shared" ca="1" si="9"/>
        <v>7038321836.5431957</v>
      </c>
      <c r="U64" s="1132">
        <f t="shared" ca="1" si="10"/>
        <v>0.6009212854307332</v>
      </c>
      <c r="V64" s="1133">
        <f t="shared" ca="1" si="11"/>
        <v>5.0000000000000044E-2</v>
      </c>
      <c r="X64" s="1134">
        <f t="shared" ca="1" si="18"/>
        <v>373431463.2283029</v>
      </c>
      <c r="Y64" s="1134">
        <f t="shared" ca="1" si="12"/>
        <v>2993471.8312921524</v>
      </c>
      <c r="Z64" s="1134">
        <f t="shared" ca="1" si="13"/>
        <v>370437991.39701074</v>
      </c>
      <c r="AA64" s="1132">
        <f t="shared" ca="1" si="14"/>
        <v>0.64296050831319373</v>
      </c>
      <c r="AB64" s="1105"/>
    </row>
    <row r="65" spans="1:29">
      <c r="A65" s="1144">
        <f>Calendar!J57</f>
        <v>46657</v>
      </c>
      <c r="C65" s="1104"/>
      <c r="D65" s="1125">
        <f t="shared" ca="1" si="0"/>
        <v>47879</v>
      </c>
      <c r="E65" s="1126">
        <f t="shared" ca="1" si="1"/>
        <v>47906</v>
      </c>
      <c r="F65" s="1127">
        <f t="shared" ca="1" si="2"/>
        <v>1676</v>
      </c>
      <c r="G65" s="1128">
        <f ca="1">IF(F65&lt;&gt;"",COUNTIF($F$11:F65,"&gt;0"),"")</f>
        <v>55</v>
      </c>
      <c r="H65" s="1129">
        <v>8.0604177340755125E-3</v>
      </c>
      <c r="I65" s="1128"/>
      <c r="J65" s="1130">
        <f t="shared" ca="1" si="3"/>
        <v>7408759827.9402065</v>
      </c>
      <c r="K65" s="1131">
        <f t="shared" ca="1" si="4"/>
        <v>59717699.104635485</v>
      </c>
      <c r="L65" s="1130">
        <f t="shared" ca="1" si="5"/>
        <v>0</v>
      </c>
      <c r="M65" s="1130">
        <f t="shared" ca="1" si="6"/>
        <v>0</v>
      </c>
      <c r="N65" s="1130">
        <f t="shared" ca="1" si="15"/>
        <v>7349042128.8355713</v>
      </c>
      <c r="O65" s="1073"/>
      <c r="P65" s="1130">
        <f t="shared" ca="1" si="7"/>
        <v>59717699.104635239</v>
      </c>
      <c r="Q65" s="1130">
        <f t="shared" ca="1" si="8"/>
        <v>6981590022.3937922</v>
      </c>
      <c r="R65" s="1130">
        <f t="shared" ca="1" si="16"/>
        <v>7038321836.5431957</v>
      </c>
      <c r="S65" s="1130">
        <f t="shared" ca="1" si="17"/>
        <v>56731814.149403572</v>
      </c>
      <c r="T65" s="1130">
        <f t="shared" ca="1" si="9"/>
        <v>6981590022.3937922</v>
      </c>
      <c r="U65" s="1132">
        <f t="shared" ca="1" si="10"/>
        <v>0.59610422763595061</v>
      </c>
      <c r="V65" s="1133">
        <f t="shared" ca="1" si="11"/>
        <v>5.0000000000000044E-2</v>
      </c>
      <c r="X65" s="1134">
        <f t="shared" ca="1" si="18"/>
        <v>370437991.39701074</v>
      </c>
      <c r="Y65" s="1134">
        <f t="shared" ca="1" si="12"/>
        <v>2985884.9552316666</v>
      </c>
      <c r="Z65" s="1134">
        <f t="shared" ca="1" si="13"/>
        <v>367452106.44177908</v>
      </c>
      <c r="AA65" s="1132">
        <f t="shared" ca="1" si="14"/>
        <v>0.63780645901689181</v>
      </c>
      <c r="AB65" s="1105"/>
    </row>
    <row r="66" spans="1:29">
      <c r="A66" s="1144">
        <f>Calendar!J58</f>
        <v>46687</v>
      </c>
      <c r="C66" s="1104"/>
      <c r="D66" s="1125">
        <f t="shared" ca="1" si="0"/>
        <v>47907</v>
      </c>
      <c r="E66" s="1126">
        <f t="shared" ca="1" si="1"/>
        <v>47934</v>
      </c>
      <c r="F66" s="1127">
        <f t="shared" ca="1" si="2"/>
        <v>1704</v>
      </c>
      <c r="G66" s="1128">
        <f ca="1">IF(F66&lt;&gt;"",COUNTIF($F$11:F66,"&gt;0"),"")</f>
        <v>56</v>
      </c>
      <c r="H66" s="1129">
        <v>8.1077891435882166E-3</v>
      </c>
      <c r="I66" s="1128"/>
      <c r="J66" s="1130">
        <f t="shared" ca="1" si="3"/>
        <v>7349042128.8355713</v>
      </c>
      <c r="K66" s="1131">
        <f t="shared" ca="1" si="4"/>
        <v>59584483.987945482</v>
      </c>
      <c r="L66" s="1130">
        <f t="shared" ca="1" si="5"/>
        <v>0</v>
      </c>
      <c r="M66" s="1130">
        <f t="shared" ca="1" si="6"/>
        <v>0</v>
      </c>
      <c r="N66" s="1130">
        <f t="shared" ca="1" si="15"/>
        <v>7289457644.8476257</v>
      </c>
      <c r="O66" s="1073"/>
      <c r="P66" s="1130">
        <f t="shared" ca="1" si="7"/>
        <v>59584483.987945557</v>
      </c>
      <c r="Q66" s="1130">
        <f t="shared" ca="1" si="8"/>
        <v>6924984762.6052437</v>
      </c>
      <c r="R66" s="1130">
        <f t="shared" ca="1" si="16"/>
        <v>6981590022.3937922</v>
      </c>
      <c r="S66" s="1130">
        <f t="shared" ca="1" si="17"/>
        <v>56605259.78854847</v>
      </c>
      <c r="T66" s="1130">
        <f t="shared" ca="1" si="9"/>
        <v>6924984762.6052437</v>
      </c>
      <c r="U66" s="1132">
        <f t="shared" ca="1" si="10"/>
        <v>0.5912993785481564</v>
      </c>
      <c r="V66" s="1133">
        <f t="shared" ca="1" si="11"/>
        <v>5.0000000000000155E-2</v>
      </c>
      <c r="X66" s="1134">
        <f t="shared" ca="1" si="18"/>
        <v>367452106.44177908</v>
      </c>
      <c r="Y66" s="1134">
        <f t="shared" ca="1" si="12"/>
        <v>2979224.1993970871</v>
      </c>
      <c r="Z66" s="1134">
        <f t="shared" ca="1" si="13"/>
        <v>364472882.24238199</v>
      </c>
      <c r="AA66" s="1132">
        <f t="shared" ca="1" si="14"/>
        <v>0.63266547252372429</v>
      </c>
      <c r="AB66" s="1105"/>
    </row>
    <row r="67" spans="1:29">
      <c r="A67" s="1144">
        <f>Calendar!J59</f>
        <v>46720</v>
      </c>
      <c r="C67" s="1104"/>
      <c r="D67" s="1125">
        <f t="shared" ca="1" si="0"/>
        <v>47938</v>
      </c>
      <c r="E67" s="1126">
        <f t="shared" ca="1" si="1"/>
        <v>47966</v>
      </c>
      <c r="F67" s="1127">
        <f t="shared" ca="1" si="2"/>
        <v>1736</v>
      </c>
      <c r="G67" s="1128">
        <f ca="1">IF(F67&lt;&gt;"",COUNTIF($F$11:F67,"&gt;0"),"")</f>
        <v>57</v>
      </c>
      <c r="H67" s="1129">
        <v>8.1599804012892924E-3</v>
      </c>
      <c r="I67" s="1128"/>
      <c r="J67" s="1130">
        <f t="shared" ca="1" si="3"/>
        <v>7289457644.8476257</v>
      </c>
      <c r="K67" s="1131">
        <f t="shared" ca="1" si="4"/>
        <v>59481831.517985031</v>
      </c>
      <c r="L67" s="1130">
        <f t="shared" ca="1" si="5"/>
        <v>0</v>
      </c>
      <c r="M67" s="1130">
        <f t="shared" ca="1" si="6"/>
        <v>0</v>
      </c>
      <c r="N67" s="1130">
        <f t="shared" ca="1" si="15"/>
        <v>7229975813.3296404</v>
      </c>
      <c r="O67" s="1073"/>
      <c r="P67" s="1130">
        <f t="shared" ca="1" si="7"/>
        <v>59481831.517985344</v>
      </c>
      <c r="Q67" s="1130">
        <f t="shared" ca="1" si="8"/>
        <v>6868477022.6631584</v>
      </c>
      <c r="R67" s="1130">
        <f t="shared" ca="1" si="16"/>
        <v>6924984762.6052437</v>
      </c>
      <c r="S67" s="1130">
        <f t="shared" ca="1" si="17"/>
        <v>56507739.942085266</v>
      </c>
      <c r="T67" s="1130">
        <f t="shared" ca="1" si="9"/>
        <v>6868477022.6631584</v>
      </c>
      <c r="U67" s="1132">
        <f t="shared" ca="1" si="10"/>
        <v>0.58650524786615321</v>
      </c>
      <c r="V67" s="1133">
        <f t="shared" ca="1" si="11"/>
        <v>5.0000000000000044E-2</v>
      </c>
      <c r="X67" s="1134">
        <f t="shared" ca="1" si="18"/>
        <v>364472882.24238199</v>
      </c>
      <c r="Y67" s="1134">
        <f t="shared" ca="1" si="12"/>
        <v>2974091.5759000778</v>
      </c>
      <c r="Z67" s="1134">
        <f t="shared" ca="1" si="13"/>
        <v>361498790.66648191</v>
      </c>
      <c r="AA67" s="1132">
        <f t="shared" ca="1" si="14"/>
        <v>0.62753595427407372</v>
      </c>
      <c r="AB67" s="1105"/>
    </row>
    <row r="68" spans="1:29">
      <c r="A68" s="1144">
        <f>Calendar!J60</f>
        <v>46748</v>
      </c>
      <c r="C68" s="1104"/>
      <c r="D68" s="1125">
        <f t="shared" ca="1" si="0"/>
        <v>47968</v>
      </c>
      <c r="E68" s="1126">
        <f t="shared" ca="1" si="1"/>
        <v>47995</v>
      </c>
      <c r="F68" s="1127">
        <f t="shared" ca="1" si="2"/>
        <v>1765</v>
      </c>
      <c r="G68" s="1128">
        <f ca="1">IF(F68&lt;&gt;"",COUNTIF($F$11:F68,"&gt;0"),"")</f>
        <v>58</v>
      </c>
      <c r="H68" s="1129">
        <v>8.1913894371840826E-3</v>
      </c>
      <c r="I68" s="1128"/>
      <c r="J68" s="1130">
        <f t="shared" ca="1" si="3"/>
        <v>7229975813.3296404</v>
      </c>
      <c r="K68" s="1131">
        <f t="shared" ca="1" si="4"/>
        <v>59223547.508404814</v>
      </c>
      <c r="L68" s="1130">
        <f t="shared" ca="1" si="5"/>
        <v>0</v>
      </c>
      <c r="M68" s="1130">
        <f t="shared" ca="1" si="6"/>
        <v>0</v>
      </c>
      <c r="N68" s="1130">
        <f t="shared" ca="1" si="15"/>
        <v>7170752265.8212357</v>
      </c>
      <c r="O68" s="1073"/>
      <c r="P68" s="1130">
        <f t="shared" ca="1" si="7"/>
        <v>59223547.508404732</v>
      </c>
      <c r="Q68" s="1130">
        <f t="shared" ca="1" si="8"/>
        <v>6812214652.5301733</v>
      </c>
      <c r="R68" s="1130">
        <f t="shared" ca="1" si="16"/>
        <v>6868477022.6631584</v>
      </c>
      <c r="S68" s="1130">
        <f t="shared" ca="1" si="17"/>
        <v>56262370.132985115</v>
      </c>
      <c r="T68" s="1130">
        <f t="shared" ca="1" si="9"/>
        <v>6812214652.5301733</v>
      </c>
      <c r="U68" s="1132">
        <f t="shared" ca="1" si="10"/>
        <v>0.58171937653831207</v>
      </c>
      <c r="V68" s="1133">
        <f t="shared" ca="1" si="11"/>
        <v>5.0000000000000044E-2</v>
      </c>
      <c r="X68" s="1134">
        <f t="shared" ca="1" si="18"/>
        <v>361498790.66648191</v>
      </c>
      <c r="Y68" s="1134">
        <f t="shared" ca="1" si="12"/>
        <v>2961177.3754196167</v>
      </c>
      <c r="Z68" s="1134">
        <f t="shared" ca="1" si="13"/>
        <v>358537613.2910623</v>
      </c>
      <c r="AA68" s="1132">
        <f t="shared" ca="1" si="14"/>
        <v>0.62241527318609147</v>
      </c>
      <c r="AB68" s="1105"/>
    </row>
    <row r="69" spans="1:29">
      <c r="A69" s="1144">
        <f>Calendar!J61</f>
        <v>46779</v>
      </c>
      <c r="C69" s="1104"/>
      <c r="D69" s="1125">
        <f t="shared" ca="1" si="0"/>
        <v>47999</v>
      </c>
      <c r="E69" s="1126">
        <f t="shared" ca="1" si="1"/>
        <v>48026</v>
      </c>
      <c r="F69" s="1127">
        <f t="shared" ca="1" si="2"/>
        <v>1796</v>
      </c>
      <c r="G69" s="1128">
        <f ca="1">IF(F69&lt;&gt;"",COUNTIF($F$11:F69,"&gt;0"),"")</f>
        <v>59</v>
      </c>
      <c r="H69" s="1129">
        <v>8.2464933015456848E-3</v>
      </c>
      <c r="I69" s="1128"/>
      <c r="J69" s="1130">
        <f t="shared" ca="1" si="3"/>
        <v>7170752265.8212357</v>
      </c>
      <c r="K69" s="1131">
        <f t="shared" ca="1" si="4"/>
        <v>59133560.52713836</v>
      </c>
      <c r="L69" s="1130">
        <f t="shared" ca="1" si="5"/>
        <v>0</v>
      </c>
      <c r="M69" s="1130">
        <f t="shared" ca="1" si="6"/>
        <v>0</v>
      </c>
      <c r="N69" s="1130">
        <f t="shared" ca="1" si="15"/>
        <v>7111618705.2940969</v>
      </c>
      <c r="O69" s="1073"/>
      <c r="P69" s="1130">
        <f t="shared" ca="1" si="7"/>
        <v>59133560.52713871</v>
      </c>
      <c r="Q69" s="1130">
        <f t="shared" ca="1" si="8"/>
        <v>6756037770.0293922</v>
      </c>
      <c r="R69" s="1130">
        <f t="shared" ca="1" si="16"/>
        <v>6812214652.5301733</v>
      </c>
      <c r="S69" s="1130">
        <f t="shared" ca="1" si="17"/>
        <v>56176882.500781059</v>
      </c>
      <c r="T69" s="1130">
        <f t="shared" ca="1" si="9"/>
        <v>6756037770.0293922</v>
      </c>
      <c r="U69" s="1132">
        <f t="shared" ca="1" si="10"/>
        <v>0.57695428658193082</v>
      </c>
      <c r="V69" s="1133">
        <f t="shared" ca="1" si="11"/>
        <v>4.9999999999999933E-2</v>
      </c>
      <c r="X69" s="1134">
        <f t="shared" ca="1" si="18"/>
        <v>358537613.2910623</v>
      </c>
      <c r="Y69" s="1134">
        <f t="shared" ca="1" si="12"/>
        <v>2956678.0263576508</v>
      </c>
      <c r="Z69" s="1134">
        <f t="shared" ca="1" si="13"/>
        <v>355580935.26470464</v>
      </c>
      <c r="AA69" s="1132">
        <f t="shared" ca="1" si="14"/>
        <v>0.61731682729177395</v>
      </c>
      <c r="AB69" s="1105"/>
    </row>
    <row r="70" spans="1:29">
      <c r="A70" s="1144">
        <f>Calendar!J62</f>
        <v>46811</v>
      </c>
      <c r="C70" s="1104"/>
      <c r="D70" s="1125">
        <f t="shared" ca="1" si="0"/>
        <v>48029</v>
      </c>
      <c r="E70" s="1126">
        <f t="shared" ca="1" si="1"/>
        <v>48057</v>
      </c>
      <c r="F70" s="1127">
        <f t="shared" ca="1" si="2"/>
        <v>1827</v>
      </c>
      <c r="G70" s="1128">
        <f ca="1">IF(F70&lt;&gt;"",COUNTIF($F$11:F70,"&gt;0"),"")</f>
        <v>60</v>
      </c>
      <c r="H70" s="1129">
        <v>8.287265658053232E-3</v>
      </c>
      <c r="I70" s="1128"/>
      <c r="J70" s="1130">
        <f t="shared" ca="1" si="3"/>
        <v>7111618705.2940969</v>
      </c>
      <c r="K70" s="1131">
        <f t="shared" ca="1" si="4"/>
        <v>58935873.469552755</v>
      </c>
      <c r="L70" s="1130">
        <f t="shared" ca="1" si="5"/>
        <v>0</v>
      </c>
      <c r="M70" s="1130">
        <f t="shared" ca="1" si="6"/>
        <v>0</v>
      </c>
      <c r="N70" s="1130">
        <f t="shared" ca="1" si="15"/>
        <v>7052682831.824544</v>
      </c>
      <c r="O70" s="1073"/>
      <c r="P70" s="1130">
        <f t="shared" ca="1" si="7"/>
        <v>58935873.469552994</v>
      </c>
      <c r="Q70" s="1130">
        <f t="shared" ca="1" si="8"/>
        <v>6700048690.2333164</v>
      </c>
      <c r="R70" s="1130">
        <f t="shared" ca="1" si="16"/>
        <v>6756037770.0293922</v>
      </c>
      <c r="S70" s="1130">
        <f t="shared" ca="1" si="17"/>
        <v>55989079.796075821</v>
      </c>
      <c r="T70" s="1130">
        <f t="shared" ca="1" si="9"/>
        <v>6700048690.2333164</v>
      </c>
      <c r="U70" s="1132">
        <f t="shared" ca="1" si="10"/>
        <v>0.57219643692233491</v>
      </c>
      <c r="V70" s="1133">
        <f t="shared" ca="1" si="11"/>
        <v>5.0000000000000044E-2</v>
      </c>
      <c r="X70" s="1134">
        <f t="shared" ca="1" si="18"/>
        <v>355580935.26470464</v>
      </c>
      <c r="Y70" s="1134">
        <f t="shared" ca="1" si="12"/>
        <v>2946793.6734771729</v>
      </c>
      <c r="Z70" s="1134">
        <f t="shared" ca="1" si="13"/>
        <v>352634141.59122747</v>
      </c>
      <c r="AA70" s="1132">
        <f t="shared" ca="1" si="14"/>
        <v>0.61222612821057965</v>
      </c>
      <c r="AB70" s="1105"/>
    </row>
    <row r="71" spans="1:29">
      <c r="A71" s="1144">
        <f>Calendar!J63</f>
        <v>46839</v>
      </c>
      <c r="C71" s="1104"/>
      <c r="D71" s="1125">
        <f t="shared" ca="1" si="0"/>
        <v>48060</v>
      </c>
      <c r="E71" s="1126">
        <f t="shared" ca="1" si="1"/>
        <v>48087</v>
      </c>
      <c r="F71" s="1127">
        <f t="shared" ca="1" si="2"/>
        <v>1857</v>
      </c>
      <c r="G71" s="1128">
        <f ca="1">IF(F71&lt;&gt;"",COUNTIF($F$11:F71,"&gt;0"),"")</f>
        <v>61</v>
      </c>
      <c r="H71" s="1129">
        <v>8.3338356636277009E-3</v>
      </c>
      <c r="I71" s="1128"/>
      <c r="J71" s="1130">
        <f t="shared" ca="1" si="3"/>
        <v>7052682831.824544</v>
      </c>
      <c r="K71" s="1131">
        <f t="shared" ca="1" si="4"/>
        <v>58775899.708114192</v>
      </c>
      <c r="L71" s="1130">
        <f t="shared" ca="1" si="5"/>
        <v>0</v>
      </c>
      <c r="M71" s="1130">
        <f t="shared" ca="1" si="6"/>
        <v>0</v>
      </c>
      <c r="N71" s="1130">
        <f t="shared" ca="1" si="15"/>
        <v>6993906932.1164293</v>
      </c>
      <c r="O71" s="1073"/>
      <c r="P71" s="1130">
        <f t="shared" ca="1" si="7"/>
        <v>58775899.708114624</v>
      </c>
      <c r="Q71" s="1130">
        <f t="shared" ca="1" si="8"/>
        <v>6644211585.5106077</v>
      </c>
      <c r="R71" s="1130">
        <f t="shared" ca="1" si="16"/>
        <v>6700048690.2333164</v>
      </c>
      <c r="S71" s="1130">
        <f t="shared" ca="1" si="17"/>
        <v>55837104.722708702</v>
      </c>
      <c r="T71" s="1130">
        <f t="shared" ca="1" si="9"/>
        <v>6644211585.5106077</v>
      </c>
      <c r="U71" s="1132">
        <f t="shared" ca="1" si="10"/>
        <v>0.56745449304096796</v>
      </c>
      <c r="V71" s="1133">
        <f t="shared" ca="1" si="11"/>
        <v>5.0000000000000044E-2</v>
      </c>
      <c r="X71" s="1134">
        <f t="shared" ca="1" si="18"/>
        <v>352634141.59122747</v>
      </c>
      <c r="Y71" s="1134">
        <f t="shared" ca="1" si="12"/>
        <v>2938794.9854059219</v>
      </c>
      <c r="Z71" s="1134">
        <f t="shared" ca="1" si="13"/>
        <v>349695346.60582155</v>
      </c>
      <c r="AA71" s="1132">
        <f t="shared" ca="1" si="14"/>
        <v>0.60715244764329801</v>
      </c>
      <c r="AB71" s="1105"/>
      <c r="AC71" s="1078"/>
    </row>
    <row r="72" spans="1:29">
      <c r="A72" s="1144">
        <f>Calendar!J64</f>
        <v>46870</v>
      </c>
      <c r="C72" s="1104"/>
      <c r="D72" s="1125">
        <f t="shared" ca="1" si="0"/>
        <v>48091</v>
      </c>
      <c r="E72" s="1126">
        <f t="shared" ca="1" si="1"/>
        <v>48120</v>
      </c>
      <c r="F72" s="1127">
        <f t="shared" ca="1" si="2"/>
        <v>1890</v>
      </c>
      <c r="G72" s="1128">
        <f ca="1">IF(F72&lt;&gt;"",COUNTIF($F$11:F72,"&gt;0"),"")</f>
        <v>62</v>
      </c>
      <c r="H72" s="1129">
        <v>8.3879594483353744E-3</v>
      </c>
      <c r="I72" s="1128"/>
      <c r="J72" s="1130">
        <f t="shared" ca="1" si="3"/>
        <v>6993906932.1164293</v>
      </c>
      <c r="K72" s="1131">
        <f t="shared" ca="1" si="4"/>
        <v>58664607.732024275</v>
      </c>
      <c r="L72" s="1130">
        <f t="shared" ca="1" si="5"/>
        <v>0</v>
      </c>
      <c r="M72" s="1130">
        <f t="shared" ca="1" si="6"/>
        <v>0</v>
      </c>
      <c r="N72" s="1130">
        <f t="shared" ca="1" si="15"/>
        <v>6935242324.3844051</v>
      </c>
      <c r="O72" s="1073"/>
      <c r="P72" s="1130">
        <f t="shared" ca="1" si="7"/>
        <v>58664607.732024193</v>
      </c>
      <c r="Q72" s="1130">
        <f t="shared" ca="1" si="8"/>
        <v>6588480208.165185</v>
      </c>
      <c r="R72" s="1130">
        <f t="shared" ca="1" si="16"/>
        <v>6644211585.5106077</v>
      </c>
      <c r="S72" s="1130">
        <f t="shared" ca="1" si="17"/>
        <v>55731377.345422745</v>
      </c>
      <c r="T72" s="1130">
        <f t="shared" ca="1" si="9"/>
        <v>6588480208.165185</v>
      </c>
      <c r="U72" s="1132">
        <f t="shared" ca="1" si="10"/>
        <v>0.56272542054937735</v>
      </c>
      <c r="V72" s="1133">
        <f t="shared" ca="1" si="11"/>
        <v>4.9999999999999933E-2</v>
      </c>
      <c r="X72" s="1134">
        <f t="shared" ca="1" si="18"/>
        <v>349695346.60582155</v>
      </c>
      <c r="Y72" s="1134">
        <f t="shared" ca="1" si="12"/>
        <v>2933230.3866014481</v>
      </c>
      <c r="Z72" s="1134">
        <f t="shared" ca="1" si="13"/>
        <v>346762116.2192201</v>
      </c>
      <c r="AA72" s="1132">
        <f t="shared" ca="1" si="14"/>
        <v>0.60209253892186909</v>
      </c>
      <c r="AB72" s="1105"/>
      <c r="AC72" s="1078"/>
    </row>
    <row r="73" spans="1:29">
      <c r="A73" s="1144">
        <f>Calendar!J65</f>
        <v>46902</v>
      </c>
      <c r="C73" s="1104"/>
      <c r="D73" s="1125">
        <f t="shared" ca="1" si="0"/>
        <v>48121</v>
      </c>
      <c r="E73" s="1126">
        <f t="shared" ca="1" si="1"/>
        <v>48148</v>
      </c>
      <c r="F73" s="1127">
        <f t="shared" ca="1" si="2"/>
        <v>1918</v>
      </c>
      <c r="G73" s="1128">
        <f ca="1">IF(F73&lt;&gt;"",COUNTIF($F$11:F73,"&gt;0"),"")</f>
        <v>63</v>
      </c>
      <c r="H73" s="1129">
        <v>8.4259318894268839E-3</v>
      </c>
      <c r="I73" s="1128"/>
      <c r="J73" s="1130">
        <f t="shared" ca="1" si="3"/>
        <v>6935242324.3844051</v>
      </c>
      <c r="K73" s="1131">
        <f t="shared" ca="1" si="4"/>
        <v>58435879.461933583</v>
      </c>
      <c r="L73" s="1130">
        <f t="shared" ca="1" si="5"/>
        <v>0</v>
      </c>
      <c r="M73" s="1130">
        <f t="shared" ca="1" si="6"/>
        <v>0</v>
      </c>
      <c r="N73" s="1130">
        <f t="shared" ca="1" si="15"/>
        <v>6876806444.922472</v>
      </c>
      <c r="O73" s="1073"/>
      <c r="P73" s="1130">
        <f t="shared" ca="1" si="7"/>
        <v>58435879.461933136</v>
      </c>
      <c r="Q73" s="1130">
        <f t="shared" ca="1" si="8"/>
        <v>6532966122.6763477</v>
      </c>
      <c r="R73" s="1130">
        <f t="shared" ca="1" si="16"/>
        <v>6588480208.165185</v>
      </c>
      <c r="S73" s="1130">
        <f t="shared" ca="1" si="17"/>
        <v>55514085.488837242</v>
      </c>
      <c r="T73" s="1130">
        <f t="shared" ca="1" si="9"/>
        <v>6532966122.6763477</v>
      </c>
      <c r="U73" s="1132">
        <f t="shared" ca="1" si="10"/>
        <v>0.55800530254126168</v>
      </c>
      <c r="V73" s="1133">
        <f t="shared" ca="1" si="11"/>
        <v>5.0000000000000044E-2</v>
      </c>
      <c r="X73" s="1134">
        <f t="shared" ca="1" si="18"/>
        <v>346762116.2192201</v>
      </c>
      <c r="Y73" s="1134">
        <f t="shared" ca="1" si="12"/>
        <v>2921793.9730958939</v>
      </c>
      <c r="Z73" s="1134">
        <f t="shared" ca="1" si="13"/>
        <v>343840322.24612421</v>
      </c>
      <c r="AA73" s="1132">
        <f t="shared" ca="1" si="14"/>
        <v>0.59704221112124678</v>
      </c>
      <c r="AB73" s="1105"/>
      <c r="AC73" s="1078"/>
    </row>
    <row r="74" spans="1:29">
      <c r="A74" s="1144">
        <f>Calendar!J66</f>
        <v>46931</v>
      </c>
      <c r="C74" s="1104"/>
      <c r="D74" s="1125">
        <f t="shared" ca="1" si="0"/>
        <v>48152</v>
      </c>
      <c r="E74" s="1126">
        <f t="shared" ca="1" si="1"/>
        <v>48179</v>
      </c>
      <c r="F74" s="1127">
        <f t="shared" ca="1" si="2"/>
        <v>1949</v>
      </c>
      <c r="G74" s="1128">
        <f ca="1">IF(F74&lt;&gt;"",COUNTIF($F$11:F74,"&gt;0"),"")</f>
        <v>64</v>
      </c>
      <c r="H74" s="1129">
        <v>8.4724727099141466E-3</v>
      </c>
      <c r="I74" s="1128"/>
      <c r="J74" s="1130">
        <f t="shared" ca="1" si="3"/>
        <v>6876806444.922472</v>
      </c>
      <c r="K74" s="1131">
        <f t="shared" ca="1" si="4"/>
        <v>58263554.935967363</v>
      </c>
      <c r="L74" s="1130">
        <f t="shared" ca="1" si="5"/>
        <v>0</v>
      </c>
      <c r="M74" s="1130">
        <f t="shared" ca="1" si="6"/>
        <v>0</v>
      </c>
      <c r="N74" s="1130">
        <f t="shared" ca="1" si="15"/>
        <v>6818542889.9865046</v>
      </c>
      <c r="O74" s="1073"/>
      <c r="P74" s="1130">
        <f t="shared" ca="1" si="7"/>
        <v>58263554.935967445</v>
      </c>
      <c r="Q74" s="1130">
        <f t="shared" ca="1" si="8"/>
        <v>6477615745.4871788</v>
      </c>
      <c r="R74" s="1130">
        <f t="shared" ca="1" si="16"/>
        <v>6532966122.6763477</v>
      </c>
      <c r="S74" s="1130">
        <f t="shared" ca="1" si="17"/>
        <v>55350377.18916893</v>
      </c>
      <c r="T74" s="1130">
        <f t="shared" ca="1" si="9"/>
        <v>6477615745.4871788</v>
      </c>
      <c r="U74" s="1132">
        <f t="shared" ca="1" si="10"/>
        <v>0.55330358786810996</v>
      </c>
      <c r="V74" s="1133">
        <f t="shared" ca="1" si="11"/>
        <v>5.0000000000000044E-2</v>
      </c>
      <c r="X74" s="1134">
        <f t="shared" ca="1" si="18"/>
        <v>343840322.24612421</v>
      </c>
      <c r="Y74" s="1134">
        <f t="shared" ca="1" si="12"/>
        <v>2913177.7467985153</v>
      </c>
      <c r="Z74" s="1134">
        <f t="shared" ca="1" si="13"/>
        <v>340927144.49932569</v>
      </c>
      <c r="AA74" s="1132">
        <f t="shared" ca="1" si="14"/>
        <v>0.59201157411522765</v>
      </c>
      <c r="AB74" s="1105"/>
      <c r="AC74" s="1078"/>
    </row>
    <row r="75" spans="1:29">
      <c r="A75" s="1144">
        <f>Calendar!J67</f>
        <v>46961</v>
      </c>
      <c r="C75" s="1104"/>
      <c r="D75" s="1125">
        <f t="shared" ca="1" si="0"/>
        <v>48182</v>
      </c>
      <c r="E75" s="1126">
        <f t="shared" ca="1" si="1"/>
        <v>48211</v>
      </c>
      <c r="F75" s="1127">
        <f t="shared" ca="1" si="2"/>
        <v>1981</v>
      </c>
      <c r="G75" s="1128">
        <f ca="1">IF(F75&lt;&gt;"",COUNTIF($F$11:F75,"&gt;0"),"")</f>
        <v>65</v>
      </c>
      <c r="H75" s="1129">
        <v>8.5119458346093087E-3</v>
      </c>
      <c r="I75" s="1128"/>
      <c r="J75" s="1130">
        <f t="shared" ca="1" si="3"/>
        <v>6818542889.9865046</v>
      </c>
      <c r="K75" s="1131">
        <f t="shared" ca="1" si="4"/>
        <v>58039067.750525542</v>
      </c>
      <c r="L75" s="1130">
        <f t="shared" ca="1" si="5"/>
        <v>0</v>
      </c>
      <c r="M75" s="1130">
        <f t="shared" ca="1" si="6"/>
        <v>0</v>
      </c>
      <c r="N75" s="1130">
        <f t="shared" ca="1" si="15"/>
        <v>6760503822.2359791</v>
      </c>
      <c r="O75" s="1073"/>
      <c r="P75" s="1130">
        <f t="shared" ca="1" si="7"/>
        <v>58039067.750525475</v>
      </c>
      <c r="Q75" s="1130">
        <f t="shared" ca="1" si="8"/>
        <v>6422478631.1241798</v>
      </c>
      <c r="R75" s="1130">
        <f t="shared" ca="1" si="16"/>
        <v>6477615745.4871788</v>
      </c>
      <c r="S75" s="1130">
        <f t="shared" ca="1" si="17"/>
        <v>55137114.362998962</v>
      </c>
      <c r="T75" s="1130">
        <f t="shared" ca="1" si="9"/>
        <v>6422478631.1241798</v>
      </c>
      <c r="U75" s="1132">
        <f t="shared" ca="1" si="10"/>
        <v>0.54861573831959976</v>
      </c>
      <c r="V75" s="1133">
        <f t="shared" ca="1" si="11"/>
        <v>5.0000000000000044E-2</v>
      </c>
      <c r="X75" s="1134">
        <f t="shared" ca="1" si="18"/>
        <v>340927144.49932569</v>
      </c>
      <c r="Y75" s="1134">
        <f t="shared" ca="1" si="12"/>
        <v>2901953.3875265121</v>
      </c>
      <c r="Z75" s="1134">
        <f t="shared" ca="1" si="13"/>
        <v>338025191.11179918</v>
      </c>
      <c r="AA75" s="1132">
        <f t="shared" ca="1" si="14"/>
        <v>0.58699577220958277</v>
      </c>
      <c r="AB75" s="1105"/>
      <c r="AC75" s="1078"/>
    </row>
    <row r="76" spans="1:29">
      <c r="A76" s="1144">
        <f>Calendar!J68</f>
        <v>46993</v>
      </c>
      <c r="C76" s="1104"/>
      <c r="D76" s="1125">
        <f t="shared" ref="D76:D139" ca="1" si="19">IF(E76&lt;&gt;"",EOMONTH(E76,-1),"")</f>
        <v>48213</v>
      </c>
      <c r="E76" s="1126">
        <f t="shared" ref="E76:E139" ca="1" si="20">IF(INDIRECT("A"&amp;(IFERROR(MATCH(E75,A:A),999)+1))&gt;0,INDIRECT("A"&amp;(IFERROR(MATCH(E75,A:A),999)+1)),"")</f>
        <v>48240</v>
      </c>
      <c r="F76" s="1127">
        <f t="shared" ref="F76:F139" ca="1" si="21">IF(E76&lt;&gt;"",E76-$A$31,"")</f>
        <v>2010</v>
      </c>
      <c r="G76" s="1128">
        <f ca="1">IF(F76&lt;&gt;"",COUNTIF($F$11:F76,"&gt;0"),"")</f>
        <v>66</v>
      </c>
      <c r="H76" s="1129">
        <v>8.5598230167749263E-3</v>
      </c>
      <c r="I76" s="1128"/>
      <c r="J76" s="1130">
        <f t="shared" ref="J76:J139" ca="1" si="22">IF(G76=1,$A$7,N75)</f>
        <v>6760503822.2359791</v>
      </c>
      <c r="K76" s="1131">
        <f t="shared" ref="K76:K139" ca="1" si="23">H76*J76</f>
        <v>57868716.222570397</v>
      </c>
      <c r="L76" s="1130">
        <f t="shared" ref="L76:L139" ca="1" si="24">IF(E76&lt;&gt;"",(1-(1-$A$25)^(1/12))*(J76-K76),"")</f>
        <v>0</v>
      </c>
      <c r="M76" s="1130">
        <f t="shared" ref="M76:M139" ca="1" si="25">IF(J76-K76-L76&lt;$A$27*$A$5,J76-K76-L76,0)</f>
        <v>0</v>
      </c>
      <c r="N76" s="1130">
        <f t="shared" ca="1" si="15"/>
        <v>6702635106.0134087</v>
      </c>
      <c r="O76" s="1073"/>
      <c r="P76" s="1130">
        <f t="shared" ref="P76:P139" ca="1" si="26">IF(G76&lt;&gt; "", R76+X76-N76, "")</f>
        <v>57868716.222570419</v>
      </c>
      <c r="Q76" s="1130">
        <f t="shared" ref="Q76:Q139" ca="1" si="27">IF(E76&lt;&gt;"", N76*(1-$A$15), "")</f>
        <v>6367503350.712738</v>
      </c>
      <c r="R76" s="1130">
        <f t="shared" ca="1" si="16"/>
        <v>6422478631.1241798</v>
      </c>
      <c r="S76" s="1130">
        <f t="shared" ca="1" si="17"/>
        <v>54975280.411441803</v>
      </c>
      <c r="T76" s="1130">
        <f t="shared" ref="T76:T139" ca="1" si="28">IF(E76&lt;&gt;"", R76-S76, "")</f>
        <v>6367503350.712738</v>
      </c>
      <c r="U76" s="1132">
        <f t="shared" ref="U76:U139" ca="1" si="29">IF(E76&lt;&gt;"", R76/$A$11, "")</f>
        <v>0.54394595087100917</v>
      </c>
      <c r="V76" s="1133">
        <f t="shared" ref="V76:V139" ca="1" si="30">IF(E76&lt;&gt;"", IFERROR(1-T76/N76, "n.a."), "")</f>
        <v>5.0000000000000044E-2</v>
      </c>
      <c r="X76" s="1134">
        <f t="shared" ca="1" si="18"/>
        <v>338025191.11179918</v>
      </c>
      <c r="Y76" s="1134">
        <f t="shared" ref="Y76:Y139" ca="1" si="31">IF(E76&lt;&gt;"", P76-S76, "")</f>
        <v>2893435.8111286163</v>
      </c>
      <c r="Z76" s="1134">
        <f t="shared" ref="Z76:Z139" ca="1" si="32">IF(E76&lt;&gt;"", X76-Y76, "")</f>
        <v>335131755.30067056</v>
      </c>
      <c r="AA76" s="1132">
        <f t="shared" ref="AA76:AA139" ca="1" si="33">IF(E76&lt;&gt;"", X76/$A$19, "")</f>
        <v>0.58199929599138978</v>
      </c>
      <c r="AB76" s="1105"/>
      <c r="AC76" s="1078"/>
    </row>
    <row r="77" spans="1:29">
      <c r="A77" s="1144">
        <f>Calendar!J69</f>
        <v>47023</v>
      </c>
      <c r="C77" s="1104"/>
      <c r="D77" s="1125">
        <f t="shared" ca="1" si="19"/>
        <v>48244</v>
      </c>
      <c r="E77" s="1126">
        <f t="shared" ca="1" si="20"/>
        <v>48271</v>
      </c>
      <c r="F77" s="1127">
        <f t="shared" ca="1" si="21"/>
        <v>2041</v>
      </c>
      <c r="G77" s="1128">
        <f ca="1">IF(F77&lt;&gt;"",COUNTIF($F$11:F77,"&gt;0"),"")</f>
        <v>67</v>
      </c>
      <c r="H77" s="1129">
        <v>8.6017040674281117E-3</v>
      </c>
      <c r="I77" s="1128"/>
      <c r="J77" s="1130">
        <f t="shared" ca="1" si="22"/>
        <v>6702635106.0134087</v>
      </c>
      <c r="K77" s="1131">
        <f t="shared" ca="1" si="23"/>
        <v>57654083.653881989</v>
      </c>
      <c r="L77" s="1130">
        <f t="shared" ca="1" si="24"/>
        <v>0</v>
      </c>
      <c r="M77" s="1130">
        <f t="shared" ca="1" si="25"/>
        <v>0</v>
      </c>
      <c r="N77" s="1130">
        <f t="shared" ref="N77:N140" ca="1" si="34">IF(E77&lt;&gt;"",J77-K77-L77-M77,"")</f>
        <v>6644981022.3595266</v>
      </c>
      <c r="O77" s="1073"/>
      <c r="P77" s="1130">
        <f t="shared" ca="1" si="26"/>
        <v>57654083.653882027</v>
      </c>
      <c r="Q77" s="1130">
        <f t="shared" ca="1" si="27"/>
        <v>6312731971.2415504</v>
      </c>
      <c r="R77" s="1130">
        <f t="shared" ref="R77:R140" ca="1" si="35">IF(E77&lt;&gt;"", T76, "")</f>
        <v>6367503350.712738</v>
      </c>
      <c r="S77" s="1130">
        <f t="shared" ref="S77:S140" ca="1" si="36">IF(E77&lt;&gt;"", MIN(P77,MAX(R77-Q77,0)), "")</f>
        <v>54771379.471187592</v>
      </c>
      <c r="T77" s="1130">
        <f t="shared" ca="1" si="28"/>
        <v>6312731971.2415504</v>
      </c>
      <c r="U77" s="1132">
        <f t="shared" ca="1" si="29"/>
        <v>0.53928986980086202</v>
      </c>
      <c r="V77" s="1133">
        <f t="shared" ca="1" si="30"/>
        <v>4.9999999999999933E-2</v>
      </c>
      <c r="X77" s="1134">
        <f t="shared" ref="X77:X140" ca="1" si="37">IF(E77&lt;&gt;"", Z76, "")</f>
        <v>335131755.30067056</v>
      </c>
      <c r="Y77" s="1134">
        <f t="shared" ca="1" si="31"/>
        <v>2882704.1826944351</v>
      </c>
      <c r="Z77" s="1134">
        <f t="shared" ca="1" si="32"/>
        <v>332249051.11797613</v>
      </c>
      <c r="AA77" s="1132">
        <f t="shared" ca="1" si="33"/>
        <v>0.57701748502181571</v>
      </c>
      <c r="AB77" s="1105"/>
      <c r="AC77" s="1078"/>
    </row>
    <row r="78" spans="1:29">
      <c r="A78" s="1144">
        <f>Calendar!J70</f>
        <v>47053</v>
      </c>
      <c r="C78" s="1104"/>
      <c r="D78" s="1125">
        <f t="shared" ca="1" si="19"/>
        <v>48273</v>
      </c>
      <c r="E78" s="1126">
        <f t="shared" ca="1" si="20"/>
        <v>48303</v>
      </c>
      <c r="F78" s="1127">
        <f t="shared" ca="1" si="21"/>
        <v>2073</v>
      </c>
      <c r="G78" s="1128">
        <f ca="1">IF(F78&lt;&gt;"",COUNTIF($F$11:F78,"&gt;0"),"")</f>
        <v>68</v>
      </c>
      <c r="H78" s="1129">
        <v>8.6433014396991997E-3</v>
      </c>
      <c r="I78" s="1128"/>
      <c r="J78" s="1130">
        <f t="shared" ca="1" si="22"/>
        <v>6644981022.3595266</v>
      </c>
      <c r="K78" s="1131">
        <f t="shared" ca="1" si="23"/>
        <v>57434574.037333958</v>
      </c>
      <c r="L78" s="1130">
        <f t="shared" ca="1" si="24"/>
        <v>0</v>
      </c>
      <c r="M78" s="1130">
        <f t="shared" ca="1" si="25"/>
        <v>0</v>
      </c>
      <c r="N78" s="1130">
        <f t="shared" ca="1" si="34"/>
        <v>6587546448.3221931</v>
      </c>
      <c r="O78" s="1073"/>
      <c r="P78" s="1130">
        <f t="shared" ca="1" si="26"/>
        <v>57434574.037333488</v>
      </c>
      <c r="Q78" s="1130">
        <f t="shared" ca="1" si="27"/>
        <v>6258169125.9060831</v>
      </c>
      <c r="R78" s="1130">
        <f t="shared" ca="1" si="35"/>
        <v>6312731971.2415504</v>
      </c>
      <c r="S78" s="1130">
        <f t="shared" ca="1" si="36"/>
        <v>54562845.335467339</v>
      </c>
      <c r="T78" s="1130">
        <f t="shared" ca="1" si="28"/>
        <v>6258169125.9060831</v>
      </c>
      <c r="U78" s="1132">
        <f t="shared" ca="1" si="29"/>
        <v>0.53465105793427314</v>
      </c>
      <c r="V78" s="1133">
        <f t="shared" ca="1" si="30"/>
        <v>5.0000000000000044E-2</v>
      </c>
      <c r="X78" s="1134">
        <f t="shared" ca="1" si="37"/>
        <v>332249051.11797613</v>
      </c>
      <c r="Y78" s="1134">
        <f t="shared" ca="1" si="31"/>
        <v>2871728.7018661499</v>
      </c>
      <c r="Z78" s="1134">
        <f t="shared" ca="1" si="32"/>
        <v>329377322.41610998</v>
      </c>
      <c r="AA78" s="1132">
        <f t="shared" ca="1" si="33"/>
        <v>0.57205415137392579</v>
      </c>
      <c r="AB78" s="1105"/>
      <c r="AC78" s="1078"/>
    </row>
    <row r="79" spans="1:29">
      <c r="A79" s="1144">
        <f>Calendar!J71</f>
        <v>47084</v>
      </c>
      <c r="C79" s="1104"/>
      <c r="D79" s="1125">
        <f t="shared" ca="1" si="19"/>
        <v>48304</v>
      </c>
      <c r="E79" s="1126">
        <f t="shared" ca="1" si="20"/>
        <v>48331</v>
      </c>
      <c r="F79" s="1127">
        <f t="shared" ca="1" si="21"/>
        <v>2101</v>
      </c>
      <c r="G79" s="1128">
        <f ca="1">IF(F79&lt;&gt;"",COUNTIF($F$11:F79,"&gt;0"),"")</f>
        <v>69</v>
      </c>
      <c r="H79" s="1129">
        <v>8.6963022323994707E-3</v>
      </c>
      <c r="I79" s="1128"/>
      <c r="J79" s="1130">
        <f t="shared" ca="1" si="22"/>
        <v>6587546448.3221931</v>
      </c>
      <c r="K79" s="1131">
        <f t="shared" ca="1" si="23"/>
        <v>57287294.884579495</v>
      </c>
      <c r="L79" s="1130">
        <f t="shared" ca="1" si="24"/>
        <v>0</v>
      </c>
      <c r="M79" s="1130">
        <f t="shared" ca="1" si="25"/>
        <v>0</v>
      </c>
      <c r="N79" s="1130">
        <f t="shared" ca="1" si="34"/>
        <v>6530259153.4376135</v>
      </c>
      <c r="O79" s="1073"/>
      <c r="P79" s="1130">
        <f t="shared" ca="1" si="26"/>
        <v>57287294.884579659</v>
      </c>
      <c r="Q79" s="1130">
        <f t="shared" ca="1" si="27"/>
        <v>6203746195.7657328</v>
      </c>
      <c r="R79" s="1130">
        <f t="shared" ca="1" si="35"/>
        <v>6258169125.9060831</v>
      </c>
      <c r="S79" s="1130">
        <f t="shared" ca="1" si="36"/>
        <v>54422930.140350342</v>
      </c>
      <c r="T79" s="1130">
        <f t="shared" ca="1" si="28"/>
        <v>6203746195.7657328</v>
      </c>
      <c r="U79" s="1132">
        <f t="shared" ca="1" si="29"/>
        <v>0.53002990767549318</v>
      </c>
      <c r="V79" s="1133">
        <f t="shared" ca="1" si="30"/>
        <v>5.0000000000000044E-2</v>
      </c>
      <c r="X79" s="1134">
        <f t="shared" ca="1" si="37"/>
        <v>329377322.41610998</v>
      </c>
      <c r="Y79" s="1134">
        <f t="shared" ca="1" si="31"/>
        <v>2864364.7442293167</v>
      </c>
      <c r="Z79" s="1134">
        <f t="shared" ca="1" si="32"/>
        <v>326512957.67188066</v>
      </c>
      <c r="AA79" s="1132">
        <f t="shared" ca="1" si="33"/>
        <v>0.5671097149037706</v>
      </c>
      <c r="AB79" s="1105"/>
      <c r="AC79" s="1078"/>
    </row>
    <row r="80" spans="1:29">
      <c r="A80" s="1144">
        <f>Calendar!J72</f>
        <v>47114</v>
      </c>
      <c r="C80" s="1104"/>
      <c r="D80" s="1125">
        <f t="shared" ca="1" si="19"/>
        <v>48334</v>
      </c>
      <c r="E80" s="1126">
        <f t="shared" ca="1" si="20"/>
        <v>48361</v>
      </c>
      <c r="F80" s="1127">
        <f t="shared" ca="1" si="21"/>
        <v>2131</v>
      </c>
      <c r="G80" s="1128">
        <f ca="1">IF(F80&lt;&gt;"",COUNTIF($F$11:F80,"&gt;0"),"")</f>
        <v>70</v>
      </c>
      <c r="H80" s="1129">
        <v>8.7352661988350285E-3</v>
      </c>
      <c r="I80" s="1128"/>
      <c r="J80" s="1130">
        <f t="shared" ca="1" si="22"/>
        <v>6530259153.4376135</v>
      </c>
      <c r="K80" s="1131">
        <f t="shared" ca="1" si="23"/>
        <v>57043552.052656636</v>
      </c>
      <c r="L80" s="1130">
        <f t="shared" ca="1" si="24"/>
        <v>0</v>
      </c>
      <c r="M80" s="1130">
        <f t="shared" ca="1" si="25"/>
        <v>0</v>
      </c>
      <c r="N80" s="1130">
        <f t="shared" ca="1" si="34"/>
        <v>6473215601.3849573</v>
      </c>
      <c r="O80" s="1073"/>
      <c r="P80" s="1130">
        <f t="shared" ca="1" si="26"/>
        <v>57043552.052656174</v>
      </c>
      <c r="Q80" s="1130">
        <f t="shared" ca="1" si="27"/>
        <v>6149554821.3157091</v>
      </c>
      <c r="R80" s="1130">
        <f t="shared" ca="1" si="35"/>
        <v>6203746195.7657328</v>
      </c>
      <c r="S80" s="1130">
        <f t="shared" ca="1" si="36"/>
        <v>54191374.450023651</v>
      </c>
      <c r="T80" s="1130">
        <f t="shared" ca="1" si="28"/>
        <v>6149554821.3157091</v>
      </c>
      <c r="U80" s="1132">
        <f t="shared" ca="1" si="29"/>
        <v>0.52542060740613628</v>
      </c>
      <c r="V80" s="1133">
        <f t="shared" ca="1" si="30"/>
        <v>5.0000000000000044E-2</v>
      </c>
      <c r="X80" s="1134">
        <f t="shared" ca="1" si="37"/>
        <v>326512957.67188066</v>
      </c>
      <c r="Y80" s="1134">
        <f t="shared" ca="1" si="31"/>
        <v>2852177.6026325226</v>
      </c>
      <c r="Z80" s="1134">
        <f t="shared" ca="1" si="32"/>
        <v>323660780.06924814</v>
      </c>
      <c r="AA80" s="1132">
        <f t="shared" ca="1" si="33"/>
        <v>0.56217795742403698</v>
      </c>
      <c r="AB80" s="1105"/>
      <c r="AC80" s="1078"/>
    </row>
    <row r="81" spans="1:29">
      <c r="A81" s="1144">
        <f>Calendar!J73</f>
        <v>47147</v>
      </c>
      <c r="C81" s="1104"/>
      <c r="D81" s="1125">
        <f t="shared" ca="1" si="19"/>
        <v>48365</v>
      </c>
      <c r="E81" s="1126">
        <f t="shared" ca="1" si="20"/>
        <v>48393</v>
      </c>
      <c r="F81" s="1127">
        <f t="shared" ca="1" si="21"/>
        <v>2163</v>
      </c>
      <c r="G81" s="1128">
        <f ca="1">IF(F81&lt;&gt;"",COUNTIF($F$11:F81,"&gt;0"),"")</f>
        <v>71</v>
      </c>
      <c r="H81" s="1129">
        <v>8.7880372559361441E-3</v>
      </c>
      <c r="I81" s="1128"/>
      <c r="J81" s="1130">
        <f t="shared" ca="1" si="22"/>
        <v>6473215601.3849573</v>
      </c>
      <c r="K81" s="1131">
        <f t="shared" ca="1" si="23"/>
        <v>56886859.870678097</v>
      </c>
      <c r="L81" s="1130">
        <f t="shared" ca="1" si="24"/>
        <v>0</v>
      </c>
      <c r="M81" s="1130">
        <f t="shared" ca="1" si="25"/>
        <v>0</v>
      </c>
      <c r="N81" s="1130">
        <f t="shared" ca="1" si="34"/>
        <v>6416328741.5142794</v>
      </c>
      <c r="O81" s="1073"/>
      <c r="P81" s="1130">
        <f t="shared" ca="1" si="26"/>
        <v>56886859.870677948</v>
      </c>
      <c r="Q81" s="1130">
        <f t="shared" ca="1" si="27"/>
        <v>6095512304.4385653</v>
      </c>
      <c r="R81" s="1130">
        <f t="shared" ca="1" si="35"/>
        <v>6149554821.3157091</v>
      </c>
      <c r="S81" s="1130">
        <f t="shared" ca="1" si="36"/>
        <v>54042516.87714386</v>
      </c>
      <c r="T81" s="1130">
        <f t="shared" ca="1" si="28"/>
        <v>6095512304.4385653</v>
      </c>
      <c r="U81" s="1132">
        <f t="shared" ca="1" si="29"/>
        <v>0.52083091853409014</v>
      </c>
      <c r="V81" s="1133">
        <f t="shared" ca="1" si="30"/>
        <v>5.0000000000000044E-2</v>
      </c>
      <c r="X81" s="1134">
        <f t="shared" ca="1" si="37"/>
        <v>323660780.06924814</v>
      </c>
      <c r="Y81" s="1134">
        <f t="shared" ca="1" si="31"/>
        <v>2844342.9935340881</v>
      </c>
      <c r="Z81" s="1134">
        <f t="shared" ca="1" si="32"/>
        <v>320816437.07571405</v>
      </c>
      <c r="AA81" s="1132">
        <f t="shared" ca="1" si="33"/>
        <v>0.55726718331482117</v>
      </c>
      <c r="AB81" s="1105"/>
      <c r="AC81" s="1078"/>
    </row>
    <row r="82" spans="1:29">
      <c r="A82" s="1144">
        <f>Calendar!J74</f>
        <v>47176</v>
      </c>
      <c r="C82" s="1104"/>
      <c r="D82" s="1125">
        <f t="shared" ca="1" si="19"/>
        <v>48395</v>
      </c>
      <c r="E82" s="1126">
        <f t="shared" ca="1" si="20"/>
        <v>48422</v>
      </c>
      <c r="F82" s="1127">
        <f t="shared" ca="1" si="21"/>
        <v>2192</v>
      </c>
      <c r="G82" s="1128">
        <f ca="1">IF(F82&lt;&gt;"",COUNTIF($F$11:F82,"&gt;0"),"")</f>
        <v>72</v>
      </c>
      <c r="H82" s="1129">
        <v>8.840598743222336E-3</v>
      </c>
      <c r="I82" s="1128"/>
      <c r="J82" s="1130">
        <f t="shared" ca="1" si="22"/>
        <v>6416328741.5142794</v>
      </c>
      <c r="K82" s="1131">
        <f t="shared" ca="1" si="23"/>
        <v>56724187.808332488</v>
      </c>
      <c r="L82" s="1130">
        <f t="shared" ca="1" si="24"/>
        <v>0</v>
      </c>
      <c r="M82" s="1130">
        <f t="shared" ca="1" si="25"/>
        <v>0</v>
      </c>
      <c r="N82" s="1130">
        <f t="shared" ca="1" si="34"/>
        <v>6359604553.7059469</v>
      </c>
      <c r="O82" s="1073"/>
      <c r="P82" s="1130">
        <f t="shared" ca="1" si="26"/>
        <v>56724187.808332443</v>
      </c>
      <c r="Q82" s="1130">
        <f t="shared" ca="1" si="27"/>
        <v>6041624326.020649</v>
      </c>
      <c r="R82" s="1130">
        <f t="shared" ca="1" si="35"/>
        <v>6095512304.4385653</v>
      </c>
      <c r="S82" s="1130">
        <f t="shared" ca="1" si="36"/>
        <v>53887978.417916298</v>
      </c>
      <c r="T82" s="1130">
        <f t="shared" ca="1" si="28"/>
        <v>6041624326.020649</v>
      </c>
      <c r="U82" s="1132">
        <f t="shared" ca="1" si="29"/>
        <v>0.51625383701796912</v>
      </c>
      <c r="V82" s="1133">
        <f t="shared" ca="1" si="30"/>
        <v>5.0000000000000044E-2</v>
      </c>
      <c r="X82" s="1134">
        <f t="shared" ca="1" si="37"/>
        <v>320816437.07571405</v>
      </c>
      <c r="Y82" s="1134">
        <f t="shared" ca="1" si="31"/>
        <v>2836209.3904161453</v>
      </c>
      <c r="Z82" s="1134">
        <f t="shared" ca="1" si="32"/>
        <v>317980227.68529791</v>
      </c>
      <c r="AA82" s="1132">
        <f t="shared" ca="1" si="33"/>
        <v>0.55236989854633967</v>
      </c>
      <c r="AB82" s="1105"/>
      <c r="AC82" s="1078"/>
    </row>
    <row r="83" spans="1:29">
      <c r="A83" s="1144">
        <f>Calendar!J75</f>
        <v>47204</v>
      </c>
      <c r="C83" s="1104"/>
      <c r="D83" s="1125">
        <f t="shared" ca="1" si="19"/>
        <v>48426</v>
      </c>
      <c r="E83" s="1126">
        <f t="shared" ca="1" si="20"/>
        <v>48453</v>
      </c>
      <c r="F83" s="1127">
        <f t="shared" ca="1" si="21"/>
        <v>2223</v>
      </c>
      <c r="G83" s="1128">
        <f ca="1">IF(F83&lt;&gt;"",COUNTIF($F$11:F83,"&gt;0"),"")</f>
        <v>73</v>
      </c>
      <c r="H83" s="1129">
        <v>8.8999626012095639E-3</v>
      </c>
      <c r="I83" s="1128"/>
      <c r="J83" s="1130">
        <f t="shared" ca="1" si="22"/>
        <v>6359604553.7059469</v>
      </c>
      <c r="K83" s="1131">
        <f t="shared" ca="1" si="23"/>
        <v>56600242.686464965</v>
      </c>
      <c r="L83" s="1130">
        <f t="shared" ca="1" si="24"/>
        <v>0</v>
      </c>
      <c r="M83" s="1130">
        <f t="shared" ca="1" si="25"/>
        <v>0</v>
      </c>
      <c r="N83" s="1130">
        <f t="shared" ca="1" si="34"/>
        <v>6303004311.0194817</v>
      </c>
      <c r="O83" s="1073"/>
      <c r="P83" s="1130">
        <f t="shared" ca="1" si="26"/>
        <v>56600242.686465263</v>
      </c>
      <c r="Q83" s="1130">
        <f t="shared" ca="1" si="27"/>
        <v>5987854095.4685078</v>
      </c>
      <c r="R83" s="1130">
        <f t="shared" ca="1" si="35"/>
        <v>6041624326.020649</v>
      </c>
      <c r="S83" s="1130">
        <f t="shared" ca="1" si="36"/>
        <v>53770230.55214119</v>
      </c>
      <c r="T83" s="1130">
        <f t="shared" ca="1" si="28"/>
        <v>5987854095.4685078</v>
      </c>
      <c r="U83" s="1132">
        <f t="shared" ca="1" si="29"/>
        <v>0.51168984399524431</v>
      </c>
      <c r="V83" s="1133">
        <f t="shared" ca="1" si="30"/>
        <v>4.9999999999999933E-2</v>
      </c>
      <c r="X83" s="1134">
        <f t="shared" ca="1" si="37"/>
        <v>317980227.68529791</v>
      </c>
      <c r="Y83" s="1134">
        <f t="shared" ca="1" si="31"/>
        <v>2830012.1343240738</v>
      </c>
      <c r="Z83" s="1134">
        <f t="shared" ca="1" si="32"/>
        <v>315150215.55097383</v>
      </c>
      <c r="AA83" s="1132">
        <f t="shared" ca="1" si="33"/>
        <v>0.54748661791545783</v>
      </c>
      <c r="AB83" s="1105"/>
      <c r="AC83" s="1078"/>
    </row>
    <row r="84" spans="1:29">
      <c r="A84" s="1144">
        <f>Calendar!J76</f>
        <v>47235</v>
      </c>
      <c r="C84" s="1104"/>
      <c r="D84" s="1125">
        <f t="shared" ca="1" si="19"/>
        <v>48457</v>
      </c>
      <c r="E84" s="1126">
        <f t="shared" ca="1" si="20"/>
        <v>48484</v>
      </c>
      <c r="F84" s="1127">
        <f t="shared" ca="1" si="21"/>
        <v>2254</v>
      </c>
      <c r="G84" s="1128">
        <f ca="1">IF(F84&lt;&gt;"",COUNTIF($F$11:F84,"&gt;0"),"")</f>
        <v>74</v>
      </c>
      <c r="H84" s="1129">
        <v>8.9664940180044853E-3</v>
      </c>
      <c r="I84" s="1073"/>
      <c r="J84" s="1130">
        <f t="shared" ca="1" si="22"/>
        <v>6303004311.0194817</v>
      </c>
      <c r="K84" s="1131">
        <f t="shared" ca="1" si="23"/>
        <v>56515850.450212665</v>
      </c>
      <c r="L84" s="1130">
        <f t="shared" ca="1" si="24"/>
        <v>0</v>
      </c>
      <c r="M84" s="1130">
        <f t="shared" ca="1" si="25"/>
        <v>0</v>
      </c>
      <c r="N84" s="1130">
        <f t="shared" ca="1" si="34"/>
        <v>6246488460.5692692</v>
      </c>
      <c r="O84" s="1073"/>
      <c r="P84" s="1130">
        <f t="shared" ca="1" si="26"/>
        <v>56515850.450212479</v>
      </c>
      <c r="Q84" s="1130">
        <f t="shared" ca="1" si="27"/>
        <v>5934164037.5408058</v>
      </c>
      <c r="R84" s="1130">
        <f t="shared" ca="1" si="35"/>
        <v>5987854095.4685078</v>
      </c>
      <c r="S84" s="1130">
        <f t="shared" ca="1" si="36"/>
        <v>53690057.92770195</v>
      </c>
      <c r="T84" s="1130">
        <f t="shared" ca="1" si="28"/>
        <v>5934164037.5408058</v>
      </c>
      <c r="U84" s="1132">
        <f t="shared" ca="1" si="29"/>
        <v>0.50713582352026798</v>
      </c>
      <c r="V84" s="1133">
        <f t="shared" ca="1" si="30"/>
        <v>4.9999999999999933E-2</v>
      </c>
      <c r="X84" s="1134">
        <f t="shared" ca="1" si="37"/>
        <v>315150215.55097383</v>
      </c>
      <c r="Y84" s="1134">
        <f t="shared" ca="1" si="31"/>
        <v>2825792.5225105286</v>
      </c>
      <c r="Z84" s="1134">
        <f t="shared" ca="1" si="32"/>
        <v>312324423.0284633</v>
      </c>
      <c r="AA84" s="1132">
        <f t="shared" ca="1" si="33"/>
        <v>0.54261400749134614</v>
      </c>
      <c r="AB84" s="1105"/>
      <c r="AC84" s="1078"/>
    </row>
    <row r="85" spans="1:29">
      <c r="A85" s="1144">
        <f>Calendar!J77</f>
        <v>47266</v>
      </c>
      <c r="C85" s="1104"/>
      <c r="D85" s="1125">
        <f t="shared" ca="1" si="19"/>
        <v>48487</v>
      </c>
      <c r="E85" s="1126">
        <f t="shared" ca="1" si="20"/>
        <v>48514</v>
      </c>
      <c r="F85" s="1127">
        <f t="shared" ca="1" si="21"/>
        <v>2284</v>
      </c>
      <c r="G85" s="1128">
        <f ca="1">IF(F85&lt;&gt;"",COUNTIF($F$11:F85,"&gt;0"),"")</f>
        <v>75</v>
      </c>
      <c r="H85" s="1129">
        <v>9.022483991741834E-3</v>
      </c>
      <c r="I85" s="1073"/>
      <c r="J85" s="1130">
        <f t="shared" ca="1" si="22"/>
        <v>6246488460.5692692</v>
      </c>
      <c r="K85" s="1131">
        <f t="shared" ca="1" si="23"/>
        <v>56358842.140086323</v>
      </c>
      <c r="L85" s="1130">
        <f t="shared" ca="1" si="24"/>
        <v>0</v>
      </c>
      <c r="M85" s="1130">
        <f t="shared" ca="1" si="25"/>
        <v>0</v>
      </c>
      <c r="N85" s="1130">
        <f t="shared" ca="1" si="34"/>
        <v>6190129618.429183</v>
      </c>
      <c r="O85" s="1073"/>
      <c r="P85" s="1130">
        <f t="shared" ca="1" si="26"/>
        <v>56358842.140086174</v>
      </c>
      <c r="Q85" s="1130">
        <f t="shared" ca="1" si="27"/>
        <v>5880623137.5077238</v>
      </c>
      <c r="R85" s="1130">
        <f t="shared" ca="1" si="35"/>
        <v>5934164037.5408058</v>
      </c>
      <c r="S85" s="1130">
        <f t="shared" ca="1" si="36"/>
        <v>53540900.033082008</v>
      </c>
      <c r="T85" s="1130">
        <f t="shared" ca="1" si="28"/>
        <v>5880623137.5077238</v>
      </c>
      <c r="U85" s="1132">
        <f t="shared" ca="1" si="29"/>
        <v>0.50258859319235771</v>
      </c>
      <c r="V85" s="1133">
        <f t="shared" ca="1" si="30"/>
        <v>5.0000000000000044E-2</v>
      </c>
      <c r="X85" s="1134">
        <f t="shared" ca="1" si="37"/>
        <v>312324423.0284633</v>
      </c>
      <c r="Y85" s="1134">
        <f t="shared" ca="1" si="31"/>
        <v>2817942.1070041656</v>
      </c>
      <c r="Z85" s="1134">
        <f t="shared" ca="1" si="32"/>
        <v>309506480.92145914</v>
      </c>
      <c r="AA85" s="1132">
        <f t="shared" ca="1" si="33"/>
        <v>0.53774866223908968</v>
      </c>
      <c r="AB85" s="1105"/>
      <c r="AC85" s="1078"/>
    </row>
    <row r="86" spans="1:29">
      <c r="A86" s="1144">
        <f>Calendar!J78</f>
        <v>47296</v>
      </c>
      <c r="C86" s="1104"/>
      <c r="D86" s="1125">
        <f t="shared" ca="1" si="19"/>
        <v>48518</v>
      </c>
      <c r="E86" s="1126">
        <f t="shared" ca="1" si="20"/>
        <v>48547</v>
      </c>
      <c r="F86" s="1127">
        <f t="shared" ca="1" si="21"/>
        <v>2317</v>
      </c>
      <c r="G86" s="1128">
        <f ca="1">IF(F86&lt;&gt;"",COUNTIF($F$11:F86,"&gt;0"),"")</f>
        <v>76</v>
      </c>
      <c r="H86" s="1129">
        <v>9.0906429830009908E-3</v>
      </c>
      <c r="I86" s="1073"/>
      <c r="J86" s="1130">
        <f t="shared" ca="1" si="22"/>
        <v>6190129618.429183</v>
      </c>
      <c r="K86" s="1131">
        <f t="shared" ca="1" si="23"/>
        <v>56272258.379639857</v>
      </c>
      <c r="L86" s="1130">
        <f t="shared" ca="1" si="24"/>
        <v>0</v>
      </c>
      <c r="M86" s="1130">
        <f t="shared" ca="1" si="25"/>
        <v>0</v>
      </c>
      <c r="N86" s="1130">
        <f t="shared" ca="1" si="34"/>
        <v>6133857360.0495434</v>
      </c>
      <c r="O86" s="1073"/>
      <c r="P86" s="1130">
        <f t="shared" ca="1" si="26"/>
        <v>56272258.379639626</v>
      </c>
      <c r="Q86" s="1130">
        <f t="shared" ca="1" si="27"/>
        <v>5827164492.0470657</v>
      </c>
      <c r="R86" s="1130">
        <f t="shared" ca="1" si="35"/>
        <v>5880623137.5077238</v>
      </c>
      <c r="S86" s="1130">
        <f t="shared" ca="1" si="36"/>
        <v>53458645.460658073</v>
      </c>
      <c r="T86" s="1130">
        <f t="shared" ca="1" si="28"/>
        <v>5827164492.0470657</v>
      </c>
      <c r="U86" s="1132">
        <f t="shared" ca="1" si="29"/>
        <v>0.49805399565584763</v>
      </c>
      <c r="V86" s="1133">
        <f t="shared" ca="1" si="30"/>
        <v>5.0000000000000044E-2</v>
      </c>
      <c r="X86" s="1134">
        <f t="shared" ca="1" si="37"/>
        <v>309506480.92145914</v>
      </c>
      <c r="Y86" s="1134">
        <f t="shared" ca="1" si="31"/>
        <v>2813612.9189815521</v>
      </c>
      <c r="Z86" s="1134">
        <f t="shared" ca="1" si="32"/>
        <v>306692868.00247759</v>
      </c>
      <c r="AA86" s="1132">
        <f t="shared" ca="1" si="33"/>
        <v>0.5328968335424572</v>
      </c>
      <c r="AB86" s="1105"/>
      <c r="AC86" s="1078"/>
    </row>
    <row r="87" spans="1:29">
      <c r="A87" s="1144">
        <f>Calendar!J79</f>
        <v>47326</v>
      </c>
      <c r="C87" s="1104"/>
      <c r="D87" s="1125">
        <f t="shared" ca="1" si="19"/>
        <v>48548</v>
      </c>
      <c r="E87" s="1126">
        <f t="shared" ca="1" si="20"/>
        <v>48575</v>
      </c>
      <c r="F87" s="1127">
        <f t="shared" ca="1" si="21"/>
        <v>2345</v>
      </c>
      <c r="G87" s="1128">
        <f ca="1">IF(F87&lt;&gt;"",COUNTIF($F$11:F87,"&gt;0"),"")</f>
        <v>77</v>
      </c>
      <c r="H87" s="1129">
        <v>9.1467158097798887E-3</v>
      </c>
      <c r="I87" s="1073"/>
      <c r="J87" s="1130">
        <f t="shared" ca="1" si="22"/>
        <v>6133857360.0495434</v>
      </c>
      <c r="K87" s="1131">
        <f t="shared" ca="1" si="23"/>
        <v>56104650.090099886</v>
      </c>
      <c r="L87" s="1130">
        <f t="shared" ca="1" si="24"/>
        <v>0</v>
      </c>
      <c r="M87" s="1130">
        <f t="shared" ca="1" si="25"/>
        <v>0</v>
      </c>
      <c r="N87" s="1130">
        <f t="shared" ca="1" si="34"/>
        <v>6077752709.9594431</v>
      </c>
      <c r="O87" s="1073"/>
      <c r="P87" s="1130">
        <f t="shared" ca="1" si="26"/>
        <v>56104650.090100288</v>
      </c>
      <c r="Q87" s="1130">
        <f t="shared" ca="1" si="27"/>
        <v>5773865074.4614706</v>
      </c>
      <c r="R87" s="1130">
        <f t="shared" ca="1" si="35"/>
        <v>5827164492.0470657</v>
      </c>
      <c r="S87" s="1130">
        <f t="shared" ca="1" si="36"/>
        <v>53299417.585595131</v>
      </c>
      <c r="T87" s="1130">
        <f t="shared" ca="1" si="28"/>
        <v>5773865074.4614706</v>
      </c>
      <c r="U87" s="1132">
        <f t="shared" ca="1" si="29"/>
        <v>0.49352636459508314</v>
      </c>
      <c r="V87" s="1133">
        <f t="shared" ca="1" si="30"/>
        <v>5.0000000000000044E-2</v>
      </c>
      <c r="X87" s="1134">
        <f t="shared" ca="1" si="37"/>
        <v>306692868.00247759</v>
      </c>
      <c r="Y87" s="1134">
        <f t="shared" ca="1" si="31"/>
        <v>2805232.5045051575</v>
      </c>
      <c r="Z87" s="1134">
        <f t="shared" ca="1" si="32"/>
        <v>303887635.49797243</v>
      </c>
      <c r="AA87" s="1132">
        <f t="shared" ca="1" si="33"/>
        <v>0.52805245868195172</v>
      </c>
      <c r="AB87" s="1105"/>
      <c r="AC87" s="1078"/>
    </row>
    <row r="88" spans="1:29">
      <c r="A88" s="1144">
        <f>Calendar!J80</f>
        <v>47357</v>
      </c>
      <c r="C88" s="1104"/>
      <c r="D88" s="1125">
        <f t="shared" ca="1" si="19"/>
        <v>48579</v>
      </c>
      <c r="E88" s="1126">
        <f t="shared" ca="1" si="20"/>
        <v>48606</v>
      </c>
      <c r="F88" s="1127">
        <f t="shared" ca="1" si="21"/>
        <v>2376</v>
      </c>
      <c r="G88" s="1128">
        <f ca="1">IF(F88&lt;&gt;"",COUNTIF($F$11:F88,"&gt;0"),"")</f>
        <v>78</v>
      </c>
      <c r="H88" s="1129">
        <v>9.2122950644957374E-3</v>
      </c>
      <c r="I88" s="1073"/>
      <c r="J88" s="1130">
        <f t="shared" ca="1" si="22"/>
        <v>6077752709.9594431</v>
      </c>
      <c r="K88" s="1131">
        <f t="shared" ca="1" si="23"/>
        <v>55990051.293184973</v>
      </c>
      <c r="L88" s="1130">
        <f t="shared" ca="1" si="24"/>
        <v>0</v>
      </c>
      <c r="M88" s="1130">
        <f t="shared" ca="1" si="25"/>
        <v>0</v>
      </c>
      <c r="N88" s="1130">
        <f t="shared" ca="1" si="34"/>
        <v>6021762658.6662579</v>
      </c>
      <c r="O88" s="1073"/>
      <c r="P88" s="1130">
        <f t="shared" ca="1" si="26"/>
        <v>55990051.293185234</v>
      </c>
      <c r="Q88" s="1130">
        <f t="shared" ca="1" si="27"/>
        <v>5720674525.7329445</v>
      </c>
      <c r="R88" s="1130">
        <f t="shared" ca="1" si="35"/>
        <v>5773865074.4614706</v>
      </c>
      <c r="S88" s="1130">
        <f t="shared" ca="1" si="36"/>
        <v>53190548.728526115</v>
      </c>
      <c r="T88" s="1130">
        <f t="shared" ca="1" si="28"/>
        <v>5720674525.7329445</v>
      </c>
      <c r="U88" s="1132">
        <f t="shared" ca="1" si="29"/>
        <v>0.48901221919349808</v>
      </c>
      <c r="V88" s="1133">
        <f t="shared" ca="1" si="30"/>
        <v>5.0000000000000044E-2</v>
      </c>
      <c r="X88" s="1134">
        <f t="shared" ca="1" si="37"/>
        <v>303887635.49797243</v>
      </c>
      <c r="Y88" s="1134">
        <f t="shared" ca="1" si="31"/>
        <v>2799502.5646591187</v>
      </c>
      <c r="Z88" s="1134">
        <f t="shared" ca="1" si="32"/>
        <v>301088132.93331331</v>
      </c>
      <c r="AA88" s="1132">
        <f t="shared" ca="1" si="33"/>
        <v>0.5232225129097321</v>
      </c>
      <c r="AB88" s="1105"/>
    </row>
    <row r="89" spans="1:29">
      <c r="A89" s="1144">
        <f>Calendar!J81</f>
        <v>47388</v>
      </c>
      <c r="C89" s="1104"/>
      <c r="D89" s="1125">
        <f t="shared" ca="1" si="19"/>
        <v>48610</v>
      </c>
      <c r="E89" s="1126">
        <f t="shared" ca="1" si="20"/>
        <v>48638</v>
      </c>
      <c r="F89" s="1127">
        <f t="shared" ca="1" si="21"/>
        <v>2408</v>
      </c>
      <c r="G89" s="1128">
        <f ca="1">IF(F89&lt;&gt;"",COUNTIF($F$11:F89,"&gt;0"),"")</f>
        <v>79</v>
      </c>
      <c r="H89" s="1129">
        <v>9.2730509460333659E-3</v>
      </c>
      <c r="I89" s="1073"/>
      <c r="J89" s="1130">
        <f t="shared" ca="1" si="22"/>
        <v>6021762658.6662579</v>
      </c>
      <c r="K89" s="1131">
        <f t="shared" ca="1" si="23"/>
        <v>55840111.918733537</v>
      </c>
      <c r="L89" s="1130">
        <f t="shared" ca="1" si="24"/>
        <v>0</v>
      </c>
      <c r="M89" s="1130">
        <f t="shared" ca="1" si="25"/>
        <v>0</v>
      </c>
      <c r="N89" s="1130">
        <f t="shared" ca="1" si="34"/>
        <v>5965922546.7475243</v>
      </c>
      <c r="O89" s="1073"/>
      <c r="P89" s="1130">
        <f t="shared" ca="1" si="26"/>
        <v>55840111.918733597</v>
      </c>
      <c r="Q89" s="1130">
        <f t="shared" ca="1" si="27"/>
        <v>5667626419.4101477</v>
      </c>
      <c r="R89" s="1130">
        <f t="shared" ca="1" si="35"/>
        <v>5720674525.7329445</v>
      </c>
      <c r="S89" s="1130">
        <f t="shared" ca="1" si="36"/>
        <v>53048106.322796822</v>
      </c>
      <c r="T89" s="1130">
        <f t="shared" ca="1" si="28"/>
        <v>5667626419.4101477</v>
      </c>
      <c r="U89" s="1132">
        <f t="shared" ca="1" si="29"/>
        <v>0.48450729434014367</v>
      </c>
      <c r="V89" s="1133">
        <f t="shared" ca="1" si="30"/>
        <v>5.0000000000000044E-2</v>
      </c>
      <c r="X89" s="1134">
        <f t="shared" ca="1" si="37"/>
        <v>301088132.93331331</v>
      </c>
      <c r="Y89" s="1134">
        <f t="shared" ca="1" si="31"/>
        <v>2792005.5959367752</v>
      </c>
      <c r="Z89" s="1134">
        <f t="shared" ca="1" si="32"/>
        <v>298296127.33737653</v>
      </c>
      <c r="AA89" s="1132">
        <f t="shared" ca="1" si="33"/>
        <v>0.51840243273642095</v>
      </c>
      <c r="AB89" s="1105"/>
    </row>
    <row r="90" spans="1:29">
      <c r="A90" s="1144">
        <f>Calendar!J82</f>
        <v>47420</v>
      </c>
      <c r="C90" s="1104"/>
      <c r="D90" s="1125">
        <f t="shared" ca="1" si="19"/>
        <v>48638</v>
      </c>
      <c r="E90" s="1126">
        <f t="shared" ca="1" si="20"/>
        <v>48666</v>
      </c>
      <c r="F90" s="1127">
        <f t="shared" ca="1" si="21"/>
        <v>2436</v>
      </c>
      <c r="G90" s="1128">
        <f ca="1">IF(F90&lt;&gt;"",COUNTIF($F$11:F90,"&gt;0"),"")</f>
        <v>80</v>
      </c>
      <c r="H90" s="1129">
        <v>9.3325615661931996E-3</v>
      </c>
      <c r="I90" s="1073"/>
      <c r="J90" s="1130">
        <f t="shared" ca="1" si="22"/>
        <v>5965922546.7475243</v>
      </c>
      <c r="K90" s="1131">
        <f t="shared" ca="1" si="23"/>
        <v>55677339.466661394</v>
      </c>
      <c r="L90" s="1130">
        <f t="shared" ca="1" si="24"/>
        <v>0</v>
      </c>
      <c r="M90" s="1130">
        <f t="shared" ca="1" si="25"/>
        <v>0</v>
      </c>
      <c r="N90" s="1130">
        <f t="shared" ca="1" si="34"/>
        <v>5910245207.2808628</v>
      </c>
      <c r="O90" s="1073"/>
      <c r="P90" s="1130">
        <f t="shared" ca="1" si="26"/>
        <v>55677339.466661453</v>
      </c>
      <c r="Q90" s="1130">
        <f t="shared" ca="1" si="27"/>
        <v>5614732946.9168196</v>
      </c>
      <c r="R90" s="1130">
        <f t="shared" ca="1" si="35"/>
        <v>5667626419.4101477</v>
      </c>
      <c r="S90" s="1130">
        <f t="shared" ca="1" si="36"/>
        <v>52893472.493328094</v>
      </c>
      <c r="T90" s="1130">
        <f t="shared" ca="1" si="28"/>
        <v>5614732946.9168196</v>
      </c>
      <c r="U90" s="1132">
        <f t="shared" ca="1" si="29"/>
        <v>0.48001443351600276</v>
      </c>
      <c r="V90" s="1133">
        <f t="shared" ca="1" si="30"/>
        <v>5.0000000000000044E-2</v>
      </c>
      <c r="X90" s="1134">
        <f t="shared" ca="1" si="37"/>
        <v>298296127.33737653</v>
      </c>
      <c r="Y90" s="1134">
        <f t="shared" ca="1" si="31"/>
        <v>2783866.9733333588</v>
      </c>
      <c r="Z90" s="1134">
        <f t="shared" ca="1" si="32"/>
        <v>295512260.36404318</v>
      </c>
      <c r="AA90" s="1132">
        <f t="shared" ca="1" si="33"/>
        <v>0.51359526056710836</v>
      </c>
      <c r="AB90" s="1105"/>
    </row>
    <row r="91" spans="1:29">
      <c r="A91" s="1144">
        <f>Calendar!J83</f>
        <v>47449</v>
      </c>
      <c r="C91" s="1104"/>
      <c r="D91" s="1125">
        <f t="shared" ca="1" si="19"/>
        <v>48669</v>
      </c>
      <c r="E91" s="1126">
        <f t="shared" ca="1" si="20"/>
        <v>48696</v>
      </c>
      <c r="F91" s="1127">
        <f t="shared" ca="1" si="21"/>
        <v>2466</v>
      </c>
      <c r="G91" s="1128">
        <f ca="1">IF(F91&lt;&gt;"",COUNTIF($F$11:F91,"&gt;0"),"")</f>
        <v>81</v>
      </c>
      <c r="H91" s="1129">
        <v>9.3924952872224948E-3</v>
      </c>
      <c r="I91" s="1073"/>
      <c r="J91" s="1130">
        <f t="shared" ca="1" si="22"/>
        <v>5910245207.2808628</v>
      </c>
      <c r="K91" s="1131">
        <f t="shared" ca="1" si="23"/>
        <v>55511950.255714841</v>
      </c>
      <c r="L91" s="1130">
        <f t="shared" ca="1" si="24"/>
        <v>0</v>
      </c>
      <c r="M91" s="1130">
        <f t="shared" ca="1" si="25"/>
        <v>0</v>
      </c>
      <c r="N91" s="1130">
        <f t="shared" ca="1" si="34"/>
        <v>5854733257.0251484</v>
      </c>
      <c r="O91" s="1073"/>
      <c r="P91" s="1130">
        <f t="shared" ca="1" si="26"/>
        <v>55511950.255714417</v>
      </c>
      <c r="Q91" s="1130">
        <f t="shared" ca="1" si="27"/>
        <v>5561996594.1738911</v>
      </c>
      <c r="R91" s="1130">
        <f t="shared" ca="1" si="35"/>
        <v>5614732946.9168196</v>
      </c>
      <c r="S91" s="1130">
        <f t="shared" ca="1" si="36"/>
        <v>52736352.742928505</v>
      </c>
      <c r="T91" s="1130">
        <f t="shared" ca="1" si="28"/>
        <v>5561996594.1738911</v>
      </c>
      <c r="U91" s="1132">
        <f t="shared" ca="1" si="29"/>
        <v>0.47553466926255333</v>
      </c>
      <c r="V91" s="1133">
        <f t="shared" ca="1" si="30"/>
        <v>4.9999999999999933E-2</v>
      </c>
      <c r="X91" s="1134">
        <f t="shared" ca="1" si="37"/>
        <v>295512260.36404318</v>
      </c>
      <c r="Y91" s="1134">
        <f t="shared" ca="1" si="31"/>
        <v>2775597.5127859116</v>
      </c>
      <c r="Z91" s="1134">
        <f t="shared" ca="1" si="32"/>
        <v>292736662.85125726</v>
      </c>
      <c r="AA91" s="1132">
        <f t="shared" ca="1" si="33"/>
        <v>0.50880210117776026</v>
      </c>
      <c r="AB91" s="1105"/>
    </row>
    <row r="92" spans="1:29">
      <c r="A92" s="1144">
        <f>Calendar!J84</f>
        <v>47479</v>
      </c>
      <c r="C92" s="1104"/>
      <c r="D92" s="1125">
        <f t="shared" ca="1" si="19"/>
        <v>48699</v>
      </c>
      <c r="E92" s="1126">
        <f t="shared" ca="1" si="20"/>
        <v>48726</v>
      </c>
      <c r="F92" s="1127">
        <f t="shared" ca="1" si="21"/>
        <v>2496</v>
      </c>
      <c r="G92" s="1128">
        <f ca="1">IF(F92&lt;&gt;"",COUNTIF($F$11:F92,"&gt;0"),"")</f>
        <v>82</v>
      </c>
      <c r="H92" s="1129">
        <v>9.4410513236365939E-3</v>
      </c>
      <c r="I92" s="1073"/>
      <c r="J92" s="1130">
        <f t="shared" ca="1" si="22"/>
        <v>5854733257.0251484</v>
      </c>
      <c r="K92" s="1131">
        <f t="shared" ca="1" si="23"/>
        <v>55274837.165776461</v>
      </c>
      <c r="L92" s="1130">
        <f t="shared" ca="1" si="24"/>
        <v>0</v>
      </c>
      <c r="M92" s="1130">
        <f t="shared" ca="1" si="25"/>
        <v>0</v>
      </c>
      <c r="N92" s="1130">
        <f t="shared" ca="1" si="34"/>
        <v>5799458419.8593721</v>
      </c>
      <c r="O92" s="1073"/>
      <c r="P92" s="1130">
        <f t="shared" ca="1" si="26"/>
        <v>55274837.165776253</v>
      </c>
      <c r="Q92" s="1130">
        <f t="shared" ca="1" si="27"/>
        <v>5509485498.8664036</v>
      </c>
      <c r="R92" s="1130">
        <f t="shared" ca="1" si="35"/>
        <v>5561996594.1738911</v>
      </c>
      <c r="S92" s="1130">
        <f t="shared" ca="1" si="36"/>
        <v>52511095.307487488</v>
      </c>
      <c r="T92" s="1130">
        <f t="shared" ca="1" si="28"/>
        <v>5509485498.8664036</v>
      </c>
      <c r="U92" s="1132">
        <f t="shared" ca="1" si="29"/>
        <v>0.47106821212259392</v>
      </c>
      <c r="V92" s="1133">
        <f t="shared" ca="1" si="30"/>
        <v>5.0000000000000044E-2</v>
      </c>
      <c r="X92" s="1134">
        <f t="shared" ca="1" si="37"/>
        <v>292736662.85125726</v>
      </c>
      <c r="Y92" s="1134">
        <f t="shared" ca="1" si="31"/>
        <v>2763741.858288765</v>
      </c>
      <c r="Z92" s="1134">
        <f t="shared" ca="1" si="32"/>
        <v>289972920.9929685</v>
      </c>
      <c r="AA92" s="1132">
        <f t="shared" ca="1" si="33"/>
        <v>0.50402317984031897</v>
      </c>
      <c r="AB92" s="1105"/>
    </row>
    <row r="93" spans="1:29">
      <c r="A93" s="1144">
        <f>Calendar!J85</f>
        <v>47511</v>
      </c>
      <c r="C93" s="1104"/>
      <c r="D93" s="1125">
        <f t="shared" ca="1" si="19"/>
        <v>48730</v>
      </c>
      <c r="E93" s="1126">
        <f t="shared" ca="1" si="20"/>
        <v>48757</v>
      </c>
      <c r="F93" s="1127">
        <f t="shared" ca="1" si="21"/>
        <v>2527</v>
      </c>
      <c r="G93" s="1128">
        <f ca="1">IF(F93&lt;&gt;"",COUNTIF($F$11:F93,"&gt;0"),"")</f>
        <v>83</v>
      </c>
      <c r="H93" s="1129">
        <v>9.4894260607976642E-3</v>
      </c>
      <c r="I93" s="1073"/>
      <c r="J93" s="1130">
        <f t="shared" ca="1" si="22"/>
        <v>5799458419.8593721</v>
      </c>
      <c r="K93" s="1131">
        <f t="shared" ca="1" si="23"/>
        <v>55033531.867925972</v>
      </c>
      <c r="L93" s="1130">
        <f t="shared" ca="1" si="24"/>
        <v>0</v>
      </c>
      <c r="M93" s="1130">
        <f t="shared" ca="1" si="25"/>
        <v>0</v>
      </c>
      <c r="N93" s="1130">
        <f t="shared" ca="1" si="34"/>
        <v>5744424887.9914465</v>
      </c>
      <c r="O93" s="1073"/>
      <c r="P93" s="1130">
        <f t="shared" ca="1" si="26"/>
        <v>55033531.867925644</v>
      </c>
      <c r="Q93" s="1130">
        <f t="shared" ca="1" si="27"/>
        <v>5457203643.5918741</v>
      </c>
      <c r="R93" s="1130">
        <f t="shared" ca="1" si="35"/>
        <v>5509485498.8664036</v>
      </c>
      <c r="S93" s="1130">
        <f t="shared" ca="1" si="36"/>
        <v>52281855.274529457</v>
      </c>
      <c r="T93" s="1130">
        <f t="shared" ca="1" si="28"/>
        <v>5457203643.5918741</v>
      </c>
      <c r="U93" s="1132">
        <f t="shared" ca="1" si="29"/>
        <v>0.46662083295501078</v>
      </c>
      <c r="V93" s="1133">
        <f t="shared" ca="1" si="30"/>
        <v>5.0000000000000044E-2</v>
      </c>
      <c r="X93" s="1134">
        <f t="shared" ca="1" si="37"/>
        <v>289972920.9929685</v>
      </c>
      <c r="Y93" s="1134">
        <f t="shared" ca="1" si="31"/>
        <v>2751676.5933961868</v>
      </c>
      <c r="Z93" s="1134">
        <f t="shared" ca="1" si="32"/>
        <v>287221244.39957231</v>
      </c>
      <c r="AA93" s="1132">
        <f t="shared" ca="1" si="33"/>
        <v>0.49926467113114409</v>
      </c>
      <c r="AB93" s="1105"/>
    </row>
    <row r="94" spans="1:29">
      <c r="A94" s="1144">
        <f>Calendar!J86</f>
        <v>47541</v>
      </c>
      <c r="C94" s="1104"/>
      <c r="D94" s="1125">
        <f t="shared" ca="1" si="19"/>
        <v>48760</v>
      </c>
      <c r="E94" s="1126">
        <f t="shared" ca="1" si="20"/>
        <v>48787</v>
      </c>
      <c r="F94" s="1127">
        <f t="shared" ca="1" si="21"/>
        <v>2557</v>
      </c>
      <c r="G94" s="1128">
        <f ca="1">IF(F94&lt;&gt;"",COUNTIF($F$11:F94,"&gt;0"),"")</f>
        <v>84</v>
      </c>
      <c r="H94" s="1129">
        <v>9.5446780838907511E-3</v>
      </c>
      <c r="I94" s="1073"/>
      <c r="J94" s="1130">
        <f t="shared" ca="1" si="22"/>
        <v>5744424887.9914465</v>
      </c>
      <c r="K94" s="1131">
        <f t="shared" ca="1" si="23"/>
        <v>54828686.33296854</v>
      </c>
      <c r="L94" s="1130">
        <f t="shared" ca="1" si="24"/>
        <v>0</v>
      </c>
      <c r="M94" s="1130">
        <f t="shared" ca="1" si="25"/>
        <v>0</v>
      </c>
      <c r="N94" s="1130">
        <f t="shared" ca="1" si="34"/>
        <v>5689596201.6584778</v>
      </c>
      <c r="O94" s="1073"/>
      <c r="P94" s="1130">
        <f t="shared" ca="1" si="26"/>
        <v>54828686.332968712</v>
      </c>
      <c r="Q94" s="1130">
        <f t="shared" ca="1" si="27"/>
        <v>5405116391.5755539</v>
      </c>
      <c r="R94" s="1130">
        <f t="shared" ca="1" si="35"/>
        <v>5457203643.5918741</v>
      </c>
      <c r="S94" s="1130">
        <f t="shared" ca="1" si="36"/>
        <v>52087252.016320229</v>
      </c>
      <c r="T94" s="1130">
        <f t="shared" ca="1" si="28"/>
        <v>5405116391.5755539</v>
      </c>
      <c r="U94" s="1132">
        <f t="shared" ca="1" si="29"/>
        <v>0.46219286906225643</v>
      </c>
      <c r="V94" s="1133">
        <f t="shared" ca="1" si="30"/>
        <v>5.0000000000000044E-2</v>
      </c>
      <c r="X94" s="1134">
        <f t="shared" ca="1" si="37"/>
        <v>287221244.39957231</v>
      </c>
      <c r="Y94" s="1134">
        <f t="shared" ca="1" si="31"/>
        <v>2741434.3166484833</v>
      </c>
      <c r="Z94" s="1134">
        <f t="shared" ca="1" si="32"/>
        <v>284479810.08292383</v>
      </c>
      <c r="AA94" s="1132">
        <f t="shared" ca="1" si="33"/>
        <v>0.49452693594967684</v>
      </c>
      <c r="AB94" s="1105"/>
    </row>
    <row r="95" spans="1:29">
      <c r="A95" s="1144">
        <f>Calendar!J87</f>
        <v>47569</v>
      </c>
      <c r="C95" s="1104"/>
      <c r="D95" s="1125">
        <f t="shared" ca="1" si="19"/>
        <v>48791</v>
      </c>
      <c r="E95" s="1126">
        <f t="shared" ca="1" si="20"/>
        <v>48820</v>
      </c>
      <c r="F95" s="1127">
        <f t="shared" ca="1" si="21"/>
        <v>2590</v>
      </c>
      <c r="G95" s="1128">
        <f ca="1">IF(F95&lt;&gt;"",COUNTIF($F$11:F95,"&gt;0"),"")</f>
        <v>85</v>
      </c>
      <c r="H95" s="1129">
        <v>9.5921706937073109E-3</v>
      </c>
      <c r="I95" s="1073"/>
      <c r="J95" s="1130">
        <f t="shared" ca="1" si="22"/>
        <v>5689596201.6584778</v>
      </c>
      <c r="K95" s="1131">
        <f t="shared" ca="1" si="23"/>
        <v>54575577.944576882</v>
      </c>
      <c r="L95" s="1130">
        <f t="shared" ca="1" si="24"/>
        <v>0</v>
      </c>
      <c r="M95" s="1130">
        <f t="shared" ca="1" si="25"/>
        <v>0</v>
      </c>
      <c r="N95" s="1130">
        <f t="shared" ca="1" si="34"/>
        <v>5635020623.7139006</v>
      </c>
      <c r="O95" s="1073"/>
      <c r="P95" s="1130">
        <f t="shared" ca="1" si="26"/>
        <v>54575577.944577217</v>
      </c>
      <c r="Q95" s="1130">
        <f t="shared" ca="1" si="27"/>
        <v>5353269592.5282049</v>
      </c>
      <c r="R95" s="1130">
        <f t="shared" ca="1" si="35"/>
        <v>5405116391.5755539</v>
      </c>
      <c r="S95" s="1130">
        <f t="shared" ca="1" si="36"/>
        <v>51846799.047348976</v>
      </c>
      <c r="T95" s="1130">
        <f t="shared" ca="1" si="28"/>
        <v>5353269592.5282049</v>
      </c>
      <c r="U95" s="1132">
        <f t="shared" ca="1" si="29"/>
        <v>0.4577813869143873</v>
      </c>
      <c r="V95" s="1133">
        <f t="shared" ca="1" si="30"/>
        <v>5.0000000000000155E-2</v>
      </c>
      <c r="X95" s="1134">
        <f t="shared" ca="1" si="37"/>
        <v>284479810.08292383</v>
      </c>
      <c r="Y95" s="1134">
        <f t="shared" ca="1" si="31"/>
        <v>2728778.897228241</v>
      </c>
      <c r="Z95" s="1134">
        <f t="shared" ca="1" si="32"/>
        <v>281751031.18569559</v>
      </c>
      <c r="AA95" s="1132">
        <f t="shared" ca="1" si="33"/>
        <v>0.48980683554222421</v>
      </c>
      <c r="AB95" s="1105"/>
    </row>
    <row r="96" spans="1:29">
      <c r="A96" s="1144">
        <f>Calendar!J88</f>
        <v>47602</v>
      </c>
      <c r="C96" s="1104"/>
      <c r="D96" s="1125">
        <f t="shared" ca="1" si="19"/>
        <v>48822</v>
      </c>
      <c r="E96" s="1126">
        <f t="shared" ca="1" si="20"/>
        <v>48849</v>
      </c>
      <c r="F96" s="1127">
        <f t="shared" ca="1" si="21"/>
        <v>2619</v>
      </c>
      <c r="G96" s="1128">
        <f ca="1">IF(F96&lt;&gt;"",COUNTIF($F$11:F96,"&gt;0"),"")</f>
        <v>86</v>
      </c>
      <c r="H96" s="1129">
        <v>9.661662876957966E-3</v>
      </c>
      <c r="I96" s="1073"/>
      <c r="J96" s="1130">
        <f t="shared" ca="1" si="22"/>
        <v>5635020623.7139006</v>
      </c>
      <c r="K96" s="1131">
        <f t="shared" ca="1" si="23"/>
        <v>54443669.571029119</v>
      </c>
      <c r="L96" s="1130">
        <f t="shared" ca="1" si="24"/>
        <v>0</v>
      </c>
      <c r="M96" s="1130">
        <f t="shared" ca="1" si="25"/>
        <v>0</v>
      </c>
      <c r="N96" s="1130">
        <f t="shared" ca="1" si="34"/>
        <v>5580576954.1428719</v>
      </c>
      <c r="O96" s="1073"/>
      <c r="P96" s="1130">
        <f t="shared" ca="1" si="26"/>
        <v>54443669.571028709</v>
      </c>
      <c r="Q96" s="1130">
        <f t="shared" ca="1" si="27"/>
        <v>5301548106.4357281</v>
      </c>
      <c r="R96" s="1130">
        <f t="shared" ca="1" si="35"/>
        <v>5353269592.5282049</v>
      </c>
      <c r="S96" s="1130">
        <f t="shared" ca="1" si="36"/>
        <v>51721486.092476845</v>
      </c>
      <c r="T96" s="1130">
        <f t="shared" ca="1" si="28"/>
        <v>5301548106.4357281</v>
      </c>
      <c r="U96" s="1132">
        <f t="shared" ca="1" si="29"/>
        <v>0.45339026971070234</v>
      </c>
      <c r="V96" s="1133">
        <f t="shared" ca="1" si="30"/>
        <v>5.0000000000000044E-2</v>
      </c>
      <c r="X96" s="1134">
        <f t="shared" ca="1" si="37"/>
        <v>281751031.18569559</v>
      </c>
      <c r="Y96" s="1134">
        <f t="shared" ca="1" si="31"/>
        <v>2722183.4785518646</v>
      </c>
      <c r="Z96" s="1134">
        <f t="shared" ca="1" si="32"/>
        <v>279028847.70714372</v>
      </c>
      <c r="AA96" s="1132">
        <f t="shared" ca="1" si="33"/>
        <v>0.4851085247687596</v>
      </c>
      <c r="AB96" s="1105"/>
    </row>
    <row r="97" spans="1:28">
      <c r="A97" s="1144">
        <f>Calendar!J89</f>
        <v>47630</v>
      </c>
      <c r="C97" s="1104"/>
      <c r="D97" s="1125">
        <f t="shared" ca="1" si="19"/>
        <v>48852</v>
      </c>
      <c r="E97" s="1126">
        <f t="shared" ca="1" si="20"/>
        <v>48879</v>
      </c>
      <c r="F97" s="1127">
        <f t="shared" ca="1" si="21"/>
        <v>2649</v>
      </c>
      <c r="G97" s="1128">
        <f ca="1">IF(F97&lt;&gt;"",COUNTIF($F$11:F97,"&gt;0"),"")</f>
        <v>87</v>
      </c>
      <c r="H97" s="1129">
        <v>9.7202625010779555E-3</v>
      </c>
      <c r="I97" s="1073"/>
      <c r="J97" s="1130">
        <f t="shared" ca="1" si="22"/>
        <v>5580576954.1428719</v>
      </c>
      <c r="K97" s="1131">
        <f t="shared" ca="1" si="23"/>
        <v>54244672.901734792</v>
      </c>
      <c r="L97" s="1130">
        <f t="shared" ca="1" si="24"/>
        <v>0</v>
      </c>
      <c r="M97" s="1130">
        <f t="shared" ca="1" si="25"/>
        <v>0</v>
      </c>
      <c r="N97" s="1130">
        <f t="shared" ca="1" si="34"/>
        <v>5526332281.2411375</v>
      </c>
      <c r="O97" s="1073"/>
      <c r="P97" s="1130">
        <f t="shared" ca="1" si="26"/>
        <v>54244672.901734352</v>
      </c>
      <c r="Q97" s="1130">
        <f t="shared" ca="1" si="27"/>
        <v>5250015667.17908</v>
      </c>
      <c r="R97" s="1130">
        <f t="shared" ca="1" si="35"/>
        <v>5301548106.4357281</v>
      </c>
      <c r="S97" s="1130">
        <f t="shared" ca="1" si="36"/>
        <v>51532439.256648064</v>
      </c>
      <c r="T97" s="1130">
        <f t="shared" ca="1" si="28"/>
        <v>5250015667.17908</v>
      </c>
      <c r="U97" s="1132">
        <f t="shared" ca="1" si="29"/>
        <v>0.44900976577306456</v>
      </c>
      <c r="V97" s="1133">
        <f t="shared" ca="1" si="30"/>
        <v>5.0000000000000155E-2</v>
      </c>
      <c r="X97" s="1134">
        <f t="shared" ca="1" si="37"/>
        <v>279028847.70714372</v>
      </c>
      <c r="Y97" s="1134">
        <f t="shared" ca="1" si="31"/>
        <v>2712233.6450862885</v>
      </c>
      <c r="Z97" s="1134">
        <f t="shared" ca="1" si="32"/>
        <v>276316614.06205744</v>
      </c>
      <c r="AA97" s="1132">
        <f t="shared" ca="1" si="33"/>
        <v>0.48042156974370476</v>
      </c>
      <c r="AB97" s="1105"/>
    </row>
    <row r="98" spans="1:28">
      <c r="A98" s="1144">
        <f>Calendar!J90</f>
        <v>47661</v>
      </c>
      <c r="C98" s="1104"/>
      <c r="D98" s="1125">
        <f t="shared" ca="1" si="19"/>
        <v>48883</v>
      </c>
      <c r="E98" s="1126">
        <f t="shared" ca="1" si="20"/>
        <v>48911</v>
      </c>
      <c r="F98" s="1127">
        <f t="shared" ca="1" si="21"/>
        <v>2681</v>
      </c>
      <c r="G98" s="1128">
        <f ca="1">IF(F98&lt;&gt;"",COUNTIF($F$11:F98,"&gt;0"),"")</f>
        <v>88</v>
      </c>
      <c r="H98" s="1129">
        <v>9.7800217095957136E-3</v>
      </c>
      <c r="I98" s="1073"/>
      <c r="J98" s="1130">
        <f t="shared" ca="1" si="22"/>
        <v>5526332281.2411375</v>
      </c>
      <c r="K98" s="1131">
        <f t="shared" ca="1" si="23"/>
        <v>54047649.684977926</v>
      </c>
      <c r="L98" s="1130">
        <f t="shared" ca="1" si="24"/>
        <v>0</v>
      </c>
      <c r="M98" s="1130">
        <f t="shared" ca="1" si="25"/>
        <v>0</v>
      </c>
      <c r="N98" s="1130">
        <f t="shared" ca="1" si="34"/>
        <v>5472284631.55616</v>
      </c>
      <c r="O98" s="1073"/>
      <c r="P98" s="1130">
        <f t="shared" ca="1" si="26"/>
        <v>54047649.684977531</v>
      </c>
      <c r="Q98" s="1130">
        <f t="shared" ca="1" si="27"/>
        <v>5198670399.9783516</v>
      </c>
      <c r="R98" s="1130">
        <f t="shared" ca="1" si="35"/>
        <v>5250015667.17908</v>
      </c>
      <c r="S98" s="1130">
        <f t="shared" ca="1" si="36"/>
        <v>51345267.200728416</v>
      </c>
      <c r="T98" s="1130">
        <f t="shared" ca="1" si="28"/>
        <v>5198670399.9783516</v>
      </c>
      <c r="U98" s="1132">
        <f t="shared" ca="1" si="29"/>
        <v>0.44464527298420287</v>
      </c>
      <c r="V98" s="1133">
        <f t="shared" ca="1" si="30"/>
        <v>5.0000000000000044E-2</v>
      </c>
      <c r="X98" s="1134">
        <f t="shared" ca="1" si="37"/>
        <v>276316614.06205744</v>
      </c>
      <c r="Y98" s="1134">
        <f t="shared" ca="1" si="31"/>
        <v>2702382.484249115</v>
      </c>
      <c r="Z98" s="1134">
        <f t="shared" ca="1" si="32"/>
        <v>273614231.57780832</v>
      </c>
      <c r="AA98" s="1132">
        <f t="shared" ca="1" si="33"/>
        <v>0.47575174597461678</v>
      </c>
      <c r="AB98" s="1105"/>
    </row>
    <row r="99" spans="1:28">
      <c r="A99" s="1144">
        <f>Calendar!J91</f>
        <v>47693</v>
      </c>
      <c r="C99" s="1104"/>
      <c r="D99" s="1125">
        <f t="shared" ca="1" si="19"/>
        <v>48913</v>
      </c>
      <c r="E99" s="1126">
        <f t="shared" ca="1" si="20"/>
        <v>48940</v>
      </c>
      <c r="F99" s="1127">
        <f t="shared" ca="1" si="21"/>
        <v>2710</v>
      </c>
      <c r="G99" s="1128">
        <f ca="1">IF(F99&lt;&gt;"",COUNTIF($F$11:F99,"&gt;0"),"")</f>
        <v>89</v>
      </c>
      <c r="H99" s="1129">
        <v>9.8395058437742034E-3</v>
      </c>
      <c r="I99" s="1073"/>
      <c r="J99" s="1130">
        <f t="shared" ca="1" si="22"/>
        <v>5472284631.55616</v>
      </c>
      <c r="K99" s="1131">
        <f t="shared" ca="1" si="23"/>
        <v>53844576.610992603</v>
      </c>
      <c r="L99" s="1130">
        <f t="shared" ca="1" si="24"/>
        <v>0</v>
      </c>
      <c r="M99" s="1130">
        <f t="shared" ca="1" si="25"/>
        <v>0</v>
      </c>
      <c r="N99" s="1130">
        <f t="shared" ca="1" si="34"/>
        <v>5418440054.9451675</v>
      </c>
      <c r="O99" s="1073"/>
      <c r="P99" s="1130">
        <f t="shared" ca="1" si="26"/>
        <v>53844576.610992432</v>
      </c>
      <c r="Q99" s="1130">
        <f t="shared" ca="1" si="27"/>
        <v>5147518052.1979094</v>
      </c>
      <c r="R99" s="1130">
        <f t="shared" ca="1" si="35"/>
        <v>5198670399.9783516</v>
      </c>
      <c r="S99" s="1130">
        <f t="shared" ca="1" si="36"/>
        <v>51152347.780442238</v>
      </c>
      <c r="T99" s="1130">
        <f t="shared" ca="1" si="28"/>
        <v>5147518052.1979094</v>
      </c>
      <c r="U99" s="1132">
        <f t="shared" ca="1" si="29"/>
        <v>0.44029663256134832</v>
      </c>
      <c r="V99" s="1133">
        <f t="shared" ca="1" si="30"/>
        <v>4.9999999999999933E-2</v>
      </c>
      <c r="X99" s="1134">
        <f t="shared" ca="1" si="37"/>
        <v>273614231.57780832</v>
      </c>
      <c r="Y99" s="1134">
        <f t="shared" ca="1" si="31"/>
        <v>2692228.8305501938</v>
      </c>
      <c r="Z99" s="1134">
        <f t="shared" ca="1" si="32"/>
        <v>270922002.74725813</v>
      </c>
      <c r="AA99" s="1132">
        <f t="shared" ca="1" si="33"/>
        <v>0.47109888357060659</v>
      </c>
      <c r="AB99" s="1105"/>
    </row>
    <row r="100" spans="1:28">
      <c r="A100" s="1144">
        <f>Calendar!J92</f>
        <v>47722</v>
      </c>
      <c r="C100" s="1104"/>
      <c r="D100" s="1125">
        <f t="shared" ca="1" si="19"/>
        <v>48944</v>
      </c>
      <c r="E100" s="1126">
        <f t="shared" ca="1" si="20"/>
        <v>48971</v>
      </c>
      <c r="F100" s="1127">
        <f t="shared" ca="1" si="21"/>
        <v>2741</v>
      </c>
      <c r="G100" s="1128">
        <f ca="1">IF(F100&lt;&gt;"",COUNTIF($F$11:F100,"&gt;0"),"")</f>
        <v>90</v>
      </c>
      <c r="H100" s="1129">
        <v>9.8993835338828818E-3</v>
      </c>
      <c r="I100" s="1073"/>
      <c r="J100" s="1130">
        <f t="shared" ca="1" si="22"/>
        <v>5418440054.9451675</v>
      </c>
      <c r="K100" s="1131">
        <f t="shared" ca="1" si="23"/>
        <v>53639216.259255648</v>
      </c>
      <c r="L100" s="1130">
        <f t="shared" ca="1" si="24"/>
        <v>0</v>
      </c>
      <c r="M100" s="1130">
        <f t="shared" ca="1" si="25"/>
        <v>0</v>
      </c>
      <c r="N100" s="1130">
        <f t="shared" ca="1" si="34"/>
        <v>5364800838.6859121</v>
      </c>
      <c r="O100" s="1073"/>
      <c r="P100" s="1130">
        <f t="shared" ca="1" si="26"/>
        <v>53639216.259255409</v>
      </c>
      <c r="Q100" s="1130">
        <f t="shared" ca="1" si="27"/>
        <v>5096560796.7516165</v>
      </c>
      <c r="R100" s="1130">
        <f t="shared" ca="1" si="35"/>
        <v>5147518052.1979094</v>
      </c>
      <c r="S100" s="1130">
        <f t="shared" ca="1" si="36"/>
        <v>50957255.446292877</v>
      </c>
      <c r="T100" s="1130">
        <f t="shared" ca="1" si="28"/>
        <v>5096560796.7516165</v>
      </c>
      <c r="U100" s="1132">
        <f t="shared" ca="1" si="29"/>
        <v>0.43596433127226686</v>
      </c>
      <c r="V100" s="1133">
        <f t="shared" ca="1" si="30"/>
        <v>5.0000000000000044E-2</v>
      </c>
      <c r="X100" s="1134">
        <f t="shared" ca="1" si="37"/>
        <v>270922002.74725813</v>
      </c>
      <c r="Y100" s="1134">
        <f t="shared" ca="1" si="31"/>
        <v>2681960.812962532</v>
      </c>
      <c r="Z100" s="1134">
        <f t="shared" ca="1" si="32"/>
        <v>268240041.93429559</v>
      </c>
      <c r="AA100" s="1132">
        <f t="shared" ca="1" si="33"/>
        <v>0.46646350335271713</v>
      </c>
      <c r="AB100" s="1105"/>
    </row>
    <row r="101" spans="1:28">
      <c r="A101" s="1144">
        <f>Calendar!J93</f>
        <v>47753</v>
      </c>
      <c r="C101" s="1104"/>
      <c r="D101" s="1125">
        <f t="shared" ca="1" si="19"/>
        <v>48975</v>
      </c>
      <c r="E101" s="1126">
        <f t="shared" ca="1" si="20"/>
        <v>49002</v>
      </c>
      <c r="F101" s="1127">
        <f t="shared" ca="1" si="21"/>
        <v>2772</v>
      </c>
      <c r="G101" s="1128">
        <f ca="1">IF(F101&lt;&gt;"",COUNTIF($F$11:F101,"&gt;0"),"")</f>
        <v>91</v>
      </c>
      <c r="H101" s="1129">
        <v>9.9561697940096401E-3</v>
      </c>
      <c r="I101" s="1073"/>
      <c r="J101" s="1130">
        <f t="shared" ca="1" si="22"/>
        <v>5364800838.6859121</v>
      </c>
      <c r="K101" s="1131">
        <f t="shared" ca="1" si="23"/>
        <v>53412868.061002262</v>
      </c>
      <c r="L101" s="1130">
        <f t="shared" ca="1" si="24"/>
        <v>0</v>
      </c>
      <c r="M101" s="1130">
        <f t="shared" ca="1" si="25"/>
        <v>0</v>
      </c>
      <c r="N101" s="1130">
        <f t="shared" ca="1" si="34"/>
        <v>5311387970.6249094</v>
      </c>
      <c r="O101" s="1073"/>
      <c r="P101" s="1130">
        <f t="shared" ca="1" si="26"/>
        <v>53412868.061002731</v>
      </c>
      <c r="Q101" s="1130">
        <f t="shared" ca="1" si="27"/>
        <v>5045818572.0936642</v>
      </c>
      <c r="R101" s="1130">
        <f t="shared" ca="1" si="35"/>
        <v>5096560796.7516165</v>
      </c>
      <c r="S101" s="1130">
        <f t="shared" ca="1" si="36"/>
        <v>50742224.657952309</v>
      </c>
      <c r="T101" s="1130">
        <f t="shared" ca="1" si="28"/>
        <v>5045818572.0936642</v>
      </c>
      <c r="U101" s="1132">
        <f t="shared" ca="1" si="29"/>
        <v>0.43164855314990991</v>
      </c>
      <c r="V101" s="1133">
        <f t="shared" ca="1" si="30"/>
        <v>4.9999999999999933E-2</v>
      </c>
      <c r="X101" s="1134">
        <f t="shared" ca="1" si="37"/>
        <v>268240041.93429559</v>
      </c>
      <c r="Y101" s="1134">
        <f t="shared" ca="1" si="31"/>
        <v>2670643.4030504227</v>
      </c>
      <c r="Z101" s="1134">
        <f t="shared" ca="1" si="32"/>
        <v>265569398.53124517</v>
      </c>
      <c r="AA101" s="1132">
        <f t="shared" ca="1" si="33"/>
        <v>0.46184580222847038</v>
      </c>
      <c r="AB101" s="1105"/>
    </row>
    <row r="102" spans="1:28">
      <c r="A102" s="1144">
        <f>Calendar!J94</f>
        <v>47784</v>
      </c>
      <c r="C102" s="1104"/>
      <c r="D102" s="1125">
        <f t="shared" ca="1" si="19"/>
        <v>49003</v>
      </c>
      <c r="E102" s="1126">
        <f t="shared" ca="1" si="20"/>
        <v>49030</v>
      </c>
      <c r="F102" s="1127">
        <f t="shared" ca="1" si="21"/>
        <v>2800</v>
      </c>
      <c r="G102" s="1128">
        <f ca="1">IF(F102&lt;&gt;"",COUNTIF($F$11:F102,"&gt;0"),"")</f>
        <v>92</v>
      </c>
      <c r="H102" s="1129">
        <v>1.0011079015101747E-2</v>
      </c>
      <c r="I102" s="1073"/>
      <c r="J102" s="1130">
        <f t="shared" ca="1" si="22"/>
        <v>5311387970.6249094</v>
      </c>
      <c r="K102" s="1131">
        <f t="shared" ca="1" si="23"/>
        <v>53172724.653786883</v>
      </c>
      <c r="L102" s="1130">
        <f t="shared" ca="1" si="24"/>
        <v>0</v>
      </c>
      <c r="M102" s="1130">
        <f t="shared" ca="1" si="25"/>
        <v>0</v>
      </c>
      <c r="N102" s="1130">
        <f t="shared" ca="1" si="34"/>
        <v>5258215245.9711227</v>
      </c>
      <c r="O102" s="1073"/>
      <c r="P102" s="1130">
        <f t="shared" ca="1" si="26"/>
        <v>53172724.653786659</v>
      </c>
      <c r="Q102" s="1130">
        <f t="shared" ca="1" si="27"/>
        <v>4995304483.6725664</v>
      </c>
      <c r="R102" s="1130">
        <f t="shared" ca="1" si="35"/>
        <v>5045818572.0936642</v>
      </c>
      <c r="S102" s="1130">
        <f t="shared" ca="1" si="36"/>
        <v>50514088.421097755</v>
      </c>
      <c r="T102" s="1130">
        <f t="shared" ca="1" si="28"/>
        <v>4995304483.6725664</v>
      </c>
      <c r="U102" s="1132">
        <f t="shared" ca="1" si="29"/>
        <v>0.42735098686341083</v>
      </c>
      <c r="V102" s="1133">
        <f t="shared" ca="1" si="30"/>
        <v>5.0000000000000044E-2</v>
      </c>
      <c r="X102" s="1134">
        <f t="shared" ca="1" si="37"/>
        <v>265569398.53124517</v>
      </c>
      <c r="Y102" s="1134">
        <f t="shared" ca="1" si="31"/>
        <v>2658636.2326889038</v>
      </c>
      <c r="Z102" s="1134">
        <f t="shared" ca="1" si="32"/>
        <v>262910762.29855627</v>
      </c>
      <c r="AA102" s="1132">
        <f t="shared" ca="1" si="33"/>
        <v>0.45724758700283258</v>
      </c>
      <c r="AB102" s="1105"/>
    </row>
    <row r="103" spans="1:28">
      <c r="A103" s="1144">
        <f>Calendar!J95</f>
        <v>47814</v>
      </c>
      <c r="C103" s="1104"/>
      <c r="D103" s="1125">
        <f t="shared" ca="1" si="19"/>
        <v>49034</v>
      </c>
      <c r="E103" s="1126">
        <f t="shared" ca="1" si="20"/>
        <v>49061</v>
      </c>
      <c r="F103" s="1127">
        <f t="shared" ca="1" si="21"/>
        <v>2831</v>
      </c>
      <c r="G103" s="1128">
        <f ca="1">IF(F103&lt;&gt;"",COUNTIF($F$11:F103,"&gt;0"),"")</f>
        <v>93</v>
      </c>
      <c r="H103" s="1129">
        <v>1.0084905084903981E-2</v>
      </c>
      <c r="I103" s="1073"/>
      <c r="J103" s="1130">
        <f t="shared" ca="1" si="22"/>
        <v>5258215245.9711227</v>
      </c>
      <c r="K103" s="1131">
        <f t="shared" ca="1" si="23"/>
        <v>53028601.671613812</v>
      </c>
      <c r="L103" s="1130">
        <f t="shared" ca="1" si="24"/>
        <v>0</v>
      </c>
      <c r="M103" s="1130">
        <f t="shared" ca="1" si="25"/>
        <v>0</v>
      </c>
      <c r="N103" s="1130">
        <f t="shared" ca="1" si="34"/>
        <v>5205186644.299509</v>
      </c>
      <c r="O103" s="1073"/>
      <c r="P103" s="1130">
        <f t="shared" ca="1" si="26"/>
        <v>53028601.671613693</v>
      </c>
      <c r="Q103" s="1130">
        <f t="shared" ca="1" si="27"/>
        <v>4944927312.0845337</v>
      </c>
      <c r="R103" s="1130">
        <f t="shared" ca="1" si="35"/>
        <v>4995304483.6725664</v>
      </c>
      <c r="S103" s="1130">
        <f t="shared" ca="1" si="36"/>
        <v>50377171.588032722</v>
      </c>
      <c r="T103" s="1130">
        <f t="shared" ca="1" si="28"/>
        <v>4944927312.0845337</v>
      </c>
      <c r="U103" s="1132">
        <f t="shared" ca="1" si="29"/>
        <v>0.42307274236673947</v>
      </c>
      <c r="V103" s="1133">
        <f t="shared" ca="1" si="30"/>
        <v>4.9999999999999933E-2</v>
      </c>
      <c r="X103" s="1134">
        <f t="shared" ca="1" si="37"/>
        <v>262910762.29855627</v>
      </c>
      <c r="Y103" s="1134">
        <f t="shared" ca="1" si="31"/>
        <v>2651430.0835809708</v>
      </c>
      <c r="Z103" s="1134">
        <f t="shared" ca="1" si="32"/>
        <v>260259332.2149753</v>
      </c>
      <c r="AA103" s="1132">
        <f t="shared" ca="1" si="33"/>
        <v>0.45267004527988336</v>
      </c>
      <c r="AB103" s="1105"/>
    </row>
    <row r="104" spans="1:28">
      <c r="A104" s="1144">
        <f>Calendar!J96</f>
        <v>47844</v>
      </c>
      <c r="C104" s="1104"/>
      <c r="D104" s="1125">
        <f t="shared" ca="1" si="19"/>
        <v>49064</v>
      </c>
      <c r="E104" s="1126">
        <f t="shared" ca="1" si="20"/>
        <v>49094</v>
      </c>
      <c r="F104" s="1127">
        <f t="shared" ca="1" si="21"/>
        <v>2864</v>
      </c>
      <c r="G104" s="1128">
        <f ca="1">IF(F104&lt;&gt;"",COUNTIF($F$11:F104,"&gt;0"),"")</f>
        <v>94</v>
      </c>
      <c r="H104" s="1129">
        <v>1.0142221653639991E-2</v>
      </c>
      <c r="I104" s="1073"/>
      <c r="J104" s="1130">
        <f t="shared" ca="1" si="22"/>
        <v>5205186644.299509</v>
      </c>
      <c r="K104" s="1131">
        <f t="shared" ca="1" si="23"/>
        <v>52792156.695052162</v>
      </c>
      <c r="L104" s="1130">
        <f t="shared" ca="1" si="24"/>
        <v>0</v>
      </c>
      <c r="M104" s="1130">
        <f t="shared" ca="1" si="25"/>
        <v>0</v>
      </c>
      <c r="N104" s="1130">
        <f t="shared" ca="1" si="34"/>
        <v>5152394487.6044569</v>
      </c>
      <c r="O104" s="1073"/>
      <c r="P104" s="1130">
        <f t="shared" ca="1" si="26"/>
        <v>52792156.695052147</v>
      </c>
      <c r="Q104" s="1130">
        <f t="shared" ca="1" si="27"/>
        <v>4894774763.2242336</v>
      </c>
      <c r="R104" s="1130">
        <f t="shared" ca="1" si="35"/>
        <v>4944927312.0845337</v>
      </c>
      <c r="S104" s="1130">
        <f t="shared" ca="1" si="36"/>
        <v>50152548.860300064</v>
      </c>
      <c r="T104" s="1130">
        <f t="shared" ca="1" si="28"/>
        <v>4894774763.2242336</v>
      </c>
      <c r="U104" s="1132">
        <f t="shared" ca="1" si="29"/>
        <v>0.41880609391596091</v>
      </c>
      <c r="V104" s="1133">
        <f t="shared" ca="1" si="30"/>
        <v>5.0000000000000044E-2</v>
      </c>
      <c r="X104" s="1134">
        <f t="shared" ca="1" si="37"/>
        <v>260259332.2149753</v>
      </c>
      <c r="Y104" s="1134">
        <f t="shared" ca="1" si="31"/>
        <v>2639607.8347520828</v>
      </c>
      <c r="Z104" s="1134">
        <f t="shared" ca="1" si="32"/>
        <v>257619724.38022321</v>
      </c>
      <c r="AA104" s="1132">
        <f t="shared" ca="1" si="33"/>
        <v>0.44810491083845611</v>
      </c>
      <c r="AB104" s="1105"/>
    </row>
    <row r="105" spans="1:28">
      <c r="A105" s="1144">
        <f>Calendar!J97</f>
        <v>47875</v>
      </c>
      <c r="C105" s="1104"/>
      <c r="D105" s="1125">
        <f t="shared" ca="1" si="19"/>
        <v>49095</v>
      </c>
      <c r="E105" s="1126">
        <f t="shared" ca="1" si="20"/>
        <v>49122</v>
      </c>
      <c r="F105" s="1127">
        <f t="shared" ca="1" si="21"/>
        <v>2892</v>
      </c>
      <c r="G105" s="1128">
        <f ca="1">IF(F105&lt;&gt;"",COUNTIF($F$11:F105,"&gt;0"),"")</f>
        <v>95</v>
      </c>
      <c r="H105" s="1129">
        <v>1.0206235338456701E-2</v>
      </c>
      <c r="I105" s="1073"/>
      <c r="J105" s="1130">
        <f t="shared" ca="1" si="22"/>
        <v>5152394487.6044569</v>
      </c>
      <c r="K105" s="1131">
        <f t="shared" ca="1" si="23"/>
        <v>52586550.697058119</v>
      </c>
      <c r="L105" s="1130">
        <f t="shared" ca="1" si="24"/>
        <v>0</v>
      </c>
      <c r="M105" s="1130">
        <f t="shared" ca="1" si="25"/>
        <v>0</v>
      </c>
      <c r="N105" s="1130">
        <f t="shared" ca="1" si="34"/>
        <v>5099807936.9073992</v>
      </c>
      <c r="O105" s="1073"/>
      <c r="P105" s="1130">
        <f t="shared" ca="1" si="26"/>
        <v>52586550.697057724</v>
      </c>
      <c r="Q105" s="1130">
        <f t="shared" ca="1" si="27"/>
        <v>4844817540.0620289</v>
      </c>
      <c r="R105" s="1130">
        <f t="shared" ca="1" si="35"/>
        <v>4894774763.2242336</v>
      </c>
      <c r="S105" s="1130">
        <f t="shared" ca="1" si="36"/>
        <v>49957223.162204742</v>
      </c>
      <c r="T105" s="1130">
        <f t="shared" ca="1" si="28"/>
        <v>4844817540.0620289</v>
      </c>
      <c r="U105" s="1132">
        <f t="shared" ca="1" si="29"/>
        <v>0.41455846968157001</v>
      </c>
      <c r="V105" s="1133">
        <f t="shared" ca="1" si="30"/>
        <v>5.0000000000000044E-2</v>
      </c>
      <c r="X105" s="1134">
        <f t="shared" ca="1" si="37"/>
        <v>257619724.38022321</v>
      </c>
      <c r="Y105" s="1134">
        <f t="shared" ca="1" si="31"/>
        <v>2629327.5348529816</v>
      </c>
      <c r="Z105" s="1134">
        <f t="shared" ca="1" si="32"/>
        <v>254990396.84537023</v>
      </c>
      <c r="AA105" s="1132">
        <f t="shared" ca="1" si="33"/>
        <v>0.44356013150864876</v>
      </c>
      <c r="AB105" s="1105"/>
    </row>
    <row r="106" spans="1:28">
      <c r="A106" s="1144">
        <f>Calendar!J98</f>
        <v>47906</v>
      </c>
      <c r="C106" s="1104"/>
      <c r="D106" s="1125">
        <f t="shared" ca="1" si="19"/>
        <v>49125</v>
      </c>
      <c r="E106" s="1126">
        <f t="shared" ca="1" si="20"/>
        <v>49152</v>
      </c>
      <c r="F106" s="1127">
        <f t="shared" ca="1" si="21"/>
        <v>2922</v>
      </c>
      <c r="G106" s="1128">
        <f ca="1">IF(F106&lt;&gt;"",COUNTIF($F$11:F106,"&gt;0"),"")</f>
        <v>96</v>
      </c>
      <c r="H106" s="1129">
        <v>1.0266860205826534E-2</v>
      </c>
      <c r="I106" s="1073"/>
      <c r="J106" s="1130">
        <f t="shared" ca="1" si="22"/>
        <v>5099807936.9073992</v>
      </c>
      <c r="K106" s="1131">
        <f t="shared" ca="1" si="23"/>
        <v>52359015.164792888</v>
      </c>
      <c r="L106" s="1130">
        <f t="shared" ca="1" si="24"/>
        <v>0</v>
      </c>
      <c r="M106" s="1130">
        <f t="shared" ca="1" si="25"/>
        <v>0</v>
      </c>
      <c r="N106" s="1130">
        <f t="shared" ca="1" si="34"/>
        <v>5047448921.7426062</v>
      </c>
      <c r="O106" s="1073"/>
      <c r="P106" s="1130">
        <f t="shared" ca="1" si="26"/>
        <v>52359015.164793015</v>
      </c>
      <c r="Q106" s="1130">
        <f t="shared" ca="1" si="27"/>
        <v>4795076475.6554756</v>
      </c>
      <c r="R106" s="1130">
        <f t="shared" ca="1" si="35"/>
        <v>4844817540.0620289</v>
      </c>
      <c r="S106" s="1130">
        <f t="shared" ca="1" si="36"/>
        <v>49741064.406553268</v>
      </c>
      <c r="T106" s="1130">
        <f t="shared" ca="1" si="28"/>
        <v>4795076475.6554756</v>
      </c>
      <c r="U106" s="1132">
        <f t="shared" ca="1" si="29"/>
        <v>0.41032738837844951</v>
      </c>
      <c r="V106" s="1133">
        <f t="shared" ca="1" si="30"/>
        <v>5.0000000000000044E-2</v>
      </c>
      <c r="X106" s="1134">
        <f t="shared" ca="1" si="37"/>
        <v>254990396.84537023</v>
      </c>
      <c r="Y106" s="1134">
        <f t="shared" ca="1" si="31"/>
        <v>2617950.7582397461</v>
      </c>
      <c r="Z106" s="1134">
        <f t="shared" ca="1" si="32"/>
        <v>252372446.08713049</v>
      </c>
      <c r="AA106" s="1132">
        <f t="shared" ca="1" si="33"/>
        <v>0.43903305241971458</v>
      </c>
      <c r="AB106" s="1105"/>
    </row>
    <row r="107" spans="1:28">
      <c r="A107" s="1144">
        <f>Calendar!J99</f>
        <v>47934</v>
      </c>
      <c r="C107" s="1104"/>
      <c r="D107" s="1125">
        <f t="shared" ca="1" si="19"/>
        <v>49156</v>
      </c>
      <c r="E107" s="1126">
        <f t="shared" ca="1" si="20"/>
        <v>49184</v>
      </c>
      <c r="F107" s="1127">
        <f t="shared" ca="1" si="21"/>
        <v>2954</v>
      </c>
      <c r="G107" s="1128">
        <f ca="1">IF(F107&lt;&gt;"",COUNTIF($F$11:F107,"&gt;0"),"")</f>
        <v>97</v>
      </c>
      <c r="H107" s="1129">
        <v>1.0335059755144243E-2</v>
      </c>
      <c r="I107" s="1073"/>
      <c r="J107" s="1130">
        <f t="shared" ca="1" si="22"/>
        <v>5047448921.7426062</v>
      </c>
      <c r="K107" s="1131">
        <f t="shared" ca="1" si="23"/>
        <v>52165686.217248209</v>
      </c>
      <c r="L107" s="1130">
        <f t="shared" ca="1" si="24"/>
        <v>0</v>
      </c>
      <c r="M107" s="1130">
        <f t="shared" ca="1" si="25"/>
        <v>0</v>
      </c>
      <c r="N107" s="1130">
        <f t="shared" ca="1" si="34"/>
        <v>4995283235.5253582</v>
      </c>
      <c r="O107" s="1073"/>
      <c r="P107" s="1130">
        <f t="shared" ca="1" si="26"/>
        <v>52165686.217247963</v>
      </c>
      <c r="Q107" s="1130">
        <f t="shared" ca="1" si="27"/>
        <v>4745519073.7490902</v>
      </c>
      <c r="R107" s="1130">
        <f t="shared" ca="1" si="35"/>
        <v>4795076475.6554756</v>
      </c>
      <c r="S107" s="1130">
        <f t="shared" ca="1" si="36"/>
        <v>49557401.906385422</v>
      </c>
      <c r="T107" s="1130">
        <f t="shared" ca="1" si="28"/>
        <v>4745519073.7490902</v>
      </c>
      <c r="U107" s="1132">
        <f t="shared" ca="1" si="29"/>
        <v>0.40611461444334607</v>
      </c>
      <c r="V107" s="1133">
        <f t="shared" ca="1" si="30"/>
        <v>5.0000000000000044E-2</v>
      </c>
      <c r="X107" s="1134">
        <f t="shared" ca="1" si="37"/>
        <v>252372446.08713049</v>
      </c>
      <c r="Y107" s="1134">
        <f t="shared" ca="1" si="31"/>
        <v>2608284.3108625412</v>
      </c>
      <c r="Z107" s="1134">
        <f t="shared" ca="1" si="32"/>
        <v>249764161.77626795</v>
      </c>
      <c r="AA107" s="1132">
        <f t="shared" ca="1" si="33"/>
        <v>0.43452556144478388</v>
      </c>
      <c r="AB107" s="1105"/>
    </row>
    <row r="108" spans="1:28">
      <c r="A108" s="1144">
        <f>Calendar!J100</f>
        <v>47966</v>
      </c>
      <c r="C108" s="1104"/>
      <c r="D108" s="1125">
        <f t="shared" ca="1" si="19"/>
        <v>49187</v>
      </c>
      <c r="E108" s="1126">
        <f t="shared" ca="1" si="20"/>
        <v>49214</v>
      </c>
      <c r="F108" s="1127">
        <f t="shared" ca="1" si="21"/>
        <v>2984</v>
      </c>
      <c r="G108" s="1128">
        <f ca="1">IF(F108&lt;&gt;"",COUNTIF($F$11:F108,"&gt;0"),"")</f>
        <v>98</v>
      </c>
      <c r="H108" s="1129">
        <v>1.0408245221072806E-2</v>
      </c>
      <c r="I108" s="1073"/>
      <c r="J108" s="1130">
        <f t="shared" ca="1" si="22"/>
        <v>4995283235.5253582</v>
      </c>
      <c r="K108" s="1131">
        <f t="shared" ca="1" si="23"/>
        <v>51992132.864061914</v>
      </c>
      <c r="L108" s="1130">
        <f t="shared" ca="1" si="24"/>
        <v>0</v>
      </c>
      <c r="M108" s="1130">
        <f t="shared" ca="1" si="25"/>
        <v>0</v>
      </c>
      <c r="N108" s="1130">
        <f t="shared" ca="1" si="34"/>
        <v>4943291102.6612959</v>
      </c>
      <c r="O108" s="1073"/>
      <c r="P108" s="1130">
        <f t="shared" ca="1" si="26"/>
        <v>51992132.864062309</v>
      </c>
      <c r="Q108" s="1130">
        <f t="shared" ca="1" si="27"/>
        <v>4696126547.5282307</v>
      </c>
      <c r="R108" s="1130">
        <f t="shared" ca="1" si="35"/>
        <v>4745519073.7490902</v>
      </c>
      <c r="S108" s="1130">
        <f t="shared" ca="1" si="36"/>
        <v>49392526.220859528</v>
      </c>
      <c r="T108" s="1130">
        <f t="shared" ca="1" si="28"/>
        <v>4696126547.5282307</v>
      </c>
      <c r="U108" s="1132">
        <f t="shared" ca="1" si="29"/>
        <v>0.40191739563563672</v>
      </c>
      <c r="V108" s="1133">
        <f t="shared" ca="1" si="30"/>
        <v>5.0000000000000044E-2</v>
      </c>
      <c r="X108" s="1134">
        <f t="shared" ca="1" si="37"/>
        <v>249764161.77626795</v>
      </c>
      <c r="Y108" s="1134">
        <f t="shared" ca="1" si="31"/>
        <v>2599606.6432027817</v>
      </c>
      <c r="Z108" s="1134">
        <f t="shared" ca="1" si="32"/>
        <v>247164555.13306516</v>
      </c>
      <c r="AA108" s="1132">
        <f t="shared" ca="1" si="33"/>
        <v>0.43003471380211422</v>
      </c>
      <c r="AB108" s="1105"/>
    </row>
    <row r="109" spans="1:28">
      <c r="A109" s="1144">
        <f>Calendar!J101</f>
        <v>47995</v>
      </c>
      <c r="C109" s="1104"/>
      <c r="D109" s="1125">
        <f t="shared" ca="1" si="19"/>
        <v>49217</v>
      </c>
      <c r="E109" s="1126">
        <f t="shared" ca="1" si="20"/>
        <v>49244</v>
      </c>
      <c r="F109" s="1127">
        <f t="shared" ca="1" si="21"/>
        <v>3014</v>
      </c>
      <c r="G109" s="1128">
        <f ca="1">IF(F109&lt;&gt;"",COUNTIF($F$11:F109,"&gt;0"),"")</f>
        <v>99</v>
      </c>
      <c r="H109" s="1129">
        <v>1.0460068996684183E-2</v>
      </c>
      <c r="I109" s="1073"/>
      <c r="J109" s="1130">
        <f t="shared" ca="1" si="22"/>
        <v>4943291102.6612959</v>
      </c>
      <c r="K109" s="1131">
        <f t="shared" ca="1" si="23"/>
        <v>51707166.004532188</v>
      </c>
      <c r="L109" s="1130">
        <f t="shared" ca="1" si="24"/>
        <v>0</v>
      </c>
      <c r="M109" s="1130">
        <f t="shared" ca="1" si="25"/>
        <v>0</v>
      </c>
      <c r="N109" s="1130">
        <f t="shared" ca="1" si="34"/>
        <v>4891583936.656764</v>
      </c>
      <c r="O109" s="1073"/>
      <c r="P109" s="1130">
        <f t="shared" ca="1" si="26"/>
        <v>51707166.00453186</v>
      </c>
      <c r="Q109" s="1130">
        <f t="shared" ca="1" si="27"/>
        <v>4647004739.823926</v>
      </c>
      <c r="R109" s="1130">
        <f t="shared" ca="1" si="35"/>
        <v>4696126547.5282307</v>
      </c>
      <c r="S109" s="1130">
        <f t="shared" ca="1" si="36"/>
        <v>49121807.704304695</v>
      </c>
      <c r="T109" s="1130">
        <f t="shared" ca="1" si="28"/>
        <v>4647004739.823926</v>
      </c>
      <c r="U109" s="1132">
        <f t="shared" ca="1" si="29"/>
        <v>0.39773414082324604</v>
      </c>
      <c r="V109" s="1133">
        <f t="shared" ca="1" si="30"/>
        <v>4.9999999999999933E-2</v>
      </c>
      <c r="X109" s="1134">
        <f t="shared" ca="1" si="37"/>
        <v>247164555.13306516</v>
      </c>
      <c r="Y109" s="1134">
        <f t="shared" ca="1" si="31"/>
        <v>2585358.3002271652</v>
      </c>
      <c r="Z109" s="1134">
        <f t="shared" ca="1" si="32"/>
        <v>244579196.832838</v>
      </c>
      <c r="AA109" s="1132">
        <f t="shared" ca="1" si="33"/>
        <v>0.42555880704728849</v>
      </c>
      <c r="AB109" s="1105"/>
    </row>
    <row r="110" spans="1:28">
      <c r="A110" s="1144">
        <f>Calendar!J102</f>
        <v>48026</v>
      </c>
      <c r="C110" s="1104"/>
      <c r="D110" s="1125">
        <f t="shared" ca="1" si="19"/>
        <v>49248</v>
      </c>
      <c r="E110" s="1126">
        <f t="shared" ca="1" si="20"/>
        <v>49275</v>
      </c>
      <c r="F110" s="1127">
        <f t="shared" ca="1" si="21"/>
        <v>3045</v>
      </c>
      <c r="G110" s="1128">
        <f ca="1">IF(F110&lt;&gt;"",COUNTIF($F$11:F110,"&gt;0"),"")</f>
        <v>100</v>
      </c>
      <c r="H110" s="1129">
        <v>1.0528787347237506E-2</v>
      </c>
      <c r="I110" s="1073"/>
      <c r="J110" s="1130">
        <f t="shared" ca="1" si="22"/>
        <v>4891583936.656764</v>
      </c>
      <c r="K110" s="1131">
        <f t="shared" ca="1" si="23"/>
        <v>51502447.060221963</v>
      </c>
      <c r="L110" s="1130">
        <f t="shared" ca="1" si="24"/>
        <v>0</v>
      </c>
      <c r="M110" s="1130">
        <f t="shared" ca="1" si="25"/>
        <v>0</v>
      </c>
      <c r="N110" s="1130">
        <f t="shared" ca="1" si="34"/>
        <v>4840081489.5965424</v>
      </c>
      <c r="O110" s="1073"/>
      <c r="P110" s="1130">
        <f t="shared" ca="1" si="26"/>
        <v>51502447.060221672</v>
      </c>
      <c r="Q110" s="1130">
        <f t="shared" ca="1" si="27"/>
        <v>4598077415.1167154</v>
      </c>
      <c r="R110" s="1130">
        <f t="shared" ca="1" si="35"/>
        <v>4647004739.823926</v>
      </c>
      <c r="S110" s="1130">
        <f t="shared" ca="1" si="36"/>
        <v>48927324.707210541</v>
      </c>
      <c r="T110" s="1130">
        <f t="shared" ca="1" si="28"/>
        <v>4598077415.1167154</v>
      </c>
      <c r="U110" s="1132">
        <f t="shared" ca="1" si="29"/>
        <v>0.39357381426789806</v>
      </c>
      <c r="V110" s="1133">
        <f t="shared" ca="1" si="30"/>
        <v>4.9999999999999933E-2</v>
      </c>
      <c r="X110" s="1134">
        <f t="shared" ca="1" si="37"/>
        <v>244579196.832838</v>
      </c>
      <c r="Y110" s="1134">
        <f t="shared" ca="1" si="31"/>
        <v>2575122.3530111313</v>
      </c>
      <c r="Z110" s="1134">
        <f t="shared" ca="1" si="32"/>
        <v>242004074.47982687</v>
      </c>
      <c r="AA110" s="1132">
        <f t="shared" ca="1" si="33"/>
        <v>0.42110743256342631</v>
      </c>
      <c r="AB110" s="1105"/>
    </row>
    <row r="111" spans="1:28">
      <c r="A111" s="1144">
        <f>Calendar!J103</f>
        <v>48057</v>
      </c>
      <c r="C111" s="1104"/>
      <c r="D111" s="1125">
        <f t="shared" ca="1" si="19"/>
        <v>49278</v>
      </c>
      <c r="E111" s="1126">
        <f t="shared" ca="1" si="20"/>
        <v>49305</v>
      </c>
      <c r="F111" s="1127">
        <f t="shared" ca="1" si="21"/>
        <v>3075</v>
      </c>
      <c r="G111" s="1128">
        <f ca="1">IF(F111&lt;&gt;"",COUNTIF($F$11:F111,"&gt;0"),"")</f>
        <v>101</v>
      </c>
      <c r="H111" s="1129">
        <v>1.0586099687577125E-2</v>
      </c>
      <c r="I111" s="1073"/>
      <c r="J111" s="1130">
        <f t="shared" ca="1" si="22"/>
        <v>4840081489.5965424</v>
      </c>
      <c r="K111" s="1131">
        <f t="shared" ca="1" si="23"/>
        <v>51237585.144865781</v>
      </c>
      <c r="L111" s="1130">
        <f t="shared" ca="1" si="24"/>
        <v>0</v>
      </c>
      <c r="M111" s="1130">
        <f t="shared" ca="1" si="25"/>
        <v>0</v>
      </c>
      <c r="N111" s="1130">
        <f t="shared" ca="1" si="34"/>
        <v>4788843904.4516764</v>
      </c>
      <c r="O111" s="1073"/>
      <c r="P111" s="1130">
        <f t="shared" ca="1" si="26"/>
        <v>51237585.14486599</v>
      </c>
      <c r="Q111" s="1130">
        <f t="shared" ca="1" si="27"/>
        <v>4549401709.2290926</v>
      </c>
      <c r="R111" s="1130">
        <f t="shared" ca="1" si="35"/>
        <v>4598077415.1167154</v>
      </c>
      <c r="S111" s="1130">
        <f t="shared" ca="1" si="36"/>
        <v>48675705.887622833</v>
      </c>
      <c r="T111" s="1130">
        <f t="shared" ca="1" si="28"/>
        <v>4549401709.2290926</v>
      </c>
      <c r="U111" s="1132">
        <f t="shared" ca="1" si="29"/>
        <v>0.38942995927203022</v>
      </c>
      <c r="V111" s="1133">
        <f t="shared" ca="1" si="30"/>
        <v>5.0000000000000044E-2</v>
      </c>
      <c r="X111" s="1134">
        <f t="shared" ca="1" si="37"/>
        <v>242004074.47982687</v>
      </c>
      <c r="Y111" s="1134">
        <f t="shared" ca="1" si="31"/>
        <v>2561879.2572431564</v>
      </c>
      <c r="Z111" s="1134">
        <f t="shared" ca="1" si="32"/>
        <v>239442195.22258371</v>
      </c>
      <c r="AA111" s="1132">
        <f t="shared" ca="1" si="33"/>
        <v>0.41667368195562476</v>
      </c>
      <c r="AB111" s="1105"/>
    </row>
    <row r="112" spans="1:28">
      <c r="A112" s="1144">
        <f>Calendar!J104</f>
        <v>48087</v>
      </c>
      <c r="C112" s="1104"/>
      <c r="D112" s="1125">
        <f t="shared" ca="1" si="19"/>
        <v>49309</v>
      </c>
      <c r="E112" s="1126">
        <f t="shared" ca="1" si="20"/>
        <v>49338</v>
      </c>
      <c r="F112" s="1127">
        <f t="shared" ca="1" si="21"/>
        <v>3108</v>
      </c>
      <c r="G112" s="1128">
        <f ca="1">IF(F112&lt;&gt;"",COUNTIF($F$11:F112,"&gt;0"),"")</f>
        <v>102</v>
      </c>
      <c r="H112" s="1129">
        <v>1.0648424617451045E-2</v>
      </c>
      <c r="I112" s="1073"/>
      <c r="J112" s="1130">
        <f t="shared" ca="1" si="22"/>
        <v>4788843904.4516764</v>
      </c>
      <c r="K112" s="1131">
        <f t="shared" ca="1" si="23"/>
        <v>50993643.321293615</v>
      </c>
      <c r="L112" s="1130">
        <f t="shared" ca="1" si="24"/>
        <v>0</v>
      </c>
      <c r="M112" s="1130">
        <f t="shared" ca="1" si="25"/>
        <v>0</v>
      </c>
      <c r="N112" s="1130">
        <f t="shared" ca="1" si="34"/>
        <v>4737850261.1303825</v>
      </c>
      <c r="O112" s="1073"/>
      <c r="P112" s="1130">
        <f t="shared" ca="1" si="26"/>
        <v>50993643.321293831</v>
      </c>
      <c r="Q112" s="1130">
        <f t="shared" ca="1" si="27"/>
        <v>4500957748.073863</v>
      </c>
      <c r="R112" s="1130">
        <f t="shared" ca="1" si="35"/>
        <v>4549401709.2290926</v>
      </c>
      <c r="S112" s="1130">
        <f t="shared" ca="1" si="36"/>
        <v>48443961.155229568</v>
      </c>
      <c r="T112" s="1130">
        <f t="shared" ca="1" si="28"/>
        <v>4500957748.073863</v>
      </c>
      <c r="U112" s="1132">
        <f t="shared" ca="1" si="29"/>
        <v>0.38530741490184739</v>
      </c>
      <c r="V112" s="1133">
        <f t="shared" ca="1" si="30"/>
        <v>5.0000000000000044E-2</v>
      </c>
      <c r="X112" s="1134">
        <f t="shared" ca="1" si="37"/>
        <v>239442195.22258371</v>
      </c>
      <c r="Y112" s="1134">
        <f t="shared" ca="1" si="31"/>
        <v>2549682.1660642624</v>
      </c>
      <c r="Z112" s="1134">
        <f t="shared" ca="1" si="32"/>
        <v>236892513.05651945</v>
      </c>
      <c r="AA112" s="1132">
        <f t="shared" ca="1" si="33"/>
        <v>0.41226273282125292</v>
      </c>
      <c r="AB112" s="1105"/>
    </row>
    <row r="113" spans="1:28">
      <c r="A113" s="1144">
        <f>Calendar!J105</f>
        <v>48120</v>
      </c>
      <c r="C113" s="1104"/>
      <c r="D113" s="1125">
        <f t="shared" ca="1" si="19"/>
        <v>49340</v>
      </c>
      <c r="E113" s="1126">
        <f t="shared" ca="1" si="20"/>
        <v>49367</v>
      </c>
      <c r="F113" s="1127">
        <f t="shared" ca="1" si="21"/>
        <v>3137</v>
      </c>
      <c r="G113" s="1128">
        <f ca="1">IF(F113&lt;&gt;"",COUNTIF($F$11:F113,"&gt;0"),"")</f>
        <v>103</v>
      </c>
      <c r="H113" s="1129">
        <v>1.0696179559403711E-2</v>
      </c>
      <c r="I113" s="1073"/>
      <c r="J113" s="1130">
        <f t="shared" ca="1" si="22"/>
        <v>4737850261.1303825</v>
      </c>
      <c r="K113" s="1131">
        <f t="shared" ca="1" si="23"/>
        <v>50676897.118618332</v>
      </c>
      <c r="L113" s="1130">
        <f t="shared" ca="1" si="24"/>
        <v>0</v>
      </c>
      <c r="M113" s="1130">
        <f t="shared" ca="1" si="25"/>
        <v>0</v>
      </c>
      <c r="N113" s="1130">
        <f t="shared" ca="1" si="34"/>
        <v>4687173364.0117645</v>
      </c>
      <c r="O113" s="1073"/>
      <c r="P113" s="1130">
        <f t="shared" ca="1" si="26"/>
        <v>50676897.118618011</v>
      </c>
      <c r="Q113" s="1130">
        <f t="shared" ca="1" si="27"/>
        <v>4452814695.8111763</v>
      </c>
      <c r="R113" s="1130">
        <f t="shared" ca="1" si="35"/>
        <v>4500957748.073863</v>
      </c>
      <c r="S113" s="1130">
        <f t="shared" ca="1" si="36"/>
        <v>48143052.262686729</v>
      </c>
      <c r="T113" s="1130">
        <f t="shared" ca="1" si="28"/>
        <v>4452814695.8111763</v>
      </c>
      <c r="U113" s="1132">
        <f t="shared" ca="1" si="29"/>
        <v>0.38120449793972011</v>
      </c>
      <c r="V113" s="1133">
        <f t="shared" ca="1" si="30"/>
        <v>5.0000000000000044E-2</v>
      </c>
      <c r="X113" s="1134">
        <f t="shared" ca="1" si="37"/>
        <v>236892513.05651945</v>
      </c>
      <c r="Y113" s="1134">
        <f t="shared" ca="1" si="31"/>
        <v>2533844.855931282</v>
      </c>
      <c r="Z113" s="1134">
        <f t="shared" ca="1" si="32"/>
        <v>234358668.20058817</v>
      </c>
      <c r="AA113" s="1132">
        <f t="shared" ca="1" si="33"/>
        <v>0.4078727841882222</v>
      </c>
      <c r="AB113" s="1105"/>
    </row>
    <row r="114" spans="1:28">
      <c r="A114" s="1144">
        <f>Calendar!J106</f>
        <v>48148</v>
      </c>
      <c r="C114" s="1104"/>
      <c r="D114" s="1125">
        <f t="shared" ca="1" si="19"/>
        <v>49368</v>
      </c>
      <c r="E114" s="1126">
        <f t="shared" ca="1" si="20"/>
        <v>49395</v>
      </c>
      <c r="F114" s="1127">
        <f t="shared" ca="1" si="21"/>
        <v>3165</v>
      </c>
      <c r="G114" s="1128">
        <f ca="1">IF(F114&lt;&gt;"",COUNTIF($F$11:F114,"&gt;0"),"")</f>
        <v>104</v>
      </c>
      <c r="H114" s="1129">
        <v>1.0740697734351535E-2</v>
      </c>
      <c r="I114" s="1073"/>
      <c r="J114" s="1130">
        <f t="shared" ca="1" si="22"/>
        <v>4687173364.0117645</v>
      </c>
      <c r="K114" s="1131">
        <f t="shared" ca="1" si="23"/>
        <v>50343512.331354022</v>
      </c>
      <c r="L114" s="1130">
        <f t="shared" ca="1" si="24"/>
        <v>0</v>
      </c>
      <c r="M114" s="1130">
        <f t="shared" ca="1" si="25"/>
        <v>0</v>
      </c>
      <c r="N114" s="1130">
        <f t="shared" ca="1" si="34"/>
        <v>4636829851.6804104</v>
      </c>
      <c r="O114" s="1073"/>
      <c r="P114" s="1130">
        <f t="shared" ca="1" si="26"/>
        <v>50343512.331354141</v>
      </c>
      <c r="Q114" s="1130">
        <f t="shared" ca="1" si="27"/>
        <v>4404988359.0963898</v>
      </c>
      <c r="R114" s="1130">
        <f t="shared" ca="1" si="35"/>
        <v>4452814695.8111763</v>
      </c>
      <c r="S114" s="1130">
        <f t="shared" ca="1" si="36"/>
        <v>47826336.71478653</v>
      </c>
      <c r="T114" s="1130">
        <f t="shared" ca="1" si="28"/>
        <v>4404988359.0963898</v>
      </c>
      <c r="U114" s="1132">
        <f t="shared" ca="1" si="29"/>
        <v>0.37712706618090458</v>
      </c>
      <c r="V114" s="1133">
        <f t="shared" ca="1" si="30"/>
        <v>5.0000000000000044E-2</v>
      </c>
      <c r="X114" s="1134">
        <f t="shared" ca="1" si="37"/>
        <v>234358668.20058817</v>
      </c>
      <c r="Y114" s="1134">
        <f t="shared" ca="1" si="31"/>
        <v>2517175.6165676117</v>
      </c>
      <c r="Z114" s="1134">
        <f t="shared" ca="1" si="32"/>
        <v>231841492.58402056</v>
      </c>
      <c r="AA114" s="1132">
        <f t="shared" ca="1" si="33"/>
        <v>0.40351010365115042</v>
      </c>
      <c r="AB114" s="1105"/>
    </row>
    <row r="115" spans="1:28">
      <c r="A115" s="1144">
        <f>Calendar!J107</f>
        <v>48179</v>
      </c>
      <c r="C115" s="1104"/>
      <c r="D115" s="1125">
        <f t="shared" ca="1" si="19"/>
        <v>49399</v>
      </c>
      <c r="E115" s="1126">
        <f t="shared" ca="1" si="20"/>
        <v>49426</v>
      </c>
      <c r="F115" s="1127">
        <f t="shared" ca="1" si="21"/>
        <v>3196</v>
      </c>
      <c r="G115" s="1128">
        <f ca="1">IF(F115&lt;&gt;"",COUNTIF($F$11:F115,"&gt;0"),"")</f>
        <v>105</v>
      </c>
      <c r="H115" s="1129">
        <v>1.078737950997598E-2</v>
      </c>
      <c r="I115" s="1073"/>
      <c r="J115" s="1130">
        <f t="shared" ca="1" si="22"/>
        <v>4636829851.6804104</v>
      </c>
      <c r="K115" s="1131">
        <f t="shared" ca="1" si="23"/>
        <v>50019243.33326222</v>
      </c>
      <c r="L115" s="1130">
        <f t="shared" ca="1" si="24"/>
        <v>0</v>
      </c>
      <c r="M115" s="1130">
        <f t="shared" ca="1" si="25"/>
        <v>0</v>
      </c>
      <c r="N115" s="1130">
        <f t="shared" ca="1" si="34"/>
        <v>4586810608.3471479</v>
      </c>
      <c r="O115" s="1073"/>
      <c r="P115" s="1130">
        <f t="shared" ca="1" si="26"/>
        <v>50019243.333262444</v>
      </c>
      <c r="Q115" s="1130">
        <f t="shared" ca="1" si="27"/>
        <v>4357470077.9297905</v>
      </c>
      <c r="R115" s="1130">
        <f t="shared" ca="1" si="35"/>
        <v>4404988359.0963898</v>
      </c>
      <c r="S115" s="1130">
        <f t="shared" ca="1" si="36"/>
        <v>47518281.166599274</v>
      </c>
      <c r="T115" s="1130">
        <f t="shared" ca="1" si="28"/>
        <v>4357470077.9297905</v>
      </c>
      <c r="U115" s="1132">
        <f t="shared" ca="1" si="29"/>
        <v>0.37307645835561265</v>
      </c>
      <c r="V115" s="1133">
        <f t="shared" ca="1" si="30"/>
        <v>5.0000000000000044E-2</v>
      </c>
      <c r="X115" s="1134">
        <f t="shared" ca="1" si="37"/>
        <v>231841492.58402056</v>
      </c>
      <c r="Y115" s="1134">
        <f t="shared" ca="1" si="31"/>
        <v>2500962.1666631699</v>
      </c>
      <c r="Z115" s="1134">
        <f t="shared" ca="1" si="32"/>
        <v>229340530.41735739</v>
      </c>
      <c r="AA115" s="1132">
        <f t="shared" ca="1" si="33"/>
        <v>0.3991761235950767</v>
      </c>
      <c r="AB115" s="1105"/>
    </row>
    <row r="116" spans="1:28">
      <c r="A116" s="1144">
        <f>Calendar!J108</f>
        <v>48211</v>
      </c>
      <c r="C116" s="1104"/>
      <c r="D116" s="1125">
        <f t="shared" ca="1" si="19"/>
        <v>49429</v>
      </c>
      <c r="E116" s="1126">
        <f t="shared" ca="1" si="20"/>
        <v>49457</v>
      </c>
      <c r="F116" s="1127">
        <f t="shared" ca="1" si="21"/>
        <v>3227</v>
      </c>
      <c r="G116" s="1128">
        <f ca="1">IF(F116&lt;&gt;"",COUNTIF($F$11:F116,"&gt;0"),"")</f>
        <v>106</v>
      </c>
      <c r="H116" s="1129">
        <v>1.0813178622296924E-2</v>
      </c>
      <c r="I116" s="1073"/>
      <c r="J116" s="1130">
        <f t="shared" ca="1" si="22"/>
        <v>4586810608.3471479</v>
      </c>
      <c r="K116" s="1131">
        <f t="shared" ca="1" si="23"/>
        <v>49598002.414704129</v>
      </c>
      <c r="L116" s="1130">
        <f t="shared" ca="1" si="24"/>
        <v>0</v>
      </c>
      <c r="M116" s="1130">
        <f t="shared" ca="1" si="25"/>
        <v>0</v>
      </c>
      <c r="N116" s="1130">
        <f t="shared" ca="1" si="34"/>
        <v>4537212605.9324436</v>
      </c>
      <c r="O116" s="1073"/>
      <c r="P116" s="1130">
        <f t="shared" ca="1" si="26"/>
        <v>49598002.414704323</v>
      </c>
      <c r="Q116" s="1130">
        <f t="shared" ca="1" si="27"/>
        <v>4310351975.6358213</v>
      </c>
      <c r="R116" s="1130">
        <f t="shared" ca="1" si="35"/>
        <v>4357470077.9297905</v>
      </c>
      <c r="S116" s="1130">
        <f t="shared" ca="1" si="36"/>
        <v>47118102.293969154</v>
      </c>
      <c r="T116" s="1130">
        <f t="shared" ca="1" si="28"/>
        <v>4310351975.6358213</v>
      </c>
      <c r="U116" s="1132">
        <f t="shared" ca="1" si="29"/>
        <v>0.36905194101309291</v>
      </c>
      <c r="V116" s="1133">
        <f t="shared" ca="1" si="30"/>
        <v>5.0000000000000044E-2</v>
      </c>
      <c r="X116" s="1134">
        <f t="shared" ca="1" si="37"/>
        <v>229340530.41735739</v>
      </c>
      <c r="Y116" s="1134">
        <f t="shared" ca="1" si="31"/>
        <v>2479900.1207351685</v>
      </c>
      <c r="Z116" s="1134">
        <f t="shared" ca="1" si="32"/>
        <v>226860630.29662222</v>
      </c>
      <c r="AA116" s="1132">
        <f t="shared" ca="1" si="33"/>
        <v>0.39487005925853547</v>
      </c>
      <c r="AB116" s="1105"/>
    </row>
    <row r="117" spans="1:28">
      <c r="A117" s="1144">
        <f>Calendar!J109</f>
        <v>48240</v>
      </c>
      <c r="C117" s="1104"/>
      <c r="D117" s="1125">
        <f t="shared" ca="1" si="19"/>
        <v>49460</v>
      </c>
      <c r="E117" s="1126">
        <f t="shared" ca="1" si="20"/>
        <v>49487</v>
      </c>
      <c r="F117" s="1127">
        <f t="shared" ca="1" si="21"/>
        <v>3257</v>
      </c>
      <c r="G117" s="1128">
        <f ca="1">IF(F117&lt;&gt;"",COUNTIF($F$11:F117,"&gt;0"),"")</f>
        <v>107</v>
      </c>
      <c r="H117" s="1129">
        <v>1.0863511821642956E-2</v>
      </c>
      <c r="I117" s="1073"/>
      <c r="J117" s="1130">
        <f t="shared" ca="1" si="22"/>
        <v>4537212605.9324436</v>
      </c>
      <c r="K117" s="1131">
        <f t="shared" ca="1" si="23"/>
        <v>49290062.781854548</v>
      </c>
      <c r="L117" s="1130">
        <f t="shared" ca="1" si="24"/>
        <v>0</v>
      </c>
      <c r="M117" s="1130">
        <f t="shared" ca="1" si="25"/>
        <v>0</v>
      </c>
      <c r="N117" s="1130">
        <f t="shared" ca="1" si="34"/>
        <v>4487922543.150589</v>
      </c>
      <c r="O117" s="1073"/>
      <c r="P117" s="1130">
        <f t="shared" ca="1" si="26"/>
        <v>49290062.78185463</v>
      </c>
      <c r="Q117" s="1130">
        <f t="shared" ca="1" si="27"/>
        <v>4263526415.9930592</v>
      </c>
      <c r="R117" s="1130">
        <f t="shared" ca="1" si="35"/>
        <v>4310351975.6358213</v>
      </c>
      <c r="S117" s="1130">
        <f t="shared" ca="1" si="36"/>
        <v>46825559.642762184</v>
      </c>
      <c r="T117" s="1130">
        <f t="shared" ca="1" si="28"/>
        <v>4263526415.9930592</v>
      </c>
      <c r="U117" s="1132">
        <f t="shared" ca="1" si="29"/>
        <v>0.36506131645401291</v>
      </c>
      <c r="V117" s="1133">
        <f t="shared" ca="1" si="30"/>
        <v>5.0000000000000044E-2</v>
      </c>
      <c r="X117" s="1134">
        <f t="shared" ca="1" si="37"/>
        <v>226860630.29662222</v>
      </c>
      <c r="Y117" s="1134">
        <f t="shared" ca="1" si="31"/>
        <v>2464503.1390924454</v>
      </c>
      <c r="Z117" s="1134">
        <f t="shared" ca="1" si="32"/>
        <v>224396127.15752977</v>
      </c>
      <c r="AA117" s="1132">
        <f t="shared" ca="1" si="33"/>
        <v>0.39060025877517601</v>
      </c>
      <c r="AB117" s="1105"/>
    </row>
    <row r="118" spans="1:28">
      <c r="A118" s="1144">
        <f>Calendar!J110</f>
        <v>48271</v>
      </c>
      <c r="C118" s="1104"/>
      <c r="D118" s="1125">
        <f t="shared" ca="1" si="19"/>
        <v>49490</v>
      </c>
      <c r="E118" s="1126">
        <f t="shared" ca="1" si="20"/>
        <v>49517</v>
      </c>
      <c r="F118" s="1127">
        <f t="shared" ca="1" si="21"/>
        <v>3287</v>
      </c>
      <c r="G118" s="1128">
        <f ca="1">IF(F118&lt;&gt;"",COUNTIF($F$11:F118,"&gt;0"),"")</f>
        <v>108</v>
      </c>
      <c r="H118" s="1129">
        <v>1.0910962812219724E-2</v>
      </c>
      <c r="I118" s="1073"/>
      <c r="J118" s="1130">
        <f t="shared" ca="1" si="22"/>
        <v>4487922543.150589</v>
      </c>
      <c r="K118" s="1131">
        <f t="shared" ca="1" si="23"/>
        <v>48967555.972438641</v>
      </c>
      <c r="L118" s="1130">
        <f t="shared" ca="1" si="24"/>
        <v>0</v>
      </c>
      <c r="M118" s="1130">
        <f t="shared" ca="1" si="25"/>
        <v>0</v>
      </c>
      <c r="N118" s="1130">
        <f t="shared" ca="1" si="34"/>
        <v>4438954987.1781502</v>
      </c>
      <c r="O118" s="1073"/>
      <c r="P118" s="1130">
        <f t="shared" ca="1" si="26"/>
        <v>48967555.972438812</v>
      </c>
      <c r="Q118" s="1130">
        <f t="shared" ca="1" si="27"/>
        <v>4217007237.8192425</v>
      </c>
      <c r="R118" s="1130">
        <f t="shared" ca="1" si="35"/>
        <v>4263526415.9930592</v>
      </c>
      <c r="S118" s="1130">
        <f t="shared" ca="1" si="36"/>
        <v>46519178.173816681</v>
      </c>
      <c r="T118" s="1130">
        <f t="shared" ca="1" si="28"/>
        <v>4217007237.8192425</v>
      </c>
      <c r="U118" s="1132">
        <f t="shared" ca="1" si="29"/>
        <v>0.36109546852709018</v>
      </c>
      <c r="V118" s="1133">
        <f t="shared" ca="1" si="30"/>
        <v>5.0000000000000044E-2</v>
      </c>
      <c r="X118" s="1134">
        <f t="shared" ca="1" si="37"/>
        <v>224396127.15752977</v>
      </c>
      <c r="Y118" s="1134">
        <f t="shared" ca="1" si="31"/>
        <v>2448377.7986221313</v>
      </c>
      <c r="Z118" s="1134">
        <f t="shared" ca="1" si="32"/>
        <v>221947749.35890764</v>
      </c>
      <c r="AA118" s="1132">
        <f t="shared" ca="1" si="33"/>
        <v>0.38635696824643556</v>
      </c>
      <c r="AB118" s="1105"/>
    </row>
    <row r="119" spans="1:28">
      <c r="A119" s="1144">
        <f>Calendar!J111</f>
        <v>48303</v>
      </c>
      <c r="C119" s="1104"/>
      <c r="D119" s="1125">
        <f t="shared" ca="1" si="19"/>
        <v>49521</v>
      </c>
      <c r="E119" s="1126">
        <f t="shared" ca="1" si="20"/>
        <v>49548</v>
      </c>
      <c r="F119" s="1127">
        <f t="shared" ca="1" si="21"/>
        <v>3318</v>
      </c>
      <c r="G119" s="1128">
        <f ca="1">IF(F119&lt;&gt;"",COUNTIF($F$11:F119,"&gt;0"),"")</f>
        <v>109</v>
      </c>
      <c r="H119" s="1129">
        <v>1.0970113584381817E-2</v>
      </c>
      <c r="I119" s="1073"/>
      <c r="J119" s="1130">
        <f t="shared" ca="1" si="22"/>
        <v>4438954987.1781502</v>
      </c>
      <c r="K119" s="1131">
        <f t="shared" ca="1" si="23"/>
        <v>48695840.405302443</v>
      </c>
      <c r="L119" s="1130">
        <f t="shared" ca="1" si="24"/>
        <v>0</v>
      </c>
      <c r="M119" s="1130">
        <f t="shared" ca="1" si="25"/>
        <v>0</v>
      </c>
      <c r="N119" s="1130">
        <f t="shared" ca="1" si="34"/>
        <v>4390259146.7728481</v>
      </c>
      <c r="O119" s="1073"/>
      <c r="P119" s="1130">
        <f t="shared" ca="1" si="26"/>
        <v>48695840.405302048</v>
      </c>
      <c r="Q119" s="1130">
        <f t="shared" ca="1" si="27"/>
        <v>4170746189.4342055</v>
      </c>
      <c r="R119" s="1130">
        <f t="shared" ca="1" si="35"/>
        <v>4217007237.8192425</v>
      </c>
      <c r="S119" s="1130">
        <f t="shared" ca="1" si="36"/>
        <v>46261048.385036945</v>
      </c>
      <c r="T119" s="1130">
        <f t="shared" ca="1" si="28"/>
        <v>4170746189.4342055</v>
      </c>
      <c r="U119" s="1132">
        <f t="shared" ca="1" si="29"/>
        <v>0.35715556929833003</v>
      </c>
      <c r="V119" s="1133">
        <f t="shared" ca="1" si="30"/>
        <v>5.0000000000000044E-2</v>
      </c>
      <c r="X119" s="1134">
        <f t="shared" ca="1" si="37"/>
        <v>221947749.35890764</v>
      </c>
      <c r="Y119" s="1134">
        <f t="shared" ca="1" si="31"/>
        <v>2434792.0202651024</v>
      </c>
      <c r="Z119" s="1134">
        <f t="shared" ca="1" si="32"/>
        <v>219512957.33864254</v>
      </c>
      <c r="AA119" s="1132">
        <f t="shared" ca="1" si="33"/>
        <v>0.38214144173365638</v>
      </c>
      <c r="AB119" s="1105"/>
    </row>
    <row r="120" spans="1:28">
      <c r="A120" s="1144">
        <f>Calendar!J112</f>
        <v>48331</v>
      </c>
      <c r="C120" s="1104"/>
      <c r="D120" s="1125">
        <f t="shared" ca="1" si="19"/>
        <v>49552</v>
      </c>
      <c r="E120" s="1126">
        <f t="shared" ca="1" si="20"/>
        <v>49579</v>
      </c>
      <c r="F120" s="1127">
        <f t="shared" ca="1" si="21"/>
        <v>3349</v>
      </c>
      <c r="G120" s="1128">
        <f ca="1">IF(F120&lt;&gt;"",COUNTIF($F$11:F120,"&gt;0"),"")</f>
        <v>110</v>
      </c>
      <c r="H120" s="1129">
        <v>1.1052340116553533E-2</v>
      </c>
      <c r="I120" s="1073"/>
      <c r="J120" s="1130">
        <f t="shared" ca="1" si="22"/>
        <v>4390259146.7728481</v>
      </c>
      <c r="K120" s="1131">
        <f t="shared" ca="1" si="23"/>
        <v>48522637.289943635</v>
      </c>
      <c r="L120" s="1130">
        <f t="shared" ca="1" si="24"/>
        <v>0</v>
      </c>
      <c r="M120" s="1130">
        <f t="shared" ca="1" si="25"/>
        <v>0</v>
      </c>
      <c r="N120" s="1130">
        <f t="shared" ca="1" si="34"/>
        <v>4341736509.4829044</v>
      </c>
      <c r="O120" s="1073"/>
      <c r="P120" s="1130">
        <f t="shared" ca="1" si="26"/>
        <v>48522637.289943695</v>
      </c>
      <c r="Q120" s="1130">
        <f t="shared" ca="1" si="27"/>
        <v>4124649684.008759</v>
      </c>
      <c r="R120" s="1130">
        <f t="shared" ca="1" si="35"/>
        <v>4170746189.4342055</v>
      </c>
      <c r="S120" s="1130">
        <f t="shared" ca="1" si="36"/>
        <v>46096505.42544651</v>
      </c>
      <c r="T120" s="1130">
        <f t="shared" ca="1" si="28"/>
        <v>4124649684.008759</v>
      </c>
      <c r="U120" s="1132">
        <f t="shared" ca="1" si="29"/>
        <v>0.35323753213583287</v>
      </c>
      <c r="V120" s="1133">
        <f t="shared" ca="1" si="30"/>
        <v>5.0000000000000044E-2</v>
      </c>
      <c r="X120" s="1134">
        <f t="shared" ca="1" si="37"/>
        <v>219512957.33864254</v>
      </c>
      <c r="Y120" s="1134">
        <f t="shared" ca="1" si="31"/>
        <v>2426131.8644971848</v>
      </c>
      <c r="Z120" s="1134">
        <f t="shared" ca="1" si="32"/>
        <v>217086825.47414535</v>
      </c>
      <c r="AA120" s="1132">
        <f t="shared" ca="1" si="33"/>
        <v>0.37794930671253879</v>
      </c>
      <c r="AB120" s="1105"/>
    </row>
    <row r="121" spans="1:28">
      <c r="A121" s="1144">
        <f>Calendar!J113</f>
        <v>48361</v>
      </c>
      <c r="C121" s="1104"/>
      <c r="D121" s="1125">
        <f t="shared" ca="1" si="19"/>
        <v>49582</v>
      </c>
      <c r="E121" s="1126">
        <f t="shared" ca="1" si="20"/>
        <v>49611</v>
      </c>
      <c r="F121" s="1127">
        <f t="shared" ca="1" si="21"/>
        <v>3381</v>
      </c>
      <c r="G121" s="1128">
        <f ca="1">IF(F121&lt;&gt;"",COUNTIF($F$11:F121,"&gt;0"),"")</f>
        <v>111</v>
      </c>
      <c r="H121" s="1129">
        <v>1.1111771663004718E-2</v>
      </c>
      <c r="I121" s="1073"/>
      <c r="J121" s="1130">
        <f t="shared" ca="1" si="22"/>
        <v>4341736509.4829044</v>
      </c>
      <c r="K121" s="1131">
        <f t="shared" ca="1" si="23"/>
        <v>48244384.714305155</v>
      </c>
      <c r="L121" s="1130">
        <f t="shared" ca="1" si="24"/>
        <v>0</v>
      </c>
      <c r="M121" s="1130">
        <f t="shared" ca="1" si="25"/>
        <v>0</v>
      </c>
      <c r="N121" s="1130">
        <f t="shared" ca="1" si="34"/>
        <v>4293492124.7685995</v>
      </c>
      <c r="O121" s="1073"/>
      <c r="P121" s="1130">
        <f t="shared" ca="1" si="26"/>
        <v>48244384.714304924</v>
      </c>
      <c r="Q121" s="1130">
        <f t="shared" ca="1" si="27"/>
        <v>4078817518.5301695</v>
      </c>
      <c r="R121" s="1130">
        <f t="shared" ca="1" si="35"/>
        <v>4124649684.008759</v>
      </c>
      <c r="S121" s="1130">
        <f t="shared" ca="1" si="36"/>
        <v>45832165.478589535</v>
      </c>
      <c r="T121" s="1130">
        <f t="shared" ca="1" si="28"/>
        <v>4078817518.5301695</v>
      </c>
      <c r="U121" s="1132">
        <f t="shared" ca="1" si="29"/>
        <v>0.34933343078873558</v>
      </c>
      <c r="V121" s="1133">
        <f t="shared" ca="1" si="30"/>
        <v>5.0000000000000044E-2</v>
      </c>
      <c r="X121" s="1134">
        <f t="shared" ca="1" si="37"/>
        <v>217086825.47414535</v>
      </c>
      <c r="Y121" s="1134">
        <f t="shared" ca="1" si="31"/>
        <v>2412219.2357153893</v>
      </c>
      <c r="Z121" s="1134">
        <f t="shared" ca="1" si="32"/>
        <v>214674606.23842996</v>
      </c>
      <c r="AA121" s="1132">
        <f t="shared" ca="1" si="33"/>
        <v>0.37377208242793619</v>
      </c>
      <c r="AB121" s="1105"/>
    </row>
    <row r="122" spans="1:28">
      <c r="A122" s="1144">
        <f>Calendar!J114</f>
        <v>48393</v>
      </c>
      <c r="C122" s="1104"/>
      <c r="D122" s="1125">
        <f t="shared" ca="1" si="19"/>
        <v>49613</v>
      </c>
      <c r="E122" s="1126">
        <f t="shared" ca="1" si="20"/>
        <v>49640</v>
      </c>
      <c r="F122" s="1127">
        <f t="shared" ca="1" si="21"/>
        <v>3410</v>
      </c>
      <c r="G122" s="1128">
        <f ca="1">IF(F122&lt;&gt;"",COUNTIF($F$11:F122,"&gt;0"),"")</f>
        <v>112</v>
      </c>
      <c r="H122" s="1129">
        <v>1.1196095104483026E-2</v>
      </c>
      <c r="I122" s="1073"/>
      <c r="J122" s="1130">
        <f t="shared" ca="1" si="22"/>
        <v>4293492124.7685995</v>
      </c>
      <c r="K122" s="1131">
        <f t="shared" ca="1" si="23"/>
        <v>48070346.159258142</v>
      </c>
      <c r="L122" s="1130">
        <f t="shared" ca="1" si="24"/>
        <v>0</v>
      </c>
      <c r="M122" s="1130">
        <f t="shared" ca="1" si="25"/>
        <v>0</v>
      </c>
      <c r="N122" s="1130">
        <f t="shared" ca="1" si="34"/>
        <v>4245421778.6093411</v>
      </c>
      <c r="O122" s="1073"/>
      <c r="P122" s="1130">
        <f t="shared" ca="1" si="26"/>
        <v>48070346.159258366</v>
      </c>
      <c r="Q122" s="1130">
        <f t="shared" ca="1" si="27"/>
        <v>4033150689.678874</v>
      </c>
      <c r="R122" s="1130">
        <f t="shared" ca="1" si="35"/>
        <v>4078817518.5301695</v>
      </c>
      <c r="S122" s="1130">
        <f t="shared" ca="1" si="36"/>
        <v>45666828.851295471</v>
      </c>
      <c r="T122" s="1130">
        <f t="shared" ca="1" si="28"/>
        <v>4033150689.678874</v>
      </c>
      <c r="U122" s="1132">
        <f t="shared" ca="1" si="29"/>
        <v>0.34545171747155712</v>
      </c>
      <c r="V122" s="1133">
        <f t="shared" ca="1" si="30"/>
        <v>5.0000000000000044E-2</v>
      </c>
      <c r="X122" s="1134">
        <f t="shared" ca="1" si="37"/>
        <v>214674606.23842996</v>
      </c>
      <c r="Y122" s="1134">
        <f t="shared" ca="1" si="31"/>
        <v>2403517.3079628944</v>
      </c>
      <c r="Z122" s="1134">
        <f t="shared" ca="1" si="32"/>
        <v>212271088.93046707</v>
      </c>
      <c r="AA122" s="1132">
        <f t="shared" ca="1" si="33"/>
        <v>0.36961881239399097</v>
      </c>
      <c r="AB122" s="1105"/>
    </row>
    <row r="123" spans="1:28">
      <c r="A123" s="1144">
        <f>Calendar!J115</f>
        <v>48422</v>
      </c>
      <c r="C123" s="1104"/>
      <c r="D123" s="1125">
        <f t="shared" ca="1" si="19"/>
        <v>49643</v>
      </c>
      <c r="E123" s="1126">
        <f t="shared" ca="1" si="20"/>
        <v>49670</v>
      </c>
      <c r="F123" s="1127">
        <f t="shared" ca="1" si="21"/>
        <v>3440</v>
      </c>
      <c r="G123" s="1128">
        <f ca="1">IF(F123&lt;&gt;"",COUNTIF($F$11:F123,"&gt;0"),"")</f>
        <v>113</v>
      </c>
      <c r="H123" s="1129">
        <v>1.1262061112173481E-2</v>
      </c>
      <c r="I123" s="1073"/>
      <c r="J123" s="1130">
        <f t="shared" ca="1" si="22"/>
        <v>4245421778.6093411</v>
      </c>
      <c r="K123" s="1131">
        <f t="shared" ca="1" si="23"/>
        <v>47812199.517650634</v>
      </c>
      <c r="L123" s="1130">
        <f t="shared" ca="1" si="24"/>
        <v>0</v>
      </c>
      <c r="M123" s="1130">
        <f t="shared" ca="1" si="25"/>
        <v>0</v>
      </c>
      <c r="N123" s="1130">
        <f t="shared" ca="1" si="34"/>
        <v>4197609579.0916905</v>
      </c>
      <c r="O123" s="1073"/>
      <c r="P123" s="1130">
        <f t="shared" ca="1" si="26"/>
        <v>47812199.517650604</v>
      </c>
      <c r="Q123" s="1130">
        <f t="shared" ca="1" si="27"/>
        <v>3987729100.1371059</v>
      </c>
      <c r="R123" s="1130">
        <f t="shared" ca="1" si="35"/>
        <v>4033150689.678874</v>
      </c>
      <c r="S123" s="1130">
        <f t="shared" ca="1" si="36"/>
        <v>45421589.541768074</v>
      </c>
      <c r="T123" s="1130">
        <f t="shared" ca="1" si="28"/>
        <v>3987729100.1371059</v>
      </c>
      <c r="U123" s="1132">
        <f t="shared" ca="1" si="29"/>
        <v>0.34158400718873855</v>
      </c>
      <c r="V123" s="1133">
        <f t="shared" ca="1" si="30"/>
        <v>5.0000000000000044E-2</v>
      </c>
      <c r="X123" s="1134">
        <f t="shared" ca="1" si="37"/>
        <v>212271088.93046707</v>
      </c>
      <c r="Y123" s="1134">
        <f t="shared" ca="1" si="31"/>
        <v>2390609.9758825302</v>
      </c>
      <c r="Z123" s="1134">
        <f t="shared" ca="1" si="32"/>
        <v>209880478.95458454</v>
      </c>
      <c r="AA123" s="1132">
        <f t="shared" ca="1" si="33"/>
        <v>0.36548052501802181</v>
      </c>
      <c r="AB123" s="1105"/>
    </row>
    <row r="124" spans="1:28">
      <c r="A124" s="1144">
        <f>Calendar!J116</f>
        <v>48453</v>
      </c>
      <c r="C124" s="1104"/>
      <c r="D124" s="1125">
        <f t="shared" ca="1" si="19"/>
        <v>49674</v>
      </c>
      <c r="E124" s="1126">
        <f t="shared" ca="1" si="20"/>
        <v>49702</v>
      </c>
      <c r="F124" s="1127">
        <f t="shared" ca="1" si="21"/>
        <v>3472</v>
      </c>
      <c r="G124" s="1128">
        <f ca="1">IF(F124&lt;&gt;"",COUNTIF($F$11:F124,"&gt;0"),"")</f>
        <v>114</v>
      </c>
      <c r="H124" s="1129">
        <v>1.1334964767391655E-2</v>
      </c>
      <c r="I124" s="1073"/>
      <c r="J124" s="1130">
        <f t="shared" ca="1" si="22"/>
        <v>4197609579.0916905</v>
      </c>
      <c r="K124" s="1131">
        <f t="shared" ca="1" si="23"/>
        <v>47579756.686270028</v>
      </c>
      <c r="L124" s="1130">
        <f t="shared" ca="1" si="24"/>
        <v>0</v>
      </c>
      <c r="M124" s="1130">
        <f t="shared" ca="1" si="25"/>
        <v>0</v>
      </c>
      <c r="N124" s="1130">
        <f t="shared" ca="1" si="34"/>
        <v>4150029822.4054203</v>
      </c>
      <c r="O124" s="1073"/>
      <c r="P124" s="1130">
        <f t="shared" ca="1" si="26"/>
        <v>47579756.686270237</v>
      </c>
      <c r="Q124" s="1130">
        <f t="shared" ca="1" si="27"/>
        <v>3942528331.2851491</v>
      </c>
      <c r="R124" s="1130">
        <f t="shared" ca="1" si="35"/>
        <v>3987729100.1371059</v>
      </c>
      <c r="S124" s="1130">
        <f t="shared" ca="1" si="36"/>
        <v>45200768.851956844</v>
      </c>
      <c r="T124" s="1130">
        <f t="shared" ca="1" si="28"/>
        <v>3942528331.2851491</v>
      </c>
      <c r="U124" s="1132">
        <f t="shared" ca="1" si="29"/>
        <v>0.33773706722483787</v>
      </c>
      <c r="V124" s="1133">
        <f t="shared" ca="1" si="30"/>
        <v>5.0000000000000044E-2</v>
      </c>
      <c r="X124" s="1134">
        <f t="shared" ca="1" si="37"/>
        <v>209880478.95458454</v>
      </c>
      <c r="Y124" s="1134">
        <f t="shared" ca="1" si="31"/>
        <v>2378987.8343133926</v>
      </c>
      <c r="Z124" s="1134">
        <f t="shared" ca="1" si="32"/>
        <v>207501491.12027115</v>
      </c>
      <c r="AA124" s="1132">
        <f t="shared" ca="1" si="33"/>
        <v>0.36136446100995961</v>
      </c>
      <c r="AB124" s="1105"/>
    </row>
    <row r="125" spans="1:28">
      <c r="A125" s="1144">
        <f>Calendar!J117</f>
        <v>48484</v>
      </c>
      <c r="C125" s="1104"/>
      <c r="D125" s="1125">
        <f t="shared" ca="1" si="19"/>
        <v>49705</v>
      </c>
      <c r="E125" s="1126">
        <f t="shared" ca="1" si="20"/>
        <v>49732</v>
      </c>
      <c r="F125" s="1127">
        <f t="shared" ca="1" si="21"/>
        <v>3502</v>
      </c>
      <c r="G125" s="1128">
        <f ca="1">IF(F125&lt;&gt;"",COUNTIF($F$11:F125,"&gt;0"),"")</f>
        <v>115</v>
      </c>
      <c r="H125" s="1129">
        <v>1.1393319989222802E-2</v>
      </c>
      <c r="I125" s="1073"/>
      <c r="J125" s="1130">
        <f t="shared" ca="1" si="22"/>
        <v>4150029822.4054203</v>
      </c>
      <c r="K125" s="1131">
        <f t="shared" ca="1" si="23"/>
        <v>47282617.731482431</v>
      </c>
      <c r="L125" s="1130">
        <f t="shared" ca="1" si="24"/>
        <v>0</v>
      </c>
      <c r="M125" s="1130">
        <f t="shared" ca="1" si="25"/>
        <v>0</v>
      </c>
      <c r="N125" s="1130">
        <f t="shared" ca="1" si="34"/>
        <v>4102747204.6739378</v>
      </c>
      <c r="O125" s="1073"/>
      <c r="P125" s="1130">
        <f t="shared" ca="1" si="26"/>
        <v>47282617.731482506</v>
      </c>
      <c r="Q125" s="1130">
        <f t="shared" ca="1" si="27"/>
        <v>3897609844.4402409</v>
      </c>
      <c r="R125" s="1130">
        <f t="shared" ca="1" si="35"/>
        <v>3942528331.2851491</v>
      </c>
      <c r="S125" s="1130">
        <f t="shared" ca="1" si="36"/>
        <v>44918486.844908237</v>
      </c>
      <c r="T125" s="1130">
        <f t="shared" ca="1" si="28"/>
        <v>3897609844.4402409</v>
      </c>
      <c r="U125" s="1132">
        <f t="shared" ca="1" si="29"/>
        <v>0.33390882946720213</v>
      </c>
      <c r="V125" s="1133">
        <f t="shared" ca="1" si="30"/>
        <v>5.0000000000000044E-2</v>
      </c>
      <c r="X125" s="1134">
        <f t="shared" ca="1" si="37"/>
        <v>207501491.12027115</v>
      </c>
      <c r="Y125" s="1134">
        <f t="shared" ca="1" si="31"/>
        <v>2364130.8865742683</v>
      </c>
      <c r="Z125" s="1134">
        <f t="shared" ca="1" si="32"/>
        <v>205137360.23369688</v>
      </c>
      <c r="AA125" s="1132">
        <f t="shared" ca="1" si="33"/>
        <v>0.35726840757622441</v>
      </c>
      <c r="AB125" s="1105"/>
    </row>
    <row r="126" spans="1:28">
      <c r="A126" s="1144">
        <f>Calendar!J118</f>
        <v>48514</v>
      </c>
      <c r="C126" s="1104"/>
      <c r="D126" s="1125">
        <f t="shared" ca="1" si="19"/>
        <v>49734</v>
      </c>
      <c r="E126" s="1126">
        <f t="shared" ca="1" si="20"/>
        <v>49761</v>
      </c>
      <c r="F126" s="1127">
        <f t="shared" ca="1" si="21"/>
        <v>3531</v>
      </c>
      <c r="G126" s="1128">
        <f ca="1">IF(F126&lt;&gt;"",COUNTIF($F$11:F126,"&gt;0"),"")</f>
        <v>116</v>
      </c>
      <c r="H126" s="1129">
        <v>1.1436699626936178E-2</v>
      </c>
      <c r="I126" s="1073"/>
      <c r="J126" s="1130">
        <f t="shared" ca="1" si="22"/>
        <v>4102747204.6739378</v>
      </c>
      <c r="K126" s="1131">
        <f t="shared" ca="1" si="23"/>
        <v>46921887.425107874</v>
      </c>
      <c r="L126" s="1130">
        <f t="shared" ca="1" si="24"/>
        <v>0</v>
      </c>
      <c r="M126" s="1130">
        <f t="shared" ca="1" si="25"/>
        <v>0</v>
      </c>
      <c r="N126" s="1130">
        <f t="shared" ca="1" si="34"/>
        <v>4055825317.2488298</v>
      </c>
      <c r="O126" s="1073"/>
      <c r="P126" s="1130">
        <f t="shared" ca="1" si="26"/>
        <v>46921887.425107956</v>
      </c>
      <c r="Q126" s="1130">
        <f t="shared" ca="1" si="27"/>
        <v>3853034051.3863883</v>
      </c>
      <c r="R126" s="1130">
        <f t="shared" ca="1" si="35"/>
        <v>3897609844.4402409</v>
      </c>
      <c r="S126" s="1130">
        <f t="shared" ca="1" si="36"/>
        <v>44575793.053852558</v>
      </c>
      <c r="T126" s="1130">
        <f t="shared" ca="1" si="28"/>
        <v>3853034051.3863883</v>
      </c>
      <c r="U126" s="1132">
        <f t="shared" ca="1" si="29"/>
        <v>0.3301044993258555</v>
      </c>
      <c r="V126" s="1133">
        <f t="shared" ca="1" si="30"/>
        <v>5.0000000000000044E-2</v>
      </c>
      <c r="X126" s="1134">
        <f t="shared" ca="1" si="37"/>
        <v>205137360.23369688</v>
      </c>
      <c r="Y126" s="1134">
        <f t="shared" ca="1" si="31"/>
        <v>2346094.3712553978</v>
      </c>
      <c r="Z126" s="1134">
        <f t="shared" ca="1" si="32"/>
        <v>202791265.86244148</v>
      </c>
      <c r="AA126" s="1132">
        <f t="shared" ca="1" si="33"/>
        <v>0.35319793428666818</v>
      </c>
      <c r="AB126" s="1105"/>
    </row>
    <row r="127" spans="1:28">
      <c r="A127" s="1144">
        <f>Calendar!J119</f>
        <v>48547</v>
      </c>
      <c r="C127" s="1104"/>
      <c r="D127" s="1125">
        <f t="shared" ca="1" si="19"/>
        <v>49765</v>
      </c>
      <c r="E127" s="1126">
        <f t="shared" ca="1" si="20"/>
        <v>49793</v>
      </c>
      <c r="F127" s="1127">
        <f t="shared" ca="1" si="21"/>
        <v>3563</v>
      </c>
      <c r="G127" s="1128">
        <f ca="1">IF(F127&lt;&gt;"",COUNTIF($F$11:F127,"&gt;0"),"")</f>
        <v>117</v>
      </c>
      <c r="H127" s="1129">
        <v>1.149743588772667E-2</v>
      </c>
      <c r="I127" s="1073"/>
      <c r="J127" s="1130">
        <f t="shared" ca="1" si="22"/>
        <v>4055825317.2488298</v>
      </c>
      <c r="K127" s="1131">
        <f t="shared" ca="1" si="23"/>
        <v>46631591.556887105</v>
      </c>
      <c r="L127" s="1130">
        <f t="shared" ca="1" si="24"/>
        <v>0</v>
      </c>
      <c r="M127" s="1130">
        <f t="shared" ca="1" si="25"/>
        <v>0</v>
      </c>
      <c r="N127" s="1130">
        <f t="shared" ca="1" si="34"/>
        <v>4009193725.6919427</v>
      </c>
      <c r="O127" s="1073"/>
      <c r="P127" s="1130">
        <f t="shared" ca="1" si="26"/>
        <v>46631591.55688715</v>
      </c>
      <c r="Q127" s="1130">
        <f t="shared" ca="1" si="27"/>
        <v>3808734039.4073453</v>
      </c>
      <c r="R127" s="1130">
        <f t="shared" ca="1" si="35"/>
        <v>3853034051.3863883</v>
      </c>
      <c r="S127" s="1130">
        <f t="shared" ca="1" si="36"/>
        <v>44300011.979043007</v>
      </c>
      <c r="T127" s="1130">
        <f t="shared" ca="1" si="28"/>
        <v>3808734039.4073453</v>
      </c>
      <c r="U127" s="1132">
        <f t="shared" ca="1" si="29"/>
        <v>0.32632919332156551</v>
      </c>
      <c r="V127" s="1133">
        <f t="shared" ca="1" si="30"/>
        <v>5.0000000000000044E-2</v>
      </c>
      <c r="X127" s="1134">
        <f t="shared" ca="1" si="37"/>
        <v>202791265.86244148</v>
      </c>
      <c r="Y127" s="1134">
        <f t="shared" ca="1" si="31"/>
        <v>2331579.5778441429</v>
      </c>
      <c r="Z127" s="1134">
        <f t="shared" ca="1" si="32"/>
        <v>200459686.28459734</v>
      </c>
      <c r="AA127" s="1132">
        <f t="shared" ca="1" si="33"/>
        <v>0.34915851560337718</v>
      </c>
      <c r="AB127" s="1105"/>
    </row>
    <row r="128" spans="1:28">
      <c r="A128" s="1144">
        <f>Calendar!J120</f>
        <v>48575</v>
      </c>
      <c r="C128" s="1104"/>
      <c r="D128" s="1125">
        <f t="shared" ca="1" si="19"/>
        <v>49795</v>
      </c>
      <c r="E128" s="1126">
        <f t="shared" ca="1" si="20"/>
        <v>49822</v>
      </c>
      <c r="F128" s="1127">
        <f t="shared" ca="1" si="21"/>
        <v>3592</v>
      </c>
      <c r="G128" s="1128">
        <f ca="1">IF(F128&lt;&gt;"",COUNTIF($F$11:F128,"&gt;0"),"")</f>
        <v>118</v>
      </c>
      <c r="H128" s="1129">
        <v>1.1555022241423348E-2</v>
      </c>
      <c r="I128" s="1073"/>
      <c r="J128" s="1130">
        <f t="shared" ca="1" si="22"/>
        <v>4009193725.6919427</v>
      </c>
      <c r="K128" s="1131">
        <f t="shared" ca="1" si="23"/>
        <v>46326322.670545332</v>
      </c>
      <c r="L128" s="1130">
        <f t="shared" ca="1" si="24"/>
        <v>0</v>
      </c>
      <c r="M128" s="1130">
        <f t="shared" ca="1" si="25"/>
        <v>0</v>
      </c>
      <c r="N128" s="1130">
        <f t="shared" ca="1" si="34"/>
        <v>3962867403.0213976</v>
      </c>
      <c r="O128" s="1073"/>
      <c r="P128" s="1130">
        <f t="shared" ca="1" si="26"/>
        <v>46326322.670545101</v>
      </c>
      <c r="Q128" s="1130">
        <f t="shared" ca="1" si="27"/>
        <v>3764724032.8703275</v>
      </c>
      <c r="R128" s="1130">
        <f t="shared" ca="1" si="35"/>
        <v>3808734039.4073453</v>
      </c>
      <c r="S128" s="1130">
        <f t="shared" ca="1" si="36"/>
        <v>44010006.537017822</v>
      </c>
      <c r="T128" s="1130">
        <f t="shared" ca="1" si="28"/>
        <v>3764724032.8703275</v>
      </c>
      <c r="U128" s="1132">
        <f t="shared" ca="1" si="29"/>
        <v>0.32257724434305723</v>
      </c>
      <c r="V128" s="1133">
        <f t="shared" ca="1" si="30"/>
        <v>5.0000000000000044E-2</v>
      </c>
      <c r="X128" s="1134">
        <f t="shared" ca="1" si="37"/>
        <v>200459686.28459734</v>
      </c>
      <c r="Y128" s="1134">
        <f t="shared" ca="1" si="31"/>
        <v>2316316.1335272789</v>
      </c>
      <c r="Z128" s="1134">
        <f t="shared" ca="1" si="32"/>
        <v>198143370.15107006</v>
      </c>
      <c r="AA128" s="1132">
        <f t="shared" ca="1" si="33"/>
        <v>0.34514408795557394</v>
      </c>
      <c r="AB128" s="1105"/>
    </row>
    <row r="129" spans="1:28">
      <c r="A129" s="1144">
        <f>Calendar!J121</f>
        <v>48606</v>
      </c>
      <c r="C129" s="1104"/>
      <c r="D129" s="1125">
        <f t="shared" ca="1" si="19"/>
        <v>49826</v>
      </c>
      <c r="E129" s="1126">
        <f t="shared" ca="1" si="20"/>
        <v>49853</v>
      </c>
      <c r="F129" s="1127">
        <f t="shared" ca="1" si="21"/>
        <v>3623</v>
      </c>
      <c r="G129" s="1128">
        <f ca="1">IF(F129&lt;&gt;"",COUNTIF($F$11:F129,"&gt;0"),"")</f>
        <v>119</v>
      </c>
      <c r="H129" s="1129">
        <v>1.1605834995699654E-2</v>
      </c>
      <c r="I129" s="1073"/>
      <c r="J129" s="1130">
        <f t="shared" ca="1" si="22"/>
        <v>3962867403.0213976</v>
      </c>
      <c r="K129" s="1131">
        <f t="shared" ca="1" si="23"/>
        <v>45992385.189303137</v>
      </c>
      <c r="L129" s="1130">
        <f t="shared" ca="1" si="24"/>
        <v>0</v>
      </c>
      <c r="M129" s="1130">
        <f t="shared" ca="1" si="25"/>
        <v>0</v>
      </c>
      <c r="N129" s="1130">
        <f t="shared" ca="1" si="34"/>
        <v>3916875017.8320947</v>
      </c>
      <c r="O129" s="1073"/>
      <c r="P129" s="1130">
        <f t="shared" ca="1" si="26"/>
        <v>45992385.189302921</v>
      </c>
      <c r="Q129" s="1130">
        <f t="shared" ca="1" si="27"/>
        <v>3721031266.9404898</v>
      </c>
      <c r="R129" s="1130">
        <f t="shared" ca="1" si="35"/>
        <v>3764724032.8703275</v>
      </c>
      <c r="S129" s="1130">
        <f t="shared" ca="1" si="36"/>
        <v>43692765.929837704</v>
      </c>
      <c r="T129" s="1130">
        <f t="shared" ca="1" si="28"/>
        <v>3721031266.9404898</v>
      </c>
      <c r="U129" s="1132">
        <f t="shared" ca="1" si="29"/>
        <v>0.31884985711009617</v>
      </c>
      <c r="V129" s="1133">
        <f t="shared" ca="1" si="30"/>
        <v>5.0000000000000044E-2</v>
      </c>
      <c r="X129" s="1134">
        <f t="shared" ca="1" si="37"/>
        <v>198143370.15107006</v>
      </c>
      <c r="Y129" s="1134">
        <f t="shared" ca="1" si="31"/>
        <v>2299619.2594652176</v>
      </c>
      <c r="Z129" s="1134">
        <f t="shared" ca="1" si="32"/>
        <v>195843750.89160484</v>
      </c>
      <c r="AA129" s="1132">
        <f t="shared" ca="1" si="33"/>
        <v>0.34115594034275148</v>
      </c>
      <c r="AB129" s="1105"/>
    </row>
    <row r="130" spans="1:28">
      <c r="A130" s="1144">
        <f>Calendar!J122</f>
        <v>48638</v>
      </c>
      <c r="C130" s="1104"/>
      <c r="D130" s="1125">
        <f t="shared" ca="1" si="19"/>
        <v>49856</v>
      </c>
      <c r="E130" s="1126">
        <f t="shared" ca="1" si="20"/>
        <v>49884</v>
      </c>
      <c r="F130" s="1127">
        <f t="shared" ca="1" si="21"/>
        <v>3654</v>
      </c>
      <c r="G130" s="1128">
        <f ca="1">IF(F130&lt;&gt;"",COUNTIF($F$11:F130,"&gt;0"),"")</f>
        <v>120</v>
      </c>
      <c r="H130" s="1129">
        <v>1.1655534415548082E-2</v>
      </c>
      <c r="I130" s="1073"/>
      <c r="J130" s="1130">
        <f t="shared" ca="1" si="22"/>
        <v>3916875017.8320947</v>
      </c>
      <c r="K130" s="1131">
        <f t="shared" ca="1" si="23"/>
        <v>45653271.57174249</v>
      </c>
      <c r="L130" s="1130">
        <f t="shared" ca="1" si="24"/>
        <v>0</v>
      </c>
      <c r="M130" s="1130">
        <f t="shared" ca="1" si="25"/>
        <v>0</v>
      </c>
      <c r="N130" s="1130">
        <f t="shared" ca="1" si="34"/>
        <v>3871221746.2603521</v>
      </c>
      <c r="O130" s="1073"/>
      <c r="P130" s="1130">
        <f t="shared" ca="1" si="26"/>
        <v>45653271.571742535</v>
      </c>
      <c r="Q130" s="1130">
        <f t="shared" ca="1" si="27"/>
        <v>3677660658.9473343</v>
      </c>
      <c r="R130" s="1130">
        <f t="shared" ca="1" si="35"/>
        <v>3721031266.9404898</v>
      </c>
      <c r="S130" s="1130">
        <f t="shared" ca="1" si="36"/>
        <v>43370607.993155479</v>
      </c>
      <c r="T130" s="1130">
        <f t="shared" ca="1" si="28"/>
        <v>3677660658.9473343</v>
      </c>
      <c r="U130" s="1132">
        <f t="shared" ca="1" si="29"/>
        <v>0.31514933828007402</v>
      </c>
      <c r="V130" s="1133">
        <f t="shared" ca="1" si="30"/>
        <v>5.0000000000000044E-2</v>
      </c>
      <c r="X130" s="1134">
        <f t="shared" ca="1" si="37"/>
        <v>195843750.89160484</v>
      </c>
      <c r="Y130" s="1134">
        <f t="shared" ca="1" si="31"/>
        <v>2282663.5785870552</v>
      </c>
      <c r="Z130" s="1134">
        <f t="shared" ca="1" si="32"/>
        <v>193561087.31301779</v>
      </c>
      <c r="AA130" s="1132">
        <f t="shared" ca="1" si="33"/>
        <v>0.33719654079133066</v>
      </c>
      <c r="AB130" s="1105"/>
    </row>
    <row r="131" spans="1:28">
      <c r="A131" s="1144">
        <f>Calendar!J123</f>
        <v>48666</v>
      </c>
      <c r="C131" s="1104"/>
      <c r="D131" s="1125">
        <f t="shared" ca="1" si="19"/>
        <v>49887</v>
      </c>
      <c r="E131" s="1126">
        <f t="shared" ca="1" si="20"/>
        <v>49914</v>
      </c>
      <c r="F131" s="1127">
        <f t="shared" ca="1" si="21"/>
        <v>3684</v>
      </c>
      <c r="G131" s="1128">
        <f ca="1">IF(F131&lt;&gt;"",COUNTIF($F$11:F131,"&gt;0"),"")</f>
        <v>121</v>
      </c>
      <c r="H131" s="1129">
        <v>1.1719020820377648E-2</v>
      </c>
      <c r="I131" s="1073"/>
      <c r="J131" s="1130">
        <f t="shared" ca="1" si="22"/>
        <v>3871221746.2603521</v>
      </c>
      <c r="K131" s="1131">
        <f t="shared" ca="1" si="23"/>
        <v>45366928.244723782</v>
      </c>
      <c r="L131" s="1130">
        <f t="shared" ca="1" si="24"/>
        <v>0</v>
      </c>
      <c r="M131" s="1130">
        <f t="shared" ca="1" si="25"/>
        <v>0</v>
      </c>
      <c r="N131" s="1130">
        <f t="shared" ca="1" si="34"/>
        <v>3825854818.0156283</v>
      </c>
      <c r="O131" s="1073"/>
      <c r="P131" s="1130">
        <f t="shared" ca="1" si="26"/>
        <v>45366928.244723797</v>
      </c>
      <c r="Q131" s="1130">
        <f t="shared" ca="1" si="27"/>
        <v>3634562077.1148467</v>
      </c>
      <c r="R131" s="1130">
        <f t="shared" ca="1" si="35"/>
        <v>3677660658.9473343</v>
      </c>
      <c r="S131" s="1130">
        <f t="shared" ca="1" si="36"/>
        <v>43098581.832487583</v>
      </c>
      <c r="T131" s="1130">
        <f t="shared" ca="1" si="28"/>
        <v>3634562077.1148467</v>
      </c>
      <c r="U131" s="1132">
        <f t="shared" ca="1" si="29"/>
        <v>0.31147610432171341</v>
      </c>
      <c r="V131" s="1133">
        <f t="shared" ca="1" si="30"/>
        <v>5.0000000000000044E-2</v>
      </c>
      <c r="X131" s="1134">
        <f t="shared" ca="1" si="37"/>
        <v>193561087.31301779</v>
      </c>
      <c r="Y131" s="1134">
        <f t="shared" ca="1" si="31"/>
        <v>2268346.4122362137</v>
      </c>
      <c r="Z131" s="1134">
        <f t="shared" ca="1" si="32"/>
        <v>191292740.90078157</v>
      </c>
      <c r="AA131" s="1132">
        <f t="shared" ca="1" si="33"/>
        <v>0.33326633490533364</v>
      </c>
      <c r="AB131" s="1105"/>
    </row>
    <row r="132" spans="1:28">
      <c r="A132" s="1144">
        <f>Calendar!J124</f>
        <v>48696</v>
      </c>
      <c r="C132" s="1104"/>
      <c r="D132" s="1125">
        <f t="shared" ca="1" si="19"/>
        <v>49918</v>
      </c>
      <c r="E132" s="1126">
        <f t="shared" ca="1" si="20"/>
        <v>49947</v>
      </c>
      <c r="F132" s="1127">
        <f t="shared" ca="1" si="21"/>
        <v>3717</v>
      </c>
      <c r="G132" s="1128">
        <f ca="1">IF(F132&lt;&gt;"",COUNTIF($F$11:F132,"&gt;0"),"")</f>
        <v>122</v>
      </c>
      <c r="H132" s="1129">
        <v>1.1772454203261574E-2</v>
      </c>
      <c r="I132" s="1073"/>
      <c r="J132" s="1130">
        <f t="shared" ca="1" si="22"/>
        <v>3825854818.0156283</v>
      </c>
      <c r="K132" s="1131">
        <f t="shared" ca="1" si="23"/>
        <v>45039700.63341663</v>
      </c>
      <c r="L132" s="1130">
        <f t="shared" ca="1" si="24"/>
        <v>0</v>
      </c>
      <c r="M132" s="1130">
        <f t="shared" ca="1" si="25"/>
        <v>0</v>
      </c>
      <c r="N132" s="1130">
        <f t="shared" ca="1" si="34"/>
        <v>3780815117.3822117</v>
      </c>
      <c r="O132" s="1073"/>
      <c r="P132" s="1130">
        <f t="shared" ca="1" si="26"/>
        <v>45039700.633416653</v>
      </c>
      <c r="Q132" s="1130">
        <f t="shared" ca="1" si="27"/>
        <v>3591774361.5131011</v>
      </c>
      <c r="R132" s="1130">
        <f t="shared" ca="1" si="35"/>
        <v>3634562077.1148467</v>
      </c>
      <c r="S132" s="1130">
        <f t="shared" ca="1" si="36"/>
        <v>42787715.601745605</v>
      </c>
      <c r="T132" s="1130">
        <f t="shared" ca="1" si="28"/>
        <v>3591774361.5131011</v>
      </c>
      <c r="U132" s="1132">
        <f t="shared" ca="1" si="29"/>
        <v>0.30782590937011711</v>
      </c>
      <c r="V132" s="1133">
        <f t="shared" ca="1" si="30"/>
        <v>5.0000000000000044E-2</v>
      </c>
      <c r="X132" s="1134">
        <f t="shared" ca="1" si="37"/>
        <v>191292740.90078157</v>
      </c>
      <c r="Y132" s="1134">
        <f t="shared" ca="1" si="31"/>
        <v>2251985.0316710472</v>
      </c>
      <c r="Z132" s="1134">
        <f t="shared" ca="1" si="32"/>
        <v>189040755.86911052</v>
      </c>
      <c r="AA132" s="1132">
        <f t="shared" ca="1" si="33"/>
        <v>0.32936077978784706</v>
      </c>
      <c r="AB132" s="1105"/>
    </row>
    <row r="133" spans="1:28">
      <c r="A133" s="1144">
        <f>Calendar!J125</f>
        <v>48726</v>
      </c>
      <c r="C133" s="1104"/>
      <c r="D133" s="1125">
        <f t="shared" ca="1" si="19"/>
        <v>49948</v>
      </c>
      <c r="E133" s="1126">
        <f t="shared" ca="1" si="20"/>
        <v>49975</v>
      </c>
      <c r="F133" s="1127">
        <f t="shared" ca="1" si="21"/>
        <v>3745</v>
      </c>
      <c r="G133" s="1128">
        <f ca="1">IF(F133&lt;&gt;"",COUNTIF($F$11:F133,"&gt;0"),"")</f>
        <v>123</v>
      </c>
      <c r="H133" s="1129">
        <v>1.1814644938606718E-2</v>
      </c>
      <c r="I133" s="1073"/>
      <c r="J133" s="1130">
        <f t="shared" ca="1" si="22"/>
        <v>3780815117.3822117</v>
      </c>
      <c r="K133" s="1131">
        <f t="shared" ca="1" si="23"/>
        <v>44668988.19038751</v>
      </c>
      <c r="L133" s="1130">
        <f t="shared" ca="1" si="24"/>
        <v>0</v>
      </c>
      <c r="M133" s="1130">
        <f t="shared" ca="1" si="25"/>
        <v>0</v>
      </c>
      <c r="N133" s="1130">
        <f t="shared" ca="1" si="34"/>
        <v>3736146129.191824</v>
      </c>
      <c r="O133" s="1073"/>
      <c r="P133" s="1130">
        <f t="shared" ca="1" si="26"/>
        <v>44668988.190387726</v>
      </c>
      <c r="Q133" s="1130">
        <f t="shared" ca="1" si="27"/>
        <v>3549338822.7322326</v>
      </c>
      <c r="R133" s="1130">
        <f t="shared" ca="1" si="35"/>
        <v>3591774361.5131011</v>
      </c>
      <c r="S133" s="1130">
        <f t="shared" ca="1" si="36"/>
        <v>42435538.78086853</v>
      </c>
      <c r="T133" s="1130">
        <f t="shared" ca="1" si="28"/>
        <v>3549338822.7322326</v>
      </c>
      <c r="U133" s="1132">
        <f t="shared" ca="1" si="29"/>
        <v>0.30420204294948006</v>
      </c>
      <c r="V133" s="1133">
        <f t="shared" ca="1" si="30"/>
        <v>5.0000000000000044E-2</v>
      </c>
      <c r="X133" s="1134">
        <f t="shared" ca="1" si="37"/>
        <v>189040755.86911052</v>
      </c>
      <c r="Y133" s="1134">
        <f t="shared" ca="1" si="31"/>
        <v>2233449.4095191956</v>
      </c>
      <c r="Z133" s="1134">
        <f t="shared" ca="1" si="32"/>
        <v>186807306.45959133</v>
      </c>
      <c r="AA133" s="1132">
        <f t="shared" ca="1" si="33"/>
        <v>0.32548339509144375</v>
      </c>
      <c r="AB133" s="1105"/>
    </row>
    <row r="134" spans="1:28">
      <c r="A134" s="1144">
        <f>Calendar!J126</f>
        <v>48757</v>
      </c>
      <c r="C134" s="1104"/>
      <c r="D134" s="1125">
        <f t="shared" ca="1" si="19"/>
        <v>49979</v>
      </c>
      <c r="E134" s="1126">
        <f t="shared" ca="1" si="20"/>
        <v>50006</v>
      </c>
      <c r="F134" s="1127">
        <f t="shared" ca="1" si="21"/>
        <v>3776</v>
      </c>
      <c r="G134" s="1128">
        <f ca="1">IF(F134&lt;&gt;"",COUNTIF($F$11:F134,"&gt;0"),"")</f>
        <v>124</v>
      </c>
      <c r="H134" s="1129">
        <v>1.184628088348732E-2</v>
      </c>
      <c r="I134" s="1073"/>
      <c r="J134" s="1130">
        <f t="shared" ca="1" si="22"/>
        <v>3736146129.191824</v>
      </c>
      <c r="K134" s="1131">
        <f t="shared" ca="1" si="23"/>
        <v>44259436.468160249</v>
      </c>
      <c r="L134" s="1130">
        <f t="shared" ca="1" si="24"/>
        <v>0</v>
      </c>
      <c r="M134" s="1130">
        <f t="shared" ca="1" si="25"/>
        <v>0</v>
      </c>
      <c r="N134" s="1130">
        <f t="shared" ca="1" si="34"/>
        <v>3691886692.7236638</v>
      </c>
      <c r="O134" s="1073"/>
      <c r="P134" s="1130">
        <f t="shared" ca="1" si="26"/>
        <v>44259436.468160152</v>
      </c>
      <c r="Q134" s="1130">
        <f t="shared" ca="1" si="27"/>
        <v>3507292358.0874805</v>
      </c>
      <c r="R134" s="1130">
        <f t="shared" ca="1" si="35"/>
        <v>3549338822.7322326</v>
      </c>
      <c r="S134" s="1130">
        <f t="shared" ca="1" si="36"/>
        <v>42046464.644752026</v>
      </c>
      <c r="T134" s="1130">
        <f t="shared" ca="1" si="28"/>
        <v>3507292358.0874805</v>
      </c>
      <c r="U134" s="1132">
        <f t="shared" ca="1" si="29"/>
        <v>0.30060800382243313</v>
      </c>
      <c r="V134" s="1133">
        <f t="shared" ca="1" si="30"/>
        <v>5.0000000000000044E-2</v>
      </c>
      <c r="X134" s="1134">
        <f t="shared" ca="1" si="37"/>
        <v>186807306.45959133</v>
      </c>
      <c r="Y134" s="1134">
        <f t="shared" ca="1" si="31"/>
        <v>2212971.8234081268</v>
      </c>
      <c r="Z134" s="1134">
        <f t="shared" ca="1" si="32"/>
        <v>184594334.6361832</v>
      </c>
      <c r="AA134" s="1132">
        <f t="shared" ca="1" si="33"/>
        <v>0.32163792434502642</v>
      </c>
      <c r="AB134" s="1105"/>
    </row>
    <row r="135" spans="1:28">
      <c r="A135" s="1144">
        <f>Calendar!J127</f>
        <v>48787</v>
      </c>
      <c r="C135" s="1104"/>
      <c r="D135" s="1125">
        <f t="shared" ca="1" si="19"/>
        <v>50009</v>
      </c>
      <c r="E135" s="1126">
        <f t="shared" ca="1" si="20"/>
        <v>50038</v>
      </c>
      <c r="F135" s="1127">
        <f t="shared" ca="1" si="21"/>
        <v>3808</v>
      </c>
      <c r="G135" s="1128">
        <f ca="1">IF(F135&lt;&gt;"",COUNTIF($F$11:F135,"&gt;0"),"")</f>
        <v>125</v>
      </c>
      <c r="H135" s="1129">
        <v>1.189451779593848E-2</v>
      </c>
      <c r="I135" s="1073"/>
      <c r="J135" s="1130">
        <f t="shared" ca="1" si="22"/>
        <v>3691886692.7236638</v>
      </c>
      <c r="K135" s="1131">
        <f t="shared" ca="1" si="23"/>
        <v>43913211.967190079</v>
      </c>
      <c r="L135" s="1130">
        <f t="shared" ca="1" si="24"/>
        <v>0</v>
      </c>
      <c r="M135" s="1130">
        <f t="shared" ca="1" si="25"/>
        <v>0</v>
      </c>
      <c r="N135" s="1130">
        <f t="shared" ca="1" si="34"/>
        <v>3647973480.7564735</v>
      </c>
      <c r="O135" s="1073"/>
      <c r="P135" s="1130">
        <f t="shared" ca="1" si="26"/>
        <v>43913211.967190266</v>
      </c>
      <c r="Q135" s="1130">
        <f t="shared" ca="1" si="27"/>
        <v>3465574806.7186499</v>
      </c>
      <c r="R135" s="1130">
        <f t="shared" ca="1" si="35"/>
        <v>3507292358.0874805</v>
      </c>
      <c r="S135" s="1130">
        <f t="shared" ca="1" si="36"/>
        <v>41717551.368830681</v>
      </c>
      <c r="T135" s="1130">
        <f t="shared" ca="1" si="28"/>
        <v>3465574806.7186499</v>
      </c>
      <c r="U135" s="1132">
        <f t="shared" ca="1" si="29"/>
        <v>0.29704691697332819</v>
      </c>
      <c r="V135" s="1133">
        <f t="shared" ca="1" si="30"/>
        <v>5.0000000000000044E-2</v>
      </c>
      <c r="X135" s="1134">
        <f t="shared" ca="1" si="37"/>
        <v>184594334.6361832</v>
      </c>
      <c r="Y135" s="1134">
        <f t="shared" ca="1" si="31"/>
        <v>2195660.5983595848</v>
      </c>
      <c r="Z135" s="1134">
        <f t="shared" ca="1" si="32"/>
        <v>182398674.03782362</v>
      </c>
      <c r="AA135" s="1132">
        <f t="shared" ca="1" si="33"/>
        <v>0.31782771115045316</v>
      </c>
      <c r="AB135" s="1105"/>
    </row>
    <row r="136" spans="1:28">
      <c r="A136" s="1144">
        <f>Calendar!J128</f>
        <v>48820</v>
      </c>
      <c r="C136" s="1104"/>
      <c r="D136" s="1125">
        <f t="shared" ca="1" si="19"/>
        <v>50040</v>
      </c>
      <c r="E136" s="1126">
        <f t="shared" ca="1" si="20"/>
        <v>50067</v>
      </c>
      <c r="F136" s="1127">
        <f t="shared" ca="1" si="21"/>
        <v>3837</v>
      </c>
      <c r="G136" s="1128">
        <f ca="1">IF(F136&lt;&gt;"",COUNTIF($F$11:F136,"&gt;0"),"")</f>
        <v>126</v>
      </c>
      <c r="H136" s="1129">
        <v>1.1958332181730192E-2</v>
      </c>
      <c r="I136" s="1073"/>
      <c r="J136" s="1130">
        <f t="shared" ca="1" si="22"/>
        <v>3647973480.7564735</v>
      </c>
      <c r="K136" s="1131">
        <f t="shared" ca="1" si="23"/>
        <v>43623678.673028439</v>
      </c>
      <c r="L136" s="1130">
        <f t="shared" ca="1" si="24"/>
        <v>0</v>
      </c>
      <c r="M136" s="1130">
        <f t="shared" ca="1" si="25"/>
        <v>0</v>
      </c>
      <c r="N136" s="1130">
        <f t="shared" ca="1" si="34"/>
        <v>3604349802.0834451</v>
      </c>
      <c r="O136" s="1073"/>
      <c r="P136" s="1130">
        <f t="shared" ca="1" si="26"/>
        <v>43623678.673028469</v>
      </c>
      <c r="Q136" s="1130">
        <f t="shared" ca="1" si="27"/>
        <v>3424132311.9792728</v>
      </c>
      <c r="R136" s="1130">
        <f t="shared" ca="1" si="35"/>
        <v>3465574806.7186499</v>
      </c>
      <c r="S136" s="1130">
        <f t="shared" ca="1" si="36"/>
        <v>41442494.739377022</v>
      </c>
      <c r="T136" s="1130">
        <f t="shared" ca="1" si="28"/>
        <v>3424132311.9792728</v>
      </c>
      <c r="U136" s="1132">
        <f t="shared" ca="1" si="29"/>
        <v>0.29351368713316028</v>
      </c>
      <c r="V136" s="1133">
        <f t="shared" ca="1" si="30"/>
        <v>5.0000000000000044E-2</v>
      </c>
      <c r="X136" s="1134">
        <f t="shared" ca="1" si="37"/>
        <v>182398674.03782362</v>
      </c>
      <c r="Y136" s="1134">
        <f t="shared" ca="1" si="31"/>
        <v>2181183.9336514473</v>
      </c>
      <c r="Z136" s="1134">
        <f t="shared" ca="1" si="32"/>
        <v>180217490.10417217</v>
      </c>
      <c r="AA136" s="1132">
        <f t="shared" ca="1" si="33"/>
        <v>0.31404730378413159</v>
      </c>
      <c r="AB136" s="1105"/>
    </row>
    <row r="137" spans="1:28">
      <c r="A137" s="1144">
        <f>Calendar!J129</f>
        <v>48849</v>
      </c>
      <c r="C137" s="1104"/>
      <c r="D137" s="1125">
        <f t="shared" ca="1" si="19"/>
        <v>50071</v>
      </c>
      <c r="E137" s="1126">
        <f t="shared" ca="1" si="20"/>
        <v>50098</v>
      </c>
      <c r="F137" s="1127">
        <f t="shared" ca="1" si="21"/>
        <v>3868</v>
      </c>
      <c r="G137" s="1128">
        <f ca="1">IF(F137&lt;&gt;"",COUNTIF($F$11:F137,"&gt;0"),"")</f>
        <v>127</v>
      </c>
      <c r="H137" s="1129">
        <v>1.2017089671290681E-2</v>
      </c>
      <c r="I137" s="1073"/>
      <c r="J137" s="1130">
        <f t="shared" ca="1" si="22"/>
        <v>3604349802.0834451</v>
      </c>
      <c r="K137" s="1131">
        <f t="shared" ca="1" si="23"/>
        <v>43313794.778335579</v>
      </c>
      <c r="L137" s="1130">
        <f t="shared" ca="1" si="24"/>
        <v>0</v>
      </c>
      <c r="M137" s="1130">
        <f t="shared" ca="1" si="25"/>
        <v>0</v>
      </c>
      <c r="N137" s="1130">
        <f t="shared" ca="1" si="34"/>
        <v>3561036007.3051095</v>
      </c>
      <c r="O137" s="1073"/>
      <c r="P137" s="1130">
        <f t="shared" ca="1" si="26"/>
        <v>43313794.778335571</v>
      </c>
      <c r="Q137" s="1130">
        <f t="shared" ca="1" si="27"/>
        <v>3382984206.9398537</v>
      </c>
      <c r="R137" s="1130">
        <f t="shared" ca="1" si="35"/>
        <v>3424132311.9792728</v>
      </c>
      <c r="S137" s="1130">
        <f t="shared" ca="1" si="36"/>
        <v>41148105.039419174</v>
      </c>
      <c r="T137" s="1130">
        <f t="shared" ca="1" si="28"/>
        <v>3382984206.9398537</v>
      </c>
      <c r="U137" s="1132">
        <f t="shared" ca="1" si="29"/>
        <v>0.2900037529625375</v>
      </c>
      <c r="V137" s="1133">
        <f t="shared" ca="1" si="30"/>
        <v>5.0000000000000155E-2</v>
      </c>
      <c r="X137" s="1134">
        <f t="shared" ca="1" si="37"/>
        <v>180217490.10417217</v>
      </c>
      <c r="Y137" s="1134">
        <f t="shared" ca="1" si="31"/>
        <v>2165689.7389163971</v>
      </c>
      <c r="Z137" s="1134">
        <f t="shared" ca="1" si="32"/>
        <v>178051800.36525577</v>
      </c>
      <c r="AA137" s="1132">
        <f t="shared" ca="1" si="33"/>
        <v>0.31029182180470416</v>
      </c>
      <c r="AB137" s="1105"/>
    </row>
    <row r="138" spans="1:28">
      <c r="A138" s="1144">
        <f>Calendar!J130</f>
        <v>48879</v>
      </c>
      <c r="C138" s="1104"/>
      <c r="D138" s="1125">
        <f t="shared" ca="1" si="19"/>
        <v>50099</v>
      </c>
      <c r="E138" s="1126">
        <f t="shared" ca="1" si="20"/>
        <v>50126</v>
      </c>
      <c r="F138" s="1127">
        <f t="shared" ca="1" si="21"/>
        <v>3896</v>
      </c>
      <c r="G138" s="1128">
        <f ca="1">IF(F138&lt;&gt;"",COUNTIF($F$11:F138,"&gt;0"),"")</f>
        <v>128</v>
      </c>
      <c r="H138" s="1129">
        <v>1.2072204422934746E-2</v>
      </c>
      <c r="I138" s="1073"/>
      <c r="J138" s="1130">
        <f t="shared" ca="1" si="22"/>
        <v>3561036007.3051095</v>
      </c>
      <c r="K138" s="1131">
        <f t="shared" ca="1" si="23"/>
        <v>42989554.637618631</v>
      </c>
      <c r="L138" s="1130">
        <f t="shared" ca="1" si="24"/>
        <v>0</v>
      </c>
      <c r="M138" s="1130">
        <f t="shared" ca="1" si="25"/>
        <v>0</v>
      </c>
      <c r="N138" s="1130">
        <f t="shared" ca="1" si="34"/>
        <v>3518046452.667491</v>
      </c>
      <c r="O138" s="1073"/>
      <c r="P138" s="1130">
        <f t="shared" ca="1" si="26"/>
        <v>42989554.637618542</v>
      </c>
      <c r="Q138" s="1130">
        <f t="shared" ca="1" si="27"/>
        <v>3342144130.0341163</v>
      </c>
      <c r="R138" s="1130">
        <f t="shared" ca="1" si="35"/>
        <v>3382984206.9398537</v>
      </c>
      <c r="S138" s="1130">
        <f t="shared" ca="1" si="36"/>
        <v>40840076.9057374</v>
      </c>
      <c r="T138" s="1130">
        <f t="shared" ca="1" si="28"/>
        <v>3342144130.0341163</v>
      </c>
      <c r="U138" s="1132">
        <f t="shared" ca="1" si="29"/>
        <v>0.28651875185817582</v>
      </c>
      <c r="V138" s="1133">
        <f t="shared" ca="1" si="30"/>
        <v>5.0000000000000044E-2</v>
      </c>
      <c r="X138" s="1134">
        <f t="shared" ca="1" si="37"/>
        <v>178051800.36525577</v>
      </c>
      <c r="Y138" s="1134">
        <f t="shared" ca="1" si="31"/>
        <v>2149477.7318811417</v>
      </c>
      <c r="Z138" s="1134">
        <f t="shared" ca="1" si="32"/>
        <v>175902322.63337463</v>
      </c>
      <c r="AA138" s="1132">
        <f t="shared" ca="1" si="33"/>
        <v>0.30656301715780954</v>
      </c>
      <c r="AB138" s="1105"/>
    </row>
    <row r="139" spans="1:28">
      <c r="A139" s="1144">
        <f>Calendar!J131</f>
        <v>48911</v>
      </c>
      <c r="C139" s="1104"/>
      <c r="D139" s="1125">
        <f t="shared" ca="1" si="19"/>
        <v>50130</v>
      </c>
      <c r="E139" s="1126">
        <f t="shared" ca="1" si="20"/>
        <v>50157</v>
      </c>
      <c r="F139" s="1127">
        <f t="shared" ca="1" si="21"/>
        <v>3927</v>
      </c>
      <c r="G139" s="1128">
        <f ca="1">IF(F139&lt;&gt;"",COUNTIF($F$11:F139,"&gt;0"),"")</f>
        <v>129</v>
      </c>
      <c r="H139" s="1129">
        <v>1.2146929369312066E-2</v>
      </c>
      <c r="I139" s="1073"/>
      <c r="J139" s="1130">
        <f t="shared" ca="1" si="22"/>
        <v>3518046452.667491</v>
      </c>
      <c r="K139" s="1131">
        <f t="shared" ca="1" si="23"/>
        <v>42733461.778510876</v>
      </c>
      <c r="L139" s="1130">
        <f t="shared" ca="1" si="24"/>
        <v>0</v>
      </c>
      <c r="M139" s="1130">
        <f t="shared" ca="1" si="25"/>
        <v>0</v>
      </c>
      <c r="N139" s="1130">
        <f t="shared" ca="1" si="34"/>
        <v>3475312990.8889799</v>
      </c>
      <c r="O139" s="1073"/>
      <c r="P139" s="1130">
        <f t="shared" ca="1" si="26"/>
        <v>42733461.778511047</v>
      </c>
      <c r="Q139" s="1130">
        <f t="shared" ca="1" si="27"/>
        <v>3301547341.3445306</v>
      </c>
      <c r="R139" s="1130">
        <f t="shared" ca="1" si="35"/>
        <v>3342144130.0341163</v>
      </c>
      <c r="S139" s="1130">
        <f t="shared" ca="1" si="36"/>
        <v>40596788.689585686</v>
      </c>
      <c r="T139" s="1130">
        <f t="shared" ca="1" si="28"/>
        <v>3301547341.3445306</v>
      </c>
      <c r="U139" s="1132">
        <f t="shared" ca="1" si="29"/>
        <v>0.28305983891473985</v>
      </c>
      <c r="V139" s="1133">
        <f t="shared" ca="1" si="30"/>
        <v>5.0000000000000044E-2</v>
      </c>
      <c r="X139" s="1134">
        <f t="shared" ca="1" si="37"/>
        <v>175902322.63337463</v>
      </c>
      <c r="Y139" s="1134">
        <f t="shared" ca="1" si="31"/>
        <v>2136673.0889253616</v>
      </c>
      <c r="Z139" s="1134">
        <f t="shared" ca="1" si="32"/>
        <v>173765649.54444927</v>
      </c>
      <c r="AA139" s="1132">
        <f t="shared" ca="1" si="33"/>
        <v>0.30286212574616844</v>
      </c>
      <c r="AB139" s="1105"/>
    </row>
    <row r="140" spans="1:28">
      <c r="A140" s="1144">
        <f>Calendar!J132</f>
        <v>48940</v>
      </c>
      <c r="C140" s="1104"/>
      <c r="D140" s="1125">
        <f t="shared" ref="D140:D203" ca="1" si="38">IF(E140&lt;&gt;"",EOMONTH(E140,-1),"")</f>
        <v>50160</v>
      </c>
      <c r="E140" s="1126">
        <f t="shared" ref="E140:E203" ca="1" si="39">IF(INDIRECT("A"&amp;(IFERROR(MATCH(E139,A:A),999)+1))&gt;0,INDIRECT("A"&amp;(IFERROR(MATCH(E139,A:A),999)+1)),"")</f>
        <v>50187</v>
      </c>
      <c r="F140" s="1127">
        <f t="shared" ref="F140:F203" ca="1" si="40">IF(E140&lt;&gt;"",E140-$A$31,"")</f>
        <v>3957</v>
      </c>
      <c r="G140" s="1128">
        <f ca="1">IF(F140&lt;&gt;"",COUNTIF($F$11:F140,"&gt;0"),"")</f>
        <v>130</v>
      </c>
      <c r="H140" s="1129">
        <v>1.2214711467789191E-2</v>
      </c>
      <c r="I140" s="1073"/>
      <c r="J140" s="1130">
        <f t="shared" ref="J140:J203" ca="1" si="41">IF(G140=1,$A$7,N139)</f>
        <v>3475312990.8889799</v>
      </c>
      <c r="K140" s="1131">
        <f t="shared" ref="K140:K203" ca="1" si="42">H140*J140</f>
        <v>42449945.443968371</v>
      </c>
      <c r="L140" s="1130">
        <f t="shared" ref="L140:L203" ca="1" si="43">IF(E140&lt;&gt;"",(1-(1-$A$25)^(1/12))*(J140-K140),"")</f>
        <v>0</v>
      </c>
      <c r="M140" s="1130">
        <f t="shared" ref="M140:M203" ca="1" si="44">IF(J140-K140-L140&lt;$A$27*$A$5,J140-K140-L140,0)</f>
        <v>0</v>
      </c>
      <c r="N140" s="1130">
        <f t="shared" ca="1" si="34"/>
        <v>3432863045.4450116</v>
      </c>
      <c r="O140" s="1073"/>
      <c r="P140" s="1130">
        <f t="shared" ref="P140:P203" ca="1" si="45">IF(G140&lt;&gt; "", R140+X140-N140, "")</f>
        <v>42449945.443968296</v>
      </c>
      <c r="Q140" s="1130">
        <f t="shared" ref="Q140:Q203" ca="1" si="46">IF(E140&lt;&gt;"", N140*(1-$A$15), "")</f>
        <v>3261219893.172761</v>
      </c>
      <c r="R140" s="1130">
        <f t="shared" ca="1" si="35"/>
        <v>3301547341.3445306</v>
      </c>
      <c r="S140" s="1130">
        <f t="shared" ca="1" si="36"/>
        <v>40327448.171769619</v>
      </c>
      <c r="T140" s="1130">
        <f t="shared" ref="T140:T203" ca="1" si="47">IF(E140&lt;&gt;"", R140-S140, "")</f>
        <v>3261219893.172761</v>
      </c>
      <c r="U140" s="1132">
        <f t="shared" ref="U140:U203" ca="1" si="48">IF(E140&lt;&gt;"", R140/$A$11, "")</f>
        <v>0.2796215310441536</v>
      </c>
      <c r="V140" s="1133">
        <f t="shared" ref="V140:V203" ca="1" si="49">IF(E140&lt;&gt;"", IFERROR(1-T140/N140, "n.a."), "")</f>
        <v>5.0000000000000044E-2</v>
      </c>
      <c r="X140" s="1134">
        <f t="shared" ca="1" si="37"/>
        <v>173765649.54444927</v>
      </c>
      <c r="Y140" s="1134">
        <f t="shared" ref="Y140:Y203" ca="1" si="50">IF(E140&lt;&gt;"", P140-S140, "")</f>
        <v>2122497.2721986771</v>
      </c>
      <c r="Z140" s="1134">
        <f t="shared" ref="Z140:Z203" ca="1" si="51">IF(E140&lt;&gt;"", X140-Y140, "")</f>
        <v>171643152.27225059</v>
      </c>
      <c r="AA140" s="1132">
        <f t="shared" ref="AA140:AA203" ca="1" si="52">IF(E140&lt;&gt;"", X140/$A$19, "")</f>
        <v>0.29918328089609036</v>
      </c>
      <c r="AB140" s="1105"/>
    </row>
    <row r="141" spans="1:28">
      <c r="A141" s="1144">
        <f>Calendar!J133</f>
        <v>48971</v>
      </c>
      <c r="C141" s="1104"/>
      <c r="D141" s="1125">
        <f t="shared" ca="1" si="38"/>
        <v>50191</v>
      </c>
      <c r="E141" s="1126">
        <f t="shared" ca="1" si="39"/>
        <v>50220</v>
      </c>
      <c r="F141" s="1127">
        <f t="shared" ca="1" si="40"/>
        <v>3990</v>
      </c>
      <c r="G141" s="1128">
        <f ca="1">IF(F141&lt;&gt;"",COUNTIF($F$11:F141,"&gt;0"),"")</f>
        <v>131</v>
      </c>
      <c r="H141" s="1129">
        <v>1.2293182292235061E-2</v>
      </c>
      <c r="I141" s="1073"/>
      <c r="J141" s="1130">
        <f t="shared" ca="1" si="41"/>
        <v>3432863045.4450116</v>
      </c>
      <c r="K141" s="1131">
        <f t="shared" ca="1" si="42"/>
        <v>42200811.201932736</v>
      </c>
      <c r="L141" s="1130">
        <f t="shared" ca="1" si="43"/>
        <v>0</v>
      </c>
      <c r="M141" s="1130">
        <f t="shared" ca="1" si="44"/>
        <v>0</v>
      </c>
      <c r="N141" s="1130">
        <f t="shared" ref="N141:N204" ca="1" si="53">IF(E141&lt;&gt;"",J141-K141-L141-M141,"")</f>
        <v>3390662234.2430787</v>
      </c>
      <c r="O141" s="1073"/>
      <c r="P141" s="1130">
        <f t="shared" ca="1" si="45"/>
        <v>42200811.201932907</v>
      </c>
      <c r="Q141" s="1130">
        <f t="shared" ca="1" si="46"/>
        <v>3221129122.5309248</v>
      </c>
      <c r="R141" s="1130">
        <f t="shared" ref="R141:R204" ca="1" si="54">IF(E141&lt;&gt;"", T140, "")</f>
        <v>3261219893.172761</v>
      </c>
      <c r="S141" s="1130">
        <f t="shared" ref="S141:S204" ca="1" si="55">IF(E141&lt;&gt;"", MIN(P141,MAX(R141-Q141,0)), "")</f>
        <v>40090770.641836166</v>
      </c>
      <c r="T141" s="1130">
        <f t="shared" ca="1" si="47"/>
        <v>3221129122.5309248</v>
      </c>
      <c r="U141" s="1132">
        <f t="shared" ca="1" si="48"/>
        <v>0.27620603472226785</v>
      </c>
      <c r="V141" s="1133">
        <f t="shared" ca="1" si="49"/>
        <v>5.0000000000000044E-2</v>
      </c>
      <c r="X141" s="1134">
        <f t="shared" ref="X141:X204" ca="1" si="56">IF(E141&lt;&gt;"", Z140, "")</f>
        <v>171643152.27225059</v>
      </c>
      <c r="Y141" s="1134">
        <f t="shared" ca="1" si="50"/>
        <v>2110040.5600967407</v>
      </c>
      <c r="Z141" s="1134">
        <f t="shared" ca="1" si="51"/>
        <v>169533111.71215385</v>
      </c>
      <c r="AA141" s="1132">
        <f t="shared" ca="1" si="52"/>
        <v>0.29552884344395763</v>
      </c>
      <c r="AB141" s="1105"/>
    </row>
    <row r="142" spans="1:28">
      <c r="A142" s="1144">
        <f>Calendar!J134</f>
        <v>49002</v>
      </c>
      <c r="C142" s="1104"/>
      <c r="D142" s="1125">
        <f t="shared" ca="1" si="38"/>
        <v>50221</v>
      </c>
      <c r="E142" s="1126">
        <f t="shared" ca="1" si="39"/>
        <v>50248</v>
      </c>
      <c r="F142" s="1127">
        <f t="shared" ca="1" si="40"/>
        <v>4018</v>
      </c>
      <c r="G142" s="1128">
        <f ca="1">IF(F142&lt;&gt;"",COUNTIF($F$11:F142,"&gt;0"),"")</f>
        <v>132</v>
      </c>
      <c r="H142" s="1129">
        <v>1.2384469228646137E-2</v>
      </c>
      <c r="I142" s="1073"/>
      <c r="J142" s="1130">
        <f t="shared" ca="1" si="41"/>
        <v>3390662234.2430787</v>
      </c>
      <c r="K142" s="1131">
        <f t="shared" ca="1" si="42"/>
        <v>41991552.104715966</v>
      </c>
      <c r="L142" s="1130">
        <f t="shared" ca="1" si="43"/>
        <v>0</v>
      </c>
      <c r="M142" s="1130">
        <f t="shared" ca="1" si="44"/>
        <v>0</v>
      </c>
      <c r="N142" s="1130">
        <f t="shared" ca="1" si="53"/>
        <v>3348670682.1383629</v>
      </c>
      <c r="O142" s="1073"/>
      <c r="P142" s="1130">
        <f t="shared" ca="1" si="45"/>
        <v>41991552.104715824</v>
      </c>
      <c r="Q142" s="1130">
        <f t="shared" ca="1" si="46"/>
        <v>3181237148.0314445</v>
      </c>
      <c r="R142" s="1130">
        <f t="shared" ca="1" si="54"/>
        <v>3221129122.5309248</v>
      </c>
      <c r="S142" s="1130">
        <f t="shared" ca="1" si="55"/>
        <v>39891974.499480247</v>
      </c>
      <c r="T142" s="1130">
        <f t="shared" ca="1" si="47"/>
        <v>3181237148.0314445</v>
      </c>
      <c r="U142" s="1132">
        <f t="shared" ca="1" si="48"/>
        <v>0.27281058358721161</v>
      </c>
      <c r="V142" s="1133">
        <f t="shared" ca="1" si="49"/>
        <v>5.0000000000000044E-2</v>
      </c>
      <c r="X142" s="1134">
        <f t="shared" ca="1" si="56"/>
        <v>169533111.71215385</v>
      </c>
      <c r="Y142" s="1134">
        <f t="shared" ca="1" si="50"/>
        <v>2099577.6052355766</v>
      </c>
      <c r="Z142" s="1134">
        <f t="shared" ca="1" si="51"/>
        <v>167433534.10691828</v>
      </c>
      <c r="AA142" s="1132">
        <f t="shared" ca="1" si="52"/>
        <v>0.29189585349888747</v>
      </c>
      <c r="AB142" s="1105"/>
    </row>
    <row r="143" spans="1:28">
      <c r="A143" s="1144">
        <f>Calendar!J135</f>
        <v>49030</v>
      </c>
      <c r="C143" s="1104"/>
      <c r="D143" s="1125">
        <f t="shared" ca="1" si="38"/>
        <v>50252</v>
      </c>
      <c r="E143" s="1126">
        <f t="shared" ca="1" si="39"/>
        <v>50279</v>
      </c>
      <c r="F143" s="1127">
        <f t="shared" ca="1" si="40"/>
        <v>4049</v>
      </c>
      <c r="G143" s="1128">
        <f ca="1">IF(F143&lt;&gt;"",COUNTIF($F$11:F143,"&gt;0"),"")</f>
        <v>133</v>
      </c>
      <c r="H143" s="1129">
        <v>1.2485675641903553E-2</v>
      </c>
      <c r="I143" s="1073"/>
      <c r="J143" s="1130">
        <f t="shared" ca="1" si="41"/>
        <v>3348670682.1383629</v>
      </c>
      <c r="K143" s="1131">
        <f t="shared" ca="1" si="42"/>
        <v>41810415.968731515</v>
      </c>
      <c r="L143" s="1130">
        <f t="shared" ca="1" si="43"/>
        <v>0</v>
      </c>
      <c r="M143" s="1130">
        <f t="shared" ca="1" si="44"/>
        <v>0</v>
      </c>
      <c r="N143" s="1130">
        <f t="shared" ca="1" si="53"/>
        <v>3306860266.1696315</v>
      </c>
      <c r="O143" s="1073"/>
      <c r="P143" s="1130">
        <f t="shared" ca="1" si="45"/>
        <v>41810415.968731403</v>
      </c>
      <c r="Q143" s="1130">
        <f t="shared" ca="1" si="46"/>
        <v>3141517252.8611498</v>
      </c>
      <c r="R143" s="1130">
        <f t="shared" ca="1" si="54"/>
        <v>3181237148.0314445</v>
      </c>
      <c r="S143" s="1130">
        <f t="shared" ca="1" si="55"/>
        <v>39719895.170294762</v>
      </c>
      <c r="T143" s="1130">
        <f t="shared" ca="1" si="47"/>
        <v>3141517252.8611498</v>
      </c>
      <c r="U143" s="1132">
        <f t="shared" ca="1" si="48"/>
        <v>0.26943196930952679</v>
      </c>
      <c r="V143" s="1133">
        <f t="shared" ca="1" si="49"/>
        <v>5.0000000000000044E-2</v>
      </c>
      <c r="X143" s="1134">
        <f t="shared" ca="1" si="56"/>
        <v>167433534.10691828</v>
      </c>
      <c r="Y143" s="1134">
        <f t="shared" ca="1" si="50"/>
        <v>2090520.7984366417</v>
      </c>
      <c r="Z143" s="1134">
        <f t="shared" ca="1" si="51"/>
        <v>165343013.30848163</v>
      </c>
      <c r="AA143" s="1132">
        <f t="shared" ca="1" si="52"/>
        <v>0.28828087828326149</v>
      </c>
      <c r="AB143" s="1105"/>
    </row>
    <row r="144" spans="1:28">
      <c r="A144" s="1144">
        <f>Calendar!J136</f>
        <v>49061</v>
      </c>
      <c r="C144" s="1104"/>
      <c r="D144" s="1125">
        <f t="shared" ca="1" si="38"/>
        <v>50283</v>
      </c>
      <c r="E144" s="1126">
        <f t="shared" ca="1" si="39"/>
        <v>50311</v>
      </c>
      <c r="F144" s="1127">
        <f t="shared" ca="1" si="40"/>
        <v>4081</v>
      </c>
      <c r="G144" s="1128">
        <f ca="1">IF(F144&lt;&gt;"",COUNTIF($F$11:F144,"&gt;0"),"")</f>
        <v>134</v>
      </c>
      <c r="H144" s="1129">
        <v>1.2585610525184927E-2</v>
      </c>
      <c r="I144" s="1073"/>
      <c r="J144" s="1130">
        <f t="shared" ca="1" si="41"/>
        <v>3306860266.1696315</v>
      </c>
      <c r="K144" s="1131">
        <f t="shared" ca="1" si="42"/>
        <v>41618855.371220343</v>
      </c>
      <c r="L144" s="1130">
        <f t="shared" ca="1" si="43"/>
        <v>0</v>
      </c>
      <c r="M144" s="1130">
        <f t="shared" ca="1" si="44"/>
        <v>0</v>
      </c>
      <c r="N144" s="1130">
        <f t="shared" ca="1" si="53"/>
        <v>3265241410.7984114</v>
      </c>
      <c r="O144" s="1073"/>
      <c r="P144" s="1130">
        <f t="shared" ca="1" si="45"/>
        <v>41618855.371220112</v>
      </c>
      <c r="Q144" s="1130">
        <f t="shared" ca="1" si="46"/>
        <v>3101979340.2584906</v>
      </c>
      <c r="R144" s="1130">
        <f t="shared" ca="1" si="54"/>
        <v>3141517252.8611498</v>
      </c>
      <c r="S144" s="1130">
        <f t="shared" ca="1" si="55"/>
        <v>39537912.602659225</v>
      </c>
      <c r="T144" s="1130">
        <f t="shared" ca="1" si="47"/>
        <v>3101979340.2584906</v>
      </c>
      <c r="U144" s="1132">
        <f t="shared" ca="1" si="48"/>
        <v>0.26606792913316873</v>
      </c>
      <c r="V144" s="1133">
        <f t="shared" ca="1" si="49"/>
        <v>5.0000000000000044E-2</v>
      </c>
      <c r="X144" s="1134">
        <f t="shared" ca="1" si="56"/>
        <v>165343013.30848163</v>
      </c>
      <c r="Y144" s="1134">
        <f t="shared" ca="1" si="50"/>
        <v>2080942.7685608864</v>
      </c>
      <c r="Z144" s="1134">
        <f t="shared" ca="1" si="51"/>
        <v>163262070.53992075</v>
      </c>
      <c r="AA144" s="1132">
        <f t="shared" ca="1" si="52"/>
        <v>0.28468149674325349</v>
      </c>
      <c r="AB144" s="1105"/>
    </row>
    <row r="145" spans="1:28">
      <c r="A145" s="1144">
        <f>Calendar!J137</f>
        <v>49094</v>
      </c>
      <c r="C145" s="1104"/>
      <c r="D145" s="1125">
        <f t="shared" ca="1" si="38"/>
        <v>50313</v>
      </c>
      <c r="E145" s="1126">
        <f t="shared" ca="1" si="39"/>
        <v>50340</v>
      </c>
      <c r="F145" s="1127">
        <f t="shared" ca="1" si="40"/>
        <v>4110</v>
      </c>
      <c r="G145" s="1128">
        <f ca="1">IF(F145&lt;&gt;"",COUNTIF($F$11:F145,"&gt;0"),"")</f>
        <v>135</v>
      </c>
      <c r="H145" s="1129">
        <v>1.2665408375706582E-2</v>
      </c>
      <c r="I145" s="1073"/>
      <c r="J145" s="1130">
        <f t="shared" ca="1" si="41"/>
        <v>3265241410.7984114</v>
      </c>
      <c r="K145" s="1131">
        <f t="shared" ca="1" si="42"/>
        <v>41355615.913030177</v>
      </c>
      <c r="L145" s="1130">
        <f t="shared" ca="1" si="43"/>
        <v>0</v>
      </c>
      <c r="M145" s="1130">
        <f t="shared" ca="1" si="44"/>
        <v>0</v>
      </c>
      <c r="N145" s="1130">
        <f t="shared" ca="1" si="53"/>
        <v>3223885794.8853812</v>
      </c>
      <c r="O145" s="1073"/>
      <c r="P145" s="1130">
        <f t="shared" ca="1" si="45"/>
        <v>41355615.913030148</v>
      </c>
      <c r="Q145" s="1130">
        <f t="shared" ca="1" si="46"/>
        <v>3062691505.1411119</v>
      </c>
      <c r="R145" s="1130">
        <f t="shared" ca="1" si="54"/>
        <v>3101979340.2584906</v>
      </c>
      <c r="S145" s="1130">
        <f t="shared" ca="1" si="55"/>
        <v>39287835.117378712</v>
      </c>
      <c r="T145" s="1130">
        <f t="shared" ca="1" si="47"/>
        <v>3062691505.1411119</v>
      </c>
      <c r="U145" s="1132">
        <f t="shared" ca="1" si="48"/>
        <v>0.26271930180385616</v>
      </c>
      <c r="V145" s="1133">
        <f t="shared" ca="1" si="49"/>
        <v>5.0000000000000044E-2</v>
      </c>
      <c r="X145" s="1134">
        <f t="shared" ca="1" si="56"/>
        <v>163262070.53992075</v>
      </c>
      <c r="Y145" s="1134">
        <f t="shared" ca="1" si="50"/>
        <v>2067780.7956514359</v>
      </c>
      <c r="Z145" s="1134">
        <f t="shared" ca="1" si="51"/>
        <v>161194289.74426931</v>
      </c>
      <c r="AA145" s="1132">
        <f t="shared" ca="1" si="52"/>
        <v>0.28109860630151645</v>
      </c>
      <c r="AB145" s="1105"/>
    </row>
    <row r="146" spans="1:28">
      <c r="A146" s="1144">
        <f>Calendar!J138</f>
        <v>49122</v>
      </c>
      <c r="C146" s="1104"/>
      <c r="D146" s="1125">
        <f t="shared" ca="1" si="38"/>
        <v>50344</v>
      </c>
      <c r="E146" s="1126">
        <f t="shared" ca="1" si="39"/>
        <v>50371</v>
      </c>
      <c r="F146" s="1127">
        <f t="shared" ca="1" si="40"/>
        <v>4141</v>
      </c>
      <c r="G146" s="1128">
        <f ca="1">IF(F146&lt;&gt;"",COUNTIF($F$11:F146,"&gt;0"),"")</f>
        <v>136</v>
      </c>
      <c r="H146" s="1129">
        <v>1.2756916567808798E-2</v>
      </c>
      <c r="I146" s="1073"/>
      <c r="J146" s="1130">
        <f t="shared" ca="1" si="41"/>
        <v>3223885794.8853812</v>
      </c>
      <c r="K146" s="1131">
        <f t="shared" ca="1" si="42"/>
        <v>41126842.109496757</v>
      </c>
      <c r="L146" s="1130">
        <f t="shared" ca="1" si="43"/>
        <v>0</v>
      </c>
      <c r="M146" s="1130">
        <f t="shared" ca="1" si="44"/>
        <v>0</v>
      </c>
      <c r="N146" s="1130">
        <f t="shared" ca="1" si="53"/>
        <v>3182758952.7758846</v>
      </c>
      <c r="O146" s="1073"/>
      <c r="P146" s="1130">
        <f t="shared" ca="1" si="45"/>
        <v>41126842.109496593</v>
      </c>
      <c r="Q146" s="1130">
        <f t="shared" ca="1" si="46"/>
        <v>3023621005.1370902</v>
      </c>
      <c r="R146" s="1130">
        <f t="shared" ca="1" si="54"/>
        <v>3062691505.1411119</v>
      </c>
      <c r="S146" s="1130">
        <f t="shared" ca="1" si="55"/>
        <v>39070500.004021645</v>
      </c>
      <c r="T146" s="1130">
        <f t="shared" ca="1" si="47"/>
        <v>3023621005.1370902</v>
      </c>
      <c r="U146" s="1132">
        <f t="shared" ca="1" si="48"/>
        <v>0.2593918545583298</v>
      </c>
      <c r="V146" s="1133">
        <f t="shared" ca="1" si="49"/>
        <v>5.0000000000000044E-2</v>
      </c>
      <c r="X146" s="1134">
        <f t="shared" ca="1" si="56"/>
        <v>161194289.74426931</v>
      </c>
      <c r="Y146" s="1134">
        <f t="shared" ca="1" si="50"/>
        <v>2056342.1054749489</v>
      </c>
      <c r="Z146" s="1134">
        <f t="shared" ca="1" si="51"/>
        <v>159137947.63879436</v>
      </c>
      <c r="AA146" s="1132">
        <f t="shared" ca="1" si="52"/>
        <v>0.27753837765886591</v>
      </c>
      <c r="AB146" s="1105"/>
    </row>
    <row r="147" spans="1:28">
      <c r="A147" s="1144">
        <f>Calendar!J139</f>
        <v>49152</v>
      </c>
      <c r="C147" s="1104"/>
      <c r="D147" s="1125">
        <f t="shared" ca="1" si="38"/>
        <v>50374</v>
      </c>
      <c r="E147" s="1126">
        <f t="shared" ca="1" si="39"/>
        <v>50402</v>
      </c>
      <c r="F147" s="1127">
        <f t="shared" ca="1" si="40"/>
        <v>4172</v>
      </c>
      <c r="G147" s="1128">
        <f ca="1">IF(F147&lt;&gt;"",COUNTIF($F$11:F147,"&gt;0"),"")</f>
        <v>137</v>
      </c>
      <c r="H147" s="1129">
        <v>1.2839097125528609E-2</v>
      </c>
      <c r="I147" s="1073"/>
      <c r="J147" s="1130">
        <f t="shared" ca="1" si="41"/>
        <v>3182758952.7758846</v>
      </c>
      <c r="K147" s="1131">
        <f t="shared" ca="1" si="42"/>
        <v>40863751.321835309</v>
      </c>
      <c r="L147" s="1130">
        <f t="shared" ca="1" si="43"/>
        <v>0</v>
      </c>
      <c r="M147" s="1130">
        <f t="shared" ca="1" si="44"/>
        <v>0</v>
      </c>
      <c r="N147" s="1130">
        <f t="shared" ca="1" si="53"/>
        <v>3141895201.4540491</v>
      </c>
      <c r="O147" s="1073"/>
      <c r="P147" s="1130">
        <f t="shared" ca="1" si="45"/>
        <v>40863751.321835518</v>
      </c>
      <c r="Q147" s="1130">
        <f t="shared" ca="1" si="46"/>
        <v>2984800441.3813467</v>
      </c>
      <c r="R147" s="1130">
        <f t="shared" ca="1" si="54"/>
        <v>3023621005.1370902</v>
      </c>
      <c r="S147" s="1130">
        <f t="shared" ca="1" si="55"/>
        <v>38820563.755743504</v>
      </c>
      <c r="T147" s="1130">
        <f t="shared" ca="1" si="47"/>
        <v>2984800441.3813467</v>
      </c>
      <c r="U147" s="1132">
        <f t="shared" ca="1" si="48"/>
        <v>0.25608281431136004</v>
      </c>
      <c r="V147" s="1133">
        <f t="shared" ca="1" si="49"/>
        <v>4.9999999999999933E-2</v>
      </c>
      <c r="X147" s="1134">
        <f t="shared" ca="1" si="56"/>
        <v>159137947.63879436</v>
      </c>
      <c r="Y147" s="1134">
        <f t="shared" ca="1" si="50"/>
        <v>2043187.5660920143</v>
      </c>
      <c r="Z147" s="1134">
        <f t="shared" ca="1" si="51"/>
        <v>157094760.07270235</v>
      </c>
      <c r="AA147" s="1132">
        <f t="shared" ca="1" si="52"/>
        <v>0.27399784373070657</v>
      </c>
      <c r="AB147" s="1105"/>
    </row>
    <row r="148" spans="1:28">
      <c r="A148" s="1144">
        <f>Calendar!J140</f>
        <v>49184</v>
      </c>
      <c r="C148" s="1104"/>
      <c r="D148" s="1125">
        <f t="shared" ca="1" si="38"/>
        <v>50405</v>
      </c>
      <c r="E148" s="1126">
        <f t="shared" ca="1" si="39"/>
        <v>50432</v>
      </c>
      <c r="F148" s="1127">
        <f t="shared" ca="1" si="40"/>
        <v>4202</v>
      </c>
      <c r="G148" s="1128">
        <f ca="1">IF(F148&lt;&gt;"",COUNTIF($F$11:F148,"&gt;0"),"")</f>
        <v>138</v>
      </c>
      <c r="H148" s="1129">
        <v>1.2935741665823631E-2</v>
      </c>
      <c r="I148" s="1073"/>
      <c r="J148" s="1130">
        <f t="shared" ca="1" si="41"/>
        <v>3141895201.4540491</v>
      </c>
      <c r="K148" s="1131">
        <f t="shared" ca="1" si="42"/>
        <v>40642744.667100474</v>
      </c>
      <c r="L148" s="1130">
        <f t="shared" ca="1" si="43"/>
        <v>0</v>
      </c>
      <c r="M148" s="1130">
        <f t="shared" ca="1" si="44"/>
        <v>0</v>
      </c>
      <c r="N148" s="1130">
        <f t="shared" ca="1" si="53"/>
        <v>3101252456.7869487</v>
      </c>
      <c r="O148" s="1073"/>
      <c r="P148" s="1130">
        <f t="shared" ca="1" si="45"/>
        <v>40642744.66710043</v>
      </c>
      <c r="Q148" s="1130">
        <f t="shared" ca="1" si="46"/>
        <v>2946189833.9476013</v>
      </c>
      <c r="R148" s="1130">
        <f t="shared" ca="1" si="54"/>
        <v>2984800441.3813467</v>
      </c>
      <c r="S148" s="1130">
        <f t="shared" ca="1" si="55"/>
        <v>38610607.433745384</v>
      </c>
      <c r="T148" s="1130">
        <f t="shared" ca="1" si="47"/>
        <v>2946189833.9476013</v>
      </c>
      <c r="U148" s="1132">
        <f t="shared" ca="1" si="48"/>
        <v>0.25279494218623777</v>
      </c>
      <c r="V148" s="1133">
        <f t="shared" ca="1" si="49"/>
        <v>4.9999999999999933E-2</v>
      </c>
      <c r="X148" s="1134">
        <f t="shared" ca="1" si="56"/>
        <v>157094760.07270235</v>
      </c>
      <c r="Y148" s="1134">
        <f t="shared" ca="1" si="50"/>
        <v>2032137.2333550453</v>
      </c>
      <c r="Z148" s="1134">
        <f t="shared" ca="1" si="51"/>
        <v>155062622.8393473</v>
      </c>
      <c r="AA148" s="1132">
        <f t="shared" ca="1" si="52"/>
        <v>0.27047995880286219</v>
      </c>
      <c r="AB148" s="1105"/>
    </row>
    <row r="149" spans="1:28">
      <c r="A149" s="1144">
        <f>Calendar!J141</f>
        <v>49214</v>
      </c>
      <c r="C149" s="1104"/>
      <c r="D149" s="1125">
        <f t="shared" ca="1" si="38"/>
        <v>50436</v>
      </c>
      <c r="E149" s="1126">
        <f t="shared" ca="1" si="39"/>
        <v>50462</v>
      </c>
      <c r="F149" s="1127">
        <f t="shared" ca="1" si="40"/>
        <v>4232</v>
      </c>
      <c r="G149" s="1128">
        <f ca="1">IF(F149&lt;&gt;"",COUNTIF($F$11:F149,"&gt;0"),"")</f>
        <v>139</v>
      </c>
      <c r="H149" s="1129">
        <v>1.3033364791696398E-2</v>
      </c>
      <c r="I149" s="1073"/>
      <c r="J149" s="1130">
        <f t="shared" ca="1" si="41"/>
        <v>3101252456.7869487</v>
      </c>
      <c r="K149" s="1131">
        <f t="shared" ca="1" si="42"/>
        <v>40419754.58044897</v>
      </c>
      <c r="L149" s="1130">
        <f t="shared" ca="1" si="43"/>
        <v>0</v>
      </c>
      <c r="M149" s="1130">
        <f t="shared" ca="1" si="44"/>
        <v>0</v>
      </c>
      <c r="N149" s="1130">
        <f t="shared" ca="1" si="53"/>
        <v>3060832702.2064996</v>
      </c>
      <c r="O149" s="1073"/>
      <c r="P149" s="1130">
        <f t="shared" ca="1" si="45"/>
        <v>40419754.580449104</v>
      </c>
      <c r="Q149" s="1130">
        <f t="shared" ca="1" si="46"/>
        <v>2907791067.0961742</v>
      </c>
      <c r="R149" s="1130">
        <f t="shared" ca="1" si="54"/>
        <v>2946189833.9476013</v>
      </c>
      <c r="S149" s="1130">
        <f t="shared" ca="1" si="55"/>
        <v>38398766.851427078</v>
      </c>
      <c r="T149" s="1130">
        <f t="shared" ca="1" si="47"/>
        <v>2907791067.0961742</v>
      </c>
      <c r="U149" s="1132">
        <f t="shared" ca="1" si="48"/>
        <v>0.24952485211968981</v>
      </c>
      <c r="V149" s="1133">
        <f t="shared" ca="1" si="49"/>
        <v>5.0000000000000155E-2</v>
      </c>
      <c r="X149" s="1134">
        <f t="shared" ca="1" si="56"/>
        <v>155062622.8393473</v>
      </c>
      <c r="Y149" s="1134">
        <f t="shared" ca="1" si="50"/>
        <v>2020987.7290220261</v>
      </c>
      <c r="Z149" s="1134">
        <f t="shared" ca="1" si="51"/>
        <v>153041635.11032528</v>
      </c>
      <c r="AA149" s="1132">
        <f t="shared" ca="1" si="52"/>
        <v>0.26698109993000568</v>
      </c>
      <c r="AB149" s="1105"/>
    </row>
    <row r="150" spans="1:28">
      <c r="A150" s="1144">
        <f>Calendar!J142</f>
        <v>49244</v>
      </c>
      <c r="B150" s="1145"/>
      <c r="C150" s="1104"/>
      <c r="D150" s="1125">
        <f t="shared" ca="1" si="38"/>
        <v>50464</v>
      </c>
      <c r="E150" s="1126">
        <f t="shared" ca="1" si="39"/>
        <v>50493</v>
      </c>
      <c r="F150" s="1127">
        <f t="shared" ca="1" si="40"/>
        <v>4263</v>
      </c>
      <c r="G150" s="1128">
        <f ca="1">IF(F150&lt;&gt;"",COUNTIF($F$11:F150,"&gt;0"),"")</f>
        <v>140</v>
      </c>
      <c r="H150" s="1129">
        <v>1.3123396781396355E-2</v>
      </c>
      <c r="I150" s="1073"/>
      <c r="J150" s="1130">
        <f t="shared" ca="1" si="41"/>
        <v>3060832702.2064996</v>
      </c>
      <c r="K150" s="1131">
        <f t="shared" ca="1" si="42"/>
        <v>40168522.032529481</v>
      </c>
      <c r="L150" s="1130">
        <f t="shared" ca="1" si="43"/>
        <v>0</v>
      </c>
      <c r="M150" s="1130">
        <f t="shared" ca="1" si="44"/>
        <v>0</v>
      </c>
      <c r="N150" s="1130">
        <f t="shared" ca="1" si="53"/>
        <v>3020664180.1739702</v>
      </c>
      <c r="O150" s="1073"/>
      <c r="P150" s="1130">
        <f t="shared" ca="1" si="45"/>
        <v>40168522.032529354</v>
      </c>
      <c r="Q150" s="1130">
        <f t="shared" ca="1" si="46"/>
        <v>2869630971.1652718</v>
      </c>
      <c r="R150" s="1130">
        <f t="shared" ca="1" si="54"/>
        <v>2907791067.0961742</v>
      </c>
      <c r="S150" s="1130">
        <f t="shared" ca="1" si="55"/>
        <v>38160095.930902481</v>
      </c>
      <c r="T150" s="1130">
        <f t="shared" ca="1" si="47"/>
        <v>2869630971.1652718</v>
      </c>
      <c r="U150" s="1132">
        <f t="shared" ca="1" si="48"/>
        <v>0.24627270369741974</v>
      </c>
      <c r="V150" s="1133">
        <f t="shared" ca="1" si="49"/>
        <v>4.9999999999999933E-2</v>
      </c>
      <c r="X150" s="1134">
        <f t="shared" ca="1" si="56"/>
        <v>153041635.11032528</v>
      </c>
      <c r="Y150" s="1134">
        <f t="shared" ca="1" si="50"/>
        <v>2008426.101626873</v>
      </c>
      <c r="Z150" s="1134">
        <f t="shared" ca="1" si="51"/>
        <v>151033209.0086984</v>
      </c>
      <c r="AA150" s="1132">
        <f t="shared" ca="1" si="52"/>
        <v>0.26350143786213032</v>
      </c>
      <c r="AB150" s="1105"/>
    </row>
    <row r="151" spans="1:28">
      <c r="A151" s="1144">
        <f>Calendar!J143</f>
        <v>49275</v>
      </c>
      <c r="C151" s="1146"/>
      <c r="D151" s="1125">
        <f t="shared" ca="1" si="38"/>
        <v>50495</v>
      </c>
      <c r="E151" s="1126">
        <f t="shared" ca="1" si="39"/>
        <v>50522</v>
      </c>
      <c r="F151" s="1127">
        <f t="shared" ca="1" si="40"/>
        <v>4292</v>
      </c>
      <c r="G151" s="1128">
        <f ca="1">IF(F151&lt;&gt;"",COUNTIF($F$11:F151,"&gt;0"),"")</f>
        <v>141</v>
      </c>
      <c r="H151" s="1129">
        <v>1.322381871433074E-2</v>
      </c>
      <c r="I151" s="1073"/>
      <c r="J151" s="1130">
        <f t="shared" ca="1" si="41"/>
        <v>3020664180.1739702</v>
      </c>
      <c r="K151" s="1131">
        <f t="shared" ca="1" si="42"/>
        <v>39944715.515493073</v>
      </c>
      <c r="L151" s="1130">
        <f t="shared" ca="1" si="43"/>
        <v>0</v>
      </c>
      <c r="M151" s="1130">
        <f t="shared" ca="1" si="44"/>
        <v>0</v>
      </c>
      <c r="N151" s="1130">
        <f t="shared" ca="1" si="53"/>
        <v>2980719464.6584773</v>
      </c>
      <c r="O151" s="1073"/>
      <c r="P151" s="1130">
        <f t="shared" ca="1" si="45"/>
        <v>39944715.515492916</v>
      </c>
      <c r="Q151" s="1130">
        <f t="shared" ca="1" si="46"/>
        <v>2831683491.4255533</v>
      </c>
      <c r="R151" s="1130">
        <f t="shared" ca="1" si="54"/>
        <v>2869630971.1652718</v>
      </c>
      <c r="S151" s="1130">
        <f t="shared" ca="1" si="55"/>
        <v>37947479.739718437</v>
      </c>
      <c r="T151" s="1130">
        <f t="shared" ca="1" si="47"/>
        <v>2831683491.4255533</v>
      </c>
      <c r="U151" s="1132">
        <f t="shared" ca="1" si="48"/>
        <v>0.24304076929037127</v>
      </c>
      <c r="V151" s="1133">
        <f t="shared" ca="1" si="49"/>
        <v>5.0000000000000044E-2</v>
      </c>
      <c r="X151" s="1134">
        <f t="shared" ca="1" si="56"/>
        <v>151033209.0086984</v>
      </c>
      <c r="Y151" s="1134">
        <f t="shared" ca="1" si="50"/>
        <v>1997235.7757744789</v>
      </c>
      <c r="Z151" s="1134">
        <f t="shared" ca="1" si="51"/>
        <v>149035973.23292392</v>
      </c>
      <c r="AA151" s="1132">
        <f t="shared" ca="1" si="52"/>
        <v>0.26004340394059644</v>
      </c>
      <c r="AB151" s="1105"/>
    </row>
    <row r="152" spans="1:28">
      <c r="A152" s="1144">
        <f>Calendar!J144</f>
        <v>49305</v>
      </c>
      <c r="C152" s="1104"/>
      <c r="D152" s="1125">
        <f t="shared" ca="1" si="38"/>
        <v>50525</v>
      </c>
      <c r="E152" s="1126">
        <f t="shared" ca="1" si="39"/>
        <v>50552</v>
      </c>
      <c r="F152" s="1127">
        <f t="shared" ca="1" si="40"/>
        <v>4322</v>
      </c>
      <c r="G152" s="1128">
        <f ca="1">IF(F152&lt;&gt;"",COUNTIF($F$11:F152,"&gt;0"),"")</f>
        <v>142</v>
      </c>
      <c r="H152" s="1129">
        <v>1.3320595285273972E-2</v>
      </c>
      <c r="I152" s="1073"/>
      <c r="J152" s="1130">
        <f t="shared" ca="1" si="41"/>
        <v>2980719464.6584773</v>
      </c>
      <c r="K152" s="1131">
        <f t="shared" ca="1" si="42"/>
        <v>39704957.647654071</v>
      </c>
      <c r="L152" s="1130">
        <f t="shared" ca="1" si="43"/>
        <v>0</v>
      </c>
      <c r="M152" s="1130">
        <f t="shared" ca="1" si="44"/>
        <v>0</v>
      </c>
      <c r="N152" s="1130">
        <f t="shared" ca="1" si="53"/>
        <v>2941014507.0108232</v>
      </c>
      <c r="O152" s="1073"/>
      <c r="P152" s="1130">
        <f t="shared" ca="1" si="45"/>
        <v>39704957.647654057</v>
      </c>
      <c r="Q152" s="1130">
        <f t="shared" ca="1" si="46"/>
        <v>2793963781.6602821</v>
      </c>
      <c r="R152" s="1130">
        <f t="shared" ca="1" si="54"/>
        <v>2831683491.4255533</v>
      </c>
      <c r="S152" s="1130">
        <f t="shared" ca="1" si="55"/>
        <v>37719709.765271187</v>
      </c>
      <c r="T152" s="1130">
        <f t="shared" ca="1" si="47"/>
        <v>2793963781.6602821</v>
      </c>
      <c r="U152" s="1132">
        <f t="shared" ca="1" si="48"/>
        <v>0.23982684221708392</v>
      </c>
      <c r="V152" s="1133">
        <f t="shared" ca="1" si="49"/>
        <v>4.9999999999999933E-2</v>
      </c>
      <c r="X152" s="1134">
        <f t="shared" ca="1" si="56"/>
        <v>149035973.23292392</v>
      </c>
      <c r="Y152" s="1134">
        <f t="shared" ca="1" si="50"/>
        <v>1985247.8823828697</v>
      </c>
      <c r="Z152" s="1134">
        <f t="shared" ca="1" si="51"/>
        <v>147050725.35054106</v>
      </c>
      <c r="AA152" s="1132">
        <f t="shared" ca="1" si="52"/>
        <v>0.25660463710902881</v>
      </c>
      <c r="AB152" s="1105"/>
    </row>
    <row r="153" spans="1:28">
      <c r="A153" s="1144">
        <f>Calendar!J145</f>
        <v>49338</v>
      </c>
      <c r="C153" s="1104"/>
      <c r="D153" s="1125">
        <f t="shared" ca="1" si="38"/>
        <v>50556</v>
      </c>
      <c r="E153" s="1126">
        <f t="shared" ca="1" si="39"/>
        <v>50584</v>
      </c>
      <c r="F153" s="1127">
        <f t="shared" ca="1" si="40"/>
        <v>4354</v>
      </c>
      <c r="G153" s="1128">
        <f ca="1">IF(F153&lt;&gt;"",COUNTIF($F$11:F153,"&gt;0"),"")</f>
        <v>143</v>
      </c>
      <c r="H153" s="1129">
        <v>1.3429315092184863E-2</v>
      </c>
      <c r="I153" s="1073"/>
      <c r="J153" s="1130">
        <f t="shared" ca="1" si="41"/>
        <v>2941014507.0108232</v>
      </c>
      <c r="K153" s="1131">
        <f t="shared" ca="1" si="42"/>
        <v>39495810.50533507</v>
      </c>
      <c r="L153" s="1130">
        <f t="shared" ca="1" si="43"/>
        <v>0</v>
      </c>
      <c r="M153" s="1130">
        <f t="shared" ca="1" si="44"/>
        <v>0</v>
      </c>
      <c r="N153" s="1130">
        <f t="shared" ca="1" si="53"/>
        <v>2901518696.5054884</v>
      </c>
      <c r="O153" s="1073"/>
      <c r="P153" s="1130">
        <f t="shared" ca="1" si="45"/>
        <v>39495810.505334854</v>
      </c>
      <c r="Q153" s="1130">
        <f t="shared" ca="1" si="46"/>
        <v>2756442761.6802139</v>
      </c>
      <c r="R153" s="1130">
        <f t="shared" ca="1" si="54"/>
        <v>2793963781.6602821</v>
      </c>
      <c r="S153" s="1130">
        <f t="shared" ca="1" si="55"/>
        <v>37521019.980068207</v>
      </c>
      <c r="T153" s="1130">
        <f t="shared" ca="1" si="47"/>
        <v>2756442761.6802139</v>
      </c>
      <c r="U153" s="1132">
        <f t="shared" ca="1" si="48"/>
        <v>0.2366322059133649</v>
      </c>
      <c r="V153" s="1133">
        <f t="shared" ca="1" si="49"/>
        <v>5.0000000000000044E-2</v>
      </c>
      <c r="X153" s="1134">
        <f t="shared" ca="1" si="56"/>
        <v>147050725.35054106</v>
      </c>
      <c r="Y153" s="1134">
        <f t="shared" ca="1" si="50"/>
        <v>1974790.5252666473</v>
      </c>
      <c r="Z153" s="1134">
        <f t="shared" ca="1" si="51"/>
        <v>145075934.82527441</v>
      </c>
      <c r="AA153" s="1132">
        <f t="shared" ca="1" si="52"/>
        <v>0.25318651058977454</v>
      </c>
      <c r="AB153" s="1105"/>
    </row>
    <row r="154" spans="1:28">
      <c r="A154" s="1144">
        <f>Calendar!J146</f>
        <v>49367</v>
      </c>
      <c r="C154" s="1104"/>
      <c r="D154" s="1125">
        <f t="shared" ca="1" si="38"/>
        <v>50586</v>
      </c>
      <c r="E154" s="1126">
        <f t="shared" ca="1" si="39"/>
        <v>50613</v>
      </c>
      <c r="F154" s="1127">
        <f t="shared" ca="1" si="40"/>
        <v>4383</v>
      </c>
      <c r="G154" s="1128">
        <f ca="1">IF(F154&lt;&gt;"",COUNTIF($F$11:F154,"&gt;0"),"")</f>
        <v>144</v>
      </c>
      <c r="H154" s="1129">
        <v>1.3521071130576162E-2</v>
      </c>
      <c r="I154" s="1073"/>
      <c r="J154" s="1130">
        <f t="shared" ca="1" si="41"/>
        <v>2901518696.5054884</v>
      </c>
      <c r="K154" s="1131">
        <f t="shared" ca="1" si="42"/>
        <v>39231640.682147339</v>
      </c>
      <c r="L154" s="1130">
        <f t="shared" ca="1" si="43"/>
        <v>0</v>
      </c>
      <c r="M154" s="1130">
        <f t="shared" ca="1" si="44"/>
        <v>0</v>
      </c>
      <c r="N154" s="1130">
        <f t="shared" ca="1" si="53"/>
        <v>2862287055.8233409</v>
      </c>
      <c r="O154" s="1073"/>
      <c r="P154" s="1130">
        <f t="shared" ca="1" si="45"/>
        <v>39231640.682147503</v>
      </c>
      <c r="Q154" s="1130">
        <f t="shared" ca="1" si="46"/>
        <v>2719172703.0321736</v>
      </c>
      <c r="R154" s="1130">
        <f t="shared" ca="1" si="54"/>
        <v>2756442761.6802139</v>
      </c>
      <c r="S154" s="1130">
        <f t="shared" ca="1" si="55"/>
        <v>37270058.648040295</v>
      </c>
      <c r="T154" s="1130">
        <f t="shared" ca="1" si="47"/>
        <v>2719172703.0321736</v>
      </c>
      <c r="U154" s="1132">
        <f t="shared" ca="1" si="48"/>
        <v>0.23345439745919558</v>
      </c>
      <c r="V154" s="1133">
        <f t="shared" ca="1" si="49"/>
        <v>5.0000000000000044E-2</v>
      </c>
      <c r="X154" s="1134">
        <f t="shared" ca="1" si="56"/>
        <v>145075934.82527441</v>
      </c>
      <c r="Y154" s="1134">
        <f t="shared" ca="1" si="50"/>
        <v>1961582.0341072083</v>
      </c>
      <c r="Z154" s="1134">
        <f t="shared" ca="1" si="51"/>
        <v>143114352.7911672</v>
      </c>
      <c r="AA154" s="1132">
        <f t="shared" ca="1" si="52"/>
        <v>0.24978638916197385</v>
      </c>
      <c r="AB154" s="1105"/>
    </row>
    <row r="155" spans="1:28">
      <c r="A155" s="1144">
        <f>Calendar!J147</f>
        <v>49395</v>
      </c>
      <c r="C155" s="1104"/>
      <c r="D155" s="1125">
        <f t="shared" ca="1" si="38"/>
        <v>50617</v>
      </c>
      <c r="E155" s="1126">
        <f t="shared" ca="1" si="39"/>
        <v>50644</v>
      </c>
      <c r="F155" s="1127">
        <f t="shared" ca="1" si="40"/>
        <v>4414</v>
      </c>
      <c r="G155" s="1128">
        <f ca="1">IF(F155&lt;&gt;"",COUNTIF($F$11:F155,"&gt;0"),"")</f>
        <v>145</v>
      </c>
      <c r="H155" s="1129">
        <v>1.3633895063393728E-2</v>
      </c>
      <c r="I155" s="1073"/>
      <c r="J155" s="1130">
        <f t="shared" ca="1" si="41"/>
        <v>2862287055.8233409</v>
      </c>
      <c r="K155" s="1131">
        <f t="shared" ca="1" si="42"/>
        <v>39024121.360405616</v>
      </c>
      <c r="L155" s="1130">
        <f t="shared" ca="1" si="43"/>
        <v>0</v>
      </c>
      <c r="M155" s="1130">
        <f t="shared" ca="1" si="44"/>
        <v>0</v>
      </c>
      <c r="N155" s="1130">
        <f t="shared" ca="1" si="53"/>
        <v>2823262934.4629354</v>
      </c>
      <c r="O155" s="1073"/>
      <c r="P155" s="1130">
        <f t="shared" ca="1" si="45"/>
        <v>39024121.360405445</v>
      </c>
      <c r="Q155" s="1130">
        <f t="shared" ca="1" si="46"/>
        <v>2682099787.7397885</v>
      </c>
      <c r="R155" s="1130">
        <f t="shared" ca="1" si="54"/>
        <v>2719172703.0321736</v>
      </c>
      <c r="S155" s="1130">
        <f t="shared" ca="1" si="55"/>
        <v>37072915.292385101</v>
      </c>
      <c r="T155" s="1130">
        <f t="shared" ca="1" si="47"/>
        <v>2682099787.7397885</v>
      </c>
      <c r="U155" s="1132">
        <f t="shared" ca="1" si="48"/>
        <v>0.23029784394540395</v>
      </c>
      <c r="V155" s="1133">
        <f t="shared" ca="1" si="49"/>
        <v>5.0000000000000044E-2</v>
      </c>
      <c r="X155" s="1134">
        <f t="shared" ca="1" si="56"/>
        <v>143114352.7911672</v>
      </c>
      <c r="Y155" s="1134">
        <f t="shared" ca="1" si="50"/>
        <v>1951206.0680203438</v>
      </c>
      <c r="Z155" s="1134">
        <f t="shared" ca="1" si="51"/>
        <v>141163146.72314686</v>
      </c>
      <c r="AA155" s="1132">
        <f t="shared" ca="1" si="52"/>
        <v>0.24640900962666529</v>
      </c>
      <c r="AB155" s="1105"/>
    </row>
    <row r="156" spans="1:28">
      <c r="A156" s="1144">
        <f>Calendar!J148</f>
        <v>49426</v>
      </c>
      <c r="C156" s="1104"/>
      <c r="D156" s="1125">
        <f t="shared" ca="1" si="38"/>
        <v>50648</v>
      </c>
      <c r="E156" s="1126">
        <f t="shared" ca="1" si="39"/>
        <v>50675</v>
      </c>
      <c r="F156" s="1127">
        <f t="shared" ca="1" si="40"/>
        <v>4445</v>
      </c>
      <c r="G156" s="1128">
        <f ca="1">IF(F156&lt;&gt;"",COUNTIF($F$11:F156,"&gt;0"),"")</f>
        <v>146</v>
      </c>
      <c r="H156" s="1129">
        <v>1.374583120308915E-2</v>
      </c>
      <c r="I156" s="1073"/>
      <c r="J156" s="1130">
        <f t="shared" ca="1" si="41"/>
        <v>2823262934.4629354</v>
      </c>
      <c r="K156" s="1131">
        <f t="shared" ca="1" si="42"/>
        <v>38808095.739065655</v>
      </c>
      <c r="L156" s="1130">
        <f t="shared" ca="1" si="43"/>
        <v>0</v>
      </c>
      <c r="M156" s="1130">
        <f t="shared" ca="1" si="44"/>
        <v>0</v>
      </c>
      <c r="N156" s="1130">
        <f t="shared" ca="1" si="53"/>
        <v>2784454838.7238698</v>
      </c>
      <c r="O156" s="1073"/>
      <c r="P156" s="1130">
        <f t="shared" ca="1" si="45"/>
        <v>38808095.739065647</v>
      </c>
      <c r="Q156" s="1130">
        <f t="shared" ca="1" si="46"/>
        <v>2645232096.7876763</v>
      </c>
      <c r="R156" s="1130">
        <f t="shared" ca="1" si="54"/>
        <v>2682099787.7397885</v>
      </c>
      <c r="S156" s="1130">
        <f t="shared" ca="1" si="55"/>
        <v>36867690.952112198</v>
      </c>
      <c r="T156" s="1130">
        <f t="shared" ca="1" si="47"/>
        <v>2645232096.7876763</v>
      </c>
      <c r="U156" s="1132">
        <f t="shared" ca="1" si="48"/>
        <v>0.22715798730772652</v>
      </c>
      <c r="V156" s="1133">
        <f t="shared" ca="1" si="49"/>
        <v>5.0000000000000044E-2</v>
      </c>
      <c r="X156" s="1134">
        <f t="shared" ca="1" si="56"/>
        <v>141163146.72314686</v>
      </c>
      <c r="Y156" s="1134">
        <f t="shared" ca="1" si="50"/>
        <v>1940404.7869534492</v>
      </c>
      <c r="Z156" s="1134">
        <f t="shared" ca="1" si="51"/>
        <v>139222741.93619341</v>
      </c>
      <c r="AA156" s="1132">
        <f t="shared" ca="1" si="52"/>
        <v>0.24304949504674045</v>
      </c>
      <c r="AB156" s="1105"/>
    </row>
    <row r="157" spans="1:28">
      <c r="A157" s="1144">
        <f>Calendar!J149</f>
        <v>49457</v>
      </c>
      <c r="C157" s="1104"/>
      <c r="D157" s="1125">
        <f t="shared" ca="1" si="38"/>
        <v>50678</v>
      </c>
      <c r="E157" s="1126">
        <f t="shared" ca="1" si="39"/>
        <v>50705</v>
      </c>
      <c r="F157" s="1127">
        <f t="shared" ca="1" si="40"/>
        <v>4475</v>
      </c>
      <c r="G157" s="1128">
        <f ca="1">IF(F157&lt;&gt;"",COUNTIF($F$11:F157,"&gt;0"),"")</f>
        <v>147</v>
      </c>
      <c r="H157" s="1129">
        <v>1.3860294491654501E-2</v>
      </c>
      <c r="I157" s="1073"/>
      <c r="J157" s="1130">
        <f t="shared" ca="1" si="41"/>
        <v>2784454838.7238698</v>
      </c>
      <c r="K157" s="1131">
        <f t="shared" ca="1" si="42"/>
        <v>38593364.063425176</v>
      </c>
      <c r="L157" s="1130">
        <f t="shared" ca="1" si="43"/>
        <v>0</v>
      </c>
      <c r="M157" s="1130">
        <f t="shared" ca="1" si="44"/>
        <v>0</v>
      </c>
      <c r="N157" s="1130">
        <f t="shared" ca="1" si="53"/>
        <v>2745861474.6604447</v>
      </c>
      <c r="O157" s="1073"/>
      <c r="P157" s="1130">
        <f t="shared" ca="1" si="45"/>
        <v>38593364.063425064</v>
      </c>
      <c r="Q157" s="1130">
        <f t="shared" ca="1" si="46"/>
        <v>2608568400.9274225</v>
      </c>
      <c r="R157" s="1130">
        <f t="shared" ca="1" si="54"/>
        <v>2645232096.7876763</v>
      </c>
      <c r="S157" s="1130">
        <f t="shared" ca="1" si="55"/>
        <v>36663695.860253811</v>
      </c>
      <c r="T157" s="1130">
        <f t="shared" ca="1" si="47"/>
        <v>2608568400.9274225</v>
      </c>
      <c r="U157" s="1132">
        <f t="shared" ca="1" si="48"/>
        <v>0.22403551195776106</v>
      </c>
      <c r="V157" s="1133">
        <f t="shared" ca="1" si="49"/>
        <v>5.0000000000000044E-2</v>
      </c>
      <c r="X157" s="1134">
        <f t="shared" ca="1" si="56"/>
        <v>139222741.93619341</v>
      </c>
      <c r="Y157" s="1134">
        <f t="shared" ca="1" si="50"/>
        <v>1929668.2031712532</v>
      </c>
      <c r="Z157" s="1134">
        <f t="shared" ca="1" si="51"/>
        <v>137293073.73302215</v>
      </c>
      <c r="AA157" s="1132">
        <f t="shared" ca="1" si="52"/>
        <v>0.23970857771383161</v>
      </c>
      <c r="AB157" s="1105"/>
    </row>
    <row r="158" spans="1:28">
      <c r="A158" s="1144">
        <f>Calendar!J150</f>
        <v>49487</v>
      </c>
      <c r="C158" s="1104"/>
      <c r="D158" s="1125">
        <f t="shared" ca="1" si="38"/>
        <v>50709</v>
      </c>
      <c r="E158" s="1126">
        <f t="shared" ca="1" si="39"/>
        <v>50738</v>
      </c>
      <c r="F158" s="1127">
        <f t="shared" ca="1" si="40"/>
        <v>4508</v>
      </c>
      <c r="G158" s="1128">
        <f ca="1">IF(F158&lt;&gt;"",COUNTIF($F$11:F158,"&gt;0"),"")</f>
        <v>148</v>
      </c>
      <c r="H158" s="1129">
        <v>1.3972418818144639E-2</v>
      </c>
      <c r="I158" s="1073"/>
      <c r="J158" s="1130">
        <f t="shared" ca="1" si="41"/>
        <v>2745861474.6604447</v>
      </c>
      <c r="K158" s="1131">
        <f t="shared" ca="1" si="42"/>
        <v>38366326.540563986</v>
      </c>
      <c r="L158" s="1130">
        <f t="shared" ca="1" si="43"/>
        <v>0</v>
      </c>
      <c r="M158" s="1130">
        <f t="shared" ca="1" si="44"/>
        <v>0</v>
      </c>
      <c r="N158" s="1130">
        <f t="shared" ca="1" si="53"/>
        <v>2707495148.1198807</v>
      </c>
      <c r="O158" s="1073"/>
      <c r="P158" s="1130">
        <f t="shared" ca="1" si="45"/>
        <v>38366326.54056406</v>
      </c>
      <c r="Q158" s="1130">
        <f t="shared" ca="1" si="46"/>
        <v>2572120390.7138867</v>
      </c>
      <c r="R158" s="1130">
        <f t="shared" ca="1" si="54"/>
        <v>2608568400.9274225</v>
      </c>
      <c r="S158" s="1130">
        <f t="shared" ca="1" si="55"/>
        <v>36448010.213535786</v>
      </c>
      <c r="T158" s="1130">
        <f t="shared" ca="1" si="47"/>
        <v>2572120390.7138867</v>
      </c>
      <c r="U158" s="1132">
        <f t="shared" ca="1" si="48"/>
        <v>0.22093031378543793</v>
      </c>
      <c r="V158" s="1133">
        <f t="shared" ca="1" si="49"/>
        <v>4.9999999999999933E-2</v>
      </c>
      <c r="X158" s="1134">
        <f t="shared" ca="1" si="56"/>
        <v>137293073.73302215</v>
      </c>
      <c r="Y158" s="1134">
        <f t="shared" ca="1" si="50"/>
        <v>1918316.3270282745</v>
      </c>
      <c r="Z158" s="1134">
        <f t="shared" ca="1" si="51"/>
        <v>135374757.40599388</v>
      </c>
      <c r="AA158" s="1132">
        <f t="shared" ca="1" si="52"/>
        <v>0.23638614623454227</v>
      </c>
      <c r="AB158" s="1105"/>
    </row>
    <row r="159" spans="1:28">
      <c r="A159" s="1144">
        <f>Calendar!J151</f>
        <v>49517</v>
      </c>
      <c r="C159" s="1104"/>
      <c r="D159" s="1125">
        <f t="shared" ca="1" si="38"/>
        <v>50739</v>
      </c>
      <c r="E159" s="1126">
        <f t="shared" ca="1" si="39"/>
        <v>50766</v>
      </c>
      <c r="F159" s="1127">
        <f t="shared" ca="1" si="40"/>
        <v>4536</v>
      </c>
      <c r="G159" s="1128">
        <f ca="1">IF(F159&lt;&gt;"",COUNTIF($F$11:F159,"&gt;0"),"")</f>
        <v>149</v>
      </c>
      <c r="H159" s="1129">
        <v>1.408602523770945E-2</v>
      </c>
      <c r="I159" s="1073"/>
      <c r="J159" s="1130">
        <f t="shared" ca="1" si="41"/>
        <v>2707495148.1198807</v>
      </c>
      <c r="K159" s="1131">
        <f t="shared" ca="1" si="42"/>
        <v>38137844.987392522</v>
      </c>
      <c r="L159" s="1130">
        <f t="shared" ca="1" si="43"/>
        <v>0</v>
      </c>
      <c r="M159" s="1130">
        <f t="shared" ca="1" si="44"/>
        <v>0</v>
      </c>
      <c r="N159" s="1130">
        <f t="shared" ca="1" si="53"/>
        <v>2669357303.1324883</v>
      </c>
      <c r="O159" s="1073"/>
      <c r="P159" s="1130">
        <f t="shared" ca="1" si="45"/>
        <v>38137844.987392426</v>
      </c>
      <c r="Q159" s="1130">
        <f t="shared" ca="1" si="46"/>
        <v>2535889437.9758639</v>
      </c>
      <c r="R159" s="1130">
        <f t="shared" ca="1" si="54"/>
        <v>2572120390.7138867</v>
      </c>
      <c r="S159" s="1130">
        <f t="shared" ca="1" si="55"/>
        <v>36230952.738022804</v>
      </c>
      <c r="T159" s="1130">
        <f t="shared" ca="1" si="47"/>
        <v>2535889437.9758639</v>
      </c>
      <c r="U159" s="1132">
        <f t="shared" ca="1" si="48"/>
        <v>0.21784338291160366</v>
      </c>
      <c r="V159" s="1133">
        <f t="shared" ca="1" si="49"/>
        <v>4.9999999999999933E-2</v>
      </c>
      <c r="X159" s="1134">
        <f t="shared" ca="1" si="56"/>
        <v>135374757.40599388</v>
      </c>
      <c r="Y159" s="1134">
        <f t="shared" ca="1" si="50"/>
        <v>1906892.2493696213</v>
      </c>
      <c r="Z159" s="1134">
        <f t="shared" ca="1" si="51"/>
        <v>133467865.15662426</v>
      </c>
      <c r="AA159" s="1132">
        <f t="shared" ca="1" si="52"/>
        <v>0.23308325999654594</v>
      </c>
      <c r="AB159" s="1105"/>
    </row>
    <row r="160" spans="1:28">
      <c r="A160" s="1144">
        <f>Calendar!J152</f>
        <v>49548</v>
      </c>
      <c r="C160" s="1104"/>
      <c r="D160" s="1125">
        <f t="shared" ca="1" si="38"/>
        <v>50770</v>
      </c>
      <c r="E160" s="1126">
        <f t="shared" ca="1" si="39"/>
        <v>50797</v>
      </c>
      <c r="F160" s="1127">
        <f t="shared" ca="1" si="40"/>
        <v>4567</v>
      </c>
      <c r="G160" s="1128">
        <f ca="1">IF(F160&lt;&gt;"",COUNTIF($F$11:F160,"&gt;0"),"")</f>
        <v>150</v>
      </c>
      <c r="H160" s="1129">
        <v>1.4212850209998613E-2</v>
      </c>
      <c r="I160" s="1073"/>
      <c r="J160" s="1130">
        <f t="shared" ca="1" si="41"/>
        <v>2669357303.1324883</v>
      </c>
      <c r="K160" s="1131">
        <f t="shared" ca="1" si="42"/>
        <v>37939175.506387919</v>
      </c>
      <c r="L160" s="1130">
        <f t="shared" ca="1" si="43"/>
        <v>0</v>
      </c>
      <c r="M160" s="1130">
        <f t="shared" ca="1" si="44"/>
        <v>0</v>
      </c>
      <c r="N160" s="1130">
        <f t="shared" ca="1" si="53"/>
        <v>2631418127.6261005</v>
      </c>
      <c r="O160" s="1073"/>
      <c r="P160" s="1130">
        <f t="shared" ca="1" si="45"/>
        <v>37939175.506387711</v>
      </c>
      <c r="Q160" s="1130">
        <f t="shared" ca="1" si="46"/>
        <v>2499847221.2447953</v>
      </c>
      <c r="R160" s="1130">
        <f t="shared" ca="1" si="54"/>
        <v>2535889437.9758639</v>
      </c>
      <c r="S160" s="1130">
        <f t="shared" ca="1" si="55"/>
        <v>36042216.731068611</v>
      </c>
      <c r="T160" s="1130">
        <f t="shared" ca="1" si="47"/>
        <v>2499847221.2447953</v>
      </c>
      <c r="U160" s="1132">
        <f t="shared" ca="1" si="48"/>
        <v>0.21477483552204282</v>
      </c>
      <c r="V160" s="1133">
        <f t="shared" ca="1" si="49"/>
        <v>5.0000000000000044E-2</v>
      </c>
      <c r="X160" s="1134">
        <f t="shared" ca="1" si="56"/>
        <v>133467865.15662426</v>
      </c>
      <c r="Y160" s="1134">
        <f t="shared" ca="1" si="50"/>
        <v>1896958.7753190994</v>
      </c>
      <c r="Z160" s="1134">
        <f t="shared" ca="1" si="51"/>
        <v>131570906.38130516</v>
      </c>
      <c r="AA160" s="1132">
        <f t="shared" ca="1" si="52"/>
        <v>0.22980004331374701</v>
      </c>
      <c r="AB160" s="1105"/>
    </row>
    <row r="161" spans="1:28">
      <c r="A161" s="1144">
        <f>Calendar!J153</f>
        <v>49579</v>
      </c>
      <c r="C161" s="1104"/>
      <c r="D161" s="1125">
        <f t="shared" ca="1" si="38"/>
        <v>50801</v>
      </c>
      <c r="E161" s="1126">
        <f t="shared" ca="1" si="39"/>
        <v>50829</v>
      </c>
      <c r="F161" s="1127">
        <f t="shared" ca="1" si="40"/>
        <v>4599</v>
      </c>
      <c r="G161" s="1128">
        <f ca="1">IF(F161&lt;&gt;"",COUNTIF($F$11:F161,"&gt;0"),"")</f>
        <v>151</v>
      </c>
      <c r="H161" s="1129">
        <v>1.4318366202048219E-2</v>
      </c>
      <c r="I161" s="1073"/>
      <c r="J161" s="1130">
        <f t="shared" ca="1" si="41"/>
        <v>2631418127.6261005</v>
      </c>
      <c r="K161" s="1131">
        <f t="shared" ca="1" si="42"/>
        <v>37677608.382058568</v>
      </c>
      <c r="L161" s="1130">
        <f t="shared" ca="1" si="43"/>
        <v>0</v>
      </c>
      <c r="M161" s="1130">
        <f t="shared" ca="1" si="44"/>
        <v>0</v>
      </c>
      <c r="N161" s="1130">
        <f t="shared" ca="1" si="53"/>
        <v>2593740519.2440419</v>
      </c>
      <c r="O161" s="1073"/>
      <c r="P161" s="1130">
        <f t="shared" ca="1" si="45"/>
        <v>37677608.38205862</v>
      </c>
      <c r="Q161" s="1130">
        <f t="shared" ca="1" si="46"/>
        <v>2464053493.2818398</v>
      </c>
      <c r="R161" s="1130">
        <f t="shared" ca="1" si="54"/>
        <v>2499847221.2447953</v>
      </c>
      <c r="S161" s="1130">
        <f t="shared" ca="1" si="55"/>
        <v>35793727.962955475</v>
      </c>
      <c r="T161" s="1130">
        <f t="shared" ca="1" si="47"/>
        <v>2464053493.2818398</v>
      </c>
      <c r="U161" s="1132">
        <f t="shared" ca="1" si="48"/>
        <v>0.21172227295589091</v>
      </c>
      <c r="V161" s="1133">
        <f t="shared" ca="1" si="49"/>
        <v>5.0000000000000044E-2</v>
      </c>
      <c r="X161" s="1134">
        <f t="shared" ca="1" si="56"/>
        <v>131570906.38130516</v>
      </c>
      <c r="Y161" s="1134">
        <f t="shared" ca="1" si="50"/>
        <v>1883880.4191031456</v>
      </c>
      <c r="Z161" s="1134">
        <f t="shared" ca="1" si="51"/>
        <v>129687025.96220201</v>
      </c>
      <c r="AA161" s="1132">
        <f t="shared" ca="1" si="52"/>
        <v>0.22653392971987801</v>
      </c>
      <c r="AB161" s="1105"/>
    </row>
    <row r="162" spans="1:28">
      <c r="A162" s="1144">
        <f>Calendar!J154</f>
        <v>49611</v>
      </c>
      <c r="C162" s="1104"/>
      <c r="D162" s="1125">
        <f t="shared" ca="1" si="38"/>
        <v>50829</v>
      </c>
      <c r="E162" s="1126">
        <f t="shared" ca="1" si="39"/>
        <v>50857</v>
      </c>
      <c r="F162" s="1127">
        <f t="shared" ca="1" si="40"/>
        <v>4627</v>
      </c>
      <c r="G162" s="1128">
        <f ca="1">IF(F162&lt;&gt;"",COUNTIF($F$11:F162,"&gt;0"),"")</f>
        <v>152</v>
      </c>
      <c r="H162" s="1129">
        <v>1.441117846125589E-2</v>
      </c>
      <c r="I162" s="1073"/>
      <c r="J162" s="1130">
        <f t="shared" ca="1" si="41"/>
        <v>2593740519.2440419</v>
      </c>
      <c r="K162" s="1131">
        <f t="shared" ca="1" si="42"/>
        <v>37378857.505016401</v>
      </c>
      <c r="L162" s="1130">
        <f t="shared" ca="1" si="43"/>
        <v>0</v>
      </c>
      <c r="M162" s="1130">
        <f t="shared" ca="1" si="44"/>
        <v>0</v>
      </c>
      <c r="N162" s="1130">
        <f t="shared" ca="1" si="53"/>
        <v>2556361661.7390256</v>
      </c>
      <c r="O162" s="1073"/>
      <c r="P162" s="1130">
        <f t="shared" ca="1" si="45"/>
        <v>37378857.505016327</v>
      </c>
      <c r="Q162" s="1130">
        <f t="shared" ca="1" si="46"/>
        <v>2428543578.6520743</v>
      </c>
      <c r="R162" s="1130">
        <f t="shared" ca="1" si="54"/>
        <v>2464053493.2818398</v>
      </c>
      <c r="S162" s="1130">
        <f t="shared" ca="1" si="55"/>
        <v>35509914.629765511</v>
      </c>
      <c r="T162" s="1130">
        <f t="shared" ca="1" si="47"/>
        <v>2428543578.6520743</v>
      </c>
      <c r="U162" s="1132">
        <f t="shared" ca="1" si="48"/>
        <v>0.20869075591857847</v>
      </c>
      <c r="V162" s="1133">
        <f t="shared" ca="1" si="49"/>
        <v>5.0000000000000044E-2</v>
      </c>
      <c r="X162" s="1134">
        <f t="shared" ca="1" si="56"/>
        <v>129687025.96220201</v>
      </c>
      <c r="Y162" s="1134">
        <f t="shared" ca="1" si="50"/>
        <v>1868942.8752508163</v>
      </c>
      <c r="Z162" s="1134">
        <f t="shared" ca="1" si="51"/>
        <v>127818083.0869512</v>
      </c>
      <c r="AA162" s="1132">
        <f t="shared" ca="1" si="52"/>
        <v>0.22329033395695938</v>
      </c>
      <c r="AB162" s="1105"/>
    </row>
    <row r="163" spans="1:28">
      <c r="A163" s="1144">
        <f>Calendar!J155</f>
        <v>49640</v>
      </c>
      <c r="C163" s="1104"/>
      <c r="D163" s="1125">
        <f t="shared" ca="1" si="38"/>
        <v>50860</v>
      </c>
      <c r="E163" s="1126">
        <f t="shared" ca="1" si="39"/>
        <v>50887</v>
      </c>
      <c r="F163" s="1127">
        <f t="shared" ca="1" si="40"/>
        <v>4657</v>
      </c>
      <c r="G163" s="1128">
        <f ca="1">IF(F163&lt;&gt;"",COUNTIF($F$11:F163,"&gt;0"),"")</f>
        <v>153</v>
      </c>
      <c r="H163" s="1129">
        <v>1.4529656567135439E-2</v>
      </c>
      <c r="I163" s="1073"/>
      <c r="J163" s="1130">
        <f t="shared" ca="1" si="41"/>
        <v>2556361661.7390256</v>
      </c>
      <c r="K163" s="1131">
        <f t="shared" ca="1" si="42"/>
        <v>37143057.006459698</v>
      </c>
      <c r="L163" s="1130">
        <f t="shared" ca="1" si="43"/>
        <v>0</v>
      </c>
      <c r="M163" s="1130">
        <f t="shared" ca="1" si="44"/>
        <v>0</v>
      </c>
      <c r="N163" s="1130">
        <f t="shared" ca="1" si="53"/>
        <v>2519218604.7325659</v>
      </c>
      <c r="O163" s="1073"/>
      <c r="P163" s="1130">
        <f t="shared" ca="1" si="45"/>
        <v>37143057.006459713</v>
      </c>
      <c r="Q163" s="1130">
        <f t="shared" ca="1" si="46"/>
        <v>2393257674.4959373</v>
      </c>
      <c r="R163" s="1130">
        <f t="shared" ca="1" si="54"/>
        <v>2428543578.6520743</v>
      </c>
      <c r="S163" s="1130">
        <f t="shared" ca="1" si="55"/>
        <v>35285904.15613699</v>
      </c>
      <c r="T163" s="1130">
        <f t="shared" ca="1" si="47"/>
        <v>2393257674.4959373</v>
      </c>
      <c r="U163" s="1132">
        <f t="shared" ca="1" si="48"/>
        <v>0.20568327619182145</v>
      </c>
      <c r="V163" s="1133">
        <f t="shared" ca="1" si="49"/>
        <v>5.0000000000000044E-2</v>
      </c>
      <c r="X163" s="1134">
        <f t="shared" ca="1" si="56"/>
        <v>127818083.0869512</v>
      </c>
      <c r="Y163" s="1134">
        <f t="shared" ca="1" si="50"/>
        <v>1857152.8503227234</v>
      </c>
      <c r="Z163" s="1134">
        <f t="shared" ca="1" si="51"/>
        <v>125960930.23662847</v>
      </c>
      <c r="AA163" s="1132">
        <f t="shared" ca="1" si="52"/>
        <v>0.22007245710563222</v>
      </c>
      <c r="AB163" s="1105"/>
    </row>
    <row r="164" spans="1:28">
      <c r="A164" s="1144">
        <f>Calendar!J156</f>
        <v>49670</v>
      </c>
      <c r="C164" s="1104"/>
      <c r="D164" s="1125">
        <f t="shared" ca="1" si="38"/>
        <v>50890</v>
      </c>
      <c r="E164" s="1126">
        <f t="shared" ca="1" si="39"/>
        <v>50917</v>
      </c>
      <c r="F164" s="1127">
        <f t="shared" ca="1" si="40"/>
        <v>4687</v>
      </c>
      <c r="G164" s="1128">
        <f ca="1">IF(F164&lt;&gt;"",COUNTIF($F$11:F164,"&gt;0"),"")</f>
        <v>154</v>
      </c>
      <c r="H164" s="1129">
        <v>1.4624710398279348E-2</v>
      </c>
      <c r="I164" s="1073"/>
      <c r="J164" s="1130">
        <f t="shared" ca="1" si="41"/>
        <v>2519218604.7325659</v>
      </c>
      <c r="K164" s="1131">
        <f t="shared" ca="1" si="42"/>
        <v>36842842.524171144</v>
      </c>
      <c r="L164" s="1130">
        <f t="shared" ca="1" si="43"/>
        <v>0</v>
      </c>
      <c r="M164" s="1130">
        <f t="shared" ca="1" si="44"/>
        <v>0</v>
      </c>
      <c r="N164" s="1130">
        <f t="shared" ca="1" si="53"/>
        <v>2482375762.2083945</v>
      </c>
      <c r="O164" s="1073"/>
      <c r="P164" s="1130">
        <f t="shared" ca="1" si="45"/>
        <v>36842842.524171352</v>
      </c>
      <c r="Q164" s="1130">
        <f t="shared" ca="1" si="46"/>
        <v>2358256974.0979748</v>
      </c>
      <c r="R164" s="1130">
        <f t="shared" ca="1" si="54"/>
        <v>2393257674.4959373</v>
      </c>
      <c r="S164" s="1130">
        <f t="shared" ca="1" si="55"/>
        <v>35000700.39796257</v>
      </c>
      <c r="T164" s="1130">
        <f t="shared" ca="1" si="47"/>
        <v>2358256974.0979748</v>
      </c>
      <c r="U164" s="1132">
        <f t="shared" ca="1" si="48"/>
        <v>0.20269476882715101</v>
      </c>
      <c r="V164" s="1133">
        <f t="shared" ca="1" si="49"/>
        <v>5.0000000000000044E-2</v>
      </c>
      <c r="X164" s="1134">
        <f t="shared" ca="1" si="56"/>
        <v>125960930.23662847</v>
      </c>
      <c r="Y164" s="1134">
        <f t="shared" ca="1" si="50"/>
        <v>1842142.1262087822</v>
      </c>
      <c r="Z164" s="1134">
        <f t="shared" ca="1" si="51"/>
        <v>124118788.11041969</v>
      </c>
      <c r="AA164" s="1132">
        <f t="shared" ca="1" si="52"/>
        <v>0.2168748798840022</v>
      </c>
      <c r="AB164" s="1105"/>
    </row>
    <row r="165" spans="1:28">
      <c r="A165" s="1144">
        <f>Calendar!J157</f>
        <v>49702</v>
      </c>
      <c r="C165" s="1104"/>
      <c r="D165" s="1125">
        <f t="shared" ca="1" si="38"/>
        <v>50921</v>
      </c>
      <c r="E165" s="1126">
        <f t="shared" ca="1" si="39"/>
        <v>50948</v>
      </c>
      <c r="F165" s="1127">
        <f t="shared" ca="1" si="40"/>
        <v>4718</v>
      </c>
      <c r="G165" s="1128">
        <f ca="1">IF(F165&lt;&gt;"",COUNTIF($F$11:F165,"&gt;0"),"")</f>
        <v>155</v>
      </c>
      <c r="H165" s="1129">
        <v>1.4725494240915864E-2</v>
      </c>
      <c r="I165" s="1073"/>
      <c r="J165" s="1130">
        <f t="shared" ca="1" si="41"/>
        <v>2482375762.2083945</v>
      </c>
      <c r="K165" s="1131">
        <f t="shared" ca="1" si="42"/>
        <v>36554209.990188845</v>
      </c>
      <c r="L165" s="1130">
        <f t="shared" ca="1" si="43"/>
        <v>0</v>
      </c>
      <c r="M165" s="1130">
        <f t="shared" ca="1" si="44"/>
        <v>0</v>
      </c>
      <c r="N165" s="1130">
        <f t="shared" ca="1" si="53"/>
        <v>2445821552.2182055</v>
      </c>
      <c r="O165" s="1073"/>
      <c r="P165" s="1130">
        <f t="shared" ca="1" si="45"/>
        <v>36554209.990189075</v>
      </c>
      <c r="Q165" s="1130">
        <f t="shared" ca="1" si="46"/>
        <v>2323530474.607295</v>
      </c>
      <c r="R165" s="1130">
        <f t="shared" ca="1" si="54"/>
        <v>2358256974.0979748</v>
      </c>
      <c r="S165" s="1130">
        <f t="shared" ca="1" si="55"/>
        <v>34726499.490679741</v>
      </c>
      <c r="T165" s="1130">
        <f t="shared" ca="1" si="47"/>
        <v>2323530474.607295</v>
      </c>
      <c r="U165" s="1132">
        <f t="shared" ca="1" si="48"/>
        <v>0.19973041653380774</v>
      </c>
      <c r="V165" s="1133">
        <f t="shared" ca="1" si="49"/>
        <v>5.0000000000000044E-2</v>
      </c>
      <c r="X165" s="1134">
        <f t="shared" ca="1" si="56"/>
        <v>124118788.11041969</v>
      </c>
      <c r="Y165" s="1134">
        <f t="shared" ca="1" si="50"/>
        <v>1827710.4995093346</v>
      </c>
      <c r="Z165" s="1134">
        <f t="shared" ca="1" si="51"/>
        <v>122291077.61091036</v>
      </c>
      <c r="AA165" s="1132">
        <f t="shared" ca="1" si="52"/>
        <v>0.21370314757303666</v>
      </c>
      <c r="AB165" s="1105"/>
    </row>
    <row r="166" spans="1:28">
      <c r="A166" s="1144">
        <f>Calendar!J158</f>
        <v>49732</v>
      </c>
      <c r="C166" s="1104"/>
      <c r="D166" s="1125">
        <f t="shared" ca="1" si="38"/>
        <v>50951</v>
      </c>
      <c r="E166" s="1126">
        <f t="shared" ca="1" si="39"/>
        <v>50978</v>
      </c>
      <c r="F166" s="1127">
        <f t="shared" ca="1" si="40"/>
        <v>4748</v>
      </c>
      <c r="G166" s="1128">
        <f ca="1">IF(F166&lt;&gt;"",COUNTIF($F$11:F166,"&gt;0"),"")</f>
        <v>156</v>
      </c>
      <c r="H166" s="1129">
        <v>1.4840873232337378E-2</v>
      </c>
      <c r="I166" s="1073"/>
      <c r="J166" s="1130">
        <f t="shared" ca="1" si="41"/>
        <v>2445821552.2182055</v>
      </c>
      <c r="K166" s="1131">
        <f t="shared" ca="1" si="42"/>
        <v>36298127.605389021</v>
      </c>
      <c r="L166" s="1130">
        <f t="shared" ca="1" si="43"/>
        <v>0</v>
      </c>
      <c r="M166" s="1130">
        <f t="shared" ca="1" si="44"/>
        <v>0</v>
      </c>
      <c r="N166" s="1130">
        <f t="shared" ca="1" si="53"/>
        <v>2409523424.6128163</v>
      </c>
      <c r="O166" s="1073"/>
      <c r="P166" s="1130">
        <f t="shared" ca="1" si="45"/>
        <v>36298127.605389118</v>
      </c>
      <c r="Q166" s="1130">
        <f t="shared" ca="1" si="46"/>
        <v>2289047253.3821754</v>
      </c>
      <c r="R166" s="1130">
        <f t="shared" ca="1" si="54"/>
        <v>2323530474.607295</v>
      </c>
      <c r="S166" s="1130">
        <f t="shared" ca="1" si="55"/>
        <v>34483221.225119591</v>
      </c>
      <c r="T166" s="1130">
        <f t="shared" ca="1" si="47"/>
        <v>2289047253.3821754</v>
      </c>
      <c r="U166" s="1132">
        <f t="shared" ca="1" si="48"/>
        <v>0.19678928743540339</v>
      </c>
      <c r="V166" s="1133">
        <f t="shared" ca="1" si="49"/>
        <v>5.0000000000000044E-2</v>
      </c>
      <c r="X166" s="1134">
        <f t="shared" ca="1" si="56"/>
        <v>122291077.61091036</v>
      </c>
      <c r="Y166" s="1134">
        <f t="shared" ca="1" si="50"/>
        <v>1814906.3802695274</v>
      </c>
      <c r="Z166" s="1134">
        <f t="shared" ca="1" si="51"/>
        <v>120476171.23064083</v>
      </c>
      <c r="AA166" s="1132">
        <f t="shared" ca="1" si="52"/>
        <v>0.21055626310418449</v>
      </c>
      <c r="AB166" s="1105"/>
    </row>
    <row r="167" spans="1:28">
      <c r="A167" s="1144">
        <f>Calendar!J159</f>
        <v>49761</v>
      </c>
      <c r="C167" s="1104"/>
      <c r="D167" s="1125">
        <f t="shared" ca="1" si="38"/>
        <v>50982</v>
      </c>
      <c r="E167" s="1126">
        <f t="shared" ca="1" si="39"/>
        <v>51011</v>
      </c>
      <c r="F167" s="1127">
        <f t="shared" ca="1" si="40"/>
        <v>4781</v>
      </c>
      <c r="G167" s="1128">
        <f ca="1">IF(F167&lt;&gt;"",COUNTIF($F$11:F167,"&gt;0"),"")</f>
        <v>157</v>
      </c>
      <c r="H167" s="1129">
        <v>1.4954538629712818E-2</v>
      </c>
      <c r="I167" s="1073"/>
      <c r="J167" s="1130">
        <f t="shared" ca="1" si="41"/>
        <v>2409523424.6128163</v>
      </c>
      <c r="K167" s="1131">
        <f t="shared" ca="1" si="42"/>
        <v>36033311.132570282</v>
      </c>
      <c r="L167" s="1130">
        <f t="shared" ca="1" si="43"/>
        <v>0</v>
      </c>
      <c r="M167" s="1130">
        <f t="shared" ca="1" si="44"/>
        <v>0</v>
      </c>
      <c r="N167" s="1130">
        <f t="shared" ca="1" si="53"/>
        <v>2373490113.4802461</v>
      </c>
      <c r="O167" s="1073"/>
      <c r="P167" s="1130">
        <f t="shared" ca="1" si="45"/>
        <v>36033311.132570267</v>
      </c>
      <c r="Q167" s="1130">
        <f t="shared" ca="1" si="46"/>
        <v>2254815607.8062339</v>
      </c>
      <c r="R167" s="1130">
        <f t="shared" ca="1" si="54"/>
        <v>2289047253.3821754</v>
      </c>
      <c r="S167" s="1130">
        <f t="shared" ca="1" si="55"/>
        <v>34231645.575941563</v>
      </c>
      <c r="T167" s="1130">
        <f t="shared" ca="1" si="47"/>
        <v>2254815607.8062339</v>
      </c>
      <c r="U167" s="1132">
        <f t="shared" ca="1" si="48"/>
        <v>0.19386876256709257</v>
      </c>
      <c r="V167" s="1133">
        <f t="shared" ca="1" si="49"/>
        <v>4.9999999999999933E-2</v>
      </c>
      <c r="X167" s="1134">
        <f t="shared" ca="1" si="56"/>
        <v>120476171.23064083</v>
      </c>
      <c r="Y167" s="1134">
        <f t="shared" ca="1" si="50"/>
        <v>1801665.5566287041</v>
      </c>
      <c r="Z167" s="1134">
        <f t="shared" ca="1" si="51"/>
        <v>118674505.67401212</v>
      </c>
      <c r="AA167" s="1132">
        <f t="shared" ca="1" si="52"/>
        <v>0.20743142429518049</v>
      </c>
      <c r="AB167" s="1105"/>
    </row>
    <row r="168" spans="1:28">
      <c r="A168" s="1144">
        <f>Calendar!J160</f>
        <v>49793</v>
      </c>
      <c r="C168" s="1104"/>
      <c r="D168" s="1125">
        <f t="shared" ca="1" si="38"/>
        <v>51013</v>
      </c>
      <c r="E168" s="1126">
        <f t="shared" ca="1" si="39"/>
        <v>51040</v>
      </c>
      <c r="F168" s="1127">
        <f t="shared" ca="1" si="40"/>
        <v>4810</v>
      </c>
      <c r="G168" s="1128">
        <f ca="1">IF(F168&lt;&gt;"",COUNTIF($F$11:F168,"&gt;0"),"")</f>
        <v>158</v>
      </c>
      <c r="H168" s="1129">
        <v>1.504881792198098E-2</v>
      </c>
      <c r="I168" s="1073"/>
      <c r="J168" s="1130">
        <f t="shared" ca="1" si="41"/>
        <v>2373490113.4802461</v>
      </c>
      <c r="K168" s="1131">
        <f t="shared" ca="1" si="42"/>
        <v>35718220.557386197</v>
      </c>
      <c r="L168" s="1130">
        <f t="shared" ca="1" si="43"/>
        <v>0</v>
      </c>
      <c r="M168" s="1130">
        <f t="shared" ca="1" si="44"/>
        <v>0</v>
      </c>
      <c r="N168" s="1130">
        <f t="shared" ca="1" si="53"/>
        <v>2337771892.9228597</v>
      </c>
      <c r="O168" s="1073"/>
      <c r="P168" s="1130">
        <f t="shared" ca="1" si="45"/>
        <v>35718220.557386398</v>
      </c>
      <c r="Q168" s="1130">
        <f t="shared" ca="1" si="46"/>
        <v>2220883298.2767167</v>
      </c>
      <c r="R168" s="1130">
        <f t="shared" ca="1" si="54"/>
        <v>2254815607.8062339</v>
      </c>
      <c r="S168" s="1130">
        <f t="shared" ca="1" si="55"/>
        <v>33932309.529517174</v>
      </c>
      <c r="T168" s="1130">
        <f t="shared" ca="1" si="47"/>
        <v>2220883298.2767167</v>
      </c>
      <c r="U168" s="1132">
        <f t="shared" ca="1" si="48"/>
        <v>0.19096954466818838</v>
      </c>
      <c r="V168" s="1133">
        <f t="shared" ca="1" si="49"/>
        <v>5.0000000000000044E-2</v>
      </c>
      <c r="X168" s="1134">
        <f t="shared" ca="1" si="56"/>
        <v>118674505.67401212</v>
      </c>
      <c r="Y168" s="1134">
        <f t="shared" ca="1" si="50"/>
        <v>1785911.0278692245</v>
      </c>
      <c r="Z168" s="1134">
        <f t="shared" ca="1" si="51"/>
        <v>116888594.6461429</v>
      </c>
      <c r="AA168" s="1132">
        <f t="shared" ca="1" si="52"/>
        <v>0.20432938304754153</v>
      </c>
      <c r="AB168" s="1105"/>
    </row>
    <row r="169" spans="1:28">
      <c r="A169" s="1144">
        <f>Calendar!J161</f>
        <v>49822</v>
      </c>
      <c r="C169" s="1104"/>
      <c r="D169" s="1125">
        <f t="shared" ca="1" si="38"/>
        <v>51043</v>
      </c>
      <c r="E169" s="1126">
        <f t="shared" ca="1" si="39"/>
        <v>51070</v>
      </c>
      <c r="F169" s="1127">
        <f t="shared" ca="1" si="40"/>
        <v>4840</v>
      </c>
      <c r="G169" s="1128">
        <f ca="1">IF(F169&lt;&gt;"",COUNTIF($F$11:F169,"&gt;0"),"")</f>
        <v>159</v>
      </c>
      <c r="H169" s="1129">
        <v>1.5140884402968137E-2</v>
      </c>
      <c r="I169" s="1073"/>
      <c r="J169" s="1130">
        <f t="shared" ca="1" si="41"/>
        <v>2337771892.9228597</v>
      </c>
      <c r="K169" s="1131">
        <f t="shared" ca="1" si="42"/>
        <v>35395933.991253026</v>
      </c>
      <c r="L169" s="1130">
        <f t="shared" ca="1" si="43"/>
        <v>0</v>
      </c>
      <c r="M169" s="1130">
        <f t="shared" ca="1" si="44"/>
        <v>0</v>
      </c>
      <c r="N169" s="1130">
        <f t="shared" ca="1" si="53"/>
        <v>2302375958.9316068</v>
      </c>
      <c r="O169" s="1073"/>
      <c r="P169" s="1130">
        <f t="shared" ca="1" si="45"/>
        <v>35395933.991252899</v>
      </c>
      <c r="Q169" s="1130">
        <f t="shared" ca="1" si="46"/>
        <v>2187257160.9850264</v>
      </c>
      <c r="R169" s="1130">
        <f t="shared" ca="1" si="54"/>
        <v>2220883298.2767167</v>
      </c>
      <c r="S169" s="1130">
        <f t="shared" ca="1" si="55"/>
        <v>33626137.29169035</v>
      </c>
      <c r="T169" s="1130">
        <f t="shared" ca="1" si="47"/>
        <v>2187257160.9850264</v>
      </c>
      <c r="U169" s="1132">
        <f t="shared" ca="1" si="48"/>
        <v>0.18809567876183317</v>
      </c>
      <c r="V169" s="1133">
        <f t="shared" ca="1" si="49"/>
        <v>5.0000000000000044E-2</v>
      </c>
      <c r="X169" s="1134">
        <f t="shared" ca="1" si="56"/>
        <v>116888594.6461429</v>
      </c>
      <c r="Y169" s="1134">
        <f t="shared" ca="1" si="50"/>
        <v>1769796.6995625496</v>
      </c>
      <c r="Z169" s="1134">
        <f t="shared" ca="1" si="51"/>
        <v>115118797.94658035</v>
      </c>
      <c r="AA169" s="1132">
        <f t="shared" ca="1" si="52"/>
        <v>0.20125446736594851</v>
      </c>
      <c r="AB169" s="1105"/>
    </row>
    <row r="170" spans="1:28">
      <c r="A170" s="1144">
        <f>Calendar!J162</f>
        <v>49853</v>
      </c>
      <c r="C170" s="1104"/>
      <c r="D170" s="1125">
        <f t="shared" ca="1" si="38"/>
        <v>51074</v>
      </c>
      <c r="E170" s="1126">
        <f t="shared" ca="1" si="39"/>
        <v>51102</v>
      </c>
      <c r="F170" s="1127">
        <f t="shared" ca="1" si="40"/>
        <v>4872</v>
      </c>
      <c r="G170" s="1128">
        <f ca="1">IF(F170&lt;&gt;"",COUNTIF($F$11:F170,"&gt;0"),"")</f>
        <v>160</v>
      </c>
      <c r="H170" s="1129">
        <v>1.5239153987182522E-2</v>
      </c>
      <c r="I170" s="1073"/>
      <c r="J170" s="1130">
        <f t="shared" ca="1" si="41"/>
        <v>2302375958.9316068</v>
      </c>
      <c r="K170" s="1131">
        <f t="shared" ca="1" si="42"/>
        <v>35086261.774545774</v>
      </c>
      <c r="L170" s="1130">
        <f t="shared" ca="1" si="43"/>
        <v>0</v>
      </c>
      <c r="M170" s="1130">
        <f t="shared" ca="1" si="44"/>
        <v>0</v>
      </c>
      <c r="N170" s="1130">
        <f t="shared" ca="1" si="53"/>
        <v>2267289697.1570611</v>
      </c>
      <c r="O170" s="1073"/>
      <c r="P170" s="1130">
        <f t="shared" ca="1" si="45"/>
        <v>35086261.77454567</v>
      </c>
      <c r="Q170" s="1130">
        <f t="shared" ca="1" si="46"/>
        <v>2153925212.2992082</v>
      </c>
      <c r="R170" s="1130">
        <f t="shared" ca="1" si="54"/>
        <v>2187257160.9850264</v>
      </c>
      <c r="S170" s="1130">
        <f t="shared" ca="1" si="55"/>
        <v>33331948.685818195</v>
      </c>
      <c r="T170" s="1130">
        <f t="shared" ca="1" si="47"/>
        <v>2153925212.2992082</v>
      </c>
      <c r="U170" s="1132">
        <f t="shared" ca="1" si="48"/>
        <v>0.18524774383300244</v>
      </c>
      <c r="V170" s="1133">
        <f t="shared" ca="1" si="49"/>
        <v>4.9999999999999933E-2</v>
      </c>
      <c r="X170" s="1134">
        <f t="shared" ca="1" si="56"/>
        <v>115118797.94658035</v>
      </c>
      <c r="Y170" s="1134">
        <f t="shared" ca="1" si="50"/>
        <v>1754313.0887274742</v>
      </c>
      <c r="Z170" s="1134">
        <f t="shared" ca="1" si="51"/>
        <v>113364484.85785288</v>
      </c>
      <c r="AA170" s="1132">
        <f t="shared" ca="1" si="52"/>
        <v>0.19820729673997994</v>
      </c>
      <c r="AB170" s="1105"/>
    </row>
    <row r="171" spans="1:28">
      <c r="A171" s="1144">
        <f>Calendar!J163</f>
        <v>49884</v>
      </c>
      <c r="C171" s="1104"/>
      <c r="D171" s="1125">
        <f t="shared" ca="1" si="38"/>
        <v>51104</v>
      </c>
      <c r="E171" s="1126">
        <f t="shared" ca="1" si="39"/>
        <v>51131</v>
      </c>
      <c r="F171" s="1127">
        <f t="shared" ca="1" si="40"/>
        <v>4901</v>
      </c>
      <c r="G171" s="1128">
        <f ca="1">IF(F171&lt;&gt;"",COUNTIF($F$11:F171,"&gt;0"),"")</f>
        <v>161</v>
      </c>
      <c r="H171" s="1129">
        <v>1.5343443916137591E-2</v>
      </c>
      <c r="I171" s="1073"/>
      <c r="J171" s="1130">
        <f t="shared" ca="1" si="41"/>
        <v>2267289697.1570611</v>
      </c>
      <c r="K171" s="1131">
        <f t="shared" ca="1" si="42"/>
        <v>34788032.309965953</v>
      </c>
      <c r="L171" s="1130">
        <f t="shared" ca="1" si="43"/>
        <v>0</v>
      </c>
      <c r="M171" s="1130">
        <f t="shared" ca="1" si="44"/>
        <v>0</v>
      </c>
      <c r="N171" s="1130">
        <f t="shared" ca="1" si="53"/>
        <v>2232501664.847095</v>
      </c>
      <c r="O171" s="1073"/>
      <c r="P171" s="1130">
        <f t="shared" ca="1" si="45"/>
        <v>34788032.309966087</v>
      </c>
      <c r="Q171" s="1130">
        <f t="shared" ca="1" si="46"/>
        <v>2120876581.6047401</v>
      </c>
      <c r="R171" s="1130">
        <f t="shared" ca="1" si="54"/>
        <v>2153925212.2992082</v>
      </c>
      <c r="S171" s="1130">
        <f t="shared" ca="1" si="55"/>
        <v>33048630.694468021</v>
      </c>
      <c r="T171" s="1130">
        <f t="shared" ca="1" si="47"/>
        <v>2120876581.6047401</v>
      </c>
      <c r="U171" s="1132">
        <f t="shared" ca="1" si="48"/>
        <v>0.1824247249389532</v>
      </c>
      <c r="V171" s="1133">
        <f t="shared" ca="1" si="49"/>
        <v>5.0000000000000044E-2</v>
      </c>
      <c r="X171" s="1134">
        <f t="shared" ca="1" si="56"/>
        <v>113364484.85785288</v>
      </c>
      <c r="Y171" s="1134">
        <f t="shared" ca="1" si="50"/>
        <v>1739401.6154980659</v>
      </c>
      <c r="Z171" s="1134">
        <f t="shared" ca="1" si="51"/>
        <v>111625083.24235481</v>
      </c>
      <c r="AA171" s="1132">
        <f t="shared" ca="1" si="52"/>
        <v>0.19518678522357588</v>
      </c>
      <c r="AB171" s="1105"/>
    </row>
    <row r="172" spans="1:28">
      <c r="A172" s="1144">
        <f>Calendar!J164</f>
        <v>49914</v>
      </c>
      <c r="C172" s="1104"/>
      <c r="D172" s="1125">
        <f t="shared" ca="1" si="38"/>
        <v>51135</v>
      </c>
      <c r="E172" s="1126">
        <f t="shared" ca="1" si="39"/>
        <v>51162</v>
      </c>
      <c r="F172" s="1127">
        <f t="shared" ca="1" si="40"/>
        <v>4932</v>
      </c>
      <c r="G172" s="1128">
        <f ca="1">IF(F172&lt;&gt;"",COUNTIF($F$11:F172,"&gt;0"),"")</f>
        <v>162</v>
      </c>
      <c r="H172" s="1129">
        <v>1.5447912871940713E-2</v>
      </c>
      <c r="I172" s="1073"/>
      <c r="J172" s="1130">
        <f t="shared" ca="1" si="41"/>
        <v>2232501664.847095</v>
      </c>
      <c r="K172" s="1131">
        <f t="shared" ca="1" si="42"/>
        <v>34487491.20502051</v>
      </c>
      <c r="L172" s="1130">
        <f t="shared" ca="1" si="43"/>
        <v>0</v>
      </c>
      <c r="M172" s="1130">
        <f t="shared" ca="1" si="44"/>
        <v>0</v>
      </c>
      <c r="N172" s="1130">
        <f t="shared" ca="1" si="53"/>
        <v>2198014173.6420746</v>
      </c>
      <c r="O172" s="1073"/>
      <c r="P172" s="1130">
        <f t="shared" ca="1" si="45"/>
        <v>34487491.205020428</v>
      </c>
      <c r="Q172" s="1130">
        <f t="shared" ca="1" si="46"/>
        <v>2088113464.9599707</v>
      </c>
      <c r="R172" s="1130">
        <f t="shared" ca="1" si="54"/>
        <v>2120876581.6047401</v>
      </c>
      <c r="S172" s="1130">
        <f t="shared" ca="1" si="55"/>
        <v>32763116.64476943</v>
      </c>
      <c r="T172" s="1130">
        <f t="shared" ca="1" si="47"/>
        <v>2088113464.9599707</v>
      </c>
      <c r="U172" s="1132">
        <f t="shared" ca="1" si="48"/>
        <v>0.17962570140293552</v>
      </c>
      <c r="V172" s="1133">
        <f t="shared" ca="1" si="49"/>
        <v>5.0000000000000044E-2</v>
      </c>
      <c r="X172" s="1134">
        <f t="shared" ca="1" si="56"/>
        <v>111625083.24235481</v>
      </c>
      <c r="Y172" s="1134">
        <f t="shared" ca="1" si="50"/>
        <v>1724374.5602509975</v>
      </c>
      <c r="Z172" s="1134">
        <f t="shared" ca="1" si="51"/>
        <v>109900708.68210381</v>
      </c>
      <c r="AA172" s="1132">
        <f t="shared" ca="1" si="52"/>
        <v>0.19219194773132714</v>
      </c>
      <c r="AB172" s="1105"/>
    </row>
    <row r="173" spans="1:28">
      <c r="A173" s="1144">
        <f>Calendar!J165</f>
        <v>49947</v>
      </c>
      <c r="C173" s="1104"/>
      <c r="D173" s="1125">
        <f t="shared" ca="1" si="38"/>
        <v>51166</v>
      </c>
      <c r="E173" s="1126">
        <f t="shared" ca="1" si="39"/>
        <v>51193</v>
      </c>
      <c r="F173" s="1127">
        <f t="shared" ca="1" si="40"/>
        <v>4963</v>
      </c>
      <c r="G173" s="1128">
        <f ca="1">IF(F173&lt;&gt;"",COUNTIF($F$11:F173,"&gt;0"),"")</f>
        <v>163</v>
      </c>
      <c r="H173" s="1129">
        <v>1.553540043119273E-2</v>
      </c>
      <c r="I173" s="1073"/>
      <c r="J173" s="1130">
        <f t="shared" ca="1" si="41"/>
        <v>2198014173.6420746</v>
      </c>
      <c r="K173" s="1131">
        <f t="shared" ca="1" si="42"/>
        <v>34147030.340966821</v>
      </c>
      <c r="L173" s="1130">
        <f t="shared" ca="1" si="43"/>
        <v>0</v>
      </c>
      <c r="M173" s="1130">
        <f t="shared" ca="1" si="44"/>
        <v>0</v>
      </c>
      <c r="N173" s="1130">
        <f t="shared" ca="1" si="53"/>
        <v>2163867143.3011079</v>
      </c>
      <c r="O173" s="1073"/>
      <c r="P173" s="1130">
        <f t="shared" ca="1" si="45"/>
        <v>34147030.340966702</v>
      </c>
      <c r="Q173" s="1130">
        <f t="shared" ca="1" si="46"/>
        <v>2055673786.1360524</v>
      </c>
      <c r="R173" s="1130">
        <f t="shared" ca="1" si="54"/>
        <v>2088113464.9599707</v>
      </c>
      <c r="S173" s="1130">
        <f t="shared" ca="1" si="55"/>
        <v>32439678.823918343</v>
      </c>
      <c r="T173" s="1130">
        <f t="shared" ca="1" si="47"/>
        <v>2055673786.1360524</v>
      </c>
      <c r="U173" s="1132">
        <f t="shared" ca="1" si="48"/>
        <v>0.17685085921810173</v>
      </c>
      <c r="V173" s="1133">
        <f t="shared" ca="1" si="49"/>
        <v>5.0000000000000044E-2</v>
      </c>
      <c r="X173" s="1134">
        <f t="shared" ca="1" si="56"/>
        <v>109900708.68210381</v>
      </c>
      <c r="Y173" s="1134">
        <f t="shared" ca="1" si="50"/>
        <v>1707351.5170483589</v>
      </c>
      <c r="Z173" s="1134">
        <f t="shared" ca="1" si="51"/>
        <v>108193357.16505545</v>
      </c>
      <c r="AA173" s="1132">
        <f t="shared" ca="1" si="52"/>
        <v>0.18922298326808507</v>
      </c>
      <c r="AB173" s="1105"/>
    </row>
    <row r="174" spans="1:28">
      <c r="A174" s="1144">
        <f>Calendar!J166</f>
        <v>49975</v>
      </c>
      <c r="C174" s="1104"/>
      <c r="D174" s="1125">
        <f t="shared" ca="1" si="38"/>
        <v>51195</v>
      </c>
      <c r="E174" s="1126">
        <f t="shared" ca="1" si="39"/>
        <v>51222</v>
      </c>
      <c r="F174" s="1127">
        <f t="shared" ca="1" si="40"/>
        <v>4992</v>
      </c>
      <c r="G174" s="1128">
        <f ca="1">IF(F174&lt;&gt;"",COUNTIF($F$11:F174,"&gt;0"),"")</f>
        <v>164</v>
      </c>
      <c r="H174" s="1129">
        <v>1.5615344497241317E-2</v>
      </c>
      <c r="I174" s="1073"/>
      <c r="J174" s="1130">
        <f t="shared" ca="1" si="41"/>
        <v>2163867143.3011079</v>
      </c>
      <c r="K174" s="1131">
        <f t="shared" ca="1" si="42"/>
        <v>33789530.888908245</v>
      </c>
      <c r="L174" s="1130">
        <f t="shared" ca="1" si="43"/>
        <v>0</v>
      </c>
      <c r="M174" s="1130">
        <f t="shared" ca="1" si="44"/>
        <v>0</v>
      </c>
      <c r="N174" s="1130">
        <f t="shared" ca="1" si="53"/>
        <v>2130077612.4121997</v>
      </c>
      <c r="O174" s="1073"/>
      <c r="P174" s="1130">
        <f t="shared" ca="1" si="45"/>
        <v>33789530.888908148</v>
      </c>
      <c r="Q174" s="1130">
        <f t="shared" ca="1" si="46"/>
        <v>2023573731.7915897</v>
      </c>
      <c r="R174" s="1130">
        <f t="shared" ca="1" si="54"/>
        <v>2055673786.1360524</v>
      </c>
      <c r="S174" s="1130">
        <f t="shared" ca="1" si="55"/>
        <v>32100054.344462633</v>
      </c>
      <c r="T174" s="1130">
        <f t="shared" ca="1" si="47"/>
        <v>2023573731.7915897</v>
      </c>
      <c r="U174" s="1132">
        <f t="shared" ca="1" si="48"/>
        <v>0.17410341030354803</v>
      </c>
      <c r="V174" s="1133">
        <f t="shared" ca="1" si="49"/>
        <v>5.0000000000000044E-2</v>
      </c>
      <c r="X174" s="1134">
        <f t="shared" ca="1" si="56"/>
        <v>108193357.16505545</v>
      </c>
      <c r="Y174" s="1134">
        <f t="shared" ca="1" si="50"/>
        <v>1689476.5444455147</v>
      </c>
      <c r="Z174" s="1134">
        <f t="shared" ca="1" si="51"/>
        <v>106503880.62060994</v>
      </c>
      <c r="AA174" s="1132">
        <f t="shared" ca="1" si="52"/>
        <v>0.18628332845223047</v>
      </c>
      <c r="AB174" s="1105"/>
    </row>
    <row r="175" spans="1:28">
      <c r="A175" s="1144">
        <f>Calendar!J167</f>
        <v>50006</v>
      </c>
      <c r="C175" s="1104"/>
      <c r="D175" s="1125">
        <f t="shared" ca="1" si="38"/>
        <v>51226</v>
      </c>
      <c r="E175" s="1126">
        <f t="shared" ca="1" si="39"/>
        <v>51253</v>
      </c>
      <c r="F175" s="1127">
        <f t="shared" ca="1" si="40"/>
        <v>5023</v>
      </c>
      <c r="G175" s="1128">
        <f ca="1">IF(F175&lt;&gt;"",COUNTIF($F$11:F175,"&gt;0"),"")</f>
        <v>165</v>
      </c>
      <c r="H175" s="1129">
        <v>1.5720716728036072E-2</v>
      </c>
      <c r="I175" s="1073"/>
      <c r="J175" s="1130">
        <f t="shared" ca="1" si="41"/>
        <v>2130077612.4121997</v>
      </c>
      <c r="K175" s="1131">
        <f t="shared" ca="1" si="42"/>
        <v>33486346.753463604</v>
      </c>
      <c r="L175" s="1130">
        <f t="shared" ca="1" si="43"/>
        <v>0</v>
      </c>
      <c r="M175" s="1130">
        <f t="shared" ca="1" si="44"/>
        <v>0</v>
      </c>
      <c r="N175" s="1130">
        <f t="shared" ca="1" si="53"/>
        <v>2096591265.6587362</v>
      </c>
      <c r="O175" s="1073"/>
      <c r="P175" s="1130">
        <f t="shared" ca="1" si="45"/>
        <v>33486346.753463507</v>
      </c>
      <c r="Q175" s="1130">
        <f t="shared" ca="1" si="46"/>
        <v>1991761702.3757994</v>
      </c>
      <c r="R175" s="1130">
        <f t="shared" ca="1" si="54"/>
        <v>2023573731.7915897</v>
      </c>
      <c r="S175" s="1130">
        <f t="shared" ca="1" si="55"/>
        <v>31812029.415790319</v>
      </c>
      <c r="T175" s="1130">
        <f t="shared" ca="1" si="47"/>
        <v>1991761702.3757994</v>
      </c>
      <c r="U175" s="1132">
        <f t="shared" ca="1" si="48"/>
        <v>0.17138472557351359</v>
      </c>
      <c r="V175" s="1133">
        <f t="shared" ca="1" si="49"/>
        <v>5.0000000000000044E-2</v>
      </c>
      <c r="X175" s="1134">
        <f t="shared" ca="1" si="56"/>
        <v>106503880.62060994</v>
      </c>
      <c r="Y175" s="1134">
        <f t="shared" ca="1" si="50"/>
        <v>1674317.3376731873</v>
      </c>
      <c r="Z175" s="1134">
        <f t="shared" ca="1" si="51"/>
        <v>104829563.28293675</v>
      </c>
      <c r="AA175" s="1132">
        <f t="shared" ca="1" si="52"/>
        <v>0.18337445010435596</v>
      </c>
      <c r="AB175" s="1105"/>
    </row>
    <row r="176" spans="1:28">
      <c r="A176" s="1144">
        <f>Calendar!J168</f>
        <v>50038</v>
      </c>
      <c r="C176" s="1104"/>
      <c r="D176" s="1125">
        <f t="shared" ca="1" si="38"/>
        <v>51256</v>
      </c>
      <c r="E176" s="1126">
        <f t="shared" ca="1" si="39"/>
        <v>51284</v>
      </c>
      <c r="F176" s="1127">
        <f t="shared" ca="1" si="40"/>
        <v>5054</v>
      </c>
      <c r="G176" s="1128">
        <f ca="1">IF(F176&lt;&gt;"",COUNTIF($F$11:F176,"&gt;0"),"")</f>
        <v>166</v>
      </c>
      <c r="H176" s="1129">
        <v>1.580574357171256E-2</v>
      </c>
      <c r="I176" s="1073"/>
      <c r="J176" s="1130">
        <f t="shared" ca="1" si="41"/>
        <v>2096591265.6587362</v>
      </c>
      <c r="K176" s="1131">
        <f t="shared" ca="1" si="42"/>
        <v>33138183.919694271</v>
      </c>
      <c r="L176" s="1130">
        <f t="shared" ca="1" si="43"/>
        <v>0</v>
      </c>
      <c r="M176" s="1130">
        <f t="shared" ca="1" si="44"/>
        <v>0</v>
      </c>
      <c r="N176" s="1130">
        <f t="shared" ca="1" si="53"/>
        <v>2063453081.739042</v>
      </c>
      <c r="O176" s="1073"/>
      <c r="P176" s="1130">
        <f t="shared" ca="1" si="45"/>
        <v>33138183.919694185</v>
      </c>
      <c r="Q176" s="1130">
        <f t="shared" ca="1" si="46"/>
        <v>1960280427.6520898</v>
      </c>
      <c r="R176" s="1130">
        <f t="shared" ca="1" si="54"/>
        <v>1991761702.3757994</v>
      </c>
      <c r="S176" s="1130">
        <f t="shared" ca="1" si="55"/>
        <v>31481274.723709583</v>
      </c>
      <c r="T176" s="1130">
        <f t="shared" ca="1" si="47"/>
        <v>1960280427.6520898</v>
      </c>
      <c r="U176" s="1132">
        <f t="shared" ca="1" si="48"/>
        <v>0.1686904348512602</v>
      </c>
      <c r="V176" s="1133">
        <f t="shared" ca="1" si="49"/>
        <v>5.0000000000000044E-2</v>
      </c>
      <c r="X176" s="1134">
        <f t="shared" ca="1" si="56"/>
        <v>104829563.28293675</v>
      </c>
      <c r="Y176" s="1134">
        <f t="shared" ca="1" si="50"/>
        <v>1656909.195984602</v>
      </c>
      <c r="Z176" s="1134">
        <f t="shared" ca="1" si="51"/>
        <v>103172654.08695215</v>
      </c>
      <c r="AA176" s="1132">
        <f t="shared" ca="1" si="52"/>
        <v>0.18049167231910598</v>
      </c>
      <c r="AB176" s="1105"/>
    </row>
    <row r="177" spans="1:28">
      <c r="A177" s="1144">
        <f>Calendar!J169</f>
        <v>50067</v>
      </c>
      <c r="C177" s="1104"/>
      <c r="D177" s="1125">
        <f t="shared" ca="1" si="38"/>
        <v>51287</v>
      </c>
      <c r="E177" s="1126">
        <f t="shared" ca="1" si="39"/>
        <v>51314</v>
      </c>
      <c r="F177" s="1127">
        <f t="shared" ca="1" si="40"/>
        <v>5084</v>
      </c>
      <c r="G177" s="1128">
        <f ca="1">IF(F177&lt;&gt;"",COUNTIF($F$11:F177,"&gt;0"),"")</f>
        <v>167</v>
      </c>
      <c r="H177" s="1129">
        <v>1.5909727788583974E-2</v>
      </c>
      <c r="I177" s="1073"/>
      <c r="J177" s="1130">
        <f t="shared" ca="1" si="41"/>
        <v>2063453081.739042</v>
      </c>
      <c r="K177" s="1131">
        <f t="shared" ca="1" si="42"/>
        <v>32828976.834982876</v>
      </c>
      <c r="L177" s="1130">
        <f t="shared" ca="1" si="43"/>
        <v>0</v>
      </c>
      <c r="M177" s="1130">
        <f t="shared" ca="1" si="44"/>
        <v>0</v>
      </c>
      <c r="N177" s="1130">
        <f t="shared" ca="1" si="53"/>
        <v>2030624104.9040592</v>
      </c>
      <c r="O177" s="1073"/>
      <c r="P177" s="1130">
        <f t="shared" ca="1" si="45"/>
        <v>32828976.834982872</v>
      </c>
      <c r="Q177" s="1130">
        <f t="shared" ca="1" si="46"/>
        <v>1929092899.6588562</v>
      </c>
      <c r="R177" s="1130">
        <f t="shared" ca="1" si="54"/>
        <v>1960280427.6520898</v>
      </c>
      <c r="S177" s="1130">
        <f t="shared" ca="1" si="55"/>
        <v>31187527.993233681</v>
      </c>
      <c r="T177" s="1130">
        <f t="shared" ca="1" si="47"/>
        <v>1929092899.6588562</v>
      </c>
      <c r="U177" s="1132">
        <f t="shared" ca="1" si="48"/>
        <v>0.16602415709500049</v>
      </c>
      <c r="V177" s="1133">
        <f t="shared" ca="1" si="49"/>
        <v>5.0000000000000044E-2</v>
      </c>
      <c r="X177" s="1134">
        <f t="shared" ca="1" si="56"/>
        <v>103172654.08695215</v>
      </c>
      <c r="Y177" s="1134">
        <f t="shared" ca="1" si="50"/>
        <v>1641448.8417491913</v>
      </c>
      <c r="Z177" s="1134">
        <f t="shared" ca="1" si="51"/>
        <v>101531205.24520296</v>
      </c>
      <c r="AA177" s="1132">
        <f t="shared" ca="1" si="52"/>
        <v>0.17763886722960082</v>
      </c>
      <c r="AB177" s="1105"/>
    </row>
    <row r="178" spans="1:28">
      <c r="A178" s="1144">
        <f>Calendar!J170</f>
        <v>50098</v>
      </c>
      <c r="C178" s="1104"/>
      <c r="D178" s="1125">
        <f t="shared" ca="1" si="38"/>
        <v>51317</v>
      </c>
      <c r="E178" s="1126">
        <f t="shared" ca="1" si="39"/>
        <v>51344</v>
      </c>
      <c r="F178" s="1127">
        <f t="shared" ca="1" si="40"/>
        <v>5114</v>
      </c>
      <c r="G178" s="1128">
        <f ca="1">IF(F178&lt;&gt;"",COUNTIF($F$11:F178,"&gt;0"),"")</f>
        <v>168</v>
      </c>
      <c r="H178" s="1129">
        <v>1.6001483846585514E-2</v>
      </c>
      <c r="I178" s="1073"/>
      <c r="J178" s="1130">
        <f t="shared" ca="1" si="41"/>
        <v>2030624104.9040592</v>
      </c>
      <c r="K178" s="1131">
        <f t="shared" ca="1" si="42"/>
        <v>32492998.813109472</v>
      </c>
      <c r="L178" s="1130">
        <f t="shared" ca="1" si="43"/>
        <v>0</v>
      </c>
      <c r="M178" s="1130">
        <f t="shared" ca="1" si="44"/>
        <v>0</v>
      </c>
      <c r="N178" s="1130">
        <f t="shared" ca="1" si="53"/>
        <v>1998131106.0909498</v>
      </c>
      <c r="O178" s="1073"/>
      <c r="P178" s="1130">
        <f t="shared" ca="1" si="45"/>
        <v>32492998.813109398</v>
      </c>
      <c r="Q178" s="1130">
        <f t="shared" ca="1" si="46"/>
        <v>1898224550.7864022</v>
      </c>
      <c r="R178" s="1130">
        <f t="shared" ca="1" si="54"/>
        <v>1929092899.6588562</v>
      </c>
      <c r="S178" s="1130">
        <f t="shared" ca="1" si="55"/>
        <v>30868348.872453928</v>
      </c>
      <c r="T178" s="1130">
        <f t="shared" ca="1" si="47"/>
        <v>1898224550.7864022</v>
      </c>
      <c r="U178" s="1132">
        <f t="shared" ca="1" si="48"/>
        <v>0.16338275794928994</v>
      </c>
      <c r="V178" s="1133">
        <f t="shared" ca="1" si="49"/>
        <v>5.0000000000000044E-2</v>
      </c>
      <c r="X178" s="1134">
        <f t="shared" ca="1" si="56"/>
        <v>101531205.24520296</v>
      </c>
      <c r="Y178" s="1134">
        <f t="shared" ca="1" si="50"/>
        <v>1624649.9406554699</v>
      </c>
      <c r="Z178" s="1134">
        <f t="shared" ca="1" si="51"/>
        <v>99906555.304547489</v>
      </c>
      <c r="AA178" s="1132">
        <f t="shared" ca="1" si="52"/>
        <v>0.17481268120730536</v>
      </c>
      <c r="AB178" s="1105"/>
    </row>
    <row r="179" spans="1:28">
      <c r="A179" s="1144">
        <f>Calendar!J171</f>
        <v>50126</v>
      </c>
      <c r="C179" s="1104"/>
      <c r="D179" s="1125">
        <f t="shared" ca="1" si="38"/>
        <v>51348</v>
      </c>
      <c r="E179" s="1126">
        <f t="shared" ca="1" si="39"/>
        <v>51375</v>
      </c>
      <c r="F179" s="1127">
        <f t="shared" ca="1" si="40"/>
        <v>5145</v>
      </c>
      <c r="G179" s="1128">
        <f ca="1">IF(F179&lt;&gt;"",COUNTIF($F$11:F179,"&gt;0"),"")</f>
        <v>169</v>
      </c>
      <c r="H179" s="1129">
        <v>1.6094577730115241E-2</v>
      </c>
      <c r="I179" s="1073"/>
      <c r="J179" s="1130">
        <f t="shared" ca="1" si="41"/>
        <v>1998131106.0909498</v>
      </c>
      <c r="K179" s="1131">
        <f t="shared" ca="1" si="42"/>
        <v>32159076.401941936</v>
      </c>
      <c r="L179" s="1130">
        <f t="shared" ca="1" si="43"/>
        <v>0</v>
      </c>
      <c r="M179" s="1130">
        <f t="shared" ca="1" si="44"/>
        <v>0</v>
      </c>
      <c r="N179" s="1130">
        <f t="shared" ca="1" si="53"/>
        <v>1965972029.6890078</v>
      </c>
      <c r="O179" s="1073"/>
      <c r="P179" s="1130">
        <f t="shared" ca="1" si="45"/>
        <v>32159076.401942015</v>
      </c>
      <c r="Q179" s="1130">
        <f t="shared" ca="1" si="46"/>
        <v>1867673428.2045572</v>
      </c>
      <c r="R179" s="1130">
        <f t="shared" ca="1" si="54"/>
        <v>1898224550.7864022</v>
      </c>
      <c r="S179" s="1130">
        <f t="shared" ca="1" si="55"/>
        <v>30551122.581845045</v>
      </c>
      <c r="T179" s="1130">
        <f t="shared" ca="1" si="47"/>
        <v>1867673428.2045572</v>
      </c>
      <c r="U179" s="1132">
        <f t="shared" ca="1" si="48"/>
        <v>0.16076839138715379</v>
      </c>
      <c r="V179" s="1133">
        <f t="shared" ca="1" si="49"/>
        <v>5.0000000000000044E-2</v>
      </c>
      <c r="X179" s="1134">
        <f t="shared" ca="1" si="56"/>
        <v>99906555.304547489</v>
      </c>
      <c r="Y179" s="1134">
        <f t="shared" ca="1" si="50"/>
        <v>1607953.8200969696</v>
      </c>
      <c r="Z179" s="1134">
        <f t="shared" ca="1" si="51"/>
        <v>98298601.484450519</v>
      </c>
      <c r="AA179" s="1132">
        <f t="shared" ca="1" si="52"/>
        <v>0.17201541891278838</v>
      </c>
      <c r="AB179" s="1105"/>
    </row>
    <row r="180" spans="1:28">
      <c r="A180" s="1144">
        <f>Calendar!J172</f>
        <v>50157</v>
      </c>
      <c r="C180" s="1104"/>
      <c r="D180" s="1125">
        <f t="shared" ca="1" si="38"/>
        <v>51379</v>
      </c>
      <c r="E180" s="1126">
        <f t="shared" ca="1" si="39"/>
        <v>51406</v>
      </c>
      <c r="F180" s="1127">
        <f t="shared" ca="1" si="40"/>
        <v>5176</v>
      </c>
      <c r="G180" s="1128">
        <f ca="1">IF(F180&lt;&gt;"",COUNTIF($F$11:F180,"&gt;0"),"")</f>
        <v>170</v>
      </c>
      <c r="H180" s="1129">
        <v>1.622730145022349E-2</v>
      </c>
      <c r="I180" s="1073"/>
      <c r="J180" s="1130">
        <f t="shared" ca="1" si="41"/>
        <v>1965972029.6890078</v>
      </c>
      <c r="K180" s="1131">
        <f t="shared" ca="1" si="42"/>
        <v>31902420.768471252</v>
      </c>
      <c r="L180" s="1130">
        <f t="shared" ca="1" si="43"/>
        <v>0</v>
      </c>
      <c r="M180" s="1130">
        <f t="shared" ca="1" si="44"/>
        <v>0</v>
      </c>
      <c r="N180" s="1130">
        <f t="shared" ca="1" si="53"/>
        <v>1934069608.9205365</v>
      </c>
      <c r="O180" s="1073"/>
      <c r="P180" s="1130">
        <f t="shared" ca="1" si="45"/>
        <v>31902420.768471241</v>
      </c>
      <c r="Q180" s="1130">
        <f t="shared" ca="1" si="46"/>
        <v>1837366128.4745097</v>
      </c>
      <c r="R180" s="1130">
        <f t="shared" ca="1" si="54"/>
        <v>1867673428.2045572</v>
      </c>
      <c r="S180" s="1130">
        <f t="shared" ca="1" si="55"/>
        <v>30307299.730047464</v>
      </c>
      <c r="T180" s="1130">
        <f t="shared" ca="1" si="47"/>
        <v>1837366128.4745097</v>
      </c>
      <c r="U180" s="1132">
        <f t="shared" ca="1" si="48"/>
        <v>0.15818089201542765</v>
      </c>
      <c r="V180" s="1133">
        <f t="shared" ca="1" si="49"/>
        <v>4.9999999999999933E-2</v>
      </c>
      <c r="X180" s="1134">
        <f t="shared" ca="1" si="56"/>
        <v>98298601.484450519</v>
      </c>
      <c r="Y180" s="1134">
        <f t="shared" ca="1" si="50"/>
        <v>1595121.0384237766</v>
      </c>
      <c r="Z180" s="1134">
        <f t="shared" ca="1" si="51"/>
        <v>96703480.446026742</v>
      </c>
      <c r="AA180" s="1132">
        <f t="shared" ca="1" si="52"/>
        <v>0.16924690338231838</v>
      </c>
      <c r="AB180" s="1105"/>
    </row>
    <row r="181" spans="1:28">
      <c r="A181" s="1144">
        <f>Calendar!J173</f>
        <v>50187</v>
      </c>
      <c r="C181" s="1104"/>
      <c r="D181" s="1125">
        <f t="shared" ca="1" si="38"/>
        <v>51409</v>
      </c>
      <c r="E181" s="1126">
        <f t="shared" ca="1" si="39"/>
        <v>51438</v>
      </c>
      <c r="F181" s="1127">
        <f t="shared" ca="1" si="40"/>
        <v>5208</v>
      </c>
      <c r="G181" s="1128">
        <f ca="1">IF(F181&lt;&gt;"",COUNTIF($F$11:F181,"&gt;0"),"")</f>
        <v>171</v>
      </c>
      <c r="H181" s="1129">
        <v>1.6378965258124826E-2</v>
      </c>
      <c r="I181" s="1073"/>
      <c r="J181" s="1130">
        <f t="shared" ca="1" si="41"/>
        <v>1934069608.9205365</v>
      </c>
      <c r="K181" s="1131">
        <f t="shared" ca="1" si="42"/>
        <v>31678058.931304537</v>
      </c>
      <c r="L181" s="1130">
        <f t="shared" ca="1" si="43"/>
        <v>0</v>
      </c>
      <c r="M181" s="1130">
        <f t="shared" ca="1" si="44"/>
        <v>0</v>
      </c>
      <c r="N181" s="1130">
        <f t="shared" ca="1" si="53"/>
        <v>1902391549.9892321</v>
      </c>
      <c r="O181" s="1073"/>
      <c r="P181" s="1130">
        <f t="shared" ca="1" si="45"/>
        <v>31678058.931304455</v>
      </c>
      <c r="Q181" s="1130">
        <f t="shared" ca="1" si="46"/>
        <v>1807271972.4897704</v>
      </c>
      <c r="R181" s="1130">
        <f t="shared" ca="1" si="54"/>
        <v>1837366128.4745097</v>
      </c>
      <c r="S181" s="1130">
        <f t="shared" ca="1" si="55"/>
        <v>30094155.984739304</v>
      </c>
      <c r="T181" s="1130">
        <f t="shared" ca="1" si="47"/>
        <v>1807271972.4897704</v>
      </c>
      <c r="U181" s="1132">
        <f t="shared" ca="1" si="48"/>
        <v>0.15561404299702805</v>
      </c>
      <c r="V181" s="1133">
        <f t="shared" ca="1" si="49"/>
        <v>5.0000000000000044E-2</v>
      </c>
      <c r="X181" s="1134">
        <f t="shared" ca="1" si="56"/>
        <v>96703480.446026742</v>
      </c>
      <c r="Y181" s="1134">
        <f t="shared" ca="1" si="50"/>
        <v>1583902.9465651512</v>
      </c>
      <c r="Z181" s="1134">
        <f t="shared" ca="1" si="51"/>
        <v>95119577.499461591</v>
      </c>
      <c r="AA181" s="1132">
        <f t="shared" ca="1" si="52"/>
        <v>0.16650048286161628</v>
      </c>
      <c r="AB181" s="1105"/>
    </row>
    <row r="182" spans="1:28">
      <c r="A182" s="1144">
        <f>Calendar!J174</f>
        <v>50220</v>
      </c>
      <c r="C182" s="1104"/>
      <c r="D182" s="1125">
        <f t="shared" ca="1" si="38"/>
        <v>51440</v>
      </c>
      <c r="E182" s="1126">
        <f t="shared" ca="1" si="39"/>
        <v>51467</v>
      </c>
      <c r="F182" s="1127">
        <f t="shared" ca="1" si="40"/>
        <v>5237</v>
      </c>
      <c r="G182" s="1128">
        <f ca="1">IF(F182&lt;&gt;"",COUNTIF($F$11:F182,"&gt;0"),"")</f>
        <v>172</v>
      </c>
      <c r="H182" s="1129">
        <v>1.649593965294251E-2</v>
      </c>
      <c r="I182" s="1073"/>
      <c r="J182" s="1130">
        <f t="shared" ca="1" si="41"/>
        <v>1902391549.9892321</v>
      </c>
      <c r="K182" s="1131">
        <f t="shared" ca="1" si="42"/>
        <v>31381736.204890136</v>
      </c>
      <c r="L182" s="1130">
        <f t="shared" ca="1" si="43"/>
        <v>0</v>
      </c>
      <c r="M182" s="1130">
        <f t="shared" ca="1" si="44"/>
        <v>0</v>
      </c>
      <c r="N182" s="1130">
        <f t="shared" ca="1" si="53"/>
        <v>1871009813.7843418</v>
      </c>
      <c r="O182" s="1073"/>
      <c r="P182" s="1130">
        <f t="shared" ca="1" si="45"/>
        <v>31381736.204890251</v>
      </c>
      <c r="Q182" s="1130">
        <f t="shared" ca="1" si="46"/>
        <v>1777459323.0951247</v>
      </c>
      <c r="R182" s="1130">
        <f t="shared" ca="1" si="54"/>
        <v>1807271972.4897704</v>
      </c>
      <c r="S182" s="1130">
        <f t="shared" ca="1" si="55"/>
        <v>29812649.394645691</v>
      </c>
      <c r="T182" s="1130">
        <f t="shared" ca="1" si="47"/>
        <v>1777459323.0951247</v>
      </c>
      <c r="U182" s="1132">
        <f t="shared" ca="1" si="48"/>
        <v>0.15306524599310339</v>
      </c>
      <c r="V182" s="1133">
        <f t="shared" ca="1" si="49"/>
        <v>5.0000000000000044E-2</v>
      </c>
      <c r="X182" s="1134">
        <f t="shared" ca="1" si="56"/>
        <v>95119577.499461591</v>
      </c>
      <c r="Y182" s="1134">
        <f t="shared" ca="1" si="50"/>
        <v>1569086.8102445602</v>
      </c>
      <c r="Z182" s="1134">
        <f t="shared" ca="1" si="51"/>
        <v>93550490.689217031</v>
      </c>
      <c r="AA182" s="1132">
        <f t="shared" ca="1" si="52"/>
        <v>0.16377337723736499</v>
      </c>
      <c r="AB182" s="1105"/>
    </row>
    <row r="183" spans="1:28">
      <c r="A183" s="1144">
        <f>Calendar!J175</f>
        <v>50248</v>
      </c>
      <c r="C183" s="1104"/>
      <c r="D183" s="1125">
        <f t="shared" ca="1" si="38"/>
        <v>51470</v>
      </c>
      <c r="E183" s="1126">
        <f t="shared" ca="1" si="39"/>
        <v>51497</v>
      </c>
      <c r="F183" s="1127">
        <f t="shared" ca="1" si="40"/>
        <v>5267</v>
      </c>
      <c r="G183" s="1128">
        <f ca="1">IF(F183&lt;&gt;"",COUNTIF($F$11:F183,"&gt;0"),"")</f>
        <v>173</v>
      </c>
      <c r="H183" s="1129">
        <v>1.6625995194031577E-2</v>
      </c>
      <c r="I183" s="1073"/>
      <c r="J183" s="1130">
        <f t="shared" ca="1" si="41"/>
        <v>1871009813.7843418</v>
      </c>
      <c r="K183" s="1131">
        <f t="shared" ca="1" si="42"/>
        <v>31107400.171964381</v>
      </c>
      <c r="L183" s="1130">
        <f t="shared" ca="1" si="43"/>
        <v>0</v>
      </c>
      <c r="M183" s="1130">
        <f t="shared" ca="1" si="44"/>
        <v>0</v>
      </c>
      <c r="N183" s="1130">
        <f t="shared" ca="1" si="53"/>
        <v>1839902413.6123774</v>
      </c>
      <c r="O183" s="1073"/>
      <c r="P183" s="1130">
        <f t="shared" ca="1" si="45"/>
        <v>31107400.171964407</v>
      </c>
      <c r="Q183" s="1130">
        <f t="shared" ca="1" si="46"/>
        <v>1747907292.9317584</v>
      </c>
      <c r="R183" s="1130">
        <f t="shared" ca="1" si="54"/>
        <v>1777459323.0951247</v>
      </c>
      <c r="S183" s="1130">
        <f t="shared" ca="1" si="55"/>
        <v>29552030.163366318</v>
      </c>
      <c r="T183" s="1130">
        <f t="shared" ca="1" si="47"/>
        <v>1747907292.9317584</v>
      </c>
      <c r="U183" s="1132">
        <f t="shared" ca="1" si="48"/>
        <v>0.15054029093223836</v>
      </c>
      <c r="V183" s="1133">
        <f t="shared" ca="1" si="49"/>
        <v>5.0000000000000044E-2</v>
      </c>
      <c r="X183" s="1134">
        <f t="shared" ca="1" si="56"/>
        <v>93550490.689217031</v>
      </c>
      <c r="Y183" s="1134">
        <f t="shared" ca="1" si="50"/>
        <v>1555370.0085980892</v>
      </c>
      <c r="Z183" s="1134">
        <f t="shared" ca="1" si="51"/>
        <v>91995120.680618942</v>
      </c>
      <c r="AA183" s="1132">
        <f t="shared" ca="1" si="52"/>
        <v>0.16107178148969875</v>
      </c>
      <c r="AB183" s="1105"/>
    </row>
    <row r="184" spans="1:28">
      <c r="A184" s="1144">
        <f>Calendar!J176</f>
        <v>50279</v>
      </c>
      <c r="C184" s="1104"/>
      <c r="D184" s="1125">
        <f t="shared" ca="1" si="38"/>
        <v>51501</v>
      </c>
      <c r="E184" s="1126">
        <f t="shared" ca="1" si="39"/>
        <v>51529</v>
      </c>
      <c r="F184" s="1127">
        <f t="shared" ca="1" si="40"/>
        <v>5299</v>
      </c>
      <c r="G184" s="1128">
        <f ca="1">IF(F184&lt;&gt;"",COUNTIF($F$11:F184,"&gt;0"),"")</f>
        <v>174</v>
      </c>
      <c r="H184" s="1129">
        <v>1.6770003583705364E-2</v>
      </c>
      <c r="I184" s="1073"/>
      <c r="J184" s="1130">
        <f t="shared" ca="1" si="41"/>
        <v>1839902413.6123774</v>
      </c>
      <c r="K184" s="1131">
        <f t="shared" ca="1" si="42"/>
        <v>30855170.06994772</v>
      </c>
      <c r="L184" s="1130">
        <f t="shared" ca="1" si="43"/>
        <v>0</v>
      </c>
      <c r="M184" s="1130">
        <f t="shared" ca="1" si="44"/>
        <v>0</v>
      </c>
      <c r="N184" s="1130">
        <f t="shared" ca="1" si="53"/>
        <v>1809047243.5424297</v>
      </c>
      <c r="O184" s="1073"/>
      <c r="P184" s="1130">
        <f t="shared" ca="1" si="45"/>
        <v>30855170.06994772</v>
      </c>
      <c r="Q184" s="1130">
        <f t="shared" ca="1" si="46"/>
        <v>1718594881.365308</v>
      </c>
      <c r="R184" s="1130">
        <f t="shared" ca="1" si="54"/>
        <v>1747907292.9317584</v>
      </c>
      <c r="S184" s="1130">
        <f t="shared" ca="1" si="55"/>
        <v>29312411.566450357</v>
      </c>
      <c r="T184" s="1130">
        <f t="shared" ca="1" si="47"/>
        <v>1718594881.365308</v>
      </c>
      <c r="U184" s="1132">
        <f t="shared" ca="1" si="48"/>
        <v>0.14803740877869084</v>
      </c>
      <c r="V184" s="1133">
        <f t="shared" ca="1" si="49"/>
        <v>5.0000000000000044E-2</v>
      </c>
      <c r="X184" s="1134">
        <f t="shared" ca="1" si="56"/>
        <v>91995120.680618942</v>
      </c>
      <c r="Y184" s="1134">
        <f t="shared" ca="1" si="50"/>
        <v>1542758.5034973621</v>
      </c>
      <c r="Z184" s="1134">
        <f t="shared" ca="1" si="51"/>
        <v>90452362.17712158</v>
      </c>
      <c r="AA184" s="1132">
        <f t="shared" ca="1" si="52"/>
        <v>0.15839380282475712</v>
      </c>
      <c r="AB184" s="1105"/>
    </row>
    <row r="185" spans="1:28">
      <c r="A185" s="1144">
        <f>Calendar!J177</f>
        <v>50311</v>
      </c>
      <c r="C185" s="1104"/>
      <c r="D185" s="1125">
        <f t="shared" ca="1" si="38"/>
        <v>51532</v>
      </c>
      <c r="E185" s="1126">
        <f t="shared" ca="1" si="39"/>
        <v>51559</v>
      </c>
      <c r="F185" s="1127">
        <f t="shared" ca="1" si="40"/>
        <v>5329</v>
      </c>
      <c r="G185" s="1128">
        <f ca="1">IF(F185&lt;&gt;"",COUNTIF($F$11:F185,"&gt;0"),"")</f>
        <v>175</v>
      </c>
      <c r="H185" s="1129">
        <v>1.6885742730233598E-2</v>
      </c>
      <c r="I185" s="1073"/>
      <c r="J185" s="1130">
        <f t="shared" ca="1" si="41"/>
        <v>1809047243.5424297</v>
      </c>
      <c r="K185" s="1131">
        <f t="shared" ca="1" si="42"/>
        <v>30547106.341295712</v>
      </c>
      <c r="L185" s="1130">
        <f t="shared" ca="1" si="43"/>
        <v>0</v>
      </c>
      <c r="M185" s="1130">
        <f t="shared" ca="1" si="44"/>
        <v>0</v>
      </c>
      <c r="N185" s="1130">
        <f t="shared" ca="1" si="53"/>
        <v>1778500137.201134</v>
      </c>
      <c r="O185" s="1073"/>
      <c r="P185" s="1130">
        <f t="shared" ca="1" si="45"/>
        <v>30547106.341295719</v>
      </c>
      <c r="Q185" s="1130">
        <f t="shared" ca="1" si="46"/>
        <v>1689575130.3410771</v>
      </c>
      <c r="R185" s="1130">
        <f t="shared" ca="1" si="54"/>
        <v>1718594881.365308</v>
      </c>
      <c r="S185" s="1130">
        <f t="shared" ca="1" si="55"/>
        <v>29019751.024230957</v>
      </c>
      <c r="T185" s="1130">
        <f t="shared" ca="1" si="47"/>
        <v>1689575130.3410771</v>
      </c>
      <c r="U185" s="1132">
        <f t="shared" ca="1" si="48"/>
        <v>0.14555482090294972</v>
      </c>
      <c r="V185" s="1133">
        <f t="shared" ca="1" si="49"/>
        <v>5.0000000000000155E-2</v>
      </c>
      <c r="X185" s="1134">
        <f t="shared" ca="1" si="56"/>
        <v>90452362.17712158</v>
      </c>
      <c r="Y185" s="1134">
        <f t="shared" ca="1" si="50"/>
        <v>1527355.3170647621</v>
      </c>
      <c r="Z185" s="1134">
        <f t="shared" ca="1" si="51"/>
        <v>88925006.860056818</v>
      </c>
      <c r="AA185" s="1132">
        <f t="shared" ca="1" si="52"/>
        <v>0.15573753818374927</v>
      </c>
      <c r="AB185" s="1105"/>
    </row>
    <row r="186" spans="1:28">
      <c r="A186" s="1144">
        <f>Calendar!J178</f>
        <v>50340</v>
      </c>
      <c r="C186" s="1104"/>
      <c r="D186" s="1125">
        <f t="shared" ca="1" si="38"/>
        <v>51560</v>
      </c>
      <c r="E186" s="1126">
        <f t="shared" ca="1" si="39"/>
        <v>51587</v>
      </c>
      <c r="F186" s="1127">
        <f t="shared" ca="1" si="40"/>
        <v>5357</v>
      </c>
      <c r="G186" s="1128">
        <f ca="1">IF(F186&lt;&gt;"",COUNTIF($F$11:F186,"&gt;0"),"")</f>
        <v>176</v>
      </c>
      <c r="H186" s="1129">
        <v>1.6997256534494937E-2</v>
      </c>
      <c r="I186" s="1073"/>
      <c r="J186" s="1130">
        <f t="shared" ca="1" si="41"/>
        <v>1778500137.201134</v>
      </c>
      <c r="K186" s="1131">
        <f t="shared" ca="1" si="42"/>
        <v>30229623.078642115</v>
      </c>
      <c r="L186" s="1130">
        <f t="shared" ca="1" si="43"/>
        <v>0</v>
      </c>
      <c r="M186" s="1130">
        <f t="shared" ca="1" si="44"/>
        <v>0</v>
      </c>
      <c r="N186" s="1130">
        <f t="shared" ca="1" si="53"/>
        <v>1748270514.1224918</v>
      </c>
      <c r="O186" s="1073"/>
      <c r="P186" s="1130">
        <f t="shared" ca="1" si="45"/>
        <v>30229623.07864213</v>
      </c>
      <c r="Q186" s="1130">
        <f t="shared" ca="1" si="46"/>
        <v>1660856988.4163671</v>
      </c>
      <c r="R186" s="1130">
        <f t="shared" ca="1" si="54"/>
        <v>1689575130.3410771</v>
      </c>
      <c r="S186" s="1130">
        <f t="shared" ca="1" si="55"/>
        <v>28718141.924710035</v>
      </c>
      <c r="T186" s="1130">
        <f t="shared" ca="1" si="47"/>
        <v>1660856988.4163671</v>
      </c>
      <c r="U186" s="1132">
        <f t="shared" ca="1" si="48"/>
        <v>0.14309701964403729</v>
      </c>
      <c r="V186" s="1133">
        <f t="shared" ca="1" si="49"/>
        <v>5.0000000000000155E-2</v>
      </c>
      <c r="X186" s="1134">
        <f t="shared" ca="1" si="56"/>
        <v>88925006.860056818</v>
      </c>
      <c r="Y186" s="1134">
        <f t="shared" ca="1" si="50"/>
        <v>1511481.1539320946</v>
      </c>
      <c r="Z186" s="1134">
        <f t="shared" ca="1" si="51"/>
        <v>87413525.706124723</v>
      </c>
      <c r="AA186" s="1132">
        <f t="shared" ca="1" si="52"/>
        <v>0.1531077941805386</v>
      </c>
      <c r="AB186" s="1105"/>
    </row>
    <row r="187" spans="1:28">
      <c r="A187" s="1144">
        <f>Calendar!J179</f>
        <v>50371</v>
      </c>
      <c r="C187" s="1104"/>
      <c r="D187" s="1125">
        <f t="shared" ca="1" si="38"/>
        <v>51591</v>
      </c>
      <c r="E187" s="1126">
        <f t="shared" ca="1" si="39"/>
        <v>51620</v>
      </c>
      <c r="F187" s="1127">
        <f t="shared" ca="1" si="40"/>
        <v>5390</v>
      </c>
      <c r="G187" s="1128">
        <f ca="1">IF(F187&lt;&gt;"",COUNTIF($F$11:F187,"&gt;0"),"")</f>
        <v>177</v>
      </c>
      <c r="H187" s="1129">
        <v>1.7130972692743759E-2</v>
      </c>
      <c r="I187" s="1073"/>
      <c r="J187" s="1130">
        <f t="shared" ca="1" si="41"/>
        <v>1748270514.1224918</v>
      </c>
      <c r="K187" s="1131">
        <f t="shared" ca="1" si="42"/>
        <v>29949574.436961502</v>
      </c>
      <c r="L187" s="1130">
        <f t="shared" ca="1" si="43"/>
        <v>0</v>
      </c>
      <c r="M187" s="1130">
        <f t="shared" ca="1" si="44"/>
        <v>0</v>
      </c>
      <c r="N187" s="1130">
        <f t="shared" ca="1" si="53"/>
        <v>1718320939.6855304</v>
      </c>
      <c r="O187" s="1073"/>
      <c r="P187" s="1130">
        <f t="shared" ca="1" si="45"/>
        <v>29949574.436961412</v>
      </c>
      <c r="Q187" s="1130">
        <f t="shared" ca="1" si="46"/>
        <v>1632404892.7012539</v>
      </c>
      <c r="R187" s="1130">
        <f t="shared" ca="1" si="54"/>
        <v>1660856988.4163671</v>
      </c>
      <c r="S187" s="1130">
        <f t="shared" ca="1" si="55"/>
        <v>28452095.715113163</v>
      </c>
      <c r="T187" s="1130">
        <f t="shared" ca="1" si="47"/>
        <v>1632404892.7012539</v>
      </c>
      <c r="U187" s="1132">
        <f t="shared" ca="1" si="48"/>
        <v>0.14066476289182592</v>
      </c>
      <c r="V187" s="1133">
        <f t="shared" ca="1" si="49"/>
        <v>5.0000000000000044E-2</v>
      </c>
      <c r="X187" s="1134">
        <f t="shared" ca="1" si="56"/>
        <v>87413525.706124723</v>
      </c>
      <c r="Y187" s="1134">
        <f t="shared" ca="1" si="50"/>
        <v>1497478.7218482494</v>
      </c>
      <c r="Z187" s="1134">
        <f t="shared" ca="1" si="51"/>
        <v>85916046.984276474</v>
      </c>
      <c r="AA187" s="1132">
        <f t="shared" ca="1" si="52"/>
        <v>0.15050538172542136</v>
      </c>
      <c r="AB187" s="1105"/>
    </row>
    <row r="188" spans="1:28">
      <c r="A188" s="1144">
        <f>Calendar!J180</f>
        <v>50402</v>
      </c>
      <c r="C188" s="1104"/>
      <c r="D188" s="1125">
        <f t="shared" ca="1" si="38"/>
        <v>51621</v>
      </c>
      <c r="E188" s="1126">
        <f t="shared" ca="1" si="39"/>
        <v>51648</v>
      </c>
      <c r="F188" s="1127">
        <f t="shared" ca="1" si="40"/>
        <v>5418</v>
      </c>
      <c r="G188" s="1128">
        <f ca="1">IF(F188&lt;&gt;"",COUNTIF($F$11:F188,"&gt;0"),"")</f>
        <v>178</v>
      </c>
      <c r="H188" s="1129">
        <v>1.7226374147011319E-2</v>
      </c>
      <c r="I188" s="1073"/>
      <c r="J188" s="1130">
        <f t="shared" ca="1" si="41"/>
        <v>1718320939.6855304</v>
      </c>
      <c r="K188" s="1131">
        <f t="shared" ca="1" si="42"/>
        <v>29600439.411667015</v>
      </c>
      <c r="L188" s="1130">
        <f t="shared" ca="1" si="43"/>
        <v>0</v>
      </c>
      <c r="M188" s="1130">
        <f t="shared" ca="1" si="44"/>
        <v>0</v>
      </c>
      <c r="N188" s="1130">
        <f t="shared" ca="1" si="53"/>
        <v>1688720500.2738633</v>
      </c>
      <c r="O188" s="1073"/>
      <c r="P188" s="1130">
        <f t="shared" ca="1" si="45"/>
        <v>29600439.411667109</v>
      </c>
      <c r="Q188" s="1130">
        <f t="shared" ca="1" si="46"/>
        <v>1604284475.26017</v>
      </c>
      <c r="R188" s="1130">
        <f t="shared" ca="1" si="54"/>
        <v>1632404892.7012539</v>
      </c>
      <c r="S188" s="1130">
        <f t="shared" ca="1" si="55"/>
        <v>28120417.441083908</v>
      </c>
      <c r="T188" s="1130">
        <f t="shared" ca="1" si="47"/>
        <v>1604284475.26017</v>
      </c>
      <c r="U188" s="1132">
        <f t="shared" ca="1" si="48"/>
        <v>0.1382550386798948</v>
      </c>
      <c r="V188" s="1133">
        <f t="shared" ca="1" si="49"/>
        <v>5.0000000000000044E-2</v>
      </c>
      <c r="X188" s="1134">
        <f t="shared" ca="1" si="56"/>
        <v>85916046.984276474</v>
      </c>
      <c r="Y188" s="1134">
        <f t="shared" ca="1" si="50"/>
        <v>1480021.9705832005</v>
      </c>
      <c r="Z188" s="1134">
        <f t="shared" ca="1" si="51"/>
        <v>84436025.013693273</v>
      </c>
      <c r="AA188" s="1132">
        <f t="shared" ca="1" si="52"/>
        <v>0.14792707814097189</v>
      </c>
      <c r="AB188" s="1105"/>
    </row>
    <row r="189" spans="1:28">
      <c r="A189" s="1144">
        <f>Calendar!J181</f>
        <v>50432</v>
      </c>
      <c r="C189" s="1104"/>
      <c r="D189" s="1125">
        <f t="shared" ca="1" si="38"/>
        <v>51652</v>
      </c>
      <c r="E189" s="1126">
        <f t="shared" ca="1" si="39"/>
        <v>51679</v>
      </c>
      <c r="F189" s="1127">
        <f t="shared" ca="1" si="40"/>
        <v>5449</v>
      </c>
      <c r="G189" s="1128">
        <f ca="1">IF(F189&lt;&gt;"",COUNTIF($F$11:F189,"&gt;0"),"")</f>
        <v>179</v>
      </c>
      <c r="H189" s="1129">
        <v>1.7300299089173389E-2</v>
      </c>
      <c r="I189" s="1073"/>
      <c r="J189" s="1130">
        <f t="shared" ca="1" si="41"/>
        <v>1688720500.2738633</v>
      </c>
      <c r="K189" s="1131">
        <f t="shared" ca="1" si="42"/>
        <v>29215369.732756346</v>
      </c>
      <c r="L189" s="1130">
        <f t="shared" ca="1" si="43"/>
        <v>0</v>
      </c>
      <c r="M189" s="1130">
        <f t="shared" ca="1" si="44"/>
        <v>0</v>
      </c>
      <c r="N189" s="1130">
        <f t="shared" ca="1" si="53"/>
        <v>1659505130.5411069</v>
      </c>
      <c r="O189" s="1073"/>
      <c r="P189" s="1130">
        <f t="shared" ca="1" si="45"/>
        <v>29215369.732756376</v>
      </c>
      <c r="Q189" s="1130">
        <f t="shared" ca="1" si="46"/>
        <v>1576529874.0140514</v>
      </c>
      <c r="R189" s="1130">
        <f t="shared" ca="1" si="54"/>
        <v>1604284475.26017</v>
      </c>
      <c r="S189" s="1130">
        <f t="shared" ca="1" si="55"/>
        <v>27754601.246118546</v>
      </c>
      <c r="T189" s="1130">
        <f t="shared" ca="1" si="47"/>
        <v>1576529874.0140514</v>
      </c>
      <c r="U189" s="1132">
        <f t="shared" ca="1" si="48"/>
        <v>0.1358734056558854</v>
      </c>
      <c r="V189" s="1133">
        <f t="shared" ca="1" si="49"/>
        <v>5.0000000000000044E-2</v>
      </c>
      <c r="X189" s="1134">
        <f t="shared" ca="1" si="56"/>
        <v>84436025.013693273</v>
      </c>
      <c r="Y189" s="1134">
        <f t="shared" ca="1" si="50"/>
        <v>1460768.4866378307</v>
      </c>
      <c r="Z189" s="1134">
        <f t="shared" ca="1" si="51"/>
        <v>82975256.527055442</v>
      </c>
      <c r="AA189" s="1132">
        <f t="shared" ca="1" si="52"/>
        <v>0.14537883094644158</v>
      </c>
      <c r="AB189" s="1105"/>
    </row>
    <row r="190" spans="1:28">
      <c r="A190" s="1144">
        <f>Calendar!J182</f>
        <v>50462</v>
      </c>
      <c r="C190" s="1104"/>
      <c r="D190" s="1125">
        <f t="shared" ca="1" si="38"/>
        <v>51682</v>
      </c>
      <c r="E190" s="1126">
        <f t="shared" ca="1" si="39"/>
        <v>51711</v>
      </c>
      <c r="F190" s="1127">
        <f t="shared" ca="1" si="40"/>
        <v>5481</v>
      </c>
      <c r="G190" s="1128">
        <f ca="1">IF(F190&lt;&gt;"",COUNTIF($F$11:F190,"&gt;0"),"")</f>
        <v>180</v>
      </c>
      <c r="H190" s="1129">
        <v>1.7421261075670755E-2</v>
      </c>
      <c r="I190" s="1073"/>
      <c r="J190" s="1130">
        <f t="shared" ca="1" si="41"/>
        <v>1659505130.5411069</v>
      </c>
      <c r="K190" s="1131">
        <f t="shared" ca="1" si="42"/>
        <v>28910672.1355717</v>
      </c>
      <c r="L190" s="1130">
        <f t="shared" ca="1" si="43"/>
        <v>0</v>
      </c>
      <c r="M190" s="1130">
        <f t="shared" ca="1" si="44"/>
        <v>0</v>
      </c>
      <c r="N190" s="1130">
        <f t="shared" ca="1" si="53"/>
        <v>1630594458.4055352</v>
      </c>
      <c r="O190" s="1073"/>
      <c r="P190" s="1130">
        <f t="shared" ca="1" si="45"/>
        <v>28910672.135571718</v>
      </c>
      <c r="Q190" s="1130">
        <f t="shared" ca="1" si="46"/>
        <v>1549064735.4852583</v>
      </c>
      <c r="R190" s="1130">
        <f t="shared" ca="1" si="54"/>
        <v>1576529874.0140514</v>
      </c>
      <c r="S190" s="1130">
        <f t="shared" ca="1" si="55"/>
        <v>27465138.528793097</v>
      </c>
      <c r="T190" s="1130">
        <f t="shared" ca="1" si="47"/>
        <v>1549064735.4852583</v>
      </c>
      <c r="U190" s="1132">
        <f t="shared" ca="1" si="48"/>
        <v>0.13352275509977399</v>
      </c>
      <c r="V190" s="1133">
        <f t="shared" ca="1" si="49"/>
        <v>5.0000000000000044E-2</v>
      </c>
      <c r="X190" s="1134">
        <f t="shared" ca="1" si="56"/>
        <v>82975256.527055442</v>
      </c>
      <c r="Y190" s="1134">
        <f t="shared" ca="1" si="50"/>
        <v>1445533.6067786217</v>
      </c>
      <c r="Z190" s="1134">
        <f t="shared" ca="1" si="51"/>
        <v>81529722.920276821</v>
      </c>
      <c r="AA190" s="1132">
        <f t="shared" ca="1" si="52"/>
        <v>0.14286373368983374</v>
      </c>
      <c r="AB190" s="1105"/>
    </row>
    <row r="191" spans="1:28">
      <c r="A191" s="1144">
        <f>Calendar!J183</f>
        <v>50493</v>
      </c>
      <c r="C191" s="1104"/>
      <c r="D191" s="1125">
        <f t="shared" ca="1" si="38"/>
        <v>51713</v>
      </c>
      <c r="E191" s="1126">
        <f t="shared" ca="1" si="39"/>
        <v>51740</v>
      </c>
      <c r="F191" s="1127">
        <f t="shared" ca="1" si="40"/>
        <v>5510</v>
      </c>
      <c r="G191" s="1128">
        <f ca="1">IF(F191&lt;&gt;"",COUNTIF($F$11:F191,"&gt;0"),"")</f>
        <v>181</v>
      </c>
      <c r="H191" s="1129">
        <v>1.7534292494479728E-2</v>
      </c>
      <c r="I191" s="1073"/>
      <c r="J191" s="1130">
        <f t="shared" ca="1" si="41"/>
        <v>1630594458.4055352</v>
      </c>
      <c r="K191" s="1131">
        <f t="shared" ca="1" si="42"/>
        <v>28591320.173560414</v>
      </c>
      <c r="L191" s="1130">
        <f t="shared" ca="1" si="43"/>
        <v>0</v>
      </c>
      <c r="M191" s="1130">
        <f t="shared" ca="1" si="44"/>
        <v>0</v>
      </c>
      <c r="N191" s="1130">
        <f t="shared" ca="1" si="53"/>
        <v>1602003138.2319748</v>
      </c>
      <c r="O191" s="1073"/>
      <c r="P191" s="1130">
        <f t="shared" ca="1" si="45"/>
        <v>28591320.173560381</v>
      </c>
      <c r="Q191" s="1130">
        <f t="shared" ca="1" si="46"/>
        <v>1521902981.3203759</v>
      </c>
      <c r="R191" s="1130">
        <f t="shared" ca="1" si="54"/>
        <v>1549064735.4852583</v>
      </c>
      <c r="S191" s="1130">
        <f t="shared" ca="1" si="55"/>
        <v>27161754.164882421</v>
      </c>
      <c r="T191" s="1130">
        <f t="shared" ca="1" si="47"/>
        <v>1521902981.3203759</v>
      </c>
      <c r="U191" s="1132">
        <f t="shared" ca="1" si="48"/>
        <v>0.13119662032363799</v>
      </c>
      <c r="V191" s="1133">
        <f t="shared" ca="1" si="49"/>
        <v>5.0000000000000155E-2</v>
      </c>
      <c r="X191" s="1134">
        <f t="shared" ca="1" si="56"/>
        <v>81529722.920276821</v>
      </c>
      <c r="Y191" s="1134">
        <f t="shared" ca="1" si="50"/>
        <v>1429566.0086779594</v>
      </c>
      <c r="Z191" s="1134">
        <f t="shared" ca="1" si="51"/>
        <v>80100156.911598861</v>
      </c>
      <c r="AA191" s="1132">
        <f t="shared" ca="1" si="52"/>
        <v>0.14037486728697798</v>
      </c>
      <c r="AB191" s="1105"/>
    </row>
    <row r="192" spans="1:28">
      <c r="A192" s="1144">
        <f>Calendar!J184</f>
        <v>50522</v>
      </c>
      <c r="C192" s="1104"/>
      <c r="D192" s="1125">
        <f t="shared" ca="1" si="38"/>
        <v>51744</v>
      </c>
      <c r="E192" s="1126">
        <f t="shared" ca="1" si="39"/>
        <v>51771</v>
      </c>
      <c r="F192" s="1127">
        <f t="shared" ca="1" si="40"/>
        <v>5541</v>
      </c>
      <c r="G192" s="1128">
        <f ca="1">IF(F192&lt;&gt;"",COUNTIF($F$11:F192,"&gt;0"),"")</f>
        <v>182</v>
      </c>
      <c r="H192" s="1129">
        <v>1.7676261966314354E-2</v>
      </c>
      <c r="I192" s="1073"/>
      <c r="J192" s="1130">
        <f t="shared" ca="1" si="41"/>
        <v>1602003138.2319748</v>
      </c>
      <c r="K192" s="1131">
        <f t="shared" ca="1" si="42"/>
        <v>28317427.142246094</v>
      </c>
      <c r="L192" s="1130">
        <f t="shared" ca="1" si="43"/>
        <v>0</v>
      </c>
      <c r="M192" s="1130">
        <f t="shared" ca="1" si="44"/>
        <v>0</v>
      </c>
      <c r="N192" s="1130">
        <f t="shared" ca="1" si="53"/>
        <v>1573685711.0897288</v>
      </c>
      <c r="O192" s="1073"/>
      <c r="P192" s="1130">
        <f t="shared" ca="1" si="45"/>
        <v>28317427.142246008</v>
      </c>
      <c r="Q192" s="1130">
        <f t="shared" ca="1" si="46"/>
        <v>1495001425.5352423</v>
      </c>
      <c r="R192" s="1130">
        <f t="shared" ca="1" si="54"/>
        <v>1521902981.3203759</v>
      </c>
      <c r="S192" s="1130">
        <f t="shared" ca="1" si="55"/>
        <v>26901555.7851336</v>
      </c>
      <c r="T192" s="1130">
        <f t="shared" ca="1" si="47"/>
        <v>1495001425.5352423</v>
      </c>
      <c r="U192" s="1132">
        <f t="shared" ca="1" si="48"/>
        <v>0.1288961804085961</v>
      </c>
      <c r="V192" s="1133">
        <f t="shared" ca="1" si="49"/>
        <v>5.0000000000000044E-2</v>
      </c>
      <c r="X192" s="1134">
        <f t="shared" ca="1" si="56"/>
        <v>80100156.911598861</v>
      </c>
      <c r="Y192" s="1134">
        <f t="shared" ca="1" si="50"/>
        <v>1415871.3571124077</v>
      </c>
      <c r="Z192" s="1134">
        <f t="shared" ca="1" si="51"/>
        <v>78684285.554486454</v>
      </c>
      <c r="AA192" s="1132">
        <f t="shared" ca="1" si="52"/>
        <v>0.13791349330509445</v>
      </c>
      <c r="AB192" s="1105"/>
    </row>
    <row r="193" spans="1:28">
      <c r="A193" s="1144">
        <f>Calendar!J185</f>
        <v>50552</v>
      </c>
      <c r="C193" s="1104"/>
      <c r="D193" s="1125">
        <f t="shared" ca="1" si="38"/>
        <v>51774</v>
      </c>
      <c r="E193" s="1126">
        <f t="shared" ca="1" si="39"/>
        <v>51802</v>
      </c>
      <c r="F193" s="1127">
        <f t="shared" ca="1" si="40"/>
        <v>5572</v>
      </c>
      <c r="G193" s="1128">
        <f ca="1">IF(F193&lt;&gt;"",COUNTIF($F$11:F193,"&gt;0"),"")</f>
        <v>183</v>
      </c>
      <c r="H193" s="1129">
        <v>1.7802590891272663E-2</v>
      </c>
      <c r="I193" s="1073"/>
      <c r="J193" s="1130">
        <f t="shared" ca="1" si="41"/>
        <v>1573685711.0897288</v>
      </c>
      <c r="K193" s="1131">
        <f t="shared" ca="1" si="42"/>
        <v>28015682.905971952</v>
      </c>
      <c r="L193" s="1130">
        <f t="shared" ca="1" si="43"/>
        <v>0</v>
      </c>
      <c r="M193" s="1130">
        <f t="shared" ca="1" si="44"/>
        <v>0</v>
      </c>
      <c r="N193" s="1130">
        <f t="shared" ca="1" si="53"/>
        <v>1545670028.1837568</v>
      </c>
      <c r="O193" s="1073"/>
      <c r="P193" s="1130">
        <f t="shared" ca="1" si="45"/>
        <v>28015682.905972004</v>
      </c>
      <c r="Q193" s="1130">
        <f t="shared" ca="1" si="46"/>
        <v>1468386526.774569</v>
      </c>
      <c r="R193" s="1130">
        <f t="shared" ca="1" si="54"/>
        <v>1495001425.5352423</v>
      </c>
      <c r="S193" s="1130">
        <f t="shared" ca="1" si="55"/>
        <v>26614898.760673285</v>
      </c>
      <c r="T193" s="1130">
        <f t="shared" ca="1" si="47"/>
        <v>1468386526.774569</v>
      </c>
      <c r="U193" s="1132">
        <f t="shared" ca="1" si="48"/>
        <v>0.12661777775723645</v>
      </c>
      <c r="V193" s="1133">
        <f t="shared" ca="1" si="49"/>
        <v>4.9999999999999933E-2</v>
      </c>
      <c r="X193" s="1134">
        <f t="shared" ca="1" si="56"/>
        <v>78684285.554486454</v>
      </c>
      <c r="Y193" s="1134">
        <f t="shared" ca="1" si="50"/>
        <v>1400784.1452987194</v>
      </c>
      <c r="Z193" s="1134">
        <f t="shared" ca="1" si="51"/>
        <v>77283501.409187734</v>
      </c>
      <c r="AA193" s="1132">
        <f t="shared" ca="1" si="52"/>
        <v>0.13547569826874389</v>
      </c>
      <c r="AB193" s="1105"/>
    </row>
    <row r="194" spans="1:28">
      <c r="A194" s="1144">
        <f>Calendar!J186</f>
        <v>50584</v>
      </c>
      <c r="C194" s="1104"/>
      <c r="D194" s="1125">
        <f t="shared" ca="1" si="38"/>
        <v>51805</v>
      </c>
      <c r="E194" s="1126">
        <f t="shared" ca="1" si="39"/>
        <v>51832</v>
      </c>
      <c r="F194" s="1127">
        <f t="shared" ca="1" si="40"/>
        <v>5602</v>
      </c>
      <c r="G194" s="1128">
        <f ca="1">IF(F194&lt;&gt;"",COUNTIF($F$11:F194,"&gt;0"),"")</f>
        <v>184</v>
      </c>
      <c r="H194" s="1129">
        <v>1.7940583529051871E-2</v>
      </c>
      <c r="I194" s="1073"/>
      <c r="J194" s="1130">
        <f t="shared" ca="1" si="41"/>
        <v>1545670028.1837568</v>
      </c>
      <c r="K194" s="1131">
        <f t="shared" ca="1" si="42"/>
        <v>27730222.248982649</v>
      </c>
      <c r="L194" s="1130">
        <f t="shared" ca="1" si="43"/>
        <v>0</v>
      </c>
      <c r="M194" s="1130">
        <f t="shared" ca="1" si="44"/>
        <v>0</v>
      </c>
      <c r="N194" s="1130">
        <f t="shared" ca="1" si="53"/>
        <v>1517939805.9347742</v>
      </c>
      <c r="O194" s="1073"/>
      <c r="P194" s="1130">
        <f t="shared" ca="1" si="45"/>
        <v>27730222.248982668</v>
      </c>
      <c r="Q194" s="1130">
        <f t="shared" ca="1" si="46"/>
        <v>1442042815.6380353</v>
      </c>
      <c r="R194" s="1130">
        <f t="shared" ca="1" si="54"/>
        <v>1468386526.774569</v>
      </c>
      <c r="S194" s="1130">
        <f t="shared" ca="1" si="55"/>
        <v>26343711.136533737</v>
      </c>
      <c r="T194" s="1130">
        <f t="shared" ca="1" si="47"/>
        <v>1442042815.6380353</v>
      </c>
      <c r="U194" s="1132">
        <f t="shared" ca="1" si="48"/>
        <v>0.1243636532602623</v>
      </c>
      <c r="V194" s="1133">
        <f t="shared" ca="1" si="49"/>
        <v>5.0000000000000155E-2</v>
      </c>
      <c r="X194" s="1134">
        <f t="shared" ca="1" si="56"/>
        <v>77283501.409187734</v>
      </c>
      <c r="Y194" s="1134">
        <f t="shared" ca="1" si="50"/>
        <v>1386511.1124489307</v>
      </c>
      <c r="Z194" s="1134">
        <f t="shared" ca="1" si="51"/>
        <v>75896990.296738803</v>
      </c>
      <c r="AA194" s="1132">
        <f t="shared" ca="1" si="52"/>
        <v>0.13306387983675574</v>
      </c>
      <c r="AB194" s="1105"/>
    </row>
    <row r="195" spans="1:28">
      <c r="A195" s="1144">
        <f>Calendar!J187</f>
        <v>50613</v>
      </c>
      <c r="C195" s="1104"/>
      <c r="D195" s="1125">
        <f t="shared" ca="1" si="38"/>
        <v>51835</v>
      </c>
      <c r="E195" s="1126">
        <f t="shared" ca="1" si="39"/>
        <v>51862</v>
      </c>
      <c r="F195" s="1127">
        <f t="shared" ca="1" si="40"/>
        <v>5632</v>
      </c>
      <c r="G195" s="1128">
        <f ca="1">IF(F195&lt;&gt;"",COUNTIF($F$11:F195,"&gt;0"),"")</f>
        <v>185</v>
      </c>
      <c r="H195" s="1129">
        <v>1.8092906505045664E-2</v>
      </c>
      <c r="I195" s="1073"/>
      <c r="J195" s="1130">
        <f t="shared" ca="1" si="41"/>
        <v>1517939805.9347742</v>
      </c>
      <c r="K195" s="1131">
        <f t="shared" ca="1" si="42"/>
        <v>27463942.989065029</v>
      </c>
      <c r="L195" s="1130">
        <f t="shared" ca="1" si="43"/>
        <v>0</v>
      </c>
      <c r="M195" s="1130">
        <f t="shared" ca="1" si="44"/>
        <v>0</v>
      </c>
      <c r="N195" s="1130">
        <f t="shared" ca="1" si="53"/>
        <v>1490475862.9457092</v>
      </c>
      <c r="O195" s="1073"/>
      <c r="P195" s="1130">
        <f t="shared" ca="1" si="45"/>
        <v>27463942.989064932</v>
      </c>
      <c r="Q195" s="1130">
        <f t="shared" ca="1" si="46"/>
        <v>1415952069.7984238</v>
      </c>
      <c r="R195" s="1130">
        <f t="shared" ca="1" si="54"/>
        <v>1442042815.6380353</v>
      </c>
      <c r="S195" s="1130">
        <f t="shared" ca="1" si="55"/>
        <v>26090745.83961153</v>
      </c>
      <c r="T195" s="1130">
        <f t="shared" ca="1" si="47"/>
        <v>1415952069.7984238</v>
      </c>
      <c r="U195" s="1132">
        <f t="shared" ca="1" si="48"/>
        <v>0.1221324967509685</v>
      </c>
      <c r="V195" s="1133">
        <f t="shared" ca="1" si="49"/>
        <v>5.0000000000000044E-2</v>
      </c>
      <c r="X195" s="1134">
        <f t="shared" ca="1" si="56"/>
        <v>75896990.296738803</v>
      </c>
      <c r="Y195" s="1134">
        <f t="shared" ca="1" si="50"/>
        <v>1373197.1494534016</v>
      </c>
      <c r="Z195" s="1134">
        <f t="shared" ca="1" si="51"/>
        <v>74523793.147285402</v>
      </c>
      <c r="AA195" s="1132">
        <f t="shared" ca="1" si="52"/>
        <v>0.13067663618584505</v>
      </c>
      <c r="AB195" s="1105"/>
    </row>
    <row r="196" spans="1:28">
      <c r="A196" s="1144">
        <f>Calendar!J188</f>
        <v>50644</v>
      </c>
      <c r="C196" s="1104"/>
      <c r="D196" s="1125">
        <f t="shared" ca="1" si="38"/>
        <v>51866</v>
      </c>
      <c r="E196" s="1126">
        <f t="shared" ca="1" si="39"/>
        <v>51893</v>
      </c>
      <c r="F196" s="1127">
        <f t="shared" ca="1" si="40"/>
        <v>5663</v>
      </c>
      <c r="G196" s="1128">
        <f ca="1">IF(F196&lt;&gt;"",COUNTIF($F$11:F196,"&gt;0"),"")</f>
        <v>186</v>
      </c>
      <c r="H196" s="1129">
        <v>1.8259235685001249E-2</v>
      </c>
      <c r="I196" s="1073"/>
      <c r="J196" s="1130">
        <f t="shared" ca="1" si="41"/>
        <v>1490475862.9457092</v>
      </c>
      <c r="K196" s="1131">
        <f t="shared" ca="1" si="42"/>
        <v>27214950.064331323</v>
      </c>
      <c r="L196" s="1130">
        <f t="shared" ca="1" si="43"/>
        <v>0</v>
      </c>
      <c r="M196" s="1130">
        <f t="shared" ca="1" si="44"/>
        <v>0</v>
      </c>
      <c r="N196" s="1130">
        <f t="shared" ca="1" si="53"/>
        <v>1463260912.8813779</v>
      </c>
      <c r="O196" s="1073"/>
      <c r="P196" s="1130">
        <f t="shared" ca="1" si="45"/>
        <v>27214950.064331293</v>
      </c>
      <c r="Q196" s="1130">
        <f t="shared" ca="1" si="46"/>
        <v>1390097867.237309</v>
      </c>
      <c r="R196" s="1130">
        <f t="shared" ca="1" si="54"/>
        <v>1415952069.7984238</v>
      </c>
      <c r="S196" s="1130">
        <f t="shared" ca="1" si="55"/>
        <v>25854202.561114788</v>
      </c>
      <c r="T196" s="1130">
        <f t="shared" ca="1" si="47"/>
        <v>1390097867.237309</v>
      </c>
      <c r="U196" s="1132">
        <f t="shared" ca="1" si="48"/>
        <v>0.11992276490602545</v>
      </c>
      <c r="V196" s="1133">
        <f t="shared" ca="1" si="49"/>
        <v>5.0000000000000044E-2</v>
      </c>
      <c r="X196" s="1134">
        <f t="shared" ca="1" si="56"/>
        <v>74523793.147285402</v>
      </c>
      <c r="Y196" s="1134">
        <f t="shared" ca="1" si="50"/>
        <v>1360747.5032165051</v>
      </c>
      <c r="Z196" s="1134">
        <f t="shared" ca="1" si="51"/>
        <v>73163045.644068897</v>
      </c>
      <c r="AA196" s="1132">
        <f t="shared" ca="1" si="52"/>
        <v>0.12831231602494042</v>
      </c>
      <c r="AB196" s="1105"/>
    </row>
    <row r="197" spans="1:28">
      <c r="A197" s="1144">
        <f>Calendar!J189</f>
        <v>50675</v>
      </c>
      <c r="C197" s="1104"/>
      <c r="D197" s="1125">
        <f t="shared" ca="1" si="38"/>
        <v>51897</v>
      </c>
      <c r="E197" s="1126">
        <f t="shared" ca="1" si="39"/>
        <v>51924</v>
      </c>
      <c r="F197" s="1127">
        <f t="shared" ca="1" si="40"/>
        <v>5694</v>
      </c>
      <c r="G197" s="1128">
        <f ca="1">IF(F197&lt;&gt;"",COUNTIF($F$11:F197,"&gt;0"),"")</f>
        <v>187</v>
      </c>
      <c r="H197" s="1129">
        <v>1.8405462194940533E-2</v>
      </c>
      <c r="I197" s="1073"/>
      <c r="J197" s="1130">
        <f t="shared" ca="1" si="41"/>
        <v>1463260912.8813779</v>
      </c>
      <c r="K197" s="1131">
        <f t="shared" ca="1" si="42"/>
        <v>26931993.413372375</v>
      </c>
      <c r="L197" s="1130">
        <f t="shared" ca="1" si="43"/>
        <v>0</v>
      </c>
      <c r="M197" s="1130">
        <f t="shared" ca="1" si="44"/>
        <v>0</v>
      </c>
      <c r="N197" s="1130">
        <f t="shared" ca="1" si="53"/>
        <v>1436328919.4680057</v>
      </c>
      <c r="O197" s="1073"/>
      <c r="P197" s="1130">
        <f t="shared" ca="1" si="45"/>
        <v>26931993.413372278</v>
      </c>
      <c r="Q197" s="1130">
        <f t="shared" ca="1" si="46"/>
        <v>1364512473.4946053</v>
      </c>
      <c r="R197" s="1130">
        <f t="shared" ca="1" si="54"/>
        <v>1390097867.237309</v>
      </c>
      <c r="S197" s="1130">
        <f t="shared" ca="1" si="55"/>
        <v>25585393.742703676</v>
      </c>
      <c r="T197" s="1130">
        <f t="shared" ca="1" si="47"/>
        <v>1364512473.4946053</v>
      </c>
      <c r="U197" s="1132">
        <f t="shared" ca="1" si="48"/>
        <v>0.11773306687760934</v>
      </c>
      <c r="V197" s="1133">
        <f t="shared" ca="1" si="49"/>
        <v>5.0000000000000044E-2</v>
      </c>
      <c r="X197" s="1134">
        <f t="shared" ca="1" si="56"/>
        <v>73163045.644068897</v>
      </c>
      <c r="Y197" s="1134">
        <f t="shared" ca="1" si="50"/>
        <v>1346599.670668602</v>
      </c>
      <c r="Z197" s="1134">
        <f t="shared" ca="1" si="51"/>
        <v>71816445.973400295</v>
      </c>
      <c r="AA197" s="1132">
        <f t="shared" ca="1" si="52"/>
        <v>0.12596943120535278</v>
      </c>
      <c r="AB197" s="1105"/>
    </row>
    <row r="198" spans="1:28">
      <c r="A198" s="1144">
        <f>Calendar!J190</f>
        <v>50705</v>
      </c>
      <c r="C198" s="1104"/>
      <c r="D198" s="1125">
        <f t="shared" ca="1" si="38"/>
        <v>51925</v>
      </c>
      <c r="E198" s="1126">
        <f t="shared" ca="1" si="39"/>
        <v>51952</v>
      </c>
      <c r="F198" s="1127">
        <f t="shared" ca="1" si="40"/>
        <v>5722</v>
      </c>
      <c r="G198" s="1128">
        <f ca="1">IF(F198&lt;&gt;"",COUNTIF($F$11:F198,"&gt;0"),"")</f>
        <v>188</v>
      </c>
      <c r="H198" s="1129">
        <v>1.8569758844308379E-2</v>
      </c>
      <c r="I198" s="1073"/>
      <c r="J198" s="1130">
        <f t="shared" ca="1" si="41"/>
        <v>1436328919.4680057</v>
      </c>
      <c r="K198" s="1131">
        <f t="shared" ca="1" si="42"/>
        <v>26672281.655626897</v>
      </c>
      <c r="L198" s="1130">
        <f t="shared" ca="1" si="43"/>
        <v>0</v>
      </c>
      <c r="M198" s="1130">
        <f t="shared" ca="1" si="44"/>
        <v>0</v>
      </c>
      <c r="N198" s="1130">
        <f t="shared" ca="1" si="53"/>
        <v>1409656637.8123786</v>
      </c>
      <c r="O198" s="1073"/>
      <c r="P198" s="1130">
        <f t="shared" ca="1" si="45"/>
        <v>26672281.655627012</v>
      </c>
      <c r="Q198" s="1130">
        <f t="shared" ca="1" si="46"/>
        <v>1339173805.9217596</v>
      </c>
      <c r="R198" s="1130">
        <f t="shared" ca="1" si="54"/>
        <v>1364512473.4946053</v>
      </c>
      <c r="S198" s="1130">
        <f t="shared" ca="1" si="55"/>
        <v>25338667.572845697</v>
      </c>
      <c r="T198" s="1130">
        <f t="shared" ca="1" si="47"/>
        <v>1339173805.9217596</v>
      </c>
      <c r="U198" s="1132">
        <f t="shared" ca="1" si="48"/>
        <v>0.1155661353660991</v>
      </c>
      <c r="V198" s="1133">
        <f t="shared" ca="1" si="49"/>
        <v>5.0000000000000044E-2</v>
      </c>
      <c r="X198" s="1134">
        <f t="shared" ca="1" si="56"/>
        <v>71816445.973400295</v>
      </c>
      <c r="Y198" s="1134">
        <f t="shared" ca="1" si="50"/>
        <v>1333614.0827813148</v>
      </c>
      <c r="Z198" s="1134">
        <f t="shared" ca="1" si="51"/>
        <v>70482831.89061898</v>
      </c>
      <c r="AA198" s="1132">
        <f t="shared" ca="1" si="52"/>
        <v>0.12365090560158452</v>
      </c>
      <c r="AB198" s="1105"/>
    </row>
    <row r="199" spans="1:28">
      <c r="A199" s="1144">
        <f>Calendar!J191</f>
        <v>50738</v>
      </c>
      <c r="C199" s="1104"/>
      <c r="D199" s="1125">
        <f t="shared" ca="1" si="38"/>
        <v>51956</v>
      </c>
      <c r="E199" s="1126">
        <f t="shared" ca="1" si="39"/>
        <v>51984</v>
      </c>
      <c r="F199" s="1127">
        <f t="shared" ca="1" si="40"/>
        <v>5754</v>
      </c>
      <c r="G199" s="1128">
        <f ca="1">IF(F199&lt;&gt;"",COUNTIF($F$11:F199,"&gt;0"),"")</f>
        <v>189</v>
      </c>
      <c r="H199" s="1129">
        <v>1.8810495123137577E-2</v>
      </c>
      <c r="I199" s="1073"/>
      <c r="J199" s="1130">
        <f t="shared" ca="1" si="41"/>
        <v>1409656637.8123786</v>
      </c>
      <c r="K199" s="1131">
        <f t="shared" ca="1" si="42"/>
        <v>26516339.310868263</v>
      </c>
      <c r="L199" s="1130">
        <f t="shared" ca="1" si="43"/>
        <v>0</v>
      </c>
      <c r="M199" s="1130">
        <f t="shared" ca="1" si="44"/>
        <v>0</v>
      </c>
      <c r="N199" s="1130">
        <f t="shared" ca="1" si="53"/>
        <v>1383140298.5015104</v>
      </c>
      <c r="O199" s="1073"/>
      <c r="P199" s="1130">
        <f t="shared" ca="1" si="45"/>
        <v>26516339.310868263</v>
      </c>
      <c r="Q199" s="1130">
        <f t="shared" ca="1" si="46"/>
        <v>1313983283.5764349</v>
      </c>
      <c r="R199" s="1130">
        <f t="shared" ca="1" si="54"/>
        <v>1339173805.9217596</v>
      </c>
      <c r="S199" s="1130">
        <f t="shared" ca="1" si="55"/>
        <v>25190522.345324755</v>
      </c>
      <c r="T199" s="1130">
        <f t="shared" ca="1" si="47"/>
        <v>1313983283.5764349</v>
      </c>
      <c r="U199" s="1132">
        <f t="shared" ca="1" si="48"/>
        <v>0.11342010010178193</v>
      </c>
      <c r="V199" s="1133">
        <f t="shared" ca="1" si="49"/>
        <v>5.0000000000000044E-2</v>
      </c>
      <c r="X199" s="1134">
        <f t="shared" ca="1" si="56"/>
        <v>70482831.89061898</v>
      </c>
      <c r="Y199" s="1134">
        <f t="shared" ca="1" si="50"/>
        <v>1325816.9655435085</v>
      </c>
      <c r="Z199" s="1134">
        <f t="shared" ca="1" si="51"/>
        <v>69157014.925075471</v>
      </c>
      <c r="AA199" s="1132">
        <f t="shared" ca="1" si="52"/>
        <v>0.12135473810368282</v>
      </c>
      <c r="AB199" s="1105"/>
    </row>
    <row r="200" spans="1:28">
      <c r="A200" s="1144">
        <f>Calendar!J192</f>
        <v>50766</v>
      </c>
      <c r="C200" s="1104"/>
      <c r="D200" s="1125">
        <f t="shared" ca="1" si="38"/>
        <v>51986</v>
      </c>
      <c r="E200" s="1126">
        <f t="shared" ca="1" si="39"/>
        <v>52013</v>
      </c>
      <c r="F200" s="1127">
        <f t="shared" ca="1" si="40"/>
        <v>5783</v>
      </c>
      <c r="G200" s="1128">
        <f ca="1">IF(F200&lt;&gt;"",COUNTIF($F$11:F200,"&gt;0"),"")</f>
        <v>190</v>
      </c>
      <c r="H200" s="1129">
        <v>1.9010539009928829E-2</v>
      </c>
      <c r="I200" s="1073"/>
      <c r="J200" s="1130">
        <f t="shared" ca="1" si="41"/>
        <v>1383140298.5015104</v>
      </c>
      <c r="K200" s="1131">
        <f t="shared" ca="1" si="42"/>
        <v>26294242.600867566</v>
      </c>
      <c r="L200" s="1130">
        <f t="shared" ca="1" si="43"/>
        <v>0</v>
      </c>
      <c r="M200" s="1130">
        <f t="shared" ca="1" si="44"/>
        <v>0</v>
      </c>
      <c r="N200" s="1130">
        <f t="shared" ca="1" si="53"/>
        <v>1356846055.9006429</v>
      </c>
      <c r="O200" s="1073"/>
      <c r="P200" s="1130">
        <f t="shared" ca="1" si="45"/>
        <v>26294242.60086751</v>
      </c>
      <c r="Q200" s="1130">
        <f t="shared" ca="1" si="46"/>
        <v>1289003753.1056106</v>
      </c>
      <c r="R200" s="1130">
        <f t="shared" ca="1" si="54"/>
        <v>1313983283.5764349</v>
      </c>
      <c r="S200" s="1130">
        <f t="shared" ca="1" si="55"/>
        <v>24979530.470824242</v>
      </c>
      <c r="T200" s="1130">
        <f t="shared" ca="1" si="47"/>
        <v>1289003753.1056106</v>
      </c>
      <c r="U200" s="1132">
        <f t="shared" ca="1" si="48"/>
        <v>0.11128661186195159</v>
      </c>
      <c r="V200" s="1133">
        <f t="shared" ca="1" si="49"/>
        <v>5.0000000000000044E-2</v>
      </c>
      <c r="X200" s="1134">
        <f t="shared" ca="1" si="56"/>
        <v>69157014.925075471</v>
      </c>
      <c r="Y200" s="1134">
        <f t="shared" ca="1" si="50"/>
        <v>1314712.1300432682</v>
      </c>
      <c r="Z200" s="1134">
        <f t="shared" ca="1" si="51"/>
        <v>67842302.795032203</v>
      </c>
      <c r="AA200" s="1132">
        <f t="shared" ca="1" si="52"/>
        <v>0.1190719953944137</v>
      </c>
      <c r="AB200" s="1105"/>
    </row>
    <row r="201" spans="1:28">
      <c r="A201" s="1144">
        <f>Calendar!J193</f>
        <v>50797</v>
      </c>
      <c r="C201" s="1104"/>
      <c r="D201" s="1125">
        <f t="shared" ca="1" si="38"/>
        <v>52017</v>
      </c>
      <c r="E201" s="1126">
        <f t="shared" ca="1" si="39"/>
        <v>52044</v>
      </c>
      <c r="F201" s="1127">
        <f t="shared" ca="1" si="40"/>
        <v>5814</v>
      </c>
      <c r="G201" s="1128">
        <f ca="1">IF(F201&lt;&gt;"",COUNTIF($F$11:F201,"&gt;0"),"")</f>
        <v>191</v>
      </c>
      <c r="H201" s="1129">
        <v>1.9235363671771803E-2</v>
      </c>
      <c r="I201" s="1073"/>
      <c r="J201" s="1130">
        <f t="shared" ca="1" si="41"/>
        <v>1356846055.9006429</v>
      </c>
      <c r="K201" s="1131">
        <f t="shared" ca="1" si="42"/>
        <v>26099427.33185808</v>
      </c>
      <c r="L201" s="1130">
        <f t="shared" ca="1" si="43"/>
        <v>0</v>
      </c>
      <c r="M201" s="1130">
        <f t="shared" ca="1" si="44"/>
        <v>0</v>
      </c>
      <c r="N201" s="1130">
        <f t="shared" ca="1" si="53"/>
        <v>1330746628.5687847</v>
      </c>
      <c r="O201" s="1073"/>
      <c r="P201" s="1130">
        <f t="shared" ca="1" si="45"/>
        <v>26099427.331858158</v>
      </c>
      <c r="Q201" s="1130">
        <f t="shared" ca="1" si="46"/>
        <v>1264209297.1403453</v>
      </c>
      <c r="R201" s="1130">
        <f t="shared" ca="1" si="54"/>
        <v>1289003753.1056106</v>
      </c>
      <c r="S201" s="1130">
        <f t="shared" ca="1" si="55"/>
        <v>24794455.965265274</v>
      </c>
      <c r="T201" s="1130">
        <f t="shared" ca="1" si="47"/>
        <v>1264209297.1403453</v>
      </c>
      <c r="U201" s="1132">
        <f t="shared" ca="1" si="48"/>
        <v>0.10917099338586715</v>
      </c>
      <c r="V201" s="1133">
        <f t="shared" ca="1" si="49"/>
        <v>5.0000000000000155E-2</v>
      </c>
      <c r="X201" s="1134">
        <f t="shared" ca="1" si="56"/>
        <v>67842302.795032203</v>
      </c>
      <c r="Y201" s="1134">
        <f t="shared" ca="1" si="50"/>
        <v>1304971.3665928841</v>
      </c>
      <c r="Z201" s="1134">
        <f t="shared" ca="1" si="51"/>
        <v>66537331.428439319</v>
      </c>
      <c r="AA201" s="1132">
        <f t="shared" ca="1" si="52"/>
        <v>0.11680837258097831</v>
      </c>
      <c r="AB201" s="1105"/>
    </row>
    <row r="202" spans="1:28">
      <c r="A202" s="1144">
        <f>Calendar!J194</f>
        <v>50829</v>
      </c>
      <c r="C202" s="1104"/>
      <c r="D202" s="1125">
        <f t="shared" ca="1" si="38"/>
        <v>52047</v>
      </c>
      <c r="E202" s="1126">
        <f t="shared" ca="1" si="39"/>
        <v>52075</v>
      </c>
      <c r="F202" s="1127">
        <f t="shared" ca="1" si="40"/>
        <v>5845</v>
      </c>
      <c r="G202" s="1128">
        <f ca="1">IF(F202&lt;&gt;"",COUNTIF($F$11:F202,"&gt;0"),"")</f>
        <v>192</v>
      </c>
      <c r="H202" s="1129">
        <v>1.9459064867633255E-2</v>
      </c>
      <c r="I202" s="1073"/>
      <c r="J202" s="1130">
        <f t="shared" ca="1" si="41"/>
        <v>1330746628.5687847</v>
      </c>
      <c r="K202" s="1131">
        <f t="shared" ca="1" si="42"/>
        <v>25895084.96770424</v>
      </c>
      <c r="L202" s="1130">
        <f t="shared" ca="1" si="43"/>
        <v>0</v>
      </c>
      <c r="M202" s="1130">
        <f t="shared" ca="1" si="44"/>
        <v>0</v>
      </c>
      <c r="N202" s="1130">
        <f t="shared" ca="1" si="53"/>
        <v>1304851543.6010804</v>
      </c>
      <c r="O202" s="1073"/>
      <c r="P202" s="1130">
        <f t="shared" ca="1" si="45"/>
        <v>25895084.967704296</v>
      </c>
      <c r="Q202" s="1130">
        <f t="shared" ca="1" si="46"/>
        <v>1239608966.4210262</v>
      </c>
      <c r="R202" s="1130">
        <f t="shared" ca="1" si="54"/>
        <v>1264209297.1403453</v>
      </c>
      <c r="S202" s="1130">
        <f t="shared" ca="1" si="55"/>
        <v>24600330.719319105</v>
      </c>
      <c r="T202" s="1130">
        <f t="shared" ca="1" si="47"/>
        <v>1239608966.4210262</v>
      </c>
      <c r="U202" s="1132">
        <f t="shared" ca="1" si="48"/>
        <v>0.1070710496256814</v>
      </c>
      <c r="V202" s="1133">
        <f t="shared" ca="1" si="49"/>
        <v>5.0000000000000155E-2</v>
      </c>
      <c r="X202" s="1134">
        <f t="shared" ca="1" si="56"/>
        <v>66537331.428439319</v>
      </c>
      <c r="Y202" s="1134">
        <f t="shared" ca="1" si="50"/>
        <v>1294754.248385191</v>
      </c>
      <c r="Z202" s="1134">
        <f t="shared" ca="1" si="51"/>
        <v>65242577.180054128</v>
      </c>
      <c r="AA202" s="1132">
        <f t="shared" ca="1" si="52"/>
        <v>0.11456152105447541</v>
      </c>
      <c r="AB202" s="1105"/>
    </row>
    <row r="203" spans="1:28">
      <c r="A203" s="1144">
        <f>Calendar!J195</f>
        <v>50857</v>
      </c>
      <c r="C203" s="1104"/>
      <c r="D203" s="1125">
        <f t="shared" ca="1" si="38"/>
        <v>52078</v>
      </c>
      <c r="E203" s="1126">
        <f t="shared" ca="1" si="39"/>
        <v>52105</v>
      </c>
      <c r="F203" s="1127">
        <f t="shared" ca="1" si="40"/>
        <v>5875</v>
      </c>
      <c r="G203" s="1128">
        <f ca="1">IF(F203&lt;&gt;"",COUNTIF($F$11:F203,"&gt;0"),"")</f>
        <v>193</v>
      </c>
      <c r="H203" s="1129">
        <v>1.9647369940321537E-2</v>
      </c>
      <c r="I203" s="1073"/>
      <c r="J203" s="1130">
        <f t="shared" ca="1" si="41"/>
        <v>1304851543.6010804</v>
      </c>
      <c r="K203" s="1131">
        <f t="shared" ca="1" si="42"/>
        <v>25636900.994330026</v>
      </c>
      <c r="L203" s="1130">
        <f t="shared" ca="1" si="43"/>
        <v>0</v>
      </c>
      <c r="M203" s="1130">
        <f t="shared" ca="1" si="44"/>
        <v>0</v>
      </c>
      <c r="N203" s="1130">
        <f t="shared" ca="1" si="53"/>
        <v>1279214642.6067505</v>
      </c>
      <c r="O203" s="1073"/>
      <c r="P203" s="1130">
        <f t="shared" ca="1" si="45"/>
        <v>25636900.994329929</v>
      </c>
      <c r="Q203" s="1130">
        <f t="shared" ca="1" si="46"/>
        <v>1215253910.476413</v>
      </c>
      <c r="R203" s="1130">
        <f t="shared" ca="1" si="54"/>
        <v>1239608966.4210262</v>
      </c>
      <c r="S203" s="1130">
        <f t="shared" ca="1" si="55"/>
        <v>24355055.944613218</v>
      </c>
      <c r="T203" s="1130">
        <f t="shared" ca="1" si="47"/>
        <v>1215253910.476413</v>
      </c>
      <c r="U203" s="1132">
        <f t="shared" ca="1" si="48"/>
        <v>0.10498754712556967</v>
      </c>
      <c r="V203" s="1133">
        <f t="shared" ca="1" si="49"/>
        <v>4.9999999999999933E-2</v>
      </c>
      <c r="X203" s="1134">
        <f t="shared" ca="1" si="56"/>
        <v>65242577.180054128</v>
      </c>
      <c r="Y203" s="1134">
        <f t="shared" ca="1" si="50"/>
        <v>1281845.049716711</v>
      </c>
      <c r="Z203" s="1134">
        <f t="shared" ca="1" si="51"/>
        <v>63960732.130337417</v>
      </c>
      <c r="AA203" s="1132">
        <f t="shared" ca="1" si="52"/>
        <v>0.11233226098494169</v>
      </c>
      <c r="AB203" s="1105"/>
    </row>
    <row r="204" spans="1:28">
      <c r="A204" s="1144">
        <f>Calendar!J196</f>
        <v>50887</v>
      </c>
      <c r="C204" s="1104"/>
      <c r="D204" s="1125">
        <f t="shared" ref="D204:D267" ca="1" si="57">IF(E204&lt;&gt;"",EOMONTH(E204,-1),"")</f>
        <v>52109</v>
      </c>
      <c r="E204" s="1126">
        <f t="shared" ref="E204:E267" ca="1" si="58">IF(INDIRECT("A"&amp;(IFERROR(MATCH(E203,A:A),999)+1))&gt;0,INDIRECT("A"&amp;(IFERROR(MATCH(E203,A:A),999)+1)),"")</f>
        <v>52138</v>
      </c>
      <c r="F204" s="1127">
        <f t="shared" ref="F204:F267" ca="1" si="59">IF(E204&lt;&gt;"",E204-$A$31,"")</f>
        <v>5908</v>
      </c>
      <c r="G204" s="1128">
        <f ca="1">IF(F204&lt;&gt;"",COUNTIF($F$11:F204,"&gt;0"),"")</f>
        <v>194</v>
      </c>
      <c r="H204" s="1129">
        <v>1.9890863133051145E-2</v>
      </c>
      <c r="I204" s="1073"/>
      <c r="J204" s="1130">
        <f t="shared" ref="J204:J267" ca="1" si="60">IF(G204=1,$A$7,N203)</f>
        <v>1279214642.6067505</v>
      </c>
      <c r="K204" s="1131">
        <f t="shared" ref="K204:K267" ca="1" si="61">H204*J204</f>
        <v>25444683.37388581</v>
      </c>
      <c r="L204" s="1130">
        <f t="shared" ref="L204:L267" ca="1" si="62">IF(E204&lt;&gt;"",(1-(1-$A$25)^(1/12))*(J204-K204),"")</f>
        <v>0</v>
      </c>
      <c r="M204" s="1130">
        <f t="shared" ref="M204:M267" ca="1" si="63">IF(J204-K204-L204&lt;$A$27*$A$5,J204-K204-L204,0)</f>
        <v>0</v>
      </c>
      <c r="N204" s="1130">
        <f t="shared" ca="1" si="53"/>
        <v>1253769959.2328646</v>
      </c>
      <c r="O204" s="1073"/>
      <c r="P204" s="1130">
        <f t="shared" ref="P204:P267" ca="1" si="64">IF(G204&lt;&gt; "", R204+X204-N204, "")</f>
        <v>25444683.37388587</v>
      </c>
      <c r="Q204" s="1130">
        <f t="shared" ref="Q204:Q267" ca="1" si="65">IF(E204&lt;&gt;"", N204*(1-$A$15), "")</f>
        <v>1191081461.2712214</v>
      </c>
      <c r="R204" s="1130">
        <f t="shared" ca="1" si="54"/>
        <v>1215253910.476413</v>
      </c>
      <c r="S204" s="1130">
        <f t="shared" ca="1" si="55"/>
        <v>24172449.205191612</v>
      </c>
      <c r="T204" s="1130">
        <f t="shared" ref="T204:T267" ca="1" si="66">IF(E204&lt;&gt;"", R204-S204, "")</f>
        <v>1191081461.2712214</v>
      </c>
      <c r="U204" s="1132">
        <f t="shared" ref="U204:U267" ca="1" si="67">IF(E204&lt;&gt;"", R204/$A$11, "")</f>
        <v>0.10292481794806668</v>
      </c>
      <c r="V204" s="1133">
        <f t="shared" ref="V204:V267" ca="1" si="68">IF(E204&lt;&gt;"", IFERROR(1-T204/N204, "n.a."), "")</f>
        <v>5.0000000000000044E-2</v>
      </c>
      <c r="X204" s="1134">
        <f t="shared" ca="1" si="56"/>
        <v>63960732.130337417</v>
      </c>
      <c r="Y204" s="1134">
        <f t="shared" ref="Y204:Y267" ca="1" si="69">IF(E204&lt;&gt;"", P204-S204, "")</f>
        <v>1272234.1686942577</v>
      </c>
      <c r="Z204" s="1134">
        <f t="shared" ref="Z204:Z267" ca="1" si="70">IF(E204&lt;&gt;"", X204-Y204, "")</f>
        <v>62688497.961643159</v>
      </c>
      <c r="AA204" s="1132">
        <f t="shared" ref="AA204:AA267" ca="1" si="71">IF(E204&lt;&gt;"", X204/$A$19, "")</f>
        <v>0.11012522749713742</v>
      </c>
      <c r="AB204" s="1105"/>
    </row>
    <row r="205" spans="1:28">
      <c r="A205" s="1144">
        <f>Calendar!J197</f>
        <v>50917</v>
      </c>
      <c r="C205" s="1104"/>
      <c r="D205" s="1125">
        <f t="shared" ca="1" si="57"/>
        <v>52139</v>
      </c>
      <c r="E205" s="1126">
        <f t="shared" ca="1" si="58"/>
        <v>52166</v>
      </c>
      <c r="F205" s="1127">
        <f t="shared" ca="1" si="59"/>
        <v>5936</v>
      </c>
      <c r="G205" s="1128">
        <f ca="1">IF(F205&lt;&gt;"",COUNTIF($F$11:F205,"&gt;0"),"")</f>
        <v>195</v>
      </c>
      <c r="H205" s="1129">
        <v>2.0101924204233134E-2</v>
      </c>
      <c r="I205" s="1073"/>
      <c r="J205" s="1130">
        <f t="shared" ca="1" si="60"/>
        <v>1253769959.2328646</v>
      </c>
      <c r="K205" s="1131">
        <f t="shared" ca="1" si="61"/>
        <v>25203188.690043513</v>
      </c>
      <c r="L205" s="1130">
        <f t="shared" ca="1" si="62"/>
        <v>0</v>
      </c>
      <c r="M205" s="1130">
        <f t="shared" ca="1" si="63"/>
        <v>0</v>
      </c>
      <c r="N205" s="1130">
        <f t="shared" ref="N205:N268" ca="1" si="72">IF(E205&lt;&gt;"",J205-K205-L205-M205,"")</f>
        <v>1228566770.5428212</v>
      </c>
      <c r="O205" s="1073"/>
      <c r="P205" s="1130">
        <f t="shared" ca="1" si="64"/>
        <v>25203188.690043449</v>
      </c>
      <c r="Q205" s="1130">
        <f t="shared" ca="1" si="65"/>
        <v>1167138432.0156801</v>
      </c>
      <c r="R205" s="1130">
        <f t="shared" ref="R205:R268" ca="1" si="73">IF(E205&lt;&gt;"", T204, "")</f>
        <v>1191081461.2712214</v>
      </c>
      <c r="S205" s="1130">
        <f t="shared" ref="S205:S268" ca="1" si="74">IF(E205&lt;&gt;"", MIN(P205,MAX(R205-Q205,0)), "")</f>
        <v>23943029.255541325</v>
      </c>
      <c r="T205" s="1130">
        <f t="shared" ca="1" si="66"/>
        <v>1167138432.0156801</v>
      </c>
      <c r="U205" s="1132">
        <f t="shared" ca="1" si="67"/>
        <v>0.10087755448126748</v>
      </c>
      <c r="V205" s="1133">
        <f t="shared" ca="1" si="68"/>
        <v>5.0000000000000044E-2</v>
      </c>
      <c r="X205" s="1134">
        <f t="shared" ref="X205:X268" ca="1" si="75">IF(E205&lt;&gt;"", Z204, "")</f>
        <v>62688497.961643159</v>
      </c>
      <c r="Y205" s="1134">
        <f t="shared" ca="1" si="69"/>
        <v>1260159.4345021248</v>
      </c>
      <c r="Z205" s="1134">
        <f t="shared" ca="1" si="70"/>
        <v>61428338.527141035</v>
      </c>
      <c r="AA205" s="1132">
        <f t="shared" ca="1" si="71"/>
        <v>0.10793474166949579</v>
      </c>
      <c r="AB205" s="1105"/>
    </row>
    <row r="206" spans="1:28">
      <c r="A206" s="1144">
        <f>Calendar!J198</f>
        <v>50948</v>
      </c>
      <c r="C206" s="1104"/>
      <c r="D206" s="1125">
        <f t="shared" ca="1" si="57"/>
        <v>52170</v>
      </c>
      <c r="E206" s="1126">
        <f t="shared" ca="1" si="58"/>
        <v>52197</v>
      </c>
      <c r="F206" s="1127">
        <f t="shared" ca="1" si="59"/>
        <v>5967</v>
      </c>
      <c r="G206" s="1128">
        <f ca="1">IF(F206&lt;&gt;"",COUNTIF($F$11:F206,"&gt;0"),"")</f>
        <v>196</v>
      </c>
      <c r="H206" s="1129">
        <v>2.0313465247822134E-2</v>
      </c>
      <c r="I206" s="1073"/>
      <c r="J206" s="1130">
        <f t="shared" ca="1" si="60"/>
        <v>1228566770.5428212</v>
      </c>
      <c r="K206" s="1131">
        <f t="shared" ca="1" si="61"/>
        <v>24956448.398050666</v>
      </c>
      <c r="L206" s="1130">
        <f t="shared" ca="1" si="62"/>
        <v>0</v>
      </c>
      <c r="M206" s="1130">
        <f t="shared" ca="1" si="63"/>
        <v>0</v>
      </c>
      <c r="N206" s="1130">
        <f t="shared" ca="1" si="72"/>
        <v>1203610322.1447706</v>
      </c>
      <c r="O206" s="1073"/>
      <c r="P206" s="1130">
        <f t="shared" ca="1" si="64"/>
        <v>24956448.398050547</v>
      </c>
      <c r="Q206" s="1130">
        <f t="shared" ca="1" si="65"/>
        <v>1143429806.0375321</v>
      </c>
      <c r="R206" s="1130">
        <f t="shared" ca="1" si="73"/>
        <v>1167138432.0156801</v>
      </c>
      <c r="S206" s="1130">
        <f t="shared" ca="1" si="74"/>
        <v>23708625.978147984</v>
      </c>
      <c r="T206" s="1130">
        <f t="shared" ca="1" si="66"/>
        <v>1143429806.0375321</v>
      </c>
      <c r="U206" s="1132">
        <f t="shared" ca="1" si="67"/>
        <v>9.8849721527176651E-2</v>
      </c>
      <c r="V206" s="1133">
        <f t="shared" ca="1" si="68"/>
        <v>5.0000000000000044E-2</v>
      </c>
      <c r="X206" s="1134">
        <f t="shared" ca="1" si="75"/>
        <v>61428338.527141035</v>
      </c>
      <c r="Y206" s="1134">
        <f t="shared" ca="1" si="69"/>
        <v>1247822.4199025631</v>
      </c>
      <c r="Z206" s="1134">
        <f t="shared" ca="1" si="70"/>
        <v>60180516.107238472</v>
      </c>
      <c r="AA206" s="1132">
        <f t="shared" ca="1" si="71"/>
        <v>0.1057650456734522</v>
      </c>
      <c r="AB206" s="1105"/>
    </row>
    <row r="207" spans="1:28">
      <c r="A207" s="1144">
        <f>Calendar!J199</f>
        <v>50978</v>
      </c>
      <c r="C207" s="1104"/>
      <c r="D207" s="1125">
        <f t="shared" ca="1" si="57"/>
        <v>52200</v>
      </c>
      <c r="E207" s="1126">
        <f t="shared" ca="1" si="58"/>
        <v>52229</v>
      </c>
      <c r="F207" s="1127">
        <f t="shared" ca="1" si="59"/>
        <v>5999</v>
      </c>
      <c r="G207" s="1128">
        <f ca="1">IF(F207&lt;&gt;"",COUNTIF($F$11:F207,"&gt;0"),"")</f>
        <v>197</v>
      </c>
      <c r="H207" s="1129">
        <v>2.0517428346694375E-2</v>
      </c>
      <c r="I207" s="1073"/>
      <c r="J207" s="1130">
        <f t="shared" ca="1" si="60"/>
        <v>1203610322.1447706</v>
      </c>
      <c r="K207" s="1131">
        <f t="shared" ca="1" si="61"/>
        <v>24694988.541947067</v>
      </c>
      <c r="L207" s="1130">
        <f t="shared" ca="1" si="62"/>
        <v>0</v>
      </c>
      <c r="M207" s="1130">
        <f t="shared" ca="1" si="63"/>
        <v>0</v>
      </c>
      <c r="N207" s="1130">
        <f t="shared" ca="1" si="72"/>
        <v>1178915333.6028235</v>
      </c>
      <c r="O207" s="1073"/>
      <c r="P207" s="1130">
        <f t="shared" ca="1" si="64"/>
        <v>24694988.541947126</v>
      </c>
      <c r="Q207" s="1130">
        <f t="shared" ca="1" si="65"/>
        <v>1119969566.9226823</v>
      </c>
      <c r="R207" s="1130">
        <f t="shared" ca="1" si="73"/>
        <v>1143429806.0375321</v>
      </c>
      <c r="S207" s="1130">
        <f t="shared" ca="1" si="74"/>
        <v>23460239.114849806</v>
      </c>
      <c r="T207" s="1130">
        <f t="shared" ca="1" si="66"/>
        <v>1119969566.9226823</v>
      </c>
      <c r="U207" s="1132">
        <f t="shared" ca="1" si="67"/>
        <v>9.6841741144177457E-2</v>
      </c>
      <c r="V207" s="1133">
        <f t="shared" ca="1" si="68"/>
        <v>5.0000000000000044E-2</v>
      </c>
      <c r="X207" s="1134">
        <f t="shared" ca="1" si="75"/>
        <v>60180516.107238472</v>
      </c>
      <c r="Y207" s="1134">
        <f t="shared" ca="1" si="69"/>
        <v>1234749.4270973206</v>
      </c>
      <c r="Z207" s="1134">
        <f t="shared" ca="1" si="70"/>
        <v>58945766.680141151</v>
      </c>
      <c r="AA207" s="1132">
        <f t="shared" ca="1" si="71"/>
        <v>0.10361659109373016</v>
      </c>
      <c r="AB207" s="1105"/>
    </row>
    <row r="208" spans="1:28">
      <c r="A208" s="1144">
        <f>Calendar!J200</f>
        <v>51011</v>
      </c>
      <c r="C208" s="1104"/>
      <c r="D208" s="1125">
        <f t="shared" ca="1" si="57"/>
        <v>52231</v>
      </c>
      <c r="E208" s="1126">
        <f t="shared" ca="1" si="58"/>
        <v>52258</v>
      </c>
      <c r="F208" s="1127">
        <f t="shared" ca="1" si="59"/>
        <v>6028</v>
      </c>
      <c r="G208" s="1128">
        <f ca="1">IF(F208&lt;&gt;"",COUNTIF($F$11:F208,"&gt;0"),"")</f>
        <v>198</v>
      </c>
      <c r="H208" s="1129">
        <v>2.0771912268192902E-2</v>
      </c>
      <c r="I208" s="1073"/>
      <c r="J208" s="1130">
        <f t="shared" ca="1" si="60"/>
        <v>1178915333.6028235</v>
      </c>
      <c r="K208" s="1131">
        <f t="shared" ca="1" si="61"/>
        <v>24488325.881225217</v>
      </c>
      <c r="L208" s="1130">
        <f t="shared" ca="1" si="62"/>
        <v>0</v>
      </c>
      <c r="M208" s="1130">
        <f t="shared" ca="1" si="63"/>
        <v>0</v>
      </c>
      <c r="N208" s="1130">
        <f t="shared" ca="1" si="72"/>
        <v>1154427007.7215984</v>
      </c>
      <c r="O208" s="1073"/>
      <c r="P208" s="1130">
        <f t="shared" ca="1" si="64"/>
        <v>24488325.881225109</v>
      </c>
      <c r="Q208" s="1130">
        <f t="shared" ca="1" si="65"/>
        <v>1096705657.3355184</v>
      </c>
      <c r="R208" s="1130">
        <f t="shared" ca="1" si="73"/>
        <v>1119969566.9226823</v>
      </c>
      <c r="S208" s="1130">
        <f t="shared" ca="1" si="74"/>
        <v>23263909.587163925</v>
      </c>
      <c r="T208" s="1130">
        <f t="shared" ca="1" si="66"/>
        <v>1096705657.3355184</v>
      </c>
      <c r="U208" s="1132">
        <f t="shared" ca="1" si="67"/>
        <v>9.4854797659282661E-2</v>
      </c>
      <c r="V208" s="1133">
        <f t="shared" ca="1" si="68"/>
        <v>5.0000000000000044E-2</v>
      </c>
      <c r="X208" s="1134">
        <f t="shared" ca="1" si="75"/>
        <v>58945766.680141151</v>
      </c>
      <c r="Y208" s="1134">
        <f t="shared" ca="1" si="69"/>
        <v>1224416.2940611839</v>
      </c>
      <c r="Z208" s="1134">
        <f t="shared" ca="1" si="70"/>
        <v>57721350.386079967</v>
      </c>
      <c r="AA208" s="1132">
        <f t="shared" ca="1" si="71"/>
        <v>0.10149064511043586</v>
      </c>
      <c r="AB208" s="1105"/>
    </row>
    <row r="209" spans="1:28">
      <c r="A209" s="1144">
        <f>Calendar!J201</f>
        <v>51040</v>
      </c>
      <c r="C209" s="1104"/>
      <c r="D209" s="1125">
        <f t="shared" ca="1" si="57"/>
        <v>52262</v>
      </c>
      <c r="E209" s="1126">
        <f t="shared" ca="1" si="58"/>
        <v>52289</v>
      </c>
      <c r="F209" s="1127">
        <f t="shared" ca="1" si="59"/>
        <v>6059</v>
      </c>
      <c r="G209" s="1128">
        <f ca="1">IF(F209&lt;&gt;"",COUNTIF($F$11:F209,"&gt;0"),"")</f>
        <v>199</v>
      </c>
      <c r="H209" s="1129">
        <v>2.0971550729519801E-2</v>
      </c>
      <c r="I209" s="1073"/>
      <c r="J209" s="1130">
        <f t="shared" ca="1" si="60"/>
        <v>1154427007.7215984</v>
      </c>
      <c r="K209" s="1131">
        <f t="shared" ca="1" si="61"/>
        <v>24210124.555961248</v>
      </c>
      <c r="L209" s="1130">
        <f t="shared" ca="1" si="62"/>
        <v>0</v>
      </c>
      <c r="M209" s="1130">
        <f t="shared" ca="1" si="63"/>
        <v>0</v>
      </c>
      <c r="N209" s="1130">
        <f t="shared" ca="1" si="72"/>
        <v>1130216883.1656373</v>
      </c>
      <c r="O209" s="1073"/>
      <c r="P209" s="1130">
        <f t="shared" ca="1" si="64"/>
        <v>24210124.555961132</v>
      </c>
      <c r="Q209" s="1130">
        <f t="shared" ca="1" si="65"/>
        <v>1073706039.0073553</v>
      </c>
      <c r="R209" s="1130">
        <f t="shared" ca="1" si="73"/>
        <v>1096705657.3355184</v>
      </c>
      <c r="S209" s="1130">
        <f t="shared" ca="1" si="74"/>
        <v>22999618.328163028</v>
      </c>
      <c r="T209" s="1130">
        <f t="shared" ca="1" si="66"/>
        <v>1073706039.0073553</v>
      </c>
      <c r="U209" s="1132">
        <f t="shared" ca="1" si="67"/>
        <v>9.2884482124086856E-2</v>
      </c>
      <c r="V209" s="1133">
        <f t="shared" ca="1" si="68"/>
        <v>5.0000000000000044E-2</v>
      </c>
      <c r="X209" s="1134">
        <f t="shared" ca="1" si="75"/>
        <v>57721350.386079967</v>
      </c>
      <c r="Y209" s="1134">
        <f t="shared" ca="1" si="69"/>
        <v>1210506.2277981043</v>
      </c>
      <c r="Z209" s="1134">
        <f t="shared" ca="1" si="70"/>
        <v>56510844.158281863</v>
      </c>
      <c r="AA209" s="1132">
        <f t="shared" ca="1" si="71"/>
        <v>9.9382490334159718E-2</v>
      </c>
      <c r="AB209" s="1105"/>
    </row>
    <row r="210" spans="1:28">
      <c r="A210" s="1144">
        <f>Calendar!J202</f>
        <v>51070</v>
      </c>
      <c r="C210" s="1104"/>
      <c r="D210" s="1125">
        <f t="shared" ca="1" si="57"/>
        <v>52290</v>
      </c>
      <c r="E210" s="1126">
        <f t="shared" ca="1" si="58"/>
        <v>52317</v>
      </c>
      <c r="F210" s="1127">
        <f t="shared" ca="1" si="59"/>
        <v>6087</v>
      </c>
      <c r="G210" s="1128">
        <f ca="1">IF(F210&lt;&gt;"",COUNTIF($F$11:F210,"&gt;0"),"")</f>
        <v>200</v>
      </c>
      <c r="H210" s="1129">
        <v>2.1135487560700862E-2</v>
      </c>
      <c r="I210" s="1073"/>
      <c r="J210" s="1130">
        <f t="shared" ca="1" si="60"/>
        <v>1130216883.1656373</v>
      </c>
      <c r="K210" s="1131">
        <f t="shared" ca="1" si="61"/>
        <v>23887684.875041425</v>
      </c>
      <c r="L210" s="1130">
        <f t="shared" ca="1" si="62"/>
        <v>0</v>
      </c>
      <c r="M210" s="1130">
        <f t="shared" ca="1" si="63"/>
        <v>0</v>
      </c>
      <c r="N210" s="1130">
        <f t="shared" ca="1" si="72"/>
        <v>1106329198.2905958</v>
      </c>
      <c r="O210" s="1073"/>
      <c r="P210" s="1130">
        <f t="shared" ca="1" si="64"/>
        <v>23887684.875041485</v>
      </c>
      <c r="Q210" s="1130">
        <f t="shared" ca="1" si="65"/>
        <v>1051012738.376066</v>
      </c>
      <c r="R210" s="1130">
        <f t="shared" ca="1" si="73"/>
        <v>1073706039.0073553</v>
      </c>
      <c r="S210" s="1130">
        <f t="shared" ca="1" si="74"/>
        <v>22693300.631289363</v>
      </c>
      <c r="T210" s="1130">
        <f t="shared" ca="1" si="66"/>
        <v>1051012738.376066</v>
      </c>
      <c r="U210" s="1132">
        <f t="shared" ca="1" si="67"/>
        <v>9.0936550495236412E-2</v>
      </c>
      <c r="V210" s="1133">
        <f t="shared" ca="1" si="68"/>
        <v>5.0000000000000044E-2</v>
      </c>
      <c r="X210" s="1134">
        <f t="shared" ca="1" si="75"/>
        <v>56510844.158281863</v>
      </c>
      <c r="Y210" s="1134">
        <f t="shared" ca="1" si="69"/>
        <v>1194384.2437521219</v>
      </c>
      <c r="Z210" s="1134">
        <f t="shared" ca="1" si="70"/>
        <v>55316459.914529741</v>
      </c>
      <c r="AA210" s="1132">
        <f t="shared" ca="1" si="71"/>
        <v>9.7298285396490811E-2</v>
      </c>
      <c r="AB210" s="1105"/>
    </row>
    <row r="211" spans="1:28">
      <c r="A211" s="1144">
        <f>Calendar!J203</f>
        <v>51102</v>
      </c>
      <c r="C211" s="1104"/>
      <c r="D211" s="1125">
        <f t="shared" ca="1" si="57"/>
        <v>52321</v>
      </c>
      <c r="E211" s="1126">
        <f t="shared" ca="1" si="58"/>
        <v>52348</v>
      </c>
      <c r="F211" s="1127">
        <f t="shared" ca="1" si="59"/>
        <v>6118</v>
      </c>
      <c r="G211" s="1128">
        <f ca="1">IF(F211&lt;&gt;"",COUNTIF($F$11:F211,"&gt;0"),"")</f>
        <v>201</v>
      </c>
      <c r="H211" s="1129">
        <v>2.13718414344252E-2</v>
      </c>
      <c r="I211" s="1073"/>
      <c r="J211" s="1130">
        <f t="shared" ca="1" si="60"/>
        <v>1106329198.2905958</v>
      </c>
      <c r="K211" s="1131">
        <f t="shared" ca="1" si="61"/>
        <v>23644292.200141367</v>
      </c>
      <c r="L211" s="1130">
        <f t="shared" ca="1" si="62"/>
        <v>0</v>
      </c>
      <c r="M211" s="1130">
        <f t="shared" ca="1" si="63"/>
        <v>0</v>
      </c>
      <c r="N211" s="1130">
        <f t="shared" ca="1" si="72"/>
        <v>1082684906.0904543</v>
      </c>
      <c r="O211" s="1073"/>
      <c r="P211" s="1130">
        <f t="shared" ca="1" si="64"/>
        <v>23644292.20014143</v>
      </c>
      <c r="Q211" s="1130">
        <f t="shared" ca="1" si="65"/>
        <v>1028550660.7859316</v>
      </c>
      <c r="R211" s="1130">
        <f t="shared" ca="1" si="73"/>
        <v>1051012738.376066</v>
      </c>
      <c r="S211" s="1130">
        <f t="shared" ca="1" si="74"/>
        <v>22462077.590134382</v>
      </c>
      <c r="T211" s="1130">
        <f t="shared" ca="1" si="66"/>
        <v>1028550660.7859316</v>
      </c>
      <c r="U211" s="1132">
        <f t="shared" ca="1" si="67"/>
        <v>8.9014562163431288E-2</v>
      </c>
      <c r="V211" s="1133">
        <f t="shared" ca="1" si="68"/>
        <v>5.0000000000000044E-2</v>
      </c>
      <c r="X211" s="1134">
        <f t="shared" ca="1" si="75"/>
        <v>55316459.914529741</v>
      </c>
      <c r="Y211" s="1134">
        <f t="shared" ca="1" si="69"/>
        <v>1182214.6100070477</v>
      </c>
      <c r="Z211" s="1134">
        <f t="shared" ca="1" si="70"/>
        <v>54134245.304522693</v>
      </c>
      <c r="AA211" s="1132">
        <f t="shared" ca="1" si="71"/>
        <v>9.5241838695815664E-2</v>
      </c>
      <c r="AB211" s="1105"/>
    </row>
    <row r="212" spans="1:28">
      <c r="A212" s="1144">
        <f>Calendar!J204</f>
        <v>51131</v>
      </c>
      <c r="C212" s="1104"/>
      <c r="D212" s="1125">
        <f t="shared" ca="1" si="57"/>
        <v>52351</v>
      </c>
      <c r="E212" s="1126">
        <f t="shared" ca="1" si="58"/>
        <v>52378</v>
      </c>
      <c r="F212" s="1127">
        <f t="shared" ca="1" si="59"/>
        <v>6148</v>
      </c>
      <c r="G212" s="1128">
        <f ca="1">IF(F212&lt;&gt;"",COUNTIF($F$11:F212,"&gt;0"),"")</f>
        <v>202</v>
      </c>
      <c r="H212" s="1129">
        <v>2.1598666612051797E-2</v>
      </c>
      <c r="I212" s="1073"/>
      <c r="J212" s="1130">
        <f t="shared" ca="1" si="60"/>
        <v>1082684906.0904543</v>
      </c>
      <c r="K212" s="1131">
        <f t="shared" ca="1" si="61"/>
        <v>23384550.332548331</v>
      </c>
      <c r="L212" s="1130">
        <f t="shared" ca="1" si="62"/>
        <v>0</v>
      </c>
      <c r="M212" s="1130">
        <f t="shared" ca="1" si="63"/>
        <v>0</v>
      </c>
      <c r="N212" s="1130">
        <f t="shared" ca="1" si="72"/>
        <v>1059300355.757906</v>
      </c>
      <c r="O212" s="1073"/>
      <c r="P212" s="1130">
        <f t="shared" ca="1" si="64"/>
        <v>23384550.33254838</v>
      </c>
      <c r="Q212" s="1130">
        <f t="shared" ca="1" si="65"/>
        <v>1006335337.9700106</v>
      </c>
      <c r="R212" s="1130">
        <f t="shared" ca="1" si="73"/>
        <v>1028550660.7859316</v>
      </c>
      <c r="S212" s="1130">
        <f t="shared" ca="1" si="74"/>
        <v>22215322.815920949</v>
      </c>
      <c r="T212" s="1130">
        <f t="shared" ca="1" si="66"/>
        <v>1006335337.9700106</v>
      </c>
      <c r="U212" s="1132">
        <f t="shared" ca="1" si="67"/>
        <v>8.7112157055519654E-2</v>
      </c>
      <c r="V212" s="1133">
        <f t="shared" ca="1" si="68"/>
        <v>5.0000000000000044E-2</v>
      </c>
      <c r="X212" s="1134">
        <f t="shared" ca="1" si="75"/>
        <v>54134245.304522693</v>
      </c>
      <c r="Y212" s="1134">
        <f t="shared" ca="1" si="69"/>
        <v>1169227.5166274309</v>
      </c>
      <c r="Z212" s="1134">
        <f t="shared" ca="1" si="70"/>
        <v>52965017.787895262</v>
      </c>
      <c r="AA212" s="1132">
        <f t="shared" ca="1" si="71"/>
        <v>9.3206345221285625E-2</v>
      </c>
      <c r="AB212" s="1105"/>
    </row>
    <row r="213" spans="1:28">
      <c r="A213" s="1144">
        <f>Calendar!J205</f>
        <v>51162</v>
      </c>
      <c r="C213" s="1104"/>
      <c r="D213" s="1125">
        <f t="shared" ca="1" si="57"/>
        <v>52382</v>
      </c>
      <c r="E213" s="1126">
        <f t="shared" ca="1" si="58"/>
        <v>52411</v>
      </c>
      <c r="F213" s="1127">
        <f t="shared" ca="1" si="59"/>
        <v>6181</v>
      </c>
      <c r="G213" s="1128">
        <f ca="1">IF(F213&lt;&gt;"",COUNTIF($F$11:F213,"&gt;0"),"")</f>
        <v>203</v>
      </c>
      <c r="H213" s="1129">
        <v>2.1810724528929695E-2</v>
      </c>
      <c r="I213" s="1073"/>
      <c r="J213" s="1130">
        <f t="shared" ca="1" si="60"/>
        <v>1059300355.757906</v>
      </c>
      <c r="K213" s="1131">
        <f t="shared" ca="1" si="61"/>
        <v>23104108.252832912</v>
      </c>
      <c r="L213" s="1130">
        <f t="shared" ca="1" si="62"/>
        <v>0</v>
      </c>
      <c r="M213" s="1130">
        <f t="shared" ca="1" si="63"/>
        <v>0</v>
      </c>
      <c r="N213" s="1130">
        <f t="shared" ca="1" si="72"/>
        <v>1036196247.5050731</v>
      </c>
      <c r="O213" s="1073"/>
      <c r="P213" s="1130">
        <f t="shared" ca="1" si="64"/>
        <v>23104108.25283289</v>
      </c>
      <c r="Q213" s="1130">
        <f t="shared" ca="1" si="65"/>
        <v>984386435.12981939</v>
      </c>
      <c r="R213" s="1130">
        <f t="shared" ca="1" si="73"/>
        <v>1006335337.9700106</v>
      </c>
      <c r="S213" s="1130">
        <f t="shared" ca="1" si="74"/>
        <v>21948902.840191245</v>
      </c>
      <c r="T213" s="1130">
        <f t="shared" ca="1" si="66"/>
        <v>984386435.12981939</v>
      </c>
      <c r="U213" s="1132">
        <f t="shared" ca="1" si="67"/>
        <v>8.5230650617420786E-2</v>
      </c>
      <c r="V213" s="1133">
        <f t="shared" ca="1" si="68"/>
        <v>5.0000000000000044E-2</v>
      </c>
      <c r="X213" s="1134">
        <f t="shared" ca="1" si="75"/>
        <v>52965017.787895262</v>
      </c>
      <c r="Y213" s="1134">
        <f t="shared" ca="1" si="69"/>
        <v>1155205.4126416445</v>
      </c>
      <c r="Z213" s="1134">
        <f t="shared" ca="1" si="70"/>
        <v>51809812.375253618</v>
      </c>
      <c r="AA213" s="1132">
        <f t="shared" ca="1" si="71"/>
        <v>9.1193212444723254E-2</v>
      </c>
      <c r="AB213" s="1105"/>
    </row>
    <row r="214" spans="1:28">
      <c r="A214" s="1144">
        <f>Calendar!J206</f>
        <v>51193</v>
      </c>
      <c r="C214" s="1104"/>
      <c r="D214" s="1125">
        <f t="shared" ca="1" si="57"/>
        <v>52412</v>
      </c>
      <c r="E214" s="1126">
        <f t="shared" ca="1" si="58"/>
        <v>52439</v>
      </c>
      <c r="F214" s="1127">
        <f t="shared" ca="1" si="59"/>
        <v>6209</v>
      </c>
      <c r="G214" s="1128">
        <f ca="1">IF(F214&lt;&gt;"",COUNTIF($F$11:F214,"&gt;0"),"")</f>
        <v>204</v>
      </c>
      <c r="H214" s="1129">
        <v>2.2092659437701043E-2</v>
      </c>
      <c r="I214" s="1073"/>
      <c r="J214" s="1130">
        <f t="shared" ca="1" si="60"/>
        <v>1036196247.5050731</v>
      </c>
      <c r="K214" s="1131">
        <f t="shared" ca="1" si="61"/>
        <v>22892330.80675336</v>
      </c>
      <c r="L214" s="1130">
        <f t="shared" ca="1" si="62"/>
        <v>0</v>
      </c>
      <c r="M214" s="1130">
        <f t="shared" ca="1" si="63"/>
        <v>0</v>
      </c>
      <c r="N214" s="1130">
        <f t="shared" ca="1" si="72"/>
        <v>1013303916.6983197</v>
      </c>
      <c r="O214" s="1073"/>
      <c r="P214" s="1130">
        <f t="shared" ca="1" si="64"/>
        <v>22892330.806753397</v>
      </c>
      <c r="Q214" s="1130">
        <f t="shared" ca="1" si="65"/>
        <v>962638720.86340368</v>
      </c>
      <c r="R214" s="1130">
        <f t="shared" ca="1" si="73"/>
        <v>984386435.12981939</v>
      </c>
      <c r="S214" s="1130">
        <f t="shared" ca="1" si="74"/>
        <v>21747714.266415715</v>
      </c>
      <c r="T214" s="1130">
        <f t="shared" ca="1" si="66"/>
        <v>962638720.86340368</v>
      </c>
      <c r="U214" s="1132">
        <f t="shared" ca="1" si="67"/>
        <v>8.3371708375382769E-2</v>
      </c>
      <c r="V214" s="1133">
        <f t="shared" ca="1" si="68"/>
        <v>5.0000000000000044E-2</v>
      </c>
      <c r="X214" s="1134">
        <f t="shared" ca="1" si="75"/>
        <v>51809812.375253618</v>
      </c>
      <c r="Y214" s="1134">
        <f t="shared" ca="1" si="69"/>
        <v>1144616.5403376818</v>
      </c>
      <c r="Z214" s="1134">
        <f t="shared" ca="1" si="70"/>
        <v>50665195.834915936</v>
      </c>
      <c r="AA214" s="1132">
        <f t="shared" ca="1" si="71"/>
        <v>8.9204222409183229E-2</v>
      </c>
      <c r="AB214" s="1105"/>
    </row>
    <row r="215" spans="1:28">
      <c r="A215" s="1144">
        <f>Calendar!J207</f>
        <v>51222</v>
      </c>
      <c r="C215" s="1104"/>
      <c r="D215" s="1125">
        <f t="shared" ca="1" si="57"/>
        <v>52443</v>
      </c>
      <c r="E215" s="1126">
        <f t="shared" ca="1" si="58"/>
        <v>52470</v>
      </c>
      <c r="F215" s="1127">
        <f t="shared" ca="1" si="59"/>
        <v>6240</v>
      </c>
      <c r="G215" s="1128">
        <f ca="1">IF(F215&lt;&gt;"",COUNTIF($F$11:F215,"&gt;0"),"")</f>
        <v>205</v>
      </c>
      <c r="H215" s="1129">
        <v>2.2389980617248905E-2</v>
      </c>
      <c r="I215" s="1073"/>
      <c r="J215" s="1130">
        <f t="shared" ca="1" si="60"/>
        <v>1013303916.6983197</v>
      </c>
      <c r="K215" s="1131">
        <f t="shared" ca="1" si="61"/>
        <v>22687855.054257777</v>
      </c>
      <c r="L215" s="1130">
        <f t="shared" ca="1" si="62"/>
        <v>0</v>
      </c>
      <c r="M215" s="1130">
        <f t="shared" ca="1" si="63"/>
        <v>0</v>
      </c>
      <c r="N215" s="1130">
        <f t="shared" ca="1" si="72"/>
        <v>990616061.64406192</v>
      </c>
      <c r="O215" s="1073"/>
      <c r="P215" s="1130">
        <f t="shared" ca="1" si="64"/>
        <v>22687855.054257751</v>
      </c>
      <c r="Q215" s="1130">
        <f t="shared" ca="1" si="65"/>
        <v>941085258.56185877</v>
      </c>
      <c r="R215" s="1130">
        <f t="shared" ca="1" si="73"/>
        <v>962638720.86340368</v>
      </c>
      <c r="S215" s="1130">
        <f t="shared" ca="1" si="74"/>
        <v>21553462.301544905</v>
      </c>
      <c r="T215" s="1130">
        <f t="shared" ca="1" si="66"/>
        <v>941085258.56185877</v>
      </c>
      <c r="U215" s="1132">
        <f t="shared" ca="1" si="67"/>
        <v>8.1529805615506101E-2</v>
      </c>
      <c r="V215" s="1133">
        <f t="shared" ca="1" si="68"/>
        <v>5.0000000000000044E-2</v>
      </c>
      <c r="X215" s="1134">
        <f t="shared" ca="1" si="75"/>
        <v>50665195.834915936</v>
      </c>
      <c r="Y215" s="1134">
        <f t="shared" ca="1" si="69"/>
        <v>1134392.7527128458</v>
      </c>
      <c r="Z215" s="1134">
        <f t="shared" ca="1" si="70"/>
        <v>49530803.08220309</v>
      </c>
      <c r="AA215" s="1132">
        <f t="shared" ca="1" si="71"/>
        <v>8.7233463903092182E-2</v>
      </c>
      <c r="AB215" s="1105"/>
    </row>
    <row r="216" spans="1:28">
      <c r="A216" s="1144">
        <f>Calendar!J208</f>
        <v>51253</v>
      </c>
      <c r="C216" s="1104"/>
      <c r="D216" s="1125">
        <f t="shared" ca="1" si="57"/>
        <v>52474</v>
      </c>
      <c r="E216" s="1126">
        <f t="shared" ca="1" si="58"/>
        <v>52502</v>
      </c>
      <c r="F216" s="1127">
        <f t="shared" ca="1" si="59"/>
        <v>6272</v>
      </c>
      <c r="G216" s="1128">
        <f ca="1">IF(F216&lt;&gt;"",COUNTIF($F$11:F216,"&gt;0"),"")</f>
        <v>206</v>
      </c>
      <c r="H216" s="1129">
        <v>2.270543887829456E-2</v>
      </c>
      <c r="I216" s="1073"/>
      <c r="J216" s="1130">
        <f t="shared" ca="1" si="60"/>
        <v>990616061.64406192</v>
      </c>
      <c r="K216" s="1131">
        <f t="shared" ca="1" si="61"/>
        <v>22492372.439516123</v>
      </c>
      <c r="L216" s="1130">
        <f t="shared" ca="1" si="62"/>
        <v>0</v>
      </c>
      <c r="M216" s="1130">
        <f t="shared" ca="1" si="63"/>
        <v>0</v>
      </c>
      <c r="N216" s="1130">
        <f t="shared" ca="1" si="72"/>
        <v>968123689.20454586</v>
      </c>
      <c r="O216" s="1073"/>
      <c r="P216" s="1130">
        <f t="shared" ca="1" si="64"/>
        <v>22492372.439515948</v>
      </c>
      <c r="Q216" s="1130">
        <f t="shared" ca="1" si="65"/>
        <v>919717504.74431849</v>
      </c>
      <c r="R216" s="1130">
        <f t="shared" ca="1" si="73"/>
        <v>941085258.56185877</v>
      </c>
      <c r="S216" s="1130">
        <f t="shared" ca="1" si="74"/>
        <v>21367753.817540288</v>
      </c>
      <c r="T216" s="1130">
        <f t="shared" ca="1" si="66"/>
        <v>919717504.74431849</v>
      </c>
      <c r="U216" s="1132">
        <f t="shared" ca="1" si="67"/>
        <v>7.9704354848046846E-2</v>
      </c>
      <c r="V216" s="1133">
        <f t="shared" ca="1" si="68"/>
        <v>5.0000000000000044E-2</v>
      </c>
      <c r="X216" s="1134">
        <f t="shared" ca="1" si="75"/>
        <v>49530803.08220309</v>
      </c>
      <c r="Y216" s="1134">
        <f t="shared" ca="1" si="69"/>
        <v>1124618.6219756603</v>
      </c>
      <c r="Z216" s="1134">
        <f t="shared" ca="1" si="70"/>
        <v>48406184.46022743</v>
      </c>
      <c r="AA216" s="1132">
        <f t="shared" ca="1" si="71"/>
        <v>8.5280308337126534E-2</v>
      </c>
      <c r="AB216" s="1105"/>
    </row>
    <row r="217" spans="1:28">
      <c r="A217" s="1144">
        <f>Calendar!J209</f>
        <v>51284</v>
      </c>
      <c r="C217" s="1104"/>
      <c r="D217" s="1125">
        <f t="shared" ca="1" si="57"/>
        <v>52504</v>
      </c>
      <c r="E217" s="1126">
        <f t="shared" ca="1" si="58"/>
        <v>52531</v>
      </c>
      <c r="F217" s="1127">
        <f t="shared" ca="1" si="59"/>
        <v>6301</v>
      </c>
      <c r="G217" s="1128">
        <f ca="1">IF(F217&lt;&gt;"",COUNTIF($F$11:F217,"&gt;0"),"")</f>
        <v>207</v>
      </c>
      <c r="H217" s="1129">
        <v>2.2953454632339589E-2</v>
      </c>
      <c r="I217" s="1073"/>
      <c r="J217" s="1130">
        <f t="shared" ca="1" si="60"/>
        <v>968123689.20454586</v>
      </c>
      <c r="K217" s="1131">
        <f t="shared" ca="1" si="61"/>
        <v>22221783.178649776</v>
      </c>
      <c r="L217" s="1130">
        <f t="shared" ca="1" si="62"/>
        <v>0</v>
      </c>
      <c r="M217" s="1130">
        <f t="shared" ca="1" si="63"/>
        <v>0</v>
      </c>
      <c r="N217" s="1130">
        <f t="shared" ca="1" si="72"/>
        <v>945901906.02589607</v>
      </c>
      <c r="O217" s="1073"/>
      <c r="P217" s="1130">
        <f t="shared" ca="1" si="64"/>
        <v>22221783.178649902</v>
      </c>
      <c r="Q217" s="1130">
        <f t="shared" ca="1" si="65"/>
        <v>898606810.72460127</v>
      </c>
      <c r="R217" s="1130">
        <f t="shared" ca="1" si="73"/>
        <v>919717504.74431849</v>
      </c>
      <c r="S217" s="1130">
        <f t="shared" ca="1" si="74"/>
        <v>21110694.019717216</v>
      </c>
      <c r="T217" s="1130">
        <f t="shared" ca="1" si="66"/>
        <v>898606810.72460127</v>
      </c>
      <c r="U217" s="1132">
        <f t="shared" ca="1" si="67"/>
        <v>7.789463249071063E-2</v>
      </c>
      <c r="V217" s="1133">
        <f t="shared" ca="1" si="68"/>
        <v>5.0000000000000044E-2</v>
      </c>
      <c r="X217" s="1134">
        <f t="shared" ca="1" si="75"/>
        <v>48406184.46022743</v>
      </c>
      <c r="Y217" s="1134">
        <f t="shared" ca="1" si="69"/>
        <v>1111089.1589326859</v>
      </c>
      <c r="Z217" s="1134">
        <f t="shared" ca="1" si="70"/>
        <v>47295095.301294744</v>
      </c>
      <c r="AA217" s="1132">
        <f t="shared" ca="1" si="71"/>
        <v>8.3343981508656045E-2</v>
      </c>
      <c r="AB217" s="1105"/>
    </row>
    <row r="218" spans="1:28">
      <c r="A218" s="1144">
        <f>Calendar!J210</f>
        <v>51314</v>
      </c>
      <c r="C218" s="1104"/>
      <c r="D218" s="1125">
        <f t="shared" ca="1" si="57"/>
        <v>52535</v>
      </c>
      <c r="E218" s="1126">
        <f t="shared" ca="1" si="58"/>
        <v>52562</v>
      </c>
      <c r="F218" s="1127">
        <f t="shared" ca="1" si="59"/>
        <v>6332</v>
      </c>
      <c r="G218" s="1128">
        <f ca="1">IF(F218&lt;&gt;"",COUNTIF($F$11:F218,"&gt;0"),"")</f>
        <v>208</v>
      </c>
      <c r="H218" s="1129">
        <v>2.3203851521724973E-2</v>
      </c>
      <c r="I218" s="1073"/>
      <c r="J218" s="1130">
        <f t="shared" ca="1" si="60"/>
        <v>945901906.02589607</v>
      </c>
      <c r="K218" s="1131">
        <f t="shared" ca="1" si="61"/>
        <v>21948567.381541543</v>
      </c>
      <c r="L218" s="1130">
        <f t="shared" ca="1" si="62"/>
        <v>0</v>
      </c>
      <c r="M218" s="1130">
        <f t="shared" ca="1" si="63"/>
        <v>0</v>
      </c>
      <c r="N218" s="1130">
        <f t="shared" ca="1" si="72"/>
        <v>923953338.64435458</v>
      </c>
      <c r="O218" s="1073"/>
      <c r="P218" s="1130">
        <f t="shared" ca="1" si="64"/>
        <v>21948567.381541491</v>
      </c>
      <c r="Q218" s="1130">
        <f t="shared" ca="1" si="65"/>
        <v>877755671.71213686</v>
      </c>
      <c r="R218" s="1130">
        <f t="shared" ca="1" si="73"/>
        <v>898606810.72460127</v>
      </c>
      <c r="S218" s="1130">
        <f t="shared" ca="1" si="74"/>
        <v>20851139.012464404</v>
      </c>
      <c r="T218" s="1130">
        <f t="shared" ca="1" si="66"/>
        <v>877755671.71213686</v>
      </c>
      <c r="U218" s="1132">
        <f t="shared" ca="1" si="67"/>
        <v>7.6106681577732344E-2</v>
      </c>
      <c r="V218" s="1133">
        <f t="shared" ca="1" si="68"/>
        <v>4.9999999999999933E-2</v>
      </c>
      <c r="X218" s="1134">
        <f t="shared" ca="1" si="75"/>
        <v>47295095.301294744</v>
      </c>
      <c r="Y218" s="1134">
        <f t="shared" ca="1" si="69"/>
        <v>1097428.3690770864</v>
      </c>
      <c r="Z218" s="1134">
        <f t="shared" ca="1" si="70"/>
        <v>46197666.932217658</v>
      </c>
      <c r="AA218" s="1132">
        <f t="shared" ca="1" si="71"/>
        <v>8.143094921021822E-2</v>
      </c>
      <c r="AB218" s="1105"/>
    </row>
    <row r="219" spans="1:28">
      <c r="A219" s="1144">
        <f>Calendar!J211</f>
        <v>51344</v>
      </c>
      <c r="C219" s="1104"/>
      <c r="D219" s="1125">
        <f t="shared" ca="1" si="57"/>
        <v>52565</v>
      </c>
      <c r="E219" s="1126">
        <f t="shared" ca="1" si="58"/>
        <v>52593</v>
      </c>
      <c r="F219" s="1127">
        <f t="shared" ca="1" si="59"/>
        <v>6363</v>
      </c>
      <c r="G219" s="1128">
        <f ca="1">IF(F219&lt;&gt;"",COUNTIF($F$11:F219,"&gt;0"),"")</f>
        <v>209</v>
      </c>
      <c r="H219" s="1129">
        <v>2.3485895322030388E-2</v>
      </c>
      <c r="I219" s="1073"/>
      <c r="J219" s="1130">
        <f t="shared" ca="1" si="60"/>
        <v>923953338.64435458</v>
      </c>
      <c r="K219" s="1131">
        <f t="shared" ca="1" si="61"/>
        <v>21699871.393841807</v>
      </c>
      <c r="L219" s="1130">
        <f t="shared" ca="1" si="62"/>
        <v>0</v>
      </c>
      <c r="M219" s="1130">
        <f t="shared" ca="1" si="63"/>
        <v>0</v>
      </c>
      <c r="N219" s="1130">
        <f t="shared" ca="1" si="72"/>
        <v>902253467.25051272</v>
      </c>
      <c r="O219" s="1073"/>
      <c r="P219" s="1130">
        <f t="shared" ca="1" si="64"/>
        <v>21699871.393841863</v>
      </c>
      <c r="Q219" s="1130">
        <f t="shared" ca="1" si="65"/>
        <v>857140793.88798702</v>
      </c>
      <c r="R219" s="1130">
        <f t="shared" ca="1" si="73"/>
        <v>877755671.71213686</v>
      </c>
      <c r="S219" s="1130">
        <f t="shared" ca="1" si="74"/>
        <v>20614877.824149847</v>
      </c>
      <c r="T219" s="1130">
        <f t="shared" ca="1" si="66"/>
        <v>857140793.88798702</v>
      </c>
      <c r="U219" s="1132">
        <f t="shared" ca="1" si="67"/>
        <v>7.4340713438591444E-2</v>
      </c>
      <c r="V219" s="1133">
        <f t="shared" ca="1" si="68"/>
        <v>5.0000000000000044E-2</v>
      </c>
      <c r="X219" s="1134">
        <f t="shared" ca="1" si="75"/>
        <v>46197666.932217658</v>
      </c>
      <c r="Y219" s="1134">
        <f t="shared" ca="1" si="69"/>
        <v>1084993.5696920156</v>
      </c>
      <c r="Z219" s="1134">
        <f t="shared" ca="1" si="70"/>
        <v>45112673.362525642</v>
      </c>
      <c r="AA219" s="1132">
        <f t="shared" ca="1" si="71"/>
        <v>7.9541437555471176E-2</v>
      </c>
      <c r="AB219" s="1105"/>
    </row>
    <row r="220" spans="1:28">
      <c r="A220" s="1144">
        <f>Calendar!J212</f>
        <v>51375</v>
      </c>
      <c r="C220" s="1104"/>
      <c r="D220" s="1125">
        <f t="shared" ca="1" si="57"/>
        <v>52596</v>
      </c>
      <c r="E220" s="1126">
        <f t="shared" ca="1" si="58"/>
        <v>52623</v>
      </c>
      <c r="F220" s="1127">
        <f t="shared" ca="1" si="59"/>
        <v>6393</v>
      </c>
      <c r="G220" s="1128">
        <f ca="1">IF(F220&lt;&gt;"",COUNTIF($F$11:F220,"&gt;0"),"")</f>
        <v>210</v>
      </c>
      <c r="H220" s="1129">
        <v>2.3744053897673978E-2</v>
      </c>
      <c r="I220" s="1073"/>
      <c r="J220" s="1130">
        <f t="shared" ca="1" si="60"/>
        <v>902253467.25051272</v>
      </c>
      <c r="K220" s="1131">
        <f t="shared" ca="1" si="61"/>
        <v>21423154.955759399</v>
      </c>
      <c r="L220" s="1130">
        <f t="shared" ca="1" si="62"/>
        <v>0</v>
      </c>
      <c r="M220" s="1130">
        <f t="shared" ca="1" si="63"/>
        <v>0</v>
      </c>
      <c r="N220" s="1130">
        <f t="shared" ca="1" si="72"/>
        <v>880830312.29475331</v>
      </c>
      <c r="O220" s="1073"/>
      <c r="P220" s="1130">
        <f t="shared" ca="1" si="64"/>
        <v>21423154.955759287</v>
      </c>
      <c r="Q220" s="1130">
        <f t="shared" ca="1" si="65"/>
        <v>836788796.68001556</v>
      </c>
      <c r="R220" s="1130">
        <f t="shared" ca="1" si="73"/>
        <v>857140793.88798702</v>
      </c>
      <c r="S220" s="1130">
        <f t="shared" ca="1" si="74"/>
        <v>20351997.207971454</v>
      </c>
      <c r="T220" s="1130">
        <f t="shared" ca="1" si="66"/>
        <v>836788796.68001556</v>
      </c>
      <c r="U220" s="1132">
        <f t="shared" ca="1" si="67"/>
        <v>7.2594755224607607E-2</v>
      </c>
      <c r="V220" s="1133">
        <f t="shared" ca="1" si="68"/>
        <v>5.0000000000000044E-2</v>
      </c>
      <c r="X220" s="1134">
        <f t="shared" ca="1" si="75"/>
        <v>45112673.362525642</v>
      </c>
      <c r="Y220" s="1134">
        <f t="shared" ca="1" si="69"/>
        <v>1071157.7477878332</v>
      </c>
      <c r="Z220" s="1134">
        <f t="shared" ca="1" si="70"/>
        <v>44041515.614737809</v>
      </c>
      <c r="AA220" s="1132">
        <f t="shared" ca="1" si="71"/>
        <v>7.7673335679279684E-2</v>
      </c>
      <c r="AB220" s="1105"/>
    </row>
    <row r="221" spans="1:28">
      <c r="A221" s="1144">
        <f>Calendar!J213</f>
        <v>51406</v>
      </c>
      <c r="C221" s="1104"/>
      <c r="D221" s="1125">
        <f t="shared" ca="1" si="57"/>
        <v>52627</v>
      </c>
      <c r="E221" s="1126">
        <f t="shared" ca="1" si="58"/>
        <v>52656</v>
      </c>
      <c r="F221" s="1127">
        <f t="shared" ca="1" si="59"/>
        <v>6426</v>
      </c>
      <c r="G221" s="1128">
        <f ca="1">IF(F221&lt;&gt;"",COUNTIF($F$11:F221,"&gt;0"),"")</f>
        <v>211</v>
      </c>
      <c r="H221" s="1129">
        <v>2.3943072521831265E-2</v>
      </c>
      <c r="I221" s="1073"/>
      <c r="J221" s="1130">
        <f t="shared" ca="1" si="60"/>
        <v>880830312.29475331</v>
      </c>
      <c r="K221" s="1131">
        <f t="shared" ca="1" si="61"/>
        <v>21089784.04670056</v>
      </c>
      <c r="L221" s="1130">
        <f t="shared" ca="1" si="62"/>
        <v>0</v>
      </c>
      <c r="M221" s="1130">
        <f t="shared" ca="1" si="63"/>
        <v>0</v>
      </c>
      <c r="N221" s="1130">
        <f t="shared" ca="1" si="72"/>
        <v>859740528.24805272</v>
      </c>
      <c r="O221" s="1073"/>
      <c r="P221" s="1130">
        <f t="shared" ca="1" si="64"/>
        <v>21089784.046700597</v>
      </c>
      <c r="Q221" s="1130">
        <f t="shared" ca="1" si="65"/>
        <v>816753501.83565009</v>
      </c>
      <c r="R221" s="1130">
        <f t="shared" ca="1" si="73"/>
        <v>836788796.68001556</v>
      </c>
      <c r="S221" s="1130">
        <f t="shared" ca="1" si="74"/>
        <v>20035294.844365478</v>
      </c>
      <c r="T221" s="1130">
        <f t="shared" ca="1" si="66"/>
        <v>816753501.83565009</v>
      </c>
      <c r="U221" s="1132">
        <f t="shared" ca="1" si="67"/>
        <v>7.0871061443866082E-2</v>
      </c>
      <c r="V221" s="1133">
        <f t="shared" ca="1" si="68"/>
        <v>5.0000000000000044E-2</v>
      </c>
      <c r="X221" s="1134">
        <f t="shared" ca="1" si="75"/>
        <v>44041515.614737809</v>
      </c>
      <c r="Y221" s="1134">
        <f t="shared" ca="1" si="69"/>
        <v>1054489.2023351192</v>
      </c>
      <c r="Z221" s="1134">
        <f t="shared" ca="1" si="70"/>
        <v>42987026.412402689</v>
      </c>
      <c r="AA221" s="1132">
        <f t="shared" ca="1" si="71"/>
        <v>7.582905581049898E-2</v>
      </c>
      <c r="AB221" s="1105"/>
    </row>
    <row r="222" spans="1:28">
      <c r="A222" s="1144">
        <f>Calendar!J214</f>
        <v>51438</v>
      </c>
      <c r="C222" s="1104"/>
      <c r="D222" s="1125">
        <f t="shared" ca="1" si="57"/>
        <v>52656</v>
      </c>
      <c r="E222" s="1126">
        <f t="shared" ca="1" si="58"/>
        <v>52684</v>
      </c>
      <c r="F222" s="1127">
        <f t="shared" ca="1" si="59"/>
        <v>6454</v>
      </c>
      <c r="G222" s="1128">
        <f ca="1">IF(F222&lt;&gt;"",COUNTIF($F$11:F222,"&gt;0"),"")</f>
        <v>212</v>
      </c>
      <c r="H222" s="1129">
        <v>2.4097161214815345E-2</v>
      </c>
      <c r="I222" s="1073"/>
      <c r="J222" s="1130">
        <f t="shared" ca="1" si="60"/>
        <v>859740528.24805272</v>
      </c>
      <c r="K222" s="1131">
        <f t="shared" ca="1" si="61"/>
        <v>20717306.112103831</v>
      </c>
      <c r="L222" s="1130">
        <f t="shared" ca="1" si="62"/>
        <v>0</v>
      </c>
      <c r="M222" s="1130">
        <f t="shared" ca="1" si="63"/>
        <v>0</v>
      </c>
      <c r="N222" s="1130">
        <f t="shared" ca="1" si="72"/>
        <v>839023222.1359489</v>
      </c>
      <c r="O222" s="1073"/>
      <c r="P222" s="1130">
        <f t="shared" ca="1" si="64"/>
        <v>20717306.112103939</v>
      </c>
      <c r="Q222" s="1130">
        <f t="shared" ca="1" si="65"/>
        <v>797072061.02915144</v>
      </c>
      <c r="R222" s="1130">
        <f t="shared" ca="1" si="73"/>
        <v>816753501.83565009</v>
      </c>
      <c r="S222" s="1130">
        <f t="shared" ca="1" si="74"/>
        <v>19681440.806498647</v>
      </c>
      <c r="T222" s="1130">
        <f t="shared" ca="1" si="66"/>
        <v>797072061.02915144</v>
      </c>
      <c r="U222" s="1132">
        <f t="shared" ca="1" si="67"/>
        <v>6.917419048001644E-2</v>
      </c>
      <c r="V222" s="1133">
        <f t="shared" ca="1" si="68"/>
        <v>5.0000000000000044E-2</v>
      </c>
      <c r="X222" s="1134">
        <f t="shared" ca="1" si="75"/>
        <v>42987026.412402689</v>
      </c>
      <c r="Y222" s="1134">
        <f t="shared" ca="1" si="69"/>
        <v>1035865.3056052923</v>
      </c>
      <c r="Z222" s="1134">
        <f t="shared" ca="1" si="70"/>
        <v>41951161.106797397</v>
      </c>
      <c r="AA222" s="1132">
        <f t="shared" ca="1" si="71"/>
        <v>7.4013475227966058E-2</v>
      </c>
      <c r="AB222" s="1105"/>
    </row>
    <row r="223" spans="1:28">
      <c r="A223" s="1144">
        <f>Calendar!J215</f>
        <v>51467</v>
      </c>
      <c r="C223" s="1104"/>
      <c r="D223" s="1125">
        <f t="shared" ca="1" si="57"/>
        <v>52687</v>
      </c>
      <c r="E223" s="1126">
        <f t="shared" ca="1" si="58"/>
        <v>52714</v>
      </c>
      <c r="F223" s="1127">
        <f t="shared" ca="1" si="59"/>
        <v>6484</v>
      </c>
      <c r="G223" s="1128">
        <f ca="1">IF(F223&lt;&gt;"",COUNTIF($F$11:F223,"&gt;0"),"")</f>
        <v>213</v>
      </c>
      <c r="H223" s="1129">
        <v>2.4344877704547116E-2</v>
      </c>
      <c r="I223" s="1073"/>
      <c r="J223" s="1130">
        <f t="shared" ca="1" si="60"/>
        <v>839023222.1359489</v>
      </c>
      <c r="K223" s="1131">
        <f t="shared" ca="1" si="61"/>
        <v>20425917.734174743</v>
      </c>
      <c r="L223" s="1130">
        <f t="shared" ca="1" si="62"/>
        <v>0</v>
      </c>
      <c r="M223" s="1130">
        <f t="shared" ca="1" si="63"/>
        <v>0</v>
      </c>
      <c r="N223" s="1130">
        <f t="shared" ca="1" si="72"/>
        <v>818597304.40177417</v>
      </c>
      <c r="O223" s="1073"/>
      <c r="P223" s="1130">
        <f t="shared" ca="1" si="64"/>
        <v>20425917.734174728</v>
      </c>
      <c r="Q223" s="1130">
        <f t="shared" ca="1" si="65"/>
        <v>777667439.18168545</v>
      </c>
      <c r="R223" s="1130">
        <f t="shared" ca="1" si="73"/>
        <v>797072061.02915144</v>
      </c>
      <c r="S223" s="1130">
        <f t="shared" ca="1" si="74"/>
        <v>19404621.847465992</v>
      </c>
      <c r="T223" s="1130">
        <f t="shared" ca="1" si="66"/>
        <v>777667439.18168545</v>
      </c>
      <c r="U223" s="1132">
        <f t="shared" ca="1" si="67"/>
        <v>6.7507288860115131E-2</v>
      </c>
      <c r="V223" s="1133">
        <f t="shared" ca="1" si="68"/>
        <v>5.0000000000000044E-2</v>
      </c>
      <c r="X223" s="1134">
        <f t="shared" ca="1" si="75"/>
        <v>41951161.106797397</v>
      </c>
      <c r="Y223" s="1134">
        <f t="shared" ca="1" si="69"/>
        <v>1021295.8867087364</v>
      </c>
      <c r="Z223" s="1134">
        <f t="shared" ca="1" si="70"/>
        <v>40929865.220088661</v>
      </c>
      <c r="AA223" s="1132">
        <f t="shared" ca="1" si="71"/>
        <v>7.2229960583328853E-2</v>
      </c>
      <c r="AB223" s="1105"/>
    </row>
    <row r="224" spans="1:28">
      <c r="A224" s="1144">
        <f>Calendar!J216</f>
        <v>51497</v>
      </c>
      <c r="C224" s="1104"/>
      <c r="D224" s="1125">
        <f t="shared" ca="1" si="57"/>
        <v>52717</v>
      </c>
      <c r="E224" s="1126">
        <f t="shared" ca="1" si="58"/>
        <v>52744</v>
      </c>
      <c r="F224" s="1127">
        <f t="shared" ca="1" si="59"/>
        <v>6514</v>
      </c>
      <c r="G224" s="1128">
        <f ca="1">IF(F224&lt;&gt;"",COUNTIF($F$11:F224,"&gt;0"),"")</f>
        <v>214</v>
      </c>
      <c r="H224" s="1129">
        <v>2.4467993562860439E-2</v>
      </c>
      <c r="I224" s="1073"/>
      <c r="J224" s="1130">
        <f t="shared" ca="1" si="60"/>
        <v>818597304.40177417</v>
      </c>
      <c r="K224" s="1131">
        <f t="shared" ca="1" si="61"/>
        <v>20029433.57467752</v>
      </c>
      <c r="L224" s="1130">
        <f t="shared" ca="1" si="62"/>
        <v>0</v>
      </c>
      <c r="M224" s="1130">
        <f t="shared" ca="1" si="63"/>
        <v>0</v>
      </c>
      <c r="N224" s="1130">
        <f t="shared" ca="1" si="72"/>
        <v>798567870.8270967</v>
      </c>
      <c r="O224" s="1073"/>
      <c r="P224" s="1130">
        <f t="shared" ca="1" si="64"/>
        <v>20029433.574677467</v>
      </c>
      <c r="Q224" s="1130">
        <f t="shared" ca="1" si="65"/>
        <v>758639477.28574181</v>
      </c>
      <c r="R224" s="1130">
        <f t="shared" ca="1" si="73"/>
        <v>777667439.18168545</v>
      </c>
      <c r="S224" s="1130">
        <f t="shared" ca="1" si="74"/>
        <v>19027961.895943642</v>
      </c>
      <c r="T224" s="1130">
        <f t="shared" ca="1" si="66"/>
        <v>758639477.28574181</v>
      </c>
      <c r="U224" s="1132">
        <f t="shared" ca="1" si="67"/>
        <v>6.5863832168650105E-2</v>
      </c>
      <c r="V224" s="1133">
        <f t="shared" ca="1" si="68"/>
        <v>5.0000000000000044E-2</v>
      </c>
      <c r="X224" s="1134">
        <f t="shared" ca="1" si="75"/>
        <v>40929865.220088661</v>
      </c>
      <c r="Y224" s="1134">
        <f t="shared" ca="1" si="69"/>
        <v>1001471.6787338257</v>
      </c>
      <c r="Z224" s="1134">
        <f t="shared" ca="1" si="70"/>
        <v>39928393.541354835</v>
      </c>
      <c r="AA224" s="1132">
        <f t="shared" ca="1" si="71"/>
        <v>7.0471531026323447E-2</v>
      </c>
      <c r="AB224" s="1105"/>
    </row>
    <row r="225" spans="1:28">
      <c r="A225" s="1144">
        <f>Calendar!J217</f>
        <v>51529</v>
      </c>
      <c r="C225" s="1104"/>
      <c r="D225" s="1125">
        <f t="shared" ca="1" si="57"/>
        <v>52748</v>
      </c>
      <c r="E225" s="1126">
        <f t="shared" ca="1" si="58"/>
        <v>52775</v>
      </c>
      <c r="F225" s="1127">
        <f t="shared" ca="1" si="59"/>
        <v>6545</v>
      </c>
      <c r="G225" s="1128">
        <f ca="1">IF(F225&lt;&gt;"",COUNTIF($F$11:F225,"&gt;0"),"")</f>
        <v>215</v>
      </c>
      <c r="H225" s="1129">
        <v>2.4572216241888677E-2</v>
      </c>
      <c r="I225" s="1073"/>
      <c r="J225" s="1130">
        <f t="shared" ca="1" si="60"/>
        <v>798567870.8270967</v>
      </c>
      <c r="K225" s="1131">
        <f t="shared" ca="1" si="61"/>
        <v>19622582.405788045</v>
      </c>
      <c r="L225" s="1130">
        <f t="shared" ca="1" si="62"/>
        <v>0</v>
      </c>
      <c r="M225" s="1130">
        <f t="shared" ca="1" si="63"/>
        <v>0</v>
      </c>
      <c r="N225" s="1130">
        <f t="shared" ca="1" si="72"/>
        <v>778945288.42130864</v>
      </c>
      <c r="O225" s="1073"/>
      <c r="P225" s="1130">
        <f t="shared" ca="1" si="64"/>
        <v>19622582.405788064</v>
      </c>
      <c r="Q225" s="1130">
        <f t="shared" ca="1" si="65"/>
        <v>739998024.00024319</v>
      </c>
      <c r="R225" s="1130">
        <f t="shared" ca="1" si="73"/>
        <v>758639477.28574181</v>
      </c>
      <c r="S225" s="1130">
        <f t="shared" ca="1" si="74"/>
        <v>18641453.285498619</v>
      </c>
      <c r="T225" s="1130">
        <f t="shared" ca="1" si="66"/>
        <v>739998024.00024319</v>
      </c>
      <c r="U225" s="1132">
        <f t="shared" ca="1" si="67"/>
        <v>6.4252276347122245E-2</v>
      </c>
      <c r="V225" s="1133">
        <f t="shared" ca="1" si="68"/>
        <v>5.0000000000000044E-2</v>
      </c>
      <c r="X225" s="1134">
        <f t="shared" ca="1" si="75"/>
        <v>39928393.541354835</v>
      </c>
      <c r="Y225" s="1134">
        <f t="shared" ca="1" si="69"/>
        <v>981129.12028944492</v>
      </c>
      <c r="Z225" s="1134">
        <f t="shared" ca="1" si="70"/>
        <v>38947264.42106539</v>
      </c>
      <c r="AA225" s="1132">
        <f t="shared" ca="1" si="71"/>
        <v>6.8747234058806533E-2</v>
      </c>
      <c r="AB225" s="1105"/>
    </row>
    <row r="226" spans="1:28">
      <c r="A226" s="1144">
        <f>Calendar!J218</f>
        <v>51559</v>
      </c>
      <c r="C226" s="1104"/>
      <c r="D226" s="1125">
        <f t="shared" ca="1" si="57"/>
        <v>52778</v>
      </c>
      <c r="E226" s="1126">
        <f t="shared" ca="1" si="58"/>
        <v>52805</v>
      </c>
      <c r="F226" s="1127">
        <f t="shared" ca="1" si="59"/>
        <v>6575</v>
      </c>
      <c r="G226" s="1128">
        <f ca="1">IF(F226&lt;&gt;"",COUNTIF($F$11:F226,"&gt;0"),"")</f>
        <v>216</v>
      </c>
      <c r="H226" s="1129">
        <v>2.4696919442793848E-2</v>
      </c>
      <c r="I226" s="1073"/>
      <c r="J226" s="1130">
        <f t="shared" ca="1" si="60"/>
        <v>778945288.42130864</v>
      </c>
      <c r="K226" s="1131">
        <f t="shared" ca="1" si="61"/>
        <v>19237549.038484879</v>
      </c>
      <c r="L226" s="1130">
        <f t="shared" ca="1" si="62"/>
        <v>0</v>
      </c>
      <c r="M226" s="1130">
        <f t="shared" ca="1" si="63"/>
        <v>0</v>
      </c>
      <c r="N226" s="1130">
        <f t="shared" ca="1" si="72"/>
        <v>759707739.38282371</v>
      </c>
      <c r="O226" s="1073"/>
      <c r="P226" s="1130">
        <f t="shared" ca="1" si="64"/>
        <v>19237549.038484812</v>
      </c>
      <c r="Q226" s="1130">
        <f t="shared" ca="1" si="65"/>
        <v>721722352.41368246</v>
      </c>
      <c r="R226" s="1130">
        <f t="shared" ca="1" si="73"/>
        <v>739998024.00024319</v>
      </c>
      <c r="S226" s="1130">
        <f t="shared" ca="1" si="74"/>
        <v>18275671.586560726</v>
      </c>
      <c r="T226" s="1130">
        <f t="shared" ca="1" si="66"/>
        <v>721722352.41368246</v>
      </c>
      <c r="U226" s="1132">
        <f t="shared" ca="1" si="67"/>
        <v>6.2673455518687179E-2</v>
      </c>
      <c r="V226" s="1133">
        <f t="shared" ca="1" si="68"/>
        <v>5.0000000000000044E-2</v>
      </c>
      <c r="X226" s="1134">
        <f t="shared" ca="1" si="75"/>
        <v>38947264.42106539</v>
      </c>
      <c r="Y226" s="1134">
        <f t="shared" ca="1" si="69"/>
        <v>961877.45192408562</v>
      </c>
      <c r="Z226" s="1134">
        <f t="shared" ca="1" si="70"/>
        <v>37985386.969141304</v>
      </c>
      <c r="AA226" s="1132">
        <f t="shared" ca="1" si="71"/>
        <v>6.7057962157481735E-2</v>
      </c>
      <c r="AB226" s="1105"/>
    </row>
    <row r="227" spans="1:28">
      <c r="A227" s="1144">
        <f>Calendar!J219</f>
        <v>51587</v>
      </c>
      <c r="C227" s="1104"/>
      <c r="D227" s="1125">
        <f t="shared" ca="1" si="57"/>
        <v>52809</v>
      </c>
      <c r="E227" s="1126">
        <f t="shared" ca="1" si="58"/>
        <v>52838</v>
      </c>
      <c r="F227" s="1127">
        <f t="shared" ca="1" si="59"/>
        <v>6608</v>
      </c>
      <c r="G227" s="1128">
        <f ca="1">IF(F227&lt;&gt;"",COUNTIF($F$11:F227,"&gt;0"),"")</f>
        <v>217</v>
      </c>
      <c r="H227" s="1129">
        <v>2.4867699424687036E-2</v>
      </c>
      <c r="I227" s="1073"/>
      <c r="J227" s="1130">
        <f t="shared" ca="1" si="60"/>
        <v>759707739.38282371</v>
      </c>
      <c r="K227" s="1131">
        <f t="shared" ca="1" si="61"/>
        <v>18892183.713580534</v>
      </c>
      <c r="L227" s="1130">
        <f t="shared" ca="1" si="62"/>
        <v>0</v>
      </c>
      <c r="M227" s="1130">
        <f t="shared" ca="1" si="63"/>
        <v>0</v>
      </c>
      <c r="N227" s="1130">
        <f t="shared" ca="1" si="72"/>
        <v>740815555.66924322</v>
      </c>
      <c r="O227" s="1073"/>
      <c r="P227" s="1130">
        <f t="shared" ca="1" si="64"/>
        <v>18892183.713580489</v>
      </c>
      <c r="Q227" s="1130">
        <f t="shared" ca="1" si="65"/>
        <v>703774777.88578105</v>
      </c>
      <c r="R227" s="1130">
        <f t="shared" ca="1" si="73"/>
        <v>721722352.41368246</v>
      </c>
      <c r="S227" s="1130">
        <f t="shared" ca="1" si="74"/>
        <v>17947574.527901411</v>
      </c>
      <c r="T227" s="1130">
        <f t="shared" ca="1" si="66"/>
        <v>703774777.88578105</v>
      </c>
      <c r="U227" s="1132">
        <f t="shared" ca="1" si="67"/>
        <v>6.1125614236540622E-2</v>
      </c>
      <c r="V227" s="1133">
        <f t="shared" ca="1" si="68"/>
        <v>5.0000000000000044E-2</v>
      </c>
      <c r="X227" s="1134">
        <f t="shared" ca="1" si="75"/>
        <v>37985386.969141304</v>
      </c>
      <c r="Y227" s="1134">
        <f t="shared" ca="1" si="69"/>
        <v>944609.1856790781</v>
      </c>
      <c r="Z227" s="1134">
        <f t="shared" ca="1" si="70"/>
        <v>37040777.783462226</v>
      </c>
      <c r="AA227" s="1132">
        <f t="shared" ca="1" si="71"/>
        <v>6.5401837068080754E-2</v>
      </c>
      <c r="AB227" s="1105"/>
    </row>
    <row r="228" spans="1:28">
      <c r="A228" s="1144">
        <f>Calendar!J220</f>
        <v>51620</v>
      </c>
      <c r="C228" s="1104"/>
      <c r="D228" s="1125">
        <f t="shared" ca="1" si="57"/>
        <v>52840</v>
      </c>
      <c r="E228" s="1126">
        <f t="shared" ca="1" si="58"/>
        <v>52867</v>
      </c>
      <c r="F228" s="1127">
        <f t="shared" ca="1" si="59"/>
        <v>6637</v>
      </c>
      <c r="G228" s="1128">
        <f ca="1">IF(F228&lt;&gt;"",COUNTIF($F$11:F228,"&gt;0"),"")</f>
        <v>218</v>
      </c>
      <c r="H228" s="1129">
        <v>2.5035405110877876E-2</v>
      </c>
      <c r="I228" s="1073"/>
      <c r="J228" s="1130">
        <f t="shared" ca="1" si="60"/>
        <v>740815555.66924322</v>
      </c>
      <c r="K228" s="1131">
        <f t="shared" ca="1" si="61"/>
        <v>18546617.548619606</v>
      </c>
      <c r="L228" s="1130">
        <f t="shared" ca="1" si="62"/>
        <v>0</v>
      </c>
      <c r="M228" s="1130">
        <f t="shared" ca="1" si="63"/>
        <v>0</v>
      </c>
      <c r="N228" s="1130">
        <f t="shared" ca="1" si="72"/>
        <v>722268938.12062359</v>
      </c>
      <c r="O228" s="1073"/>
      <c r="P228" s="1130">
        <f t="shared" ca="1" si="64"/>
        <v>18546617.548619747</v>
      </c>
      <c r="Q228" s="1130">
        <f t="shared" ca="1" si="65"/>
        <v>686155491.21459234</v>
      </c>
      <c r="R228" s="1130">
        <f t="shared" ca="1" si="73"/>
        <v>703774777.88578105</v>
      </c>
      <c r="S228" s="1130">
        <f t="shared" ca="1" si="74"/>
        <v>17619286.671188712</v>
      </c>
      <c r="T228" s="1130">
        <f t="shared" ca="1" si="66"/>
        <v>686155491.21459234</v>
      </c>
      <c r="U228" s="1132">
        <f t="shared" ca="1" si="67"/>
        <v>5.9605560834556967E-2</v>
      </c>
      <c r="V228" s="1133">
        <f t="shared" ca="1" si="68"/>
        <v>5.0000000000000044E-2</v>
      </c>
      <c r="X228" s="1134">
        <f t="shared" ca="1" si="75"/>
        <v>37040777.783462226</v>
      </c>
      <c r="Y228" s="1134">
        <f t="shared" ca="1" si="69"/>
        <v>927330.87743103504</v>
      </c>
      <c r="Z228" s="1134">
        <f t="shared" ca="1" si="70"/>
        <v>36113446.906031191</v>
      </c>
      <c r="AA228" s="1132">
        <f t="shared" ca="1" si="71"/>
        <v>6.3775443842049293E-2</v>
      </c>
      <c r="AB228" s="1105"/>
    </row>
    <row r="229" spans="1:28">
      <c r="A229" s="1144">
        <f>Calendar!J221</f>
        <v>51648</v>
      </c>
      <c r="C229" s="1104"/>
      <c r="D229" s="1125">
        <f t="shared" ca="1" si="57"/>
        <v>52870</v>
      </c>
      <c r="E229" s="1126">
        <f t="shared" ca="1" si="58"/>
        <v>52897</v>
      </c>
      <c r="F229" s="1127">
        <f t="shared" ca="1" si="59"/>
        <v>6667</v>
      </c>
      <c r="G229" s="1128">
        <f ca="1">IF(F229&lt;&gt;"",COUNTIF($F$11:F229,"&gt;0"),"")</f>
        <v>219</v>
      </c>
      <c r="H229" s="1129">
        <v>2.5155582815976858E-2</v>
      </c>
      <c r="I229" s="1073"/>
      <c r="J229" s="1130">
        <f t="shared" ca="1" si="60"/>
        <v>722268938.12062359</v>
      </c>
      <c r="K229" s="1131">
        <f t="shared" ca="1" si="61"/>
        <v>18169096.08830101</v>
      </c>
      <c r="L229" s="1130">
        <f t="shared" ca="1" si="62"/>
        <v>0</v>
      </c>
      <c r="M229" s="1130">
        <f t="shared" ca="1" si="63"/>
        <v>0</v>
      </c>
      <c r="N229" s="1130">
        <f t="shared" ca="1" si="72"/>
        <v>704099842.03232253</v>
      </c>
      <c r="O229" s="1073"/>
      <c r="P229" s="1130">
        <f t="shared" ca="1" si="64"/>
        <v>18169096.088301063</v>
      </c>
      <c r="Q229" s="1130">
        <f t="shared" ca="1" si="65"/>
        <v>668894849.93070638</v>
      </c>
      <c r="R229" s="1130">
        <f t="shared" ca="1" si="73"/>
        <v>686155491.21459234</v>
      </c>
      <c r="S229" s="1130">
        <f t="shared" ca="1" si="74"/>
        <v>17260641.283885956</v>
      </c>
      <c r="T229" s="1130">
        <f t="shared" ca="1" si="66"/>
        <v>668894849.93070638</v>
      </c>
      <c r="U229" s="1132">
        <f t="shared" ca="1" si="67"/>
        <v>5.811331147220275E-2</v>
      </c>
      <c r="V229" s="1133">
        <f t="shared" ca="1" si="68"/>
        <v>5.0000000000000044E-2</v>
      </c>
      <c r="X229" s="1134">
        <f t="shared" ca="1" si="75"/>
        <v>36113446.906031191</v>
      </c>
      <c r="Y229" s="1134">
        <f t="shared" ca="1" si="69"/>
        <v>908454.80441510677</v>
      </c>
      <c r="Z229" s="1134">
        <f t="shared" ca="1" si="70"/>
        <v>35204992.101616085</v>
      </c>
      <c r="AA229" s="1132">
        <f t="shared" ca="1" si="71"/>
        <v>6.2178799769337448E-2</v>
      </c>
      <c r="AB229" s="1105"/>
    </row>
    <row r="230" spans="1:28">
      <c r="A230" s="1144">
        <f>Calendar!J222</f>
        <v>51679</v>
      </c>
      <c r="C230" s="1104"/>
      <c r="D230" s="1125">
        <f t="shared" ca="1" si="57"/>
        <v>52901</v>
      </c>
      <c r="E230" s="1126">
        <f t="shared" ca="1" si="58"/>
        <v>52929</v>
      </c>
      <c r="F230" s="1127">
        <f t="shared" ca="1" si="59"/>
        <v>6699</v>
      </c>
      <c r="G230" s="1128">
        <f ca="1">IF(F230&lt;&gt;"",COUNTIF($F$11:F230,"&gt;0"),"")</f>
        <v>220</v>
      </c>
      <c r="H230" s="1129">
        <v>2.5386577605328049E-2</v>
      </c>
      <c r="I230" s="1073"/>
      <c r="J230" s="1130">
        <f t="shared" ca="1" si="60"/>
        <v>704099842.03232253</v>
      </c>
      <c r="K230" s="1131">
        <f t="shared" ca="1" si="61"/>
        <v>17874685.281652775</v>
      </c>
      <c r="L230" s="1130">
        <f t="shared" ca="1" si="62"/>
        <v>0</v>
      </c>
      <c r="M230" s="1130">
        <f t="shared" ca="1" si="63"/>
        <v>0</v>
      </c>
      <c r="N230" s="1130">
        <f t="shared" ca="1" si="72"/>
        <v>686225156.75066972</v>
      </c>
      <c r="O230" s="1073"/>
      <c r="P230" s="1130">
        <f t="shared" ca="1" si="64"/>
        <v>17874685.281652689</v>
      </c>
      <c r="Q230" s="1130">
        <f t="shared" ca="1" si="65"/>
        <v>651913898.91313624</v>
      </c>
      <c r="R230" s="1130">
        <f t="shared" ca="1" si="73"/>
        <v>668894849.93070638</v>
      </c>
      <c r="S230" s="1130">
        <f t="shared" ca="1" si="74"/>
        <v>16980951.017570138</v>
      </c>
      <c r="T230" s="1130">
        <f t="shared" ca="1" si="66"/>
        <v>651913898.91313624</v>
      </c>
      <c r="U230" s="1132">
        <f t="shared" ca="1" si="67"/>
        <v>5.6651437252753095E-2</v>
      </c>
      <c r="V230" s="1133">
        <f t="shared" ca="1" si="68"/>
        <v>4.9999999999999933E-2</v>
      </c>
      <c r="X230" s="1134">
        <f t="shared" ca="1" si="75"/>
        <v>35204992.101616085</v>
      </c>
      <c r="Y230" s="1134">
        <f t="shared" ca="1" si="69"/>
        <v>893734.264082551</v>
      </c>
      <c r="Z230" s="1134">
        <f t="shared" ca="1" si="70"/>
        <v>34311257.837533534</v>
      </c>
      <c r="AA230" s="1132">
        <f t="shared" ca="1" si="71"/>
        <v>6.0614655822341747E-2</v>
      </c>
      <c r="AB230" s="1105"/>
    </row>
    <row r="231" spans="1:28">
      <c r="A231" s="1144">
        <f>Calendar!J223</f>
        <v>51711</v>
      </c>
      <c r="C231" s="1104"/>
      <c r="D231" s="1125">
        <f t="shared" ca="1" si="57"/>
        <v>52931</v>
      </c>
      <c r="E231" s="1126">
        <f t="shared" ca="1" si="58"/>
        <v>52958</v>
      </c>
      <c r="F231" s="1127">
        <f t="shared" ca="1" si="59"/>
        <v>6728</v>
      </c>
      <c r="G231" s="1128">
        <f ca="1">IF(F231&lt;&gt;"",COUNTIF($F$11:F231,"&gt;0"),"")</f>
        <v>221</v>
      </c>
      <c r="H231" s="1129">
        <v>2.5685759597010187E-2</v>
      </c>
      <c r="I231" s="1073"/>
      <c r="J231" s="1130">
        <f t="shared" ca="1" si="60"/>
        <v>686225156.75066972</v>
      </c>
      <c r="K231" s="1131">
        <f t="shared" ca="1" si="61"/>
        <v>17626214.405718334</v>
      </c>
      <c r="L231" s="1130">
        <f t="shared" ca="1" si="62"/>
        <v>0</v>
      </c>
      <c r="M231" s="1130">
        <f t="shared" ca="1" si="63"/>
        <v>0</v>
      </c>
      <c r="N231" s="1130">
        <f t="shared" ca="1" si="72"/>
        <v>668598942.34495139</v>
      </c>
      <c r="O231" s="1073"/>
      <c r="P231" s="1130">
        <f t="shared" ca="1" si="64"/>
        <v>17626214.405718327</v>
      </c>
      <c r="Q231" s="1130">
        <f t="shared" ca="1" si="65"/>
        <v>635168995.22770381</v>
      </c>
      <c r="R231" s="1130">
        <f t="shared" ca="1" si="73"/>
        <v>651913898.91313624</v>
      </c>
      <c r="S231" s="1130">
        <f t="shared" ca="1" si="74"/>
        <v>16744903.685432434</v>
      </c>
      <c r="T231" s="1130">
        <f t="shared" ca="1" si="66"/>
        <v>635168995.22770381</v>
      </c>
      <c r="U231" s="1132">
        <f t="shared" ca="1" si="67"/>
        <v>5.5213251144482708E-2</v>
      </c>
      <c r="V231" s="1133">
        <f t="shared" ca="1" si="68"/>
        <v>5.0000000000000044E-2</v>
      </c>
      <c r="X231" s="1134">
        <f t="shared" ca="1" si="75"/>
        <v>34311257.837533534</v>
      </c>
      <c r="Y231" s="1134">
        <f t="shared" ca="1" si="69"/>
        <v>881310.72028589249</v>
      </c>
      <c r="Z231" s="1134">
        <f t="shared" ca="1" si="70"/>
        <v>33429947.117247641</v>
      </c>
      <c r="AA231" s="1132">
        <f t="shared" ca="1" si="71"/>
        <v>5.9075857158287767E-2</v>
      </c>
      <c r="AB231" s="1105"/>
    </row>
    <row r="232" spans="1:28">
      <c r="A232" s="1144">
        <f>Calendar!J224</f>
        <v>51740</v>
      </c>
      <c r="C232" s="1104"/>
      <c r="D232" s="1125">
        <f t="shared" ca="1" si="57"/>
        <v>52962</v>
      </c>
      <c r="E232" s="1126">
        <f t="shared" ca="1" si="58"/>
        <v>52989</v>
      </c>
      <c r="F232" s="1127">
        <f t="shared" ca="1" si="59"/>
        <v>6759</v>
      </c>
      <c r="G232" s="1128">
        <f ca="1">IF(F232&lt;&gt;"",COUNTIF($F$11:F232,"&gt;0"),"")</f>
        <v>222</v>
      </c>
      <c r="H232" s="1129">
        <v>2.5908731309482604E-2</v>
      </c>
      <c r="I232" s="1073"/>
      <c r="J232" s="1130">
        <f t="shared" ca="1" si="60"/>
        <v>668598942.34495139</v>
      </c>
      <c r="K232" s="1131">
        <f t="shared" ca="1" si="61"/>
        <v>17322550.351019595</v>
      </c>
      <c r="L232" s="1130">
        <f t="shared" ca="1" si="62"/>
        <v>0</v>
      </c>
      <c r="M232" s="1130">
        <f t="shared" ca="1" si="63"/>
        <v>0</v>
      </c>
      <c r="N232" s="1130">
        <f t="shared" ca="1" si="72"/>
        <v>651276391.99393177</v>
      </c>
      <c r="O232" s="1073"/>
      <c r="P232" s="1130">
        <f t="shared" ca="1" si="64"/>
        <v>17322550.351019621</v>
      </c>
      <c r="Q232" s="1130">
        <f t="shared" ca="1" si="65"/>
        <v>618712572.39423513</v>
      </c>
      <c r="R232" s="1130">
        <f t="shared" ca="1" si="73"/>
        <v>635168995.22770381</v>
      </c>
      <c r="S232" s="1130">
        <f t="shared" ca="1" si="74"/>
        <v>16456422.833468676</v>
      </c>
      <c r="T232" s="1130">
        <f t="shared" ca="1" si="66"/>
        <v>618712572.39423513</v>
      </c>
      <c r="U232" s="1132">
        <f t="shared" ca="1" si="67"/>
        <v>5.3795056849016178E-2</v>
      </c>
      <c r="V232" s="1133">
        <f t="shared" ca="1" si="68"/>
        <v>5.0000000000000044E-2</v>
      </c>
      <c r="X232" s="1134">
        <f t="shared" ca="1" si="75"/>
        <v>33429947.117247641</v>
      </c>
      <c r="Y232" s="1134">
        <f t="shared" ca="1" si="69"/>
        <v>866127.51755094528</v>
      </c>
      <c r="Z232" s="1134">
        <f t="shared" ca="1" si="70"/>
        <v>32563819.599696696</v>
      </c>
      <c r="AA232" s="1132">
        <f t="shared" ca="1" si="71"/>
        <v>5.7558448893332718E-2</v>
      </c>
      <c r="AB232" s="1105"/>
    </row>
    <row r="233" spans="1:28">
      <c r="A233" s="1144">
        <f>Calendar!J225</f>
        <v>51771</v>
      </c>
      <c r="C233" s="1104"/>
      <c r="D233" s="1125">
        <f t="shared" ca="1" si="57"/>
        <v>52993</v>
      </c>
      <c r="E233" s="1126">
        <f t="shared" ca="1" si="58"/>
        <v>53020</v>
      </c>
      <c r="F233" s="1127">
        <f t="shared" ca="1" si="59"/>
        <v>6790</v>
      </c>
      <c r="G233" s="1128">
        <f ca="1">IF(F233&lt;&gt;"",COUNTIF($F$11:F233,"&gt;0"),"")</f>
        <v>223</v>
      </c>
      <c r="H233" s="1129">
        <v>2.6021856587252722E-2</v>
      </c>
      <c r="I233" s="1073"/>
      <c r="J233" s="1130">
        <f t="shared" ca="1" si="60"/>
        <v>651276391.99393177</v>
      </c>
      <c r="K233" s="1131">
        <f t="shared" ca="1" si="61"/>
        <v>16947420.871129479</v>
      </c>
      <c r="L233" s="1130">
        <f t="shared" ca="1" si="62"/>
        <v>0</v>
      </c>
      <c r="M233" s="1130">
        <f t="shared" ca="1" si="63"/>
        <v>0</v>
      </c>
      <c r="N233" s="1130">
        <f t="shared" ca="1" si="72"/>
        <v>634328971.12280226</v>
      </c>
      <c r="O233" s="1073"/>
      <c r="P233" s="1130">
        <f t="shared" ca="1" si="64"/>
        <v>16947420.871129513</v>
      </c>
      <c r="Q233" s="1130">
        <f t="shared" ca="1" si="65"/>
        <v>602612522.56666207</v>
      </c>
      <c r="R233" s="1130">
        <f t="shared" ca="1" si="73"/>
        <v>618712572.39423513</v>
      </c>
      <c r="S233" s="1130">
        <f t="shared" ca="1" si="74"/>
        <v>16100049.827573061</v>
      </c>
      <c r="T233" s="1130">
        <f t="shared" ca="1" si="66"/>
        <v>602612522.56666207</v>
      </c>
      <c r="U233" s="1132">
        <f t="shared" ca="1" si="67"/>
        <v>5.2401295175336669E-2</v>
      </c>
      <c r="V233" s="1133">
        <f t="shared" ca="1" si="68"/>
        <v>5.0000000000000155E-2</v>
      </c>
      <c r="X233" s="1134">
        <f t="shared" ca="1" si="75"/>
        <v>32563819.599696696</v>
      </c>
      <c r="Y233" s="1134">
        <f t="shared" ca="1" si="69"/>
        <v>847371.0435564518</v>
      </c>
      <c r="Z233" s="1134">
        <f t="shared" ca="1" si="70"/>
        <v>31716448.556140244</v>
      </c>
      <c r="AA233" s="1132">
        <f t="shared" ca="1" si="71"/>
        <v>5.6067182506364832E-2</v>
      </c>
      <c r="AB233" s="1105"/>
    </row>
    <row r="234" spans="1:28">
      <c r="A234" s="1144">
        <f>Calendar!J226</f>
        <v>51802</v>
      </c>
      <c r="C234" s="1104"/>
      <c r="D234" s="1125">
        <f t="shared" ca="1" si="57"/>
        <v>53021</v>
      </c>
      <c r="E234" s="1126">
        <f t="shared" ca="1" si="58"/>
        <v>53048</v>
      </c>
      <c r="F234" s="1127">
        <f t="shared" ca="1" si="59"/>
        <v>6818</v>
      </c>
      <c r="G234" s="1128">
        <f ca="1">IF(F234&lt;&gt;"",COUNTIF($F$11:F234,"&gt;0"),"")</f>
        <v>224</v>
      </c>
      <c r="H234" s="1129">
        <v>2.6135460068687395E-2</v>
      </c>
      <c r="I234" s="1073"/>
      <c r="J234" s="1130">
        <f t="shared" ca="1" si="60"/>
        <v>634328971.12280226</v>
      </c>
      <c r="K234" s="1131">
        <f t="shared" ca="1" si="61"/>
        <v>16578479.495191559</v>
      </c>
      <c r="L234" s="1130">
        <f t="shared" ca="1" si="62"/>
        <v>0</v>
      </c>
      <c r="M234" s="1130">
        <f t="shared" ca="1" si="63"/>
        <v>0</v>
      </c>
      <c r="N234" s="1130">
        <f t="shared" ca="1" si="72"/>
        <v>617750491.62761068</v>
      </c>
      <c r="O234" s="1073"/>
      <c r="P234" s="1130">
        <f t="shared" ca="1" si="64"/>
        <v>16578479.495191574</v>
      </c>
      <c r="Q234" s="1130">
        <f t="shared" ca="1" si="65"/>
        <v>586862967.04623008</v>
      </c>
      <c r="R234" s="1130">
        <f t="shared" ca="1" si="73"/>
        <v>602612522.56666207</v>
      </c>
      <c r="S234" s="1130">
        <f t="shared" ca="1" si="74"/>
        <v>15749555.520431995</v>
      </c>
      <c r="T234" s="1130">
        <f t="shared" ca="1" si="66"/>
        <v>586862967.04623008</v>
      </c>
      <c r="U234" s="1132">
        <f t="shared" ca="1" si="67"/>
        <v>5.1037716187297757E-2</v>
      </c>
      <c r="V234" s="1133">
        <f t="shared" ca="1" si="68"/>
        <v>5.0000000000000155E-2</v>
      </c>
      <c r="X234" s="1134">
        <f t="shared" ca="1" si="75"/>
        <v>31716448.556140244</v>
      </c>
      <c r="Y234" s="1134">
        <f t="shared" ca="1" si="69"/>
        <v>828923.9747595787</v>
      </c>
      <c r="Z234" s="1134">
        <f t="shared" ca="1" si="70"/>
        <v>30887524.581380665</v>
      </c>
      <c r="AA234" s="1132">
        <f t="shared" ca="1" si="71"/>
        <v>5.4608210323932926E-2</v>
      </c>
      <c r="AB234" s="1105"/>
    </row>
    <row r="235" spans="1:28">
      <c r="A235" s="1144">
        <f>Calendar!J227</f>
        <v>51832</v>
      </c>
      <c r="C235" s="1104"/>
      <c r="D235" s="1125">
        <f t="shared" ca="1" si="57"/>
        <v>53052</v>
      </c>
      <c r="E235" s="1126">
        <f t="shared" ca="1" si="58"/>
        <v>53079</v>
      </c>
      <c r="F235" s="1127">
        <f t="shared" ca="1" si="59"/>
        <v>6849</v>
      </c>
      <c r="G235" s="1128">
        <f ca="1">IF(F235&lt;&gt;"",COUNTIF($F$11:F235,"&gt;0"),"")</f>
        <v>225</v>
      </c>
      <c r="H235" s="1129">
        <v>2.6334136746163302E-2</v>
      </c>
      <c r="I235" s="1073"/>
      <c r="J235" s="1130">
        <f t="shared" ca="1" si="60"/>
        <v>617750491.62761068</v>
      </c>
      <c r="K235" s="1131">
        <f t="shared" ca="1" si="61"/>
        <v>16267925.921531107</v>
      </c>
      <c r="L235" s="1130">
        <f t="shared" ca="1" si="62"/>
        <v>0</v>
      </c>
      <c r="M235" s="1130">
        <f t="shared" ca="1" si="63"/>
        <v>0</v>
      </c>
      <c r="N235" s="1130">
        <f t="shared" ca="1" si="72"/>
        <v>601482565.7060796</v>
      </c>
      <c r="O235" s="1073"/>
      <c r="P235" s="1130">
        <f t="shared" ca="1" si="64"/>
        <v>16267925.921531081</v>
      </c>
      <c r="Q235" s="1130">
        <f t="shared" ca="1" si="65"/>
        <v>571408437.42077565</v>
      </c>
      <c r="R235" s="1130">
        <f t="shared" ca="1" si="73"/>
        <v>586862967.04623008</v>
      </c>
      <c r="S235" s="1130">
        <f t="shared" ca="1" si="74"/>
        <v>15454529.625454426</v>
      </c>
      <c r="T235" s="1130">
        <f t="shared" ca="1" si="66"/>
        <v>571408437.42077565</v>
      </c>
      <c r="U235" s="1132">
        <f t="shared" ca="1" si="67"/>
        <v>4.9703821993887634E-2</v>
      </c>
      <c r="V235" s="1133">
        <f t="shared" ca="1" si="68"/>
        <v>4.9999999999999933E-2</v>
      </c>
      <c r="X235" s="1134">
        <f t="shared" ca="1" si="75"/>
        <v>30887524.581380665</v>
      </c>
      <c r="Y235" s="1134">
        <f t="shared" ca="1" si="69"/>
        <v>813396.29607665539</v>
      </c>
      <c r="Z235" s="1134">
        <f t="shared" ca="1" si="70"/>
        <v>30074128.28530401</v>
      </c>
      <c r="AA235" s="1132">
        <f t="shared" ca="1" si="71"/>
        <v>5.3180999623589298E-2</v>
      </c>
      <c r="AB235" s="1105"/>
    </row>
    <row r="236" spans="1:28">
      <c r="A236" s="1144">
        <f>Calendar!J228</f>
        <v>51862</v>
      </c>
      <c r="C236" s="1104"/>
      <c r="D236" s="1125">
        <f t="shared" ca="1" si="57"/>
        <v>53082</v>
      </c>
      <c r="E236" s="1126">
        <f t="shared" ca="1" si="58"/>
        <v>53111</v>
      </c>
      <c r="F236" s="1127">
        <f t="shared" ca="1" si="59"/>
        <v>6881</v>
      </c>
      <c r="G236" s="1128">
        <f ca="1">IF(F236&lt;&gt;"",COUNTIF($F$11:F236,"&gt;0"),"")</f>
        <v>226</v>
      </c>
      <c r="H236" s="1129">
        <v>2.6358157049637791E-2</v>
      </c>
      <c r="I236" s="1073"/>
      <c r="J236" s="1130">
        <f t="shared" ca="1" si="60"/>
        <v>601482565.7060796</v>
      </c>
      <c r="K236" s="1131">
        <f t="shared" ca="1" si="61"/>
        <v>15853971.929499928</v>
      </c>
      <c r="L236" s="1130">
        <f t="shared" ca="1" si="62"/>
        <v>0</v>
      </c>
      <c r="M236" s="1130">
        <f t="shared" ca="1" si="63"/>
        <v>0</v>
      </c>
      <c r="N236" s="1130">
        <f t="shared" ca="1" si="72"/>
        <v>585628593.77657962</v>
      </c>
      <c r="O236" s="1073"/>
      <c r="P236" s="1130">
        <f t="shared" ca="1" si="64"/>
        <v>15853971.929500103</v>
      </c>
      <c r="Q236" s="1130">
        <f t="shared" ca="1" si="65"/>
        <v>556347164.08775055</v>
      </c>
      <c r="R236" s="1130">
        <f t="shared" ca="1" si="73"/>
        <v>571408437.42077565</v>
      </c>
      <c r="S236" s="1130">
        <f t="shared" ca="1" si="74"/>
        <v>15061273.333025098</v>
      </c>
      <c r="T236" s="1130">
        <f t="shared" ca="1" si="66"/>
        <v>556347164.08775055</v>
      </c>
      <c r="U236" s="1132">
        <f t="shared" ca="1" si="67"/>
        <v>4.8394914748693646E-2</v>
      </c>
      <c r="V236" s="1133">
        <f t="shared" ca="1" si="68"/>
        <v>5.0000000000000155E-2</v>
      </c>
      <c r="X236" s="1134">
        <f t="shared" ca="1" si="75"/>
        <v>30074128.28530401</v>
      </c>
      <c r="Y236" s="1134">
        <f t="shared" ca="1" si="69"/>
        <v>792698.59647500515</v>
      </c>
      <c r="Z236" s="1134">
        <f t="shared" ca="1" si="70"/>
        <v>29281429.688829005</v>
      </c>
      <c r="AA236" s="1132">
        <f t="shared" ca="1" si="71"/>
        <v>5.1780523907203876E-2</v>
      </c>
      <c r="AB236" s="1105"/>
    </row>
    <row r="237" spans="1:28">
      <c r="A237" s="1144">
        <f>Calendar!J229</f>
        <v>51893</v>
      </c>
      <c r="C237" s="1104"/>
      <c r="D237" s="1125">
        <f t="shared" ca="1" si="57"/>
        <v>53113</v>
      </c>
      <c r="E237" s="1126">
        <f t="shared" ca="1" si="58"/>
        <v>53140</v>
      </c>
      <c r="F237" s="1127">
        <f t="shared" ca="1" si="59"/>
        <v>6910</v>
      </c>
      <c r="G237" s="1128">
        <f ca="1">IF(F237&lt;&gt;"",COUNTIF($F$11:F237,"&gt;0"),"")</f>
        <v>227</v>
      </c>
      <c r="H237" s="1129">
        <v>2.6289718067447992E-2</v>
      </c>
      <c r="I237" s="1073"/>
      <c r="J237" s="1130">
        <f t="shared" ca="1" si="60"/>
        <v>585628593.77657962</v>
      </c>
      <c r="K237" s="1131">
        <f t="shared" ca="1" si="61"/>
        <v>15396010.622622306</v>
      </c>
      <c r="L237" s="1130">
        <f t="shared" ca="1" si="62"/>
        <v>0</v>
      </c>
      <c r="M237" s="1130">
        <f t="shared" ca="1" si="63"/>
        <v>0</v>
      </c>
      <c r="N237" s="1130">
        <f t="shared" ca="1" si="72"/>
        <v>570232583.15395737</v>
      </c>
      <c r="O237" s="1073"/>
      <c r="P237" s="1130">
        <f t="shared" ca="1" si="64"/>
        <v>15396010.622622252</v>
      </c>
      <c r="Q237" s="1130">
        <f t="shared" ca="1" si="65"/>
        <v>541720953.99625945</v>
      </c>
      <c r="R237" s="1130">
        <f t="shared" ca="1" si="73"/>
        <v>556347164.08775055</v>
      </c>
      <c r="S237" s="1130">
        <f t="shared" ca="1" si="74"/>
        <v>14626210.091491103</v>
      </c>
      <c r="T237" s="1130">
        <f t="shared" ca="1" si="66"/>
        <v>541720953.99625945</v>
      </c>
      <c r="U237" s="1132">
        <f t="shared" ca="1" si="67"/>
        <v>4.7119313985343733E-2</v>
      </c>
      <c r="V237" s="1133">
        <f t="shared" ca="1" si="68"/>
        <v>5.0000000000000044E-2</v>
      </c>
      <c r="X237" s="1134">
        <f t="shared" ca="1" si="75"/>
        <v>29281429.688829005</v>
      </c>
      <c r="Y237" s="1134">
        <f t="shared" ca="1" si="69"/>
        <v>769800.53113114834</v>
      </c>
      <c r="Z237" s="1134">
        <f t="shared" ca="1" si="70"/>
        <v>28511629.157697856</v>
      </c>
      <c r="AA237" s="1132">
        <f t="shared" ca="1" si="71"/>
        <v>5.0415684725945258E-2</v>
      </c>
      <c r="AB237" s="1105"/>
    </row>
    <row r="238" spans="1:28">
      <c r="A238" s="1144">
        <f>Calendar!J230</f>
        <v>51924</v>
      </c>
      <c r="C238" s="1104"/>
      <c r="D238" s="1125">
        <f t="shared" ca="1" si="57"/>
        <v>53143</v>
      </c>
      <c r="E238" s="1126">
        <f t="shared" ca="1" si="58"/>
        <v>53170</v>
      </c>
      <c r="F238" s="1127">
        <f t="shared" ca="1" si="59"/>
        <v>6940</v>
      </c>
      <c r="G238" s="1128">
        <f ca="1">IF(F238&lt;&gt;"",COUNTIF($F$11:F238,"&gt;0"),"")</f>
        <v>228</v>
      </c>
      <c r="H238" s="1129">
        <v>2.6262783735619473E-2</v>
      </c>
      <c r="I238" s="1073"/>
      <c r="J238" s="1130">
        <f t="shared" ca="1" si="60"/>
        <v>570232583.15395737</v>
      </c>
      <c r="K238" s="1131">
        <f t="shared" ca="1" si="61"/>
        <v>14975895.010376031</v>
      </c>
      <c r="L238" s="1130">
        <f t="shared" ca="1" si="62"/>
        <v>0</v>
      </c>
      <c r="M238" s="1130">
        <f t="shared" ca="1" si="63"/>
        <v>0</v>
      </c>
      <c r="N238" s="1130">
        <f t="shared" ca="1" si="72"/>
        <v>555256688.14358139</v>
      </c>
      <c r="O238" s="1073"/>
      <c r="P238" s="1130">
        <f t="shared" ca="1" si="64"/>
        <v>14975895.010375977</v>
      </c>
      <c r="Q238" s="1130">
        <f t="shared" ca="1" si="65"/>
        <v>527493853.73640227</v>
      </c>
      <c r="R238" s="1130">
        <f t="shared" ca="1" si="73"/>
        <v>541720953.99625945</v>
      </c>
      <c r="S238" s="1130">
        <f t="shared" ca="1" si="74"/>
        <v>14227100.259857178</v>
      </c>
      <c r="T238" s="1130">
        <f t="shared" ca="1" si="66"/>
        <v>527493853.73640227</v>
      </c>
      <c r="U238" s="1132">
        <f t="shared" ca="1" si="67"/>
        <v>4.5880560505137495E-2</v>
      </c>
      <c r="V238" s="1133">
        <f t="shared" ca="1" si="68"/>
        <v>5.0000000000000044E-2</v>
      </c>
      <c r="X238" s="1134">
        <f t="shared" ca="1" si="75"/>
        <v>28511629.157697856</v>
      </c>
      <c r="Y238" s="1134">
        <f t="shared" ca="1" si="69"/>
        <v>748794.75051879883</v>
      </c>
      <c r="Z238" s="1134">
        <f t="shared" ca="1" si="70"/>
        <v>27762834.407179058</v>
      </c>
      <c r="AA238" s="1132">
        <f t="shared" ca="1" si="71"/>
        <v>4.9090270588322757E-2</v>
      </c>
      <c r="AB238" s="1105"/>
    </row>
    <row r="239" spans="1:28">
      <c r="A239" s="1144">
        <f>Calendar!J231</f>
        <v>51952</v>
      </c>
      <c r="C239" s="1104"/>
      <c r="D239" s="1125">
        <f t="shared" ca="1" si="57"/>
        <v>53174</v>
      </c>
      <c r="E239" s="1126">
        <f t="shared" ca="1" si="58"/>
        <v>53202</v>
      </c>
      <c r="F239" s="1127">
        <f t="shared" ca="1" si="59"/>
        <v>6972</v>
      </c>
      <c r="G239" s="1128">
        <f ca="1">IF(F239&lt;&gt;"",COUNTIF($F$11:F239,"&gt;0"),"")</f>
        <v>229</v>
      </c>
      <c r="H239" s="1129">
        <v>2.6128829337453124E-2</v>
      </c>
      <c r="I239" s="1073"/>
      <c r="J239" s="1130">
        <f t="shared" ca="1" si="60"/>
        <v>555256688.14358139</v>
      </c>
      <c r="K239" s="1131">
        <f t="shared" ca="1" si="61"/>
        <v>14508207.242983069</v>
      </c>
      <c r="L239" s="1130">
        <f t="shared" ca="1" si="62"/>
        <v>0</v>
      </c>
      <c r="M239" s="1130">
        <f t="shared" ca="1" si="63"/>
        <v>0</v>
      </c>
      <c r="N239" s="1130">
        <f t="shared" ca="1" si="72"/>
        <v>540748480.90059829</v>
      </c>
      <c r="O239" s="1073"/>
      <c r="P239" s="1130">
        <f t="shared" ca="1" si="64"/>
        <v>14508207.242983103</v>
      </c>
      <c r="Q239" s="1130">
        <f t="shared" ca="1" si="65"/>
        <v>513711056.85556835</v>
      </c>
      <c r="R239" s="1130">
        <f t="shared" ca="1" si="73"/>
        <v>527493853.73640227</v>
      </c>
      <c r="S239" s="1130">
        <f t="shared" ca="1" si="74"/>
        <v>13782796.880833924</v>
      </c>
      <c r="T239" s="1130">
        <f t="shared" ca="1" si="66"/>
        <v>513711056.85556835</v>
      </c>
      <c r="U239" s="1132">
        <f t="shared" ca="1" si="67"/>
        <v>4.4675609266922073E-2</v>
      </c>
      <c r="V239" s="1133">
        <f t="shared" ca="1" si="68"/>
        <v>5.0000000000000044E-2</v>
      </c>
      <c r="X239" s="1134">
        <f t="shared" ca="1" si="75"/>
        <v>27762834.407179058</v>
      </c>
      <c r="Y239" s="1134">
        <f t="shared" ca="1" si="69"/>
        <v>725410.36214917898</v>
      </c>
      <c r="Z239" s="1134">
        <f t="shared" ca="1" si="70"/>
        <v>27037424.045029879</v>
      </c>
      <c r="AA239" s="1132">
        <f t="shared" ca="1" si="71"/>
        <v>4.7801023428338599E-2</v>
      </c>
      <c r="AB239" s="1105"/>
    </row>
    <row r="240" spans="1:28">
      <c r="A240" s="1144">
        <f>Calendar!J232</f>
        <v>51984</v>
      </c>
      <c r="C240" s="1104"/>
      <c r="D240" s="1125">
        <f t="shared" ca="1" si="57"/>
        <v>53205</v>
      </c>
      <c r="E240" s="1126">
        <f t="shared" ca="1" si="58"/>
        <v>53232</v>
      </c>
      <c r="F240" s="1127">
        <f t="shared" ca="1" si="59"/>
        <v>7002</v>
      </c>
      <c r="G240" s="1128">
        <f ca="1">IF(F240&lt;&gt;"",COUNTIF($F$11:F240,"&gt;0"),"")</f>
        <v>230</v>
      </c>
      <c r="H240" s="1129">
        <v>2.6144464632107983E-2</v>
      </c>
      <c r="I240" s="1073"/>
      <c r="J240" s="1130">
        <f t="shared" ca="1" si="60"/>
        <v>540748480.90059829</v>
      </c>
      <c r="K240" s="1131">
        <f t="shared" ca="1" si="61"/>
        <v>14137579.533771811</v>
      </c>
      <c r="L240" s="1130">
        <f t="shared" ca="1" si="62"/>
        <v>0</v>
      </c>
      <c r="M240" s="1130">
        <f t="shared" ca="1" si="63"/>
        <v>0</v>
      </c>
      <c r="N240" s="1130">
        <f t="shared" ca="1" si="72"/>
        <v>526610901.36682647</v>
      </c>
      <c r="O240" s="1073"/>
      <c r="P240" s="1130">
        <f t="shared" ca="1" si="64"/>
        <v>14137579.533771813</v>
      </c>
      <c r="Q240" s="1130">
        <f t="shared" ca="1" si="65"/>
        <v>500280356.2984851</v>
      </c>
      <c r="R240" s="1130">
        <f t="shared" ca="1" si="73"/>
        <v>513711056.85556835</v>
      </c>
      <c r="S240" s="1130">
        <f t="shared" ca="1" si="74"/>
        <v>13430700.557083249</v>
      </c>
      <c r="T240" s="1130">
        <f t="shared" ca="1" si="66"/>
        <v>500280356.2984851</v>
      </c>
      <c r="U240" s="1132">
        <f t="shared" ca="1" si="67"/>
        <v>4.3508287896839921E-2</v>
      </c>
      <c r="V240" s="1133">
        <f t="shared" ca="1" si="68"/>
        <v>5.0000000000000044E-2</v>
      </c>
      <c r="X240" s="1134">
        <f t="shared" ca="1" si="75"/>
        <v>27037424.045029879</v>
      </c>
      <c r="Y240" s="1134">
        <f t="shared" ca="1" si="69"/>
        <v>706878.97668856382</v>
      </c>
      <c r="Z240" s="1134">
        <f t="shared" ca="1" si="70"/>
        <v>26330545.068341315</v>
      </c>
      <c r="AA240" s="1132">
        <f t="shared" ca="1" si="71"/>
        <v>4.6552038645023892E-2</v>
      </c>
      <c r="AB240" s="1105"/>
    </row>
    <row r="241" spans="1:28">
      <c r="A241" s="1144">
        <f>Calendar!J233</f>
        <v>52013</v>
      </c>
      <c r="C241" s="1104"/>
      <c r="D241" s="1125">
        <f t="shared" ca="1" si="57"/>
        <v>53235</v>
      </c>
      <c r="E241" s="1126">
        <f t="shared" ca="1" si="58"/>
        <v>53262</v>
      </c>
      <c r="F241" s="1127">
        <f t="shared" ca="1" si="59"/>
        <v>7032</v>
      </c>
      <c r="G241" s="1128">
        <f ca="1">IF(F241&lt;&gt;"",COUNTIF($F$11:F241,"&gt;0"),"")</f>
        <v>231</v>
      </c>
      <c r="H241" s="1129">
        <v>2.6281385504956678E-2</v>
      </c>
      <c r="I241" s="1073"/>
      <c r="J241" s="1130">
        <f t="shared" ca="1" si="60"/>
        <v>526610901.36682647</v>
      </c>
      <c r="K241" s="1131">
        <f t="shared" ca="1" si="61"/>
        <v>13840064.109934283</v>
      </c>
      <c r="L241" s="1130">
        <f t="shared" ca="1" si="62"/>
        <v>0</v>
      </c>
      <c r="M241" s="1130">
        <f t="shared" ca="1" si="63"/>
        <v>0</v>
      </c>
      <c r="N241" s="1130">
        <f t="shared" ca="1" si="72"/>
        <v>512770837.2568922</v>
      </c>
      <c r="O241" s="1073"/>
      <c r="P241" s="1130">
        <f t="shared" ca="1" si="64"/>
        <v>13840064.109934211</v>
      </c>
      <c r="Q241" s="1130">
        <f t="shared" ca="1" si="65"/>
        <v>487132295.39404756</v>
      </c>
      <c r="R241" s="1130">
        <f t="shared" ca="1" si="73"/>
        <v>500280356.2984851</v>
      </c>
      <c r="S241" s="1130">
        <f t="shared" ca="1" si="74"/>
        <v>13148060.904437542</v>
      </c>
      <c r="T241" s="1130">
        <f t="shared" ca="1" si="66"/>
        <v>487132295.39404756</v>
      </c>
      <c r="U241" s="1132">
        <f t="shared" ca="1" si="67"/>
        <v>4.2370787002717417E-2</v>
      </c>
      <c r="V241" s="1133">
        <f t="shared" ca="1" si="68"/>
        <v>5.0000000000000044E-2</v>
      </c>
      <c r="X241" s="1134">
        <f t="shared" ca="1" si="75"/>
        <v>26330545.068341315</v>
      </c>
      <c r="Y241" s="1134">
        <f t="shared" ca="1" si="69"/>
        <v>692003.20549666882</v>
      </c>
      <c r="Z241" s="1134">
        <f t="shared" ca="1" si="70"/>
        <v>25638541.862844646</v>
      </c>
      <c r="AA241" s="1132">
        <f t="shared" ca="1" si="71"/>
        <v>4.5334960517116586E-2</v>
      </c>
      <c r="AB241" s="1105"/>
    </row>
    <row r="242" spans="1:28">
      <c r="A242" s="1144">
        <f>Calendar!J234</f>
        <v>52044</v>
      </c>
      <c r="C242" s="1104"/>
      <c r="D242" s="1125">
        <f t="shared" ca="1" si="57"/>
        <v>53266</v>
      </c>
      <c r="E242" s="1126">
        <f t="shared" ca="1" si="58"/>
        <v>53293</v>
      </c>
      <c r="F242" s="1127">
        <f t="shared" ca="1" si="59"/>
        <v>7063</v>
      </c>
      <c r="G242" s="1128">
        <f ca="1">IF(F242&lt;&gt;"",COUNTIF($F$11:F242,"&gt;0"),"")</f>
        <v>232</v>
      </c>
      <c r="H242" s="1129">
        <v>2.6385687555472232E-2</v>
      </c>
      <c r="I242" s="1073"/>
      <c r="J242" s="1130">
        <f t="shared" ca="1" si="60"/>
        <v>512770837.2568922</v>
      </c>
      <c r="K242" s="1131">
        <f t="shared" ca="1" si="61"/>
        <v>13529811.099418258</v>
      </c>
      <c r="L242" s="1130">
        <f t="shared" ca="1" si="62"/>
        <v>0</v>
      </c>
      <c r="M242" s="1130">
        <f t="shared" ca="1" si="63"/>
        <v>0</v>
      </c>
      <c r="N242" s="1130">
        <f t="shared" ca="1" si="72"/>
        <v>499241026.15747392</v>
      </c>
      <c r="O242" s="1073"/>
      <c r="P242" s="1130">
        <f t="shared" ca="1" si="64"/>
        <v>13529811.099418283</v>
      </c>
      <c r="Q242" s="1130">
        <f t="shared" ca="1" si="65"/>
        <v>474278974.8496002</v>
      </c>
      <c r="R242" s="1130">
        <f t="shared" ca="1" si="73"/>
        <v>487132295.39404756</v>
      </c>
      <c r="S242" s="1130">
        <f t="shared" ca="1" si="74"/>
        <v>12853320.544447362</v>
      </c>
      <c r="T242" s="1130">
        <f t="shared" ca="1" si="66"/>
        <v>474278974.8496002</v>
      </c>
      <c r="U242" s="1132">
        <f t="shared" ca="1" si="67"/>
        <v>4.1257224015350598E-2</v>
      </c>
      <c r="V242" s="1133">
        <f t="shared" ca="1" si="68"/>
        <v>5.0000000000000044E-2</v>
      </c>
      <c r="X242" s="1134">
        <f t="shared" ca="1" si="75"/>
        <v>25638541.862844646</v>
      </c>
      <c r="Y242" s="1134">
        <f t="shared" ca="1" si="69"/>
        <v>676490.55497092009</v>
      </c>
      <c r="Z242" s="1134">
        <f t="shared" ca="1" si="70"/>
        <v>24962051.307873726</v>
      </c>
      <c r="AA242" s="1132">
        <f t="shared" ca="1" si="71"/>
        <v>4.4143494942914335E-2</v>
      </c>
      <c r="AB242" s="1105"/>
    </row>
    <row r="243" spans="1:28">
      <c r="A243" s="1144">
        <f>Calendar!J235</f>
        <v>52075</v>
      </c>
      <c r="C243" s="1104"/>
      <c r="D243" s="1125">
        <f t="shared" ca="1" si="57"/>
        <v>53296</v>
      </c>
      <c r="E243" s="1126">
        <f t="shared" ca="1" si="58"/>
        <v>53323</v>
      </c>
      <c r="F243" s="1127">
        <f t="shared" ca="1" si="59"/>
        <v>7093</v>
      </c>
      <c r="G243" s="1128">
        <f ca="1">IF(F243&lt;&gt;"",COUNTIF($F$11:F243,"&gt;0"),"")</f>
        <v>233</v>
      </c>
      <c r="H243" s="1129">
        <v>2.6452360100786755E-2</v>
      </c>
      <c r="I243" s="1073"/>
      <c r="J243" s="1130">
        <f t="shared" ca="1" si="60"/>
        <v>499241026.15747392</v>
      </c>
      <c r="K243" s="1131">
        <f t="shared" ca="1" si="61"/>
        <v>13206103.4010038</v>
      </c>
      <c r="L243" s="1130">
        <f t="shared" ca="1" si="62"/>
        <v>0</v>
      </c>
      <c r="M243" s="1130">
        <f t="shared" ca="1" si="63"/>
        <v>0</v>
      </c>
      <c r="N243" s="1130">
        <f t="shared" ca="1" si="72"/>
        <v>486034922.75647014</v>
      </c>
      <c r="O243" s="1073"/>
      <c r="P243" s="1130">
        <f t="shared" ca="1" si="64"/>
        <v>13206103.401003778</v>
      </c>
      <c r="Q243" s="1130">
        <f t="shared" ca="1" si="65"/>
        <v>461733176.61864662</v>
      </c>
      <c r="R243" s="1130">
        <f t="shared" ca="1" si="73"/>
        <v>474278974.8496002</v>
      </c>
      <c r="S243" s="1130">
        <f t="shared" ca="1" si="74"/>
        <v>12545798.230953574</v>
      </c>
      <c r="T243" s="1130">
        <f t="shared" ca="1" si="66"/>
        <v>461733176.61864662</v>
      </c>
      <c r="U243" s="1132">
        <f t="shared" ca="1" si="67"/>
        <v>4.0168623793075425E-2</v>
      </c>
      <c r="V243" s="1133">
        <f t="shared" ca="1" si="68"/>
        <v>5.0000000000000044E-2</v>
      </c>
      <c r="X243" s="1134">
        <f t="shared" ca="1" si="75"/>
        <v>24962051.307873726</v>
      </c>
      <c r="Y243" s="1134">
        <f t="shared" ca="1" si="69"/>
        <v>660305.1700502038</v>
      </c>
      <c r="Z243" s="1134">
        <f t="shared" ca="1" si="70"/>
        <v>24301746.137823522</v>
      </c>
      <c r="AA243" s="1132">
        <f t="shared" ca="1" si="71"/>
        <v>4.297873847774402E-2</v>
      </c>
      <c r="AB243" s="1105"/>
    </row>
    <row r="244" spans="1:28">
      <c r="A244" s="1144">
        <f>Calendar!J236</f>
        <v>52105</v>
      </c>
      <c r="C244" s="1104"/>
      <c r="D244" s="1125">
        <f t="shared" ca="1" si="57"/>
        <v>53327</v>
      </c>
      <c r="E244" s="1126">
        <f t="shared" ca="1" si="58"/>
        <v>53356</v>
      </c>
      <c r="F244" s="1127">
        <f t="shared" ca="1" si="59"/>
        <v>7126</v>
      </c>
      <c r="G244" s="1128">
        <f ca="1">IF(F244&lt;&gt;"",COUNTIF($F$11:F244,"&gt;0"),"")</f>
        <v>234</v>
      </c>
      <c r="H244" s="1129">
        <v>2.660722629029932E-2</v>
      </c>
      <c r="I244" s="1073"/>
      <c r="J244" s="1130">
        <f t="shared" ca="1" si="60"/>
        <v>486034922.75647014</v>
      </c>
      <c r="K244" s="1131">
        <f t="shared" ca="1" si="61"/>
        <v>12932041.174769552</v>
      </c>
      <c r="L244" s="1130">
        <f t="shared" ca="1" si="62"/>
        <v>0</v>
      </c>
      <c r="M244" s="1130">
        <f t="shared" ca="1" si="63"/>
        <v>0</v>
      </c>
      <c r="N244" s="1130">
        <f t="shared" ca="1" si="72"/>
        <v>473102881.58170056</v>
      </c>
      <c r="O244" s="1073"/>
      <c r="P244" s="1130">
        <f t="shared" ca="1" si="64"/>
        <v>12932041.17476958</v>
      </c>
      <c r="Q244" s="1130">
        <f t="shared" ca="1" si="65"/>
        <v>449447737.50261551</v>
      </c>
      <c r="R244" s="1130">
        <f t="shared" ca="1" si="73"/>
        <v>461733176.61864662</v>
      </c>
      <c r="S244" s="1130">
        <f t="shared" ca="1" si="74"/>
        <v>12285439.11603111</v>
      </c>
      <c r="T244" s="1130">
        <f t="shared" ca="1" si="66"/>
        <v>449447737.50261551</v>
      </c>
      <c r="U244" s="1132">
        <f t="shared" ca="1" si="67"/>
        <v>3.9106068891747968E-2</v>
      </c>
      <c r="V244" s="1133">
        <f t="shared" ca="1" si="68"/>
        <v>5.0000000000000044E-2</v>
      </c>
      <c r="X244" s="1134">
        <f t="shared" ca="1" si="75"/>
        <v>24301746.137823522</v>
      </c>
      <c r="Y244" s="1134">
        <f t="shared" ca="1" si="69"/>
        <v>646602.05873847008</v>
      </c>
      <c r="Z244" s="1134">
        <f t="shared" ca="1" si="70"/>
        <v>23655144.079085052</v>
      </c>
      <c r="AA244" s="1132">
        <f t="shared" ca="1" si="71"/>
        <v>4.1841849410853171E-2</v>
      </c>
      <c r="AB244" s="1105"/>
    </row>
    <row r="245" spans="1:28">
      <c r="A245" s="1144">
        <f>Calendar!J237</f>
        <v>52138</v>
      </c>
      <c r="C245" s="1104"/>
      <c r="D245" s="1125">
        <f t="shared" ca="1" si="57"/>
        <v>53358</v>
      </c>
      <c r="E245" s="1126">
        <f t="shared" ca="1" si="58"/>
        <v>53385</v>
      </c>
      <c r="F245" s="1127">
        <f t="shared" ca="1" si="59"/>
        <v>7155</v>
      </c>
      <c r="G245" s="1128">
        <f ca="1">IF(F245&lt;&gt;"",COUNTIF($F$11:F245,"&gt;0"),"")</f>
        <v>235</v>
      </c>
      <c r="H245" s="1129">
        <v>2.6609230945894537E-2</v>
      </c>
      <c r="I245" s="1073"/>
      <c r="J245" s="1130">
        <f t="shared" ca="1" si="60"/>
        <v>473102881.58170056</v>
      </c>
      <c r="K245" s="1131">
        <f t="shared" ca="1" si="61"/>
        <v>12588903.837175665</v>
      </c>
      <c r="L245" s="1130">
        <f t="shared" ca="1" si="62"/>
        <v>0</v>
      </c>
      <c r="M245" s="1130">
        <f t="shared" ca="1" si="63"/>
        <v>0</v>
      </c>
      <c r="N245" s="1130">
        <f t="shared" ca="1" si="72"/>
        <v>460513977.7445249</v>
      </c>
      <c r="O245" s="1073"/>
      <c r="P245" s="1130">
        <f t="shared" ca="1" si="64"/>
        <v>12588903.837175667</v>
      </c>
      <c r="Q245" s="1130">
        <f t="shared" ca="1" si="65"/>
        <v>437488278.85729861</v>
      </c>
      <c r="R245" s="1130">
        <f t="shared" ca="1" si="73"/>
        <v>449447737.50261551</v>
      </c>
      <c r="S245" s="1130">
        <f t="shared" ca="1" si="74"/>
        <v>11959458.645316899</v>
      </c>
      <c r="T245" s="1130">
        <f t="shared" ca="1" si="66"/>
        <v>437488278.85729861</v>
      </c>
      <c r="U245" s="1132">
        <f t="shared" ca="1" si="67"/>
        <v>3.8065564867421194E-2</v>
      </c>
      <c r="V245" s="1133">
        <f t="shared" ca="1" si="68"/>
        <v>5.0000000000000044E-2</v>
      </c>
      <c r="X245" s="1134">
        <f t="shared" ca="1" si="75"/>
        <v>23655144.079085052</v>
      </c>
      <c r="Y245" s="1134">
        <f t="shared" ca="1" si="69"/>
        <v>629445.19185876846</v>
      </c>
      <c r="Z245" s="1134">
        <f t="shared" ca="1" si="70"/>
        <v>23025698.887226284</v>
      </c>
      <c r="AA245" s="1132">
        <f t="shared" ca="1" si="71"/>
        <v>4.0728553855173988E-2</v>
      </c>
      <c r="AB245" s="1105"/>
    </row>
    <row r="246" spans="1:28">
      <c r="A246" s="1144">
        <f>Calendar!J238</f>
        <v>52166</v>
      </c>
      <c r="C246" s="1104"/>
      <c r="D246" s="1125">
        <f t="shared" ca="1" si="57"/>
        <v>53386</v>
      </c>
      <c r="E246" s="1126">
        <f t="shared" ca="1" si="58"/>
        <v>53413</v>
      </c>
      <c r="F246" s="1127">
        <f t="shared" ca="1" si="59"/>
        <v>7183</v>
      </c>
      <c r="G246" s="1128">
        <f ca="1">IF(F246&lt;&gt;"",COUNTIF($F$11:F246,"&gt;0"),"")</f>
        <v>236</v>
      </c>
      <c r="H246" s="1129">
        <v>2.6528809878518623E-2</v>
      </c>
      <c r="I246" s="1073"/>
      <c r="J246" s="1130">
        <f t="shared" ca="1" si="60"/>
        <v>460513977.7445249</v>
      </c>
      <c r="K246" s="1131">
        <f t="shared" ca="1" si="61"/>
        <v>12216887.761984857</v>
      </c>
      <c r="L246" s="1130">
        <f t="shared" ca="1" si="62"/>
        <v>0</v>
      </c>
      <c r="M246" s="1130">
        <f t="shared" ca="1" si="63"/>
        <v>0</v>
      </c>
      <c r="N246" s="1130">
        <f t="shared" ca="1" si="72"/>
        <v>448297089.98254001</v>
      </c>
      <c r="O246" s="1073"/>
      <c r="P246" s="1130">
        <f t="shared" ca="1" si="64"/>
        <v>12216887.761984885</v>
      </c>
      <c r="Q246" s="1130">
        <f t="shared" ca="1" si="65"/>
        <v>425882235.48341298</v>
      </c>
      <c r="R246" s="1130">
        <f t="shared" ca="1" si="73"/>
        <v>437488278.85729861</v>
      </c>
      <c r="S246" s="1130">
        <f t="shared" ca="1" si="74"/>
        <v>11606043.373885632</v>
      </c>
      <c r="T246" s="1130">
        <f t="shared" ca="1" si="66"/>
        <v>425882235.48341298</v>
      </c>
      <c r="U246" s="1132">
        <f t="shared" ca="1" si="67"/>
        <v>3.7052669460778051E-2</v>
      </c>
      <c r="V246" s="1133">
        <f t="shared" ca="1" si="68"/>
        <v>5.0000000000000044E-2</v>
      </c>
      <c r="X246" s="1134">
        <f t="shared" ca="1" si="75"/>
        <v>23025698.887226284</v>
      </c>
      <c r="Y246" s="1134">
        <f t="shared" ca="1" si="69"/>
        <v>610844.38809925318</v>
      </c>
      <c r="Z246" s="1134">
        <f t="shared" ca="1" si="70"/>
        <v>22414854.49912703</v>
      </c>
      <c r="AA246" s="1132">
        <f t="shared" ca="1" si="71"/>
        <v>3.9644798359549385E-2</v>
      </c>
      <c r="AB246" s="1105"/>
    </row>
    <row r="247" spans="1:28">
      <c r="A247" s="1144">
        <f>Calendar!J239</f>
        <v>52197</v>
      </c>
      <c r="C247" s="1104"/>
      <c r="D247" s="1125">
        <f t="shared" ca="1" si="57"/>
        <v>53417</v>
      </c>
      <c r="E247" s="1126">
        <f t="shared" ca="1" si="58"/>
        <v>53444</v>
      </c>
      <c r="F247" s="1127">
        <f t="shared" ca="1" si="59"/>
        <v>7214</v>
      </c>
      <c r="G247" s="1128">
        <f ca="1">IF(F247&lt;&gt;"",COUNTIF($F$11:F247,"&gt;0"),"")</f>
        <v>237</v>
      </c>
      <c r="H247" s="1129">
        <v>2.6518091792928092E-2</v>
      </c>
      <c r="I247" s="1073"/>
      <c r="J247" s="1130">
        <f t="shared" ca="1" si="60"/>
        <v>448297089.98254001</v>
      </c>
      <c r="K247" s="1131">
        <f t="shared" ca="1" si="61"/>
        <v>11887983.382659541</v>
      </c>
      <c r="L247" s="1130">
        <f t="shared" ca="1" si="62"/>
        <v>0</v>
      </c>
      <c r="M247" s="1130">
        <f t="shared" ca="1" si="63"/>
        <v>0</v>
      </c>
      <c r="N247" s="1130">
        <f t="shared" ca="1" si="72"/>
        <v>436409106.59988046</v>
      </c>
      <c r="O247" s="1073"/>
      <c r="P247" s="1130">
        <f t="shared" ca="1" si="64"/>
        <v>11887983.382659554</v>
      </c>
      <c r="Q247" s="1130">
        <f t="shared" ca="1" si="65"/>
        <v>414588651.26988643</v>
      </c>
      <c r="R247" s="1130">
        <f t="shared" ca="1" si="73"/>
        <v>425882235.48341298</v>
      </c>
      <c r="S247" s="1130">
        <f t="shared" ca="1" si="74"/>
        <v>11293584.213526547</v>
      </c>
      <c r="T247" s="1130">
        <f t="shared" ca="1" si="66"/>
        <v>414588651.26988643</v>
      </c>
      <c r="U247" s="1132">
        <f t="shared" ca="1" si="67"/>
        <v>3.6069706237161478E-2</v>
      </c>
      <c r="V247" s="1133">
        <f t="shared" ca="1" si="68"/>
        <v>5.0000000000000044E-2</v>
      </c>
      <c r="X247" s="1134">
        <f t="shared" ca="1" si="75"/>
        <v>22414854.49912703</v>
      </c>
      <c r="Y247" s="1134">
        <f t="shared" ca="1" si="69"/>
        <v>594399.16913300753</v>
      </c>
      <c r="Z247" s="1134">
        <f t="shared" ca="1" si="70"/>
        <v>21820455.329994023</v>
      </c>
      <c r="AA247" s="1132">
        <f t="shared" ca="1" si="71"/>
        <v>3.8593069041196679E-2</v>
      </c>
      <c r="AB247" s="1105"/>
    </row>
    <row r="248" spans="1:28">
      <c r="A248" s="1144">
        <f>Calendar!J240</f>
        <v>52229</v>
      </c>
      <c r="C248" s="1104"/>
      <c r="D248" s="1125">
        <f t="shared" ca="1" si="57"/>
        <v>53447</v>
      </c>
      <c r="E248" s="1126">
        <f t="shared" ca="1" si="58"/>
        <v>53475</v>
      </c>
      <c r="F248" s="1127">
        <f t="shared" ca="1" si="59"/>
        <v>7245</v>
      </c>
      <c r="G248" s="1128">
        <f ca="1">IF(F248&lt;&gt;"",COUNTIF($F$11:F248,"&gt;0"),"")</f>
        <v>238</v>
      </c>
      <c r="H248" s="1129">
        <v>2.6272445883014722E-2</v>
      </c>
      <c r="I248" s="1073"/>
      <c r="J248" s="1130">
        <f t="shared" ca="1" si="60"/>
        <v>436409106.59988046</v>
      </c>
      <c r="K248" s="1131">
        <f t="shared" ca="1" si="61"/>
        <v>11465534.636000162</v>
      </c>
      <c r="L248" s="1130">
        <f t="shared" ca="1" si="62"/>
        <v>0</v>
      </c>
      <c r="M248" s="1130">
        <f t="shared" ca="1" si="63"/>
        <v>0</v>
      </c>
      <c r="N248" s="1130">
        <f t="shared" ca="1" si="72"/>
        <v>424943571.9638803</v>
      </c>
      <c r="O248" s="1073"/>
      <c r="P248" s="1130">
        <f t="shared" ca="1" si="64"/>
        <v>11465534.636000156</v>
      </c>
      <c r="Q248" s="1130">
        <f t="shared" ca="1" si="65"/>
        <v>403696393.36568624</v>
      </c>
      <c r="R248" s="1130">
        <f t="shared" ca="1" si="73"/>
        <v>414588651.26988643</v>
      </c>
      <c r="S248" s="1130">
        <f t="shared" ca="1" si="74"/>
        <v>10892257.904200196</v>
      </c>
      <c r="T248" s="1130">
        <f t="shared" ca="1" si="66"/>
        <v>403696393.36568624</v>
      </c>
      <c r="U248" s="1132">
        <f t="shared" ca="1" si="67"/>
        <v>3.5113206456220479E-2</v>
      </c>
      <c r="V248" s="1133">
        <f t="shared" ca="1" si="68"/>
        <v>5.0000000000000155E-2</v>
      </c>
      <c r="X248" s="1134">
        <f t="shared" ca="1" si="75"/>
        <v>21820455.329994023</v>
      </c>
      <c r="Y248" s="1134">
        <f t="shared" ca="1" si="69"/>
        <v>573276.73179996014</v>
      </c>
      <c r="Z248" s="1134">
        <f t="shared" ca="1" si="70"/>
        <v>21247178.598194063</v>
      </c>
      <c r="AA248" s="1132">
        <f t="shared" ca="1" si="71"/>
        <v>3.7569654493791363E-2</v>
      </c>
      <c r="AB248" s="1105"/>
    </row>
    <row r="249" spans="1:28">
      <c r="A249" s="1144">
        <f>Calendar!J241</f>
        <v>52258</v>
      </c>
      <c r="C249" s="1104"/>
      <c r="D249" s="1125">
        <f t="shared" ca="1" si="57"/>
        <v>53478</v>
      </c>
      <c r="E249" s="1126">
        <f t="shared" ca="1" si="58"/>
        <v>53505</v>
      </c>
      <c r="F249" s="1127">
        <f t="shared" ca="1" si="59"/>
        <v>7275</v>
      </c>
      <c r="G249" s="1128">
        <f ca="1">IF(F249&lt;&gt;"",COUNTIF($F$11:F249,"&gt;0"),"")</f>
        <v>239</v>
      </c>
      <c r="H249" s="1129">
        <v>2.6225528720367274E-2</v>
      </c>
      <c r="I249" s="1073"/>
      <c r="J249" s="1130">
        <f t="shared" ca="1" si="60"/>
        <v>424943571.9638803</v>
      </c>
      <c r="K249" s="1131">
        <f t="shared" ca="1" si="61"/>
        <v>11144369.8510742</v>
      </c>
      <c r="L249" s="1130">
        <f t="shared" ca="1" si="62"/>
        <v>0</v>
      </c>
      <c r="M249" s="1130">
        <f t="shared" ca="1" si="63"/>
        <v>0</v>
      </c>
      <c r="N249" s="1130">
        <f t="shared" ca="1" si="72"/>
        <v>413799202.11280608</v>
      </c>
      <c r="O249" s="1073"/>
      <c r="P249" s="1130">
        <f t="shared" ca="1" si="64"/>
        <v>11144369.851074219</v>
      </c>
      <c r="Q249" s="1130">
        <f t="shared" ca="1" si="65"/>
        <v>393109242.00716573</v>
      </c>
      <c r="R249" s="1130">
        <f t="shared" ca="1" si="73"/>
        <v>403696393.36568624</v>
      </c>
      <c r="S249" s="1130">
        <f t="shared" ca="1" si="74"/>
        <v>10587151.358520508</v>
      </c>
      <c r="T249" s="1130">
        <f t="shared" ca="1" si="66"/>
        <v>393109242.00716573</v>
      </c>
      <c r="U249" s="1132">
        <f t="shared" ca="1" si="67"/>
        <v>3.41906966398203E-2</v>
      </c>
      <c r="V249" s="1133">
        <f t="shared" ca="1" si="68"/>
        <v>5.0000000000000155E-2</v>
      </c>
      <c r="X249" s="1134">
        <f t="shared" ca="1" si="75"/>
        <v>21247178.598194063</v>
      </c>
      <c r="Y249" s="1134">
        <f t="shared" ca="1" si="69"/>
        <v>557218.49255371094</v>
      </c>
      <c r="Z249" s="1134">
        <f t="shared" ca="1" si="70"/>
        <v>20689960.105640352</v>
      </c>
      <c r="AA249" s="1132">
        <f t="shared" ca="1" si="71"/>
        <v>3.658260777925975E-2</v>
      </c>
      <c r="AB249" s="1105"/>
    </row>
    <row r="250" spans="1:28">
      <c r="A250" s="1144">
        <f>Calendar!J242</f>
        <v>52289</v>
      </c>
      <c r="C250" s="1104"/>
      <c r="D250" s="1125">
        <f t="shared" ca="1" si="57"/>
        <v>53508</v>
      </c>
      <c r="E250" s="1126">
        <f t="shared" ca="1" si="58"/>
        <v>53535</v>
      </c>
      <c r="F250" s="1127">
        <f t="shared" ca="1" si="59"/>
        <v>7305</v>
      </c>
      <c r="G250" s="1128">
        <f ca="1">IF(F250&lt;&gt;"",COUNTIF($F$11:F250,"&gt;0"),"")</f>
        <v>240</v>
      </c>
      <c r="H250" s="1129">
        <v>2.6526466269356584E-2</v>
      </c>
      <c r="I250" s="1073"/>
      <c r="J250" s="1130">
        <f t="shared" ca="1" si="60"/>
        <v>413799202.11280608</v>
      </c>
      <c r="K250" s="1131">
        <f t="shared" ca="1" si="61"/>
        <v>10976630.577132018</v>
      </c>
      <c r="L250" s="1130">
        <f t="shared" ca="1" si="62"/>
        <v>0</v>
      </c>
      <c r="M250" s="1130">
        <f t="shared" ca="1" si="63"/>
        <v>0</v>
      </c>
      <c r="N250" s="1130">
        <f t="shared" ca="1" si="72"/>
        <v>402822571.53567404</v>
      </c>
      <c r="O250" s="1073"/>
      <c r="P250" s="1130">
        <f t="shared" ca="1" si="64"/>
        <v>10976630.577132046</v>
      </c>
      <c r="Q250" s="1130">
        <f t="shared" ca="1" si="65"/>
        <v>382681442.95889032</v>
      </c>
      <c r="R250" s="1130">
        <f t="shared" ca="1" si="73"/>
        <v>393109242.00716573</v>
      </c>
      <c r="S250" s="1130">
        <f t="shared" ca="1" si="74"/>
        <v>10427799.048275411</v>
      </c>
      <c r="T250" s="1130">
        <f t="shared" ca="1" si="66"/>
        <v>382681442.95889032</v>
      </c>
      <c r="U250" s="1132">
        <f t="shared" ca="1" si="67"/>
        <v>3.3294027543123328E-2</v>
      </c>
      <c r="V250" s="1133">
        <f t="shared" ca="1" si="68"/>
        <v>5.0000000000000044E-2</v>
      </c>
      <c r="X250" s="1134">
        <f t="shared" ca="1" si="75"/>
        <v>20689960.105640352</v>
      </c>
      <c r="Y250" s="1134">
        <f t="shared" ca="1" si="69"/>
        <v>548831.52885663509</v>
      </c>
      <c r="Z250" s="1134">
        <f t="shared" ca="1" si="70"/>
        <v>20141128.576783717</v>
      </c>
      <c r="AA250" s="1132">
        <f t="shared" ca="1" si="71"/>
        <v>3.5623209548278842E-2</v>
      </c>
      <c r="AB250" s="1105"/>
    </row>
    <row r="251" spans="1:28">
      <c r="A251" s="1144">
        <f>Calendar!J243</f>
        <v>52317</v>
      </c>
      <c r="C251" s="1104"/>
      <c r="D251" s="1125">
        <f t="shared" ca="1" si="57"/>
        <v>53539</v>
      </c>
      <c r="E251" s="1126">
        <f t="shared" ca="1" si="58"/>
        <v>53566</v>
      </c>
      <c r="F251" s="1127">
        <f t="shared" ca="1" si="59"/>
        <v>7336</v>
      </c>
      <c r="G251" s="1128">
        <f ca="1">IF(F251&lt;&gt;"",COUNTIF($F$11:F251,"&gt;0"),"")</f>
        <v>241</v>
      </c>
      <c r="H251" s="1129">
        <v>2.6776128829043153E-2</v>
      </c>
      <c r="I251" s="1073"/>
      <c r="J251" s="1130">
        <f t="shared" ca="1" si="60"/>
        <v>402822571.53567404</v>
      </c>
      <c r="K251" s="1131">
        <f t="shared" ca="1" si="61"/>
        <v>10786029.070685659</v>
      </c>
      <c r="L251" s="1130">
        <f t="shared" ca="1" si="62"/>
        <v>0</v>
      </c>
      <c r="M251" s="1130">
        <f t="shared" ca="1" si="63"/>
        <v>0</v>
      </c>
      <c r="N251" s="1130">
        <f t="shared" ca="1" si="72"/>
        <v>392036542.46498835</v>
      </c>
      <c r="O251" s="1073"/>
      <c r="P251" s="1130">
        <f t="shared" ca="1" si="64"/>
        <v>10786029.070685685</v>
      </c>
      <c r="Q251" s="1130">
        <f t="shared" ca="1" si="65"/>
        <v>372434715.34173894</v>
      </c>
      <c r="R251" s="1130">
        <f t="shared" ca="1" si="73"/>
        <v>382681442.95889032</v>
      </c>
      <c r="S251" s="1130">
        <f t="shared" ca="1" si="74"/>
        <v>10246727.61715138</v>
      </c>
      <c r="T251" s="1130">
        <f t="shared" ca="1" si="66"/>
        <v>372434715.34173894</v>
      </c>
      <c r="U251" s="1132">
        <f t="shared" ca="1" si="67"/>
        <v>3.2410854644529634E-2</v>
      </c>
      <c r="V251" s="1133">
        <f t="shared" ca="1" si="68"/>
        <v>4.9999999999999933E-2</v>
      </c>
      <c r="X251" s="1134">
        <f t="shared" ca="1" si="75"/>
        <v>20141128.576783717</v>
      </c>
      <c r="Y251" s="1134">
        <f t="shared" ca="1" si="69"/>
        <v>539301.4535343051</v>
      </c>
      <c r="Z251" s="1134">
        <f t="shared" ca="1" si="70"/>
        <v>19601827.123249412</v>
      </c>
      <c r="AA251" s="1132">
        <f t="shared" ca="1" si="71"/>
        <v>3.4678251681790145E-2</v>
      </c>
      <c r="AB251" s="1105"/>
    </row>
    <row r="252" spans="1:28">
      <c r="A252" s="1144">
        <f>Calendar!J244</f>
        <v>52348</v>
      </c>
      <c r="C252" s="1104"/>
      <c r="D252" s="1125">
        <f t="shared" ca="1" si="57"/>
        <v>53570</v>
      </c>
      <c r="E252" s="1126">
        <f t="shared" ca="1" si="58"/>
        <v>53597</v>
      </c>
      <c r="F252" s="1127">
        <f t="shared" ca="1" si="59"/>
        <v>7367</v>
      </c>
      <c r="G252" s="1128">
        <f ca="1">IF(F252&lt;&gt;"",COUNTIF($F$11:F252,"&gt;0"),"")</f>
        <v>242</v>
      </c>
      <c r="H252" s="1129">
        <v>2.7385870047039105E-2</v>
      </c>
      <c r="I252" s="1073"/>
      <c r="J252" s="1130">
        <f t="shared" ca="1" si="60"/>
        <v>392036542.46498835</v>
      </c>
      <c r="K252" s="1131">
        <f t="shared" ca="1" si="61"/>
        <v>10736261.805636698</v>
      </c>
      <c r="L252" s="1130">
        <f t="shared" ca="1" si="62"/>
        <v>0</v>
      </c>
      <c r="M252" s="1130">
        <f t="shared" ca="1" si="63"/>
        <v>0</v>
      </c>
      <c r="N252" s="1130">
        <f t="shared" ca="1" si="72"/>
        <v>381300280.65935165</v>
      </c>
      <c r="O252" s="1073"/>
      <c r="P252" s="1130">
        <f t="shared" ca="1" si="64"/>
        <v>10736261.805636704</v>
      </c>
      <c r="Q252" s="1130">
        <f t="shared" ca="1" si="65"/>
        <v>362235266.62638402</v>
      </c>
      <c r="R252" s="1130">
        <f t="shared" ca="1" si="73"/>
        <v>372434715.34173894</v>
      </c>
      <c r="S252" s="1130">
        <f t="shared" ca="1" si="74"/>
        <v>10199448.715354919</v>
      </c>
      <c r="T252" s="1130">
        <f t="shared" ca="1" si="66"/>
        <v>362235266.62638402</v>
      </c>
      <c r="U252" s="1132">
        <f t="shared" ca="1" si="67"/>
        <v>3.1543017425108316E-2</v>
      </c>
      <c r="V252" s="1133">
        <f t="shared" ca="1" si="68"/>
        <v>5.0000000000000155E-2</v>
      </c>
      <c r="X252" s="1134">
        <f t="shared" ca="1" si="75"/>
        <v>19601827.123249412</v>
      </c>
      <c r="Y252" s="1134">
        <f t="shared" ca="1" si="69"/>
        <v>536813.09028178453</v>
      </c>
      <c r="Z252" s="1134">
        <f t="shared" ca="1" si="70"/>
        <v>19065014.032967627</v>
      </c>
      <c r="AA252" s="1132">
        <f t="shared" ca="1" si="71"/>
        <v>3.374970234719251E-2</v>
      </c>
      <c r="AB252" s="1105"/>
    </row>
    <row r="253" spans="1:28">
      <c r="A253" s="1144">
        <f>Calendar!J245</f>
        <v>52378</v>
      </c>
      <c r="C253" s="1104"/>
      <c r="D253" s="1125">
        <f t="shared" ca="1" si="57"/>
        <v>53600</v>
      </c>
      <c r="E253" s="1126">
        <f t="shared" ca="1" si="58"/>
        <v>53629</v>
      </c>
      <c r="F253" s="1127">
        <f t="shared" ca="1" si="59"/>
        <v>7399</v>
      </c>
      <c r="G253" s="1128">
        <f ca="1">IF(F253&lt;&gt;"",COUNTIF($F$11:F253,"&gt;0"),"")</f>
        <v>243</v>
      </c>
      <c r="H253" s="1129">
        <v>2.801029486688468E-2</v>
      </c>
      <c r="I253" s="1073"/>
      <c r="J253" s="1130">
        <f t="shared" ca="1" si="60"/>
        <v>381300280.65935165</v>
      </c>
      <c r="K253" s="1131">
        <f t="shared" ca="1" si="61"/>
        <v>10680333.294094326</v>
      </c>
      <c r="L253" s="1130">
        <f t="shared" ca="1" si="62"/>
        <v>0</v>
      </c>
      <c r="M253" s="1130">
        <f t="shared" ca="1" si="63"/>
        <v>0</v>
      </c>
      <c r="N253" s="1130">
        <f t="shared" ca="1" si="72"/>
        <v>370619947.36525732</v>
      </c>
      <c r="O253" s="1073"/>
      <c r="P253" s="1130">
        <f t="shared" ca="1" si="64"/>
        <v>10680333.294094324</v>
      </c>
      <c r="Q253" s="1130">
        <f t="shared" ca="1" si="65"/>
        <v>352088949.99699444</v>
      </c>
      <c r="R253" s="1130">
        <f t="shared" ca="1" si="73"/>
        <v>362235266.62638402</v>
      </c>
      <c r="S253" s="1130">
        <f t="shared" ca="1" si="74"/>
        <v>10146316.629389584</v>
      </c>
      <c r="T253" s="1130">
        <f t="shared" ca="1" si="66"/>
        <v>352088949.99699444</v>
      </c>
      <c r="U253" s="1132">
        <f t="shared" ca="1" si="67"/>
        <v>3.0679184449012808E-2</v>
      </c>
      <c r="V253" s="1133">
        <f t="shared" ca="1" si="68"/>
        <v>5.0000000000000044E-2</v>
      </c>
      <c r="X253" s="1134">
        <f t="shared" ca="1" si="75"/>
        <v>19065014.032967627</v>
      </c>
      <c r="Y253" s="1134">
        <f t="shared" ca="1" si="69"/>
        <v>534016.66470474005</v>
      </c>
      <c r="Z253" s="1134">
        <f t="shared" ca="1" si="70"/>
        <v>18530997.368262887</v>
      </c>
      <c r="AA253" s="1132">
        <f t="shared" ca="1" si="71"/>
        <v>3.2825437384586133E-2</v>
      </c>
      <c r="AB253" s="1105"/>
    </row>
    <row r="254" spans="1:28">
      <c r="A254" s="1144">
        <f>Calendar!J246</f>
        <v>52411</v>
      </c>
      <c r="C254" s="1104"/>
      <c r="D254" s="1125">
        <f t="shared" ca="1" si="57"/>
        <v>53631</v>
      </c>
      <c r="E254" s="1126">
        <f t="shared" ca="1" si="58"/>
        <v>53658</v>
      </c>
      <c r="F254" s="1127">
        <f t="shared" ca="1" si="59"/>
        <v>7428</v>
      </c>
      <c r="G254" s="1128">
        <f ca="1">IF(F254&lt;&gt;"",COUNTIF($F$11:F254,"&gt;0"),"")</f>
        <v>244</v>
      </c>
      <c r="H254" s="1129">
        <v>2.8659681468211358E-2</v>
      </c>
      <c r="I254" s="1073"/>
      <c r="J254" s="1130">
        <f t="shared" ca="1" si="60"/>
        <v>370619947.36525732</v>
      </c>
      <c r="K254" s="1131">
        <f t="shared" ca="1" si="61"/>
        <v>10621849.637253534</v>
      </c>
      <c r="L254" s="1130">
        <f t="shared" ca="1" si="62"/>
        <v>0</v>
      </c>
      <c r="M254" s="1130">
        <f t="shared" ca="1" si="63"/>
        <v>0</v>
      </c>
      <c r="N254" s="1130">
        <f t="shared" ca="1" si="72"/>
        <v>359998097.7280038</v>
      </c>
      <c r="O254" s="1073"/>
      <c r="P254" s="1130">
        <f t="shared" ca="1" si="64"/>
        <v>10621849.637253523</v>
      </c>
      <c r="Q254" s="1130">
        <f t="shared" ca="1" si="65"/>
        <v>341998192.84160358</v>
      </c>
      <c r="R254" s="1130">
        <f t="shared" ca="1" si="73"/>
        <v>352088949.99699444</v>
      </c>
      <c r="S254" s="1130">
        <f t="shared" ca="1" si="74"/>
        <v>10090757.155390859</v>
      </c>
      <c r="T254" s="1130">
        <f t="shared" ca="1" si="66"/>
        <v>341998192.84160358</v>
      </c>
      <c r="U254" s="1132">
        <f t="shared" ca="1" si="67"/>
        <v>2.9819851446320416E-2</v>
      </c>
      <c r="V254" s="1133">
        <f t="shared" ca="1" si="68"/>
        <v>5.0000000000000044E-2</v>
      </c>
      <c r="X254" s="1134">
        <f t="shared" ca="1" si="75"/>
        <v>18530997.368262887</v>
      </c>
      <c r="Y254" s="1134">
        <f t="shared" ca="1" si="69"/>
        <v>531092.48186266422</v>
      </c>
      <c r="Z254" s="1134">
        <f t="shared" ca="1" si="70"/>
        <v>17999904.886400223</v>
      </c>
      <c r="AA254" s="1132">
        <f t="shared" ca="1" si="71"/>
        <v>3.1905987204309379E-2</v>
      </c>
      <c r="AB254" s="1105"/>
    </row>
    <row r="255" spans="1:28">
      <c r="A255" s="1144">
        <f>Calendar!J247</f>
        <v>52439</v>
      </c>
      <c r="C255" s="1104"/>
      <c r="D255" s="1125">
        <f t="shared" ca="1" si="57"/>
        <v>53661</v>
      </c>
      <c r="E255" s="1126">
        <f t="shared" ca="1" si="58"/>
        <v>53688</v>
      </c>
      <c r="F255" s="1127">
        <f t="shared" ca="1" si="59"/>
        <v>7458</v>
      </c>
      <c r="G255" s="1128">
        <f ca="1">IF(F255&lt;&gt;"",COUNTIF($F$11:F255,"&gt;0"),"")</f>
        <v>245</v>
      </c>
      <c r="H255" s="1129">
        <v>2.933955360109141E-2</v>
      </c>
      <c r="I255" s="1073"/>
      <c r="J255" s="1130">
        <f t="shared" ca="1" si="60"/>
        <v>359998097.7280038</v>
      </c>
      <c r="K255" s="1131">
        <f t="shared" ca="1" si="61"/>
        <v>10562183.484581711</v>
      </c>
      <c r="L255" s="1130">
        <f t="shared" ca="1" si="62"/>
        <v>0</v>
      </c>
      <c r="M255" s="1130">
        <f t="shared" ca="1" si="63"/>
        <v>0</v>
      </c>
      <c r="N255" s="1130">
        <f t="shared" ca="1" si="72"/>
        <v>349435914.24342209</v>
      </c>
      <c r="O255" s="1073"/>
      <c r="P255" s="1130">
        <f t="shared" ca="1" si="64"/>
        <v>10562183.484581709</v>
      </c>
      <c r="Q255" s="1130">
        <f t="shared" ca="1" si="65"/>
        <v>331964118.53125095</v>
      </c>
      <c r="R255" s="1130">
        <f t="shared" ca="1" si="73"/>
        <v>341998192.84160358</v>
      </c>
      <c r="S255" s="1130">
        <f t="shared" ca="1" si="74"/>
        <v>10034074.310352623</v>
      </c>
      <c r="T255" s="1130">
        <f t="shared" ca="1" si="66"/>
        <v>331964118.53125095</v>
      </c>
      <c r="U255" s="1132">
        <f t="shared" ca="1" si="67"/>
        <v>2.8965224002439494E-2</v>
      </c>
      <c r="V255" s="1133">
        <f t="shared" ca="1" si="68"/>
        <v>5.0000000000000044E-2</v>
      </c>
      <c r="X255" s="1134">
        <f t="shared" ca="1" si="75"/>
        <v>17999904.886400223</v>
      </c>
      <c r="Y255" s="1134">
        <f t="shared" ca="1" si="69"/>
        <v>528109.17422908545</v>
      </c>
      <c r="Z255" s="1134">
        <f t="shared" ca="1" si="70"/>
        <v>17471795.712171137</v>
      </c>
      <c r="AA255" s="1132">
        <f t="shared" ca="1" si="71"/>
        <v>3.0991571774105067E-2</v>
      </c>
      <c r="AB255" s="1105"/>
    </row>
    <row r="256" spans="1:28">
      <c r="A256" s="1144">
        <f>Calendar!J248</f>
        <v>52470</v>
      </c>
      <c r="C256" s="1104"/>
      <c r="D256" s="1125">
        <f t="shared" ca="1" si="57"/>
        <v>53692</v>
      </c>
      <c r="E256" s="1126">
        <f t="shared" ca="1" si="58"/>
        <v>53720</v>
      </c>
      <c r="F256" s="1127">
        <f t="shared" ca="1" si="59"/>
        <v>7490</v>
      </c>
      <c r="G256" s="1128">
        <f ca="1">IF(F256&lt;&gt;"",COUNTIF($F$11:F256,"&gt;0"),"")</f>
        <v>246</v>
      </c>
      <c r="H256" s="1129">
        <v>3.0000951199375001E-2</v>
      </c>
      <c r="I256" s="1073"/>
      <c r="J256" s="1130">
        <f t="shared" ca="1" si="60"/>
        <v>349435914.24342209</v>
      </c>
      <c r="K256" s="1131">
        <f t="shared" ca="1" si="61"/>
        <v>10483409.810525894</v>
      </c>
      <c r="L256" s="1130">
        <f t="shared" ca="1" si="62"/>
        <v>0</v>
      </c>
      <c r="M256" s="1130">
        <f t="shared" ca="1" si="63"/>
        <v>0</v>
      </c>
      <c r="N256" s="1130">
        <f t="shared" ca="1" si="72"/>
        <v>338952504.4328962</v>
      </c>
      <c r="O256" s="1073"/>
      <c r="P256" s="1130">
        <f t="shared" ca="1" si="64"/>
        <v>10483409.810525894</v>
      </c>
      <c r="Q256" s="1130">
        <f t="shared" ca="1" si="65"/>
        <v>322004879.21125138</v>
      </c>
      <c r="R256" s="1130">
        <f t="shared" ca="1" si="73"/>
        <v>331964118.53125095</v>
      </c>
      <c r="S256" s="1130">
        <f t="shared" ca="1" si="74"/>
        <v>9959239.3199995756</v>
      </c>
      <c r="T256" s="1130">
        <f t="shared" ca="1" si="66"/>
        <v>322004879.21125138</v>
      </c>
      <c r="U256" s="1132">
        <f t="shared" ca="1" si="67"/>
        <v>2.8115397260252299E-2</v>
      </c>
      <c r="V256" s="1133">
        <f t="shared" ca="1" si="68"/>
        <v>5.0000000000000044E-2</v>
      </c>
      <c r="X256" s="1134">
        <f t="shared" ca="1" si="75"/>
        <v>17471795.712171137</v>
      </c>
      <c r="Y256" s="1134">
        <f t="shared" ca="1" si="69"/>
        <v>524170.49052631855</v>
      </c>
      <c r="Z256" s="1134">
        <f t="shared" ca="1" si="70"/>
        <v>16947625.221644819</v>
      </c>
      <c r="AA256" s="1132">
        <f t="shared" ca="1" si="71"/>
        <v>3.0082292892856643E-2</v>
      </c>
      <c r="AB256" s="1105"/>
    </row>
    <row r="257" spans="1:28">
      <c r="A257" s="1144">
        <f>Calendar!J249</f>
        <v>52502</v>
      </c>
      <c r="C257" s="1104"/>
      <c r="D257" s="1125">
        <f t="shared" ca="1" si="57"/>
        <v>53723</v>
      </c>
      <c r="E257" s="1126">
        <f t="shared" ca="1" si="58"/>
        <v>53750</v>
      </c>
      <c r="F257" s="1127">
        <f t="shared" ca="1" si="59"/>
        <v>7520</v>
      </c>
      <c r="G257" s="1128">
        <f ca="1">IF(F257&lt;&gt;"",COUNTIF($F$11:F257,"&gt;0"),"")</f>
        <v>247</v>
      </c>
      <c r="H257" s="1129">
        <v>3.072697221838603E-2</v>
      </c>
      <c r="I257" s="1073"/>
      <c r="J257" s="1130">
        <f t="shared" ca="1" si="60"/>
        <v>338952504.4328962</v>
      </c>
      <c r="K257" s="1131">
        <f t="shared" ca="1" si="61"/>
        <v>10414984.187061969</v>
      </c>
      <c r="L257" s="1130">
        <f t="shared" ca="1" si="62"/>
        <v>0</v>
      </c>
      <c r="M257" s="1130">
        <f t="shared" ca="1" si="63"/>
        <v>0</v>
      </c>
      <c r="N257" s="1130">
        <f t="shared" ca="1" si="72"/>
        <v>328537520.24583423</v>
      </c>
      <c r="O257" s="1073"/>
      <c r="P257" s="1130">
        <f t="shared" ca="1" si="64"/>
        <v>10414984.187061965</v>
      </c>
      <c r="Q257" s="1130">
        <f t="shared" ca="1" si="65"/>
        <v>312110644.2335425</v>
      </c>
      <c r="R257" s="1130">
        <f t="shared" ca="1" si="73"/>
        <v>322004879.21125138</v>
      </c>
      <c r="S257" s="1130">
        <f t="shared" ca="1" si="74"/>
        <v>9894234.9777088761</v>
      </c>
      <c r="T257" s="1130">
        <f t="shared" ca="1" si="66"/>
        <v>312110644.2335425</v>
      </c>
      <c r="U257" s="1132">
        <f t="shared" ca="1" si="67"/>
        <v>2.727190859909643E-2</v>
      </c>
      <c r="V257" s="1133">
        <f t="shared" ca="1" si="68"/>
        <v>5.0000000000000044E-2</v>
      </c>
      <c r="X257" s="1134">
        <f t="shared" ca="1" si="75"/>
        <v>16947625.221644819</v>
      </c>
      <c r="Y257" s="1134">
        <f t="shared" ca="1" si="69"/>
        <v>520749.20935308933</v>
      </c>
      <c r="Z257" s="1134">
        <f t="shared" ca="1" si="70"/>
        <v>16426876.012291729</v>
      </c>
      <c r="AA257" s="1132">
        <f t="shared" ca="1" si="71"/>
        <v>2.9179795491812703E-2</v>
      </c>
      <c r="AB257" s="1105"/>
    </row>
    <row r="258" spans="1:28">
      <c r="A258" s="1144">
        <f>Calendar!J250</f>
        <v>52531</v>
      </c>
      <c r="C258" s="1104"/>
      <c r="D258" s="1125">
        <f t="shared" ca="1" si="57"/>
        <v>53751</v>
      </c>
      <c r="E258" s="1126">
        <f t="shared" ca="1" si="58"/>
        <v>53778</v>
      </c>
      <c r="F258" s="1127">
        <f t="shared" ca="1" si="59"/>
        <v>7548</v>
      </c>
      <c r="G258" s="1128">
        <f ca="1">IF(F258&lt;&gt;"",COUNTIF($F$11:F258,"&gt;0"),"")</f>
        <v>248</v>
      </c>
      <c r="H258" s="1129">
        <v>3.1454103598447816E-2</v>
      </c>
      <c r="I258" s="1073"/>
      <c r="J258" s="1130">
        <f t="shared" ca="1" si="60"/>
        <v>328537520.24583423</v>
      </c>
      <c r="K258" s="1131">
        <f t="shared" ca="1" si="61"/>
        <v>10333853.197789617</v>
      </c>
      <c r="L258" s="1130">
        <f t="shared" ca="1" si="62"/>
        <v>0</v>
      </c>
      <c r="M258" s="1130">
        <f t="shared" ca="1" si="63"/>
        <v>0</v>
      </c>
      <c r="N258" s="1130">
        <f t="shared" ca="1" si="72"/>
        <v>318203667.04804462</v>
      </c>
      <c r="O258" s="1073"/>
      <c r="P258" s="1130">
        <f t="shared" ca="1" si="64"/>
        <v>10333853.197789609</v>
      </c>
      <c r="Q258" s="1130">
        <f t="shared" ca="1" si="65"/>
        <v>302293483.69564235</v>
      </c>
      <c r="R258" s="1130">
        <f t="shared" ca="1" si="73"/>
        <v>312110644.2335425</v>
      </c>
      <c r="S258" s="1130">
        <f t="shared" ca="1" si="74"/>
        <v>9817160.5379001498</v>
      </c>
      <c r="T258" s="1130">
        <f t="shared" ca="1" si="66"/>
        <v>302293483.69564235</v>
      </c>
      <c r="U258" s="1132">
        <f t="shared" ca="1" si="67"/>
        <v>2.6433925421229632E-2</v>
      </c>
      <c r="V258" s="1133">
        <f t="shared" ca="1" si="68"/>
        <v>5.0000000000000155E-2</v>
      </c>
      <c r="X258" s="1134">
        <f t="shared" ca="1" si="75"/>
        <v>16426876.012291729</v>
      </c>
      <c r="Y258" s="1134">
        <f t="shared" ca="1" si="69"/>
        <v>516692.65988945961</v>
      </c>
      <c r="Z258" s="1134">
        <f t="shared" ca="1" si="70"/>
        <v>15910183.35240227</v>
      </c>
      <c r="AA258" s="1132">
        <f t="shared" ca="1" si="71"/>
        <v>2.8283188726397606E-2</v>
      </c>
      <c r="AB258" s="1105"/>
    </row>
    <row r="259" spans="1:28">
      <c r="A259" s="1144">
        <f>Calendar!J251</f>
        <v>52562</v>
      </c>
      <c r="C259" s="1104"/>
      <c r="D259" s="1125">
        <f t="shared" ca="1" si="57"/>
        <v>53782</v>
      </c>
      <c r="E259" s="1126">
        <f t="shared" ca="1" si="58"/>
        <v>53811</v>
      </c>
      <c r="F259" s="1127">
        <f t="shared" ca="1" si="59"/>
        <v>7581</v>
      </c>
      <c r="G259" s="1128">
        <f ca="1">IF(F259&lt;&gt;"",COUNTIF($F$11:F259,"&gt;0"),"")</f>
        <v>249</v>
      </c>
      <c r="H259" s="1129">
        <v>3.2332006128677628E-2</v>
      </c>
      <c r="I259" s="1073"/>
      <c r="J259" s="1130">
        <f t="shared" ca="1" si="60"/>
        <v>318203667.04804462</v>
      </c>
      <c r="K259" s="1131">
        <f t="shared" ca="1" si="61"/>
        <v>10288162.913165074</v>
      </c>
      <c r="L259" s="1130">
        <f t="shared" ca="1" si="62"/>
        <v>0</v>
      </c>
      <c r="M259" s="1130">
        <f t="shared" ca="1" si="63"/>
        <v>0</v>
      </c>
      <c r="N259" s="1130">
        <f t="shared" ca="1" si="72"/>
        <v>307915504.13487953</v>
      </c>
      <c r="O259" s="1073"/>
      <c r="P259" s="1130">
        <f t="shared" ca="1" si="64"/>
        <v>10288162.913165092</v>
      </c>
      <c r="Q259" s="1130">
        <f t="shared" ca="1" si="65"/>
        <v>292519728.92813551</v>
      </c>
      <c r="R259" s="1130">
        <f t="shared" ca="1" si="73"/>
        <v>302293483.69564235</v>
      </c>
      <c r="S259" s="1130">
        <f t="shared" ca="1" si="74"/>
        <v>9773754.7675068378</v>
      </c>
      <c r="T259" s="1130">
        <f t="shared" ca="1" si="66"/>
        <v>292519728.92813551</v>
      </c>
      <c r="U259" s="1132">
        <f t="shared" ca="1" si="67"/>
        <v>2.5602469992516631E-2</v>
      </c>
      <c r="V259" s="1133">
        <f t="shared" ca="1" si="68"/>
        <v>5.0000000000000155E-2</v>
      </c>
      <c r="X259" s="1134">
        <f t="shared" ca="1" si="75"/>
        <v>15910183.35240227</v>
      </c>
      <c r="Y259" s="1134">
        <f t="shared" ca="1" si="69"/>
        <v>514408.14565825462</v>
      </c>
      <c r="Z259" s="1134">
        <f t="shared" ca="1" si="70"/>
        <v>15395775.206744015</v>
      </c>
      <c r="AA259" s="1132">
        <f t="shared" ca="1" si="71"/>
        <v>2.7393566378103081E-2</v>
      </c>
      <c r="AB259" s="1105"/>
    </row>
    <row r="260" spans="1:28">
      <c r="A260" s="1144">
        <f>Calendar!J252</f>
        <v>52593</v>
      </c>
      <c r="C260" s="1104"/>
      <c r="D260" s="1125">
        <f t="shared" ca="1" si="57"/>
        <v>53812</v>
      </c>
      <c r="E260" s="1126">
        <f t="shared" ca="1" si="58"/>
        <v>53839</v>
      </c>
      <c r="F260" s="1127">
        <f t="shared" ca="1" si="59"/>
        <v>7609</v>
      </c>
      <c r="G260" s="1128">
        <f ca="1">IF(F260&lt;&gt;"",COUNTIF($F$11:F260,"&gt;0"),"")</f>
        <v>250</v>
      </c>
      <c r="H260" s="1129">
        <v>3.3097341124325198E-2</v>
      </c>
      <c r="I260" s="1073"/>
      <c r="J260" s="1130">
        <f t="shared" ca="1" si="60"/>
        <v>307915504.13487953</v>
      </c>
      <c r="K260" s="1131">
        <f t="shared" ca="1" si="61"/>
        <v>10191184.477820674</v>
      </c>
      <c r="L260" s="1130">
        <f t="shared" ca="1" si="62"/>
        <v>0</v>
      </c>
      <c r="M260" s="1130">
        <f t="shared" ca="1" si="63"/>
        <v>0</v>
      </c>
      <c r="N260" s="1130">
        <f t="shared" ca="1" si="72"/>
        <v>297724319.65705884</v>
      </c>
      <c r="O260" s="1073"/>
      <c r="P260" s="1130">
        <f t="shared" ca="1" si="64"/>
        <v>10191184.477820694</v>
      </c>
      <c r="Q260" s="1130">
        <f t="shared" ca="1" si="65"/>
        <v>282838103.6742059</v>
      </c>
      <c r="R260" s="1130">
        <f t="shared" ca="1" si="73"/>
        <v>292519728.92813551</v>
      </c>
      <c r="S260" s="1130">
        <f t="shared" ca="1" si="74"/>
        <v>9681625.253929615</v>
      </c>
      <c r="T260" s="1130">
        <f t="shared" ca="1" si="66"/>
        <v>282838103.6742059</v>
      </c>
      <c r="U260" s="1132">
        <f t="shared" ca="1" si="67"/>
        <v>2.4774690775809297E-2</v>
      </c>
      <c r="V260" s="1133">
        <f t="shared" ca="1" si="68"/>
        <v>4.9999999999999933E-2</v>
      </c>
      <c r="X260" s="1134">
        <f t="shared" ca="1" si="75"/>
        <v>15395775.206744015</v>
      </c>
      <c r="Y260" s="1134">
        <f t="shared" ca="1" si="69"/>
        <v>509559.22389107943</v>
      </c>
      <c r="Z260" s="1134">
        <f t="shared" ca="1" si="70"/>
        <v>14886215.982852936</v>
      </c>
      <c r="AA260" s="1132">
        <f t="shared" ca="1" si="71"/>
        <v>2.6507877422079915E-2</v>
      </c>
      <c r="AB260" s="1105"/>
    </row>
    <row r="261" spans="1:28">
      <c r="A261" s="1144">
        <f>Calendar!J253</f>
        <v>52623</v>
      </c>
      <c r="C261" s="1104"/>
      <c r="D261" s="1125">
        <f t="shared" ca="1" si="57"/>
        <v>53843</v>
      </c>
      <c r="E261" s="1126">
        <f t="shared" ca="1" si="58"/>
        <v>53870</v>
      </c>
      <c r="F261" s="1127">
        <f t="shared" ca="1" si="59"/>
        <v>7640</v>
      </c>
      <c r="G261" s="1128">
        <f ca="1">IF(F261&lt;&gt;"",COUNTIF($F$11:F261,"&gt;0"),"")</f>
        <v>251</v>
      </c>
      <c r="H261" s="1129">
        <v>3.3942781075839305E-2</v>
      </c>
      <c r="I261" s="1073"/>
      <c r="J261" s="1130">
        <f t="shared" ca="1" si="60"/>
        <v>297724319.65705884</v>
      </c>
      <c r="K261" s="1131">
        <f t="shared" ca="1" si="61"/>
        <v>10105591.403072748</v>
      </c>
      <c r="L261" s="1130">
        <f t="shared" ca="1" si="62"/>
        <v>0</v>
      </c>
      <c r="M261" s="1130">
        <f t="shared" ca="1" si="63"/>
        <v>0</v>
      </c>
      <c r="N261" s="1130">
        <f t="shared" ca="1" si="72"/>
        <v>287618728.25398606</v>
      </c>
      <c r="O261" s="1073"/>
      <c r="P261" s="1130">
        <f t="shared" ca="1" si="64"/>
        <v>10105591.403072774</v>
      </c>
      <c r="Q261" s="1130">
        <f t="shared" ca="1" si="65"/>
        <v>273237791.84128672</v>
      </c>
      <c r="R261" s="1130">
        <f t="shared" ca="1" si="73"/>
        <v>282838103.6742059</v>
      </c>
      <c r="S261" s="1130">
        <f t="shared" ca="1" si="74"/>
        <v>9600311.8329191804</v>
      </c>
      <c r="T261" s="1130">
        <f t="shared" ca="1" si="66"/>
        <v>273237791.84128672</v>
      </c>
      <c r="U261" s="1132">
        <f t="shared" ca="1" si="67"/>
        <v>2.3954714383952663E-2</v>
      </c>
      <c r="V261" s="1133">
        <f t="shared" ca="1" si="68"/>
        <v>5.0000000000000155E-2</v>
      </c>
      <c r="X261" s="1134">
        <f t="shared" ca="1" si="75"/>
        <v>14886215.982852936</v>
      </c>
      <c r="Y261" s="1134">
        <f t="shared" ca="1" si="69"/>
        <v>505279.57015359402</v>
      </c>
      <c r="Z261" s="1134">
        <f t="shared" ca="1" si="70"/>
        <v>14380936.412699342</v>
      </c>
      <c r="AA261" s="1132">
        <f t="shared" ca="1" si="71"/>
        <v>2.5630537160559463E-2</v>
      </c>
      <c r="AB261" s="1105"/>
    </row>
    <row r="262" spans="1:28">
      <c r="A262" s="1144">
        <f>Calendar!J254</f>
        <v>52656</v>
      </c>
      <c r="C262" s="1104"/>
      <c r="D262" s="1125">
        <f t="shared" ca="1" si="57"/>
        <v>53873</v>
      </c>
      <c r="E262" s="1126">
        <f t="shared" ca="1" si="58"/>
        <v>53902</v>
      </c>
      <c r="F262" s="1127">
        <f t="shared" ca="1" si="59"/>
        <v>7672</v>
      </c>
      <c r="G262" s="1128">
        <f ca="1">IF(F262&lt;&gt;"",COUNTIF($F$11:F262,"&gt;0"),"")</f>
        <v>252</v>
      </c>
      <c r="H262" s="1129">
        <v>3.4898352762308835E-2</v>
      </c>
      <c r="I262" s="1073"/>
      <c r="J262" s="1130">
        <f t="shared" ca="1" si="60"/>
        <v>287618728.25398606</v>
      </c>
      <c r="K262" s="1131">
        <f t="shared" ca="1" si="61"/>
        <v>10037419.839654248</v>
      </c>
      <c r="L262" s="1130">
        <f t="shared" ca="1" si="62"/>
        <v>0</v>
      </c>
      <c r="M262" s="1130">
        <f t="shared" ca="1" si="63"/>
        <v>0</v>
      </c>
      <c r="N262" s="1130">
        <f t="shared" ca="1" si="72"/>
        <v>277581308.41433179</v>
      </c>
      <c r="O262" s="1073"/>
      <c r="P262" s="1130">
        <f t="shared" ca="1" si="64"/>
        <v>10037419.839654267</v>
      </c>
      <c r="Q262" s="1130">
        <f t="shared" ca="1" si="65"/>
        <v>263702242.99361518</v>
      </c>
      <c r="R262" s="1130">
        <f t="shared" ca="1" si="73"/>
        <v>273237791.84128672</v>
      </c>
      <c r="S262" s="1130">
        <f t="shared" ca="1" si="74"/>
        <v>9535548.8476715386</v>
      </c>
      <c r="T262" s="1130">
        <f t="shared" ca="1" si="66"/>
        <v>263702242.99361518</v>
      </c>
      <c r="U262" s="1132">
        <f t="shared" ca="1" si="67"/>
        <v>2.3141624757883894E-2</v>
      </c>
      <c r="V262" s="1133">
        <f t="shared" ca="1" si="68"/>
        <v>5.0000000000000044E-2</v>
      </c>
      <c r="X262" s="1134">
        <f t="shared" ca="1" si="75"/>
        <v>14380936.412699342</v>
      </c>
      <c r="Y262" s="1134">
        <f t="shared" ca="1" si="69"/>
        <v>501870.99198272824</v>
      </c>
      <c r="Z262" s="1134">
        <f t="shared" ca="1" si="70"/>
        <v>13879065.420716614</v>
      </c>
      <c r="AA262" s="1132">
        <f t="shared" ca="1" si="71"/>
        <v>2.4760565448862504E-2</v>
      </c>
      <c r="AB262" s="1105"/>
    </row>
    <row r="263" spans="1:28">
      <c r="A263" s="1144">
        <f>Calendar!J255</f>
        <v>52684</v>
      </c>
      <c r="C263" s="1104"/>
      <c r="D263" s="1125">
        <f t="shared" ca="1" si="57"/>
        <v>53904</v>
      </c>
      <c r="E263" s="1126">
        <f t="shared" ca="1" si="58"/>
        <v>53931</v>
      </c>
      <c r="F263" s="1127">
        <f t="shared" ca="1" si="59"/>
        <v>7701</v>
      </c>
      <c r="G263" s="1128">
        <f ca="1">IF(F263&lt;&gt;"",COUNTIF($F$11:F263,"&gt;0"),"")</f>
        <v>253</v>
      </c>
      <c r="H263" s="1129">
        <v>3.5822025539704504E-2</v>
      </c>
      <c r="I263" s="1073"/>
      <c r="J263" s="1130">
        <f t="shared" ca="1" si="60"/>
        <v>277581308.41433179</v>
      </c>
      <c r="K263" s="1131">
        <f t="shared" ca="1" si="61"/>
        <v>9943524.719362786</v>
      </c>
      <c r="L263" s="1130">
        <f t="shared" ca="1" si="62"/>
        <v>0</v>
      </c>
      <c r="M263" s="1130">
        <f t="shared" ca="1" si="63"/>
        <v>0</v>
      </c>
      <c r="N263" s="1130">
        <f t="shared" ca="1" si="72"/>
        <v>267637783.694969</v>
      </c>
      <c r="O263" s="1073"/>
      <c r="P263" s="1130">
        <f t="shared" ca="1" si="64"/>
        <v>9943524.7193627954</v>
      </c>
      <c r="Q263" s="1130">
        <f t="shared" ca="1" si="65"/>
        <v>254255894.51022053</v>
      </c>
      <c r="R263" s="1130">
        <f t="shared" ca="1" si="73"/>
        <v>263702242.99361518</v>
      </c>
      <c r="S263" s="1130">
        <f t="shared" ca="1" si="74"/>
        <v>9446348.4833946526</v>
      </c>
      <c r="T263" s="1130">
        <f t="shared" ca="1" si="66"/>
        <v>254255894.51022053</v>
      </c>
      <c r="U263" s="1132">
        <f t="shared" ca="1" si="67"/>
        <v>2.2334020173590281E-2</v>
      </c>
      <c r="V263" s="1133">
        <f t="shared" ca="1" si="68"/>
        <v>5.0000000000000044E-2</v>
      </c>
      <c r="X263" s="1134">
        <f t="shared" ca="1" si="75"/>
        <v>13879065.420716614</v>
      </c>
      <c r="Y263" s="1134">
        <f t="shared" ca="1" si="69"/>
        <v>497176.23596814275</v>
      </c>
      <c r="Z263" s="1134">
        <f t="shared" ca="1" si="70"/>
        <v>13381889.184748471</v>
      </c>
      <c r="AA263" s="1132">
        <f t="shared" ca="1" si="71"/>
        <v>2.3896462501233839E-2</v>
      </c>
      <c r="AB263" s="1105"/>
    </row>
    <row r="264" spans="1:28">
      <c r="A264" s="1144">
        <f>Calendar!J256</f>
        <v>52714</v>
      </c>
      <c r="C264" s="1104"/>
      <c r="D264" s="1125">
        <f t="shared" ca="1" si="57"/>
        <v>53935</v>
      </c>
      <c r="E264" s="1126">
        <f t="shared" ca="1" si="58"/>
        <v>53962</v>
      </c>
      <c r="F264" s="1127">
        <f t="shared" ca="1" si="59"/>
        <v>7732</v>
      </c>
      <c r="G264" s="1128">
        <f ca="1">IF(F264&lt;&gt;"",COUNTIF($F$11:F264,"&gt;0"),"")</f>
        <v>254</v>
      </c>
      <c r="H264" s="1129">
        <v>3.6756342797182935E-2</v>
      </c>
      <c r="I264" s="1073"/>
      <c r="J264" s="1130">
        <f t="shared" ca="1" si="60"/>
        <v>267637783.694969</v>
      </c>
      <c r="K264" s="1131">
        <f t="shared" ca="1" si="61"/>
        <v>9837386.1229705773</v>
      </c>
      <c r="L264" s="1130">
        <f t="shared" ca="1" si="62"/>
        <v>0</v>
      </c>
      <c r="M264" s="1130">
        <f t="shared" ca="1" si="63"/>
        <v>0</v>
      </c>
      <c r="N264" s="1130">
        <f t="shared" ca="1" si="72"/>
        <v>257800397.57199842</v>
      </c>
      <c r="O264" s="1073"/>
      <c r="P264" s="1130">
        <f t="shared" ca="1" si="64"/>
        <v>9837386.1229705811</v>
      </c>
      <c r="Q264" s="1130">
        <f t="shared" ca="1" si="65"/>
        <v>244910377.69339848</v>
      </c>
      <c r="R264" s="1130">
        <f t="shared" ca="1" si="73"/>
        <v>254255894.51022053</v>
      </c>
      <c r="S264" s="1130">
        <f t="shared" ca="1" si="74"/>
        <v>9345516.816822052</v>
      </c>
      <c r="T264" s="1130">
        <f t="shared" ca="1" si="66"/>
        <v>244910377.69339848</v>
      </c>
      <c r="U264" s="1132">
        <f t="shared" ca="1" si="67"/>
        <v>2.1533970332527654E-2</v>
      </c>
      <c r="V264" s="1133">
        <f t="shared" ca="1" si="68"/>
        <v>5.0000000000000044E-2</v>
      </c>
      <c r="X264" s="1134">
        <f t="shared" ca="1" si="75"/>
        <v>13381889.184748471</v>
      </c>
      <c r="Y264" s="1134">
        <f t="shared" ca="1" si="69"/>
        <v>491869.30614852905</v>
      </c>
      <c r="Z264" s="1134">
        <f t="shared" ca="1" si="70"/>
        <v>12890019.878599942</v>
      </c>
      <c r="AA264" s="1132">
        <f t="shared" ca="1" si="71"/>
        <v>2.3040442811206045E-2</v>
      </c>
      <c r="AB264" s="1105"/>
    </row>
    <row r="265" spans="1:28">
      <c r="A265" s="1144">
        <f>Calendar!J257</f>
        <v>52744</v>
      </c>
      <c r="C265" s="1104"/>
      <c r="D265" s="1125">
        <f t="shared" ca="1" si="57"/>
        <v>53965</v>
      </c>
      <c r="E265" s="1126">
        <f t="shared" ca="1" si="58"/>
        <v>53993</v>
      </c>
      <c r="F265" s="1127">
        <f t="shared" ca="1" si="59"/>
        <v>7763</v>
      </c>
      <c r="G265" s="1128">
        <f ca="1">IF(F265&lt;&gt;"",COUNTIF($F$11:F265,"&gt;0"),"")</f>
        <v>255</v>
      </c>
      <c r="H265" s="1129">
        <v>3.7649027021381273E-2</v>
      </c>
      <c r="I265" s="1073"/>
      <c r="J265" s="1130">
        <f t="shared" ca="1" si="60"/>
        <v>257800397.57199842</v>
      </c>
      <c r="K265" s="1131">
        <f t="shared" ca="1" si="61"/>
        <v>9705934.1343110036</v>
      </c>
      <c r="L265" s="1130">
        <f t="shared" ca="1" si="62"/>
        <v>0</v>
      </c>
      <c r="M265" s="1130">
        <f t="shared" ca="1" si="63"/>
        <v>0</v>
      </c>
      <c r="N265" s="1130">
        <f t="shared" ca="1" si="72"/>
        <v>248094463.43768743</v>
      </c>
      <c r="O265" s="1073"/>
      <c r="P265" s="1130">
        <f t="shared" ca="1" si="64"/>
        <v>9705934.1343109906</v>
      </c>
      <c r="Q265" s="1130">
        <f t="shared" ca="1" si="65"/>
        <v>235689740.26580304</v>
      </c>
      <c r="R265" s="1130">
        <f t="shared" ca="1" si="73"/>
        <v>244910377.69339848</v>
      </c>
      <c r="S265" s="1130">
        <f t="shared" ca="1" si="74"/>
        <v>9220637.4275954366</v>
      </c>
      <c r="T265" s="1130">
        <f t="shared" ca="1" si="66"/>
        <v>235689740.26580304</v>
      </c>
      <c r="U265" s="1132">
        <f t="shared" ca="1" si="67"/>
        <v>2.07424603372009E-2</v>
      </c>
      <c r="V265" s="1133">
        <f t="shared" ca="1" si="68"/>
        <v>5.0000000000000044E-2</v>
      </c>
      <c r="X265" s="1134">
        <f t="shared" ca="1" si="75"/>
        <v>12890019.878599942</v>
      </c>
      <c r="Y265" s="1134">
        <f t="shared" ca="1" si="69"/>
        <v>485296.706715554</v>
      </c>
      <c r="Z265" s="1134">
        <f t="shared" ca="1" si="70"/>
        <v>12404723.171884388</v>
      </c>
      <c r="AA265" s="1132">
        <f t="shared" ca="1" si="71"/>
        <v>2.2193560397038466E-2</v>
      </c>
      <c r="AB265" s="1105"/>
    </row>
    <row r="266" spans="1:28">
      <c r="A266" s="1144">
        <f>Calendar!J258</f>
        <v>52775</v>
      </c>
      <c r="C266" s="1104"/>
      <c r="D266" s="1125">
        <f t="shared" ca="1" si="57"/>
        <v>53996</v>
      </c>
      <c r="E266" s="1126">
        <f t="shared" ca="1" si="58"/>
        <v>54023</v>
      </c>
      <c r="F266" s="1127">
        <f t="shared" ca="1" si="59"/>
        <v>7793</v>
      </c>
      <c r="G266" s="1128">
        <f ca="1">IF(F266&lt;&gt;"",COUNTIF($F$11:F266,"&gt;0"),"")</f>
        <v>256</v>
      </c>
      <c r="H266" s="1129">
        <v>3.8734567306949054E-2</v>
      </c>
      <c r="I266" s="1073"/>
      <c r="J266" s="1130">
        <f t="shared" ca="1" si="60"/>
        <v>248094463.43768743</v>
      </c>
      <c r="K266" s="1131">
        <f t="shared" ca="1" si="61"/>
        <v>9609831.692508515</v>
      </c>
      <c r="L266" s="1130">
        <f t="shared" ca="1" si="62"/>
        <v>0</v>
      </c>
      <c r="M266" s="1130">
        <f t="shared" ca="1" si="63"/>
        <v>0</v>
      </c>
      <c r="N266" s="1130">
        <f t="shared" ca="1" si="72"/>
        <v>238484631.74517891</v>
      </c>
      <c r="O266" s="1073"/>
      <c r="P266" s="1130">
        <f t="shared" ca="1" si="64"/>
        <v>9609831.6925085187</v>
      </c>
      <c r="Q266" s="1130">
        <f t="shared" ca="1" si="65"/>
        <v>226560400.15791994</v>
      </c>
      <c r="R266" s="1130">
        <f t="shared" ca="1" si="73"/>
        <v>235689740.26580304</v>
      </c>
      <c r="S266" s="1130">
        <f t="shared" ca="1" si="74"/>
        <v>9129340.1078830957</v>
      </c>
      <c r="T266" s="1130">
        <f t="shared" ca="1" si="66"/>
        <v>226560400.15791994</v>
      </c>
      <c r="U266" s="1132">
        <f t="shared" ca="1" si="67"/>
        <v>1.9961526887475697E-2</v>
      </c>
      <c r="V266" s="1133">
        <f t="shared" ca="1" si="68"/>
        <v>5.0000000000000044E-2</v>
      </c>
      <c r="X266" s="1134">
        <f t="shared" ca="1" si="75"/>
        <v>12404723.171884388</v>
      </c>
      <c r="Y266" s="1134">
        <f t="shared" ca="1" si="69"/>
        <v>480491.58462542295</v>
      </c>
      <c r="Z266" s="1134">
        <f t="shared" ca="1" si="70"/>
        <v>11924231.587258965</v>
      </c>
      <c r="AA266" s="1132">
        <f t="shared" ca="1" si="71"/>
        <v>2.1357994441949704E-2</v>
      </c>
      <c r="AB266" s="1105"/>
    </row>
    <row r="267" spans="1:28">
      <c r="A267" s="1144">
        <f>Calendar!J259</f>
        <v>52805</v>
      </c>
      <c r="C267" s="1104"/>
      <c r="D267" s="1125">
        <f t="shared" ca="1" si="57"/>
        <v>54026</v>
      </c>
      <c r="E267" s="1126">
        <f t="shared" ca="1" si="58"/>
        <v>54053</v>
      </c>
      <c r="F267" s="1127">
        <f t="shared" ca="1" si="59"/>
        <v>7823</v>
      </c>
      <c r="G267" s="1128">
        <f ca="1">IF(F267&lt;&gt;"",COUNTIF($F$11:F267,"&gt;0"),"")</f>
        <v>257</v>
      </c>
      <c r="H267" s="1129">
        <v>3.9883850534009946E-2</v>
      </c>
      <c r="I267" s="1073"/>
      <c r="J267" s="1130">
        <f t="shared" ca="1" si="60"/>
        <v>238484631.74517891</v>
      </c>
      <c r="K267" s="1131">
        <f t="shared" ca="1" si="61"/>
        <v>9511685.4071831182</v>
      </c>
      <c r="L267" s="1130">
        <f t="shared" ca="1" si="62"/>
        <v>0</v>
      </c>
      <c r="M267" s="1130">
        <f t="shared" ca="1" si="63"/>
        <v>0</v>
      </c>
      <c r="N267" s="1130">
        <f t="shared" ca="1" si="72"/>
        <v>228972946.3379958</v>
      </c>
      <c r="O267" s="1073"/>
      <c r="P267" s="1130">
        <f t="shared" ca="1" si="64"/>
        <v>9511685.4071831107</v>
      </c>
      <c r="Q267" s="1130">
        <f t="shared" ca="1" si="65"/>
        <v>217524299.02109599</v>
      </c>
      <c r="R267" s="1130">
        <f t="shared" ca="1" si="73"/>
        <v>226560400.15791994</v>
      </c>
      <c r="S267" s="1130">
        <f t="shared" ca="1" si="74"/>
        <v>9036101.1368239522</v>
      </c>
      <c r="T267" s="1130">
        <f t="shared" ca="1" si="66"/>
        <v>217524299.02109599</v>
      </c>
      <c r="U267" s="1132">
        <f t="shared" ca="1" si="67"/>
        <v>1.9188325780703296E-2</v>
      </c>
      <c r="V267" s="1133">
        <f t="shared" ca="1" si="68"/>
        <v>5.0000000000000044E-2</v>
      </c>
      <c r="X267" s="1134">
        <f t="shared" ca="1" si="75"/>
        <v>11924231.587258965</v>
      </c>
      <c r="Y267" s="1134">
        <f t="shared" ca="1" si="69"/>
        <v>475584.27035915852</v>
      </c>
      <c r="Z267" s="1134">
        <f t="shared" ca="1" si="70"/>
        <v>11448647.316899806</v>
      </c>
      <c r="AA267" s="1132">
        <f t="shared" ca="1" si="71"/>
        <v>2.0530701768696563E-2</v>
      </c>
      <c r="AB267" s="1105"/>
    </row>
    <row r="268" spans="1:28">
      <c r="A268" s="1144">
        <f>Calendar!J260</f>
        <v>52838</v>
      </c>
      <c r="C268" s="1104"/>
      <c r="D268" s="1125">
        <f t="shared" ref="D268:D331" ca="1" si="76">IF(E268&lt;&gt;"",EOMONTH(E268,-1),"")</f>
        <v>54057</v>
      </c>
      <c r="E268" s="1126">
        <f t="shared" ref="E268:E331" ca="1" si="77">IF(INDIRECT("A"&amp;(IFERROR(MATCH(E267,A:A),999)+1))&gt;0,INDIRECT("A"&amp;(IFERROR(MATCH(E267,A:A),999)+1)),"")</f>
        <v>54084</v>
      </c>
      <c r="F268" s="1127">
        <f t="shared" ref="F268:F331" ca="1" si="78">IF(E268&lt;&gt;"",E268-$A$31,"")</f>
        <v>7854</v>
      </c>
      <c r="G268" s="1128">
        <f ca="1">IF(F268&lt;&gt;"",COUNTIF($F$11:F268,"&gt;0"),"")</f>
        <v>258</v>
      </c>
      <c r="H268" s="1129">
        <v>4.1168608999543173E-2</v>
      </c>
      <c r="I268" s="1073"/>
      <c r="J268" s="1130">
        <f t="shared" ref="J268:J331" ca="1" si="79">IF(G268=1,$A$7,N267)</f>
        <v>228972946.3379958</v>
      </c>
      <c r="K268" s="1131">
        <f t="shared" ref="K268:K331" ca="1" si="80">H268*J268</f>
        <v>9426497.6992623303</v>
      </c>
      <c r="L268" s="1130">
        <f t="shared" ref="L268:L331" ca="1" si="81">IF(E268&lt;&gt;"",(1-(1-$A$25)^(1/12))*(J268-K268),"")</f>
        <v>0</v>
      </c>
      <c r="M268" s="1130">
        <f t="shared" ref="M268:M331" ca="1" si="82">IF(J268-K268-L268&lt;$A$27*$A$5,J268-K268-L268,0)</f>
        <v>0</v>
      </c>
      <c r="N268" s="1130">
        <f t="shared" ca="1" si="72"/>
        <v>219546448.63873348</v>
      </c>
      <c r="O268" s="1073"/>
      <c r="P268" s="1130">
        <f t="shared" ref="P268:P331" ca="1" si="83">IF(G268&lt;&gt; "", R268+X268-N268, "")</f>
        <v>9426497.699262321</v>
      </c>
      <c r="Q268" s="1130">
        <f t="shared" ref="Q268:Q331" ca="1" si="84">IF(E268&lt;&gt;"", N268*(1-$A$15), "")</f>
        <v>208569126.2067968</v>
      </c>
      <c r="R268" s="1130">
        <f t="shared" ca="1" si="73"/>
        <v>217524299.02109599</v>
      </c>
      <c r="S268" s="1130">
        <f t="shared" ca="1" si="74"/>
        <v>8955172.814299196</v>
      </c>
      <c r="T268" s="1130">
        <f t="shared" ref="T268:T331" ca="1" si="85">IF(E268&lt;&gt;"", R268-S268, "")</f>
        <v>208569126.2067968</v>
      </c>
      <c r="U268" s="1132">
        <f t="shared" ref="U268:U331" ca="1" si="86">IF(E268&lt;&gt;"", R268/$A$11, "")</f>
        <v>1.8423021463267835E-2</v>
      </c>
      <c r="V268" s="1133">
        <f t="shared" ref="V268:V331" ca="1" si="87">IF(E268&lt;&gt;"", IFERROR(1-T268/N268, "n.a."), "")</f>
        <v>5.0000000000000044E-2</v>
      </c>
      <c r="X268" s="1134">
        <f t="shared" ca="1" si="75"/>
        <v>11448647.316899806</v>
      </c>
      <c r="Y268" s="1134">
        <f t="shared" ref="Y268:Y331" ca="1" si="88">IF(E268&lt;&gt;"", P268-S268, "")</f>
        <v>471324.88496312499</v>
      </c>
      <c r="Z268" s="1134">
        <f t="shared" ref="Z268:Z331" ca="1" si="89">IF(E268&lt;&gt;"", X268-Y268, "")</f>
        <v>10977322.431936681</v>
      </c>
      <c r="AA268" s="1132">
        <f t="shared" ref="AA268:AA331" ca="1" si="90">IF(E268&lt;&gt;"", X268/$A$19, "")</f>
        <v>1.9711858327995536E-2</v>
      </c>
      <c r="AB268" s="1105"/>
    </row>
    <row r="269" spans="1:28">
      <c r="A269" s="1144">
        <f>Calendar!J261</f>
        <v>52867</v>
      </c>
      <c r="C269" s="1104"/>
      <c r="D269" s="1125">
        <f t="shared" ca="1" si="76"/>
        <v>54088</v>
      </c>
      <c r="E269" s="1126">
        <f t="shared" ca="1" si="77"/>
        <v>54115</v>
      </c>
      <c r="F269" s="1127">
        <f t="shared" ca="1" si="78"/>
        <v>7885</v>
      </c>
      <c r="G269" s="1128">
        <f ca="1">IF(F269&lt;&gt;"",COUNTIF($F$11:F269,"&gt;0"),"")</f>
        <v>259</v>
      </c>
      <c r="H269" s="1129">
        <v>4.2380601478297121E-2</v>
      </c>
      <c r="I269" s="1073"/>
      <c r="J269" s="1130">
        <f t="shared" ca="1" si="79"/>
        <v>219546448.63873348</v>
      </c>
      <c r="K269" s="1131">
        <f t="shared" ca="1" si="80"/>
        <v>9304510.5457335915</v>
      </c>
      <c r="L269" s="1130">
        <f t="shared" ca="1" si="81"/>
        <v>0</v>
      </c>
      <c r="M269" s="1130">
        <f t="shared" ca="1" si="82"/>
        <v>0</v>
      </c>
      <c r="N269" s="1130">
        <f t="shared" ref="N269:N332" ca="1" si="91">IF(E269&lt;&gt;"",J269-K269-L269-M269,"")</f>
        <v>210241938.09299988</v>
      </c>
      <c r="O269" s="1073"/>
      <c r="P269" s="1130">
        <f t="shared" ca="1" si="83"/>
        <v>9304510.5457336009</v>
      </c>
      <c r="Q269" s="1130">
        <f t="shared" ca="1" si="84"/>
        <v>199729841.18834987</v>
      </c>
      <c r="R269" s="1130">
        <f t="shared" ref="R269:R332" ca="1" si="92">IF(E269&lt;&gt;"", T268, "")</f>
        <v>208569126.2067968</v>
      </c>
      <c r="S269" s="1130">
        <f t="shared" ref="S269:S332" ca="1" si="93">IF(E269&lt;&gt;"", MIN(P269,MAX(R269-Q269,0)), "")</f>
        <v>8839285.0184469223</v>
      </c>
      <c r="T269" s="1130">
        <f t="shared" ca="1" si="85"/>
        <v>199729841.18834987</v>
      </c>
      <c r="U269" s="1132">
        <f t="shared" ca="1" si="86"/>
        <v>1.7664571296056371E-2</v>
      </c>
      <c r="V269" s="1133">
        <f t="shared" ca="1" si="87"/>
        <v>5.0000000000000044E-2</v>
      </c>
      <c r="X269" s="1134">
        <f t="shared" ref="X269:X332" ca="1" si="94">IF(E269&lt;&gt;"", Z268, "")</f>
        <v>10977322.431936681</v>
      </c>
      <c r="Y269" s="1134">
        <f t="shared" ca="1" si="88"/>
        <v>465225.52728667855</v>
      </c>
      <c r="Z269" s="1134">
        <f t="shared" ca="1" si="89"/>
        <v>10512096.904650003</v>
      </c>
      <c r="AA269" s="1132">
        <f t="shared" ca="1" si="90"/>
        <v>1.8900348539835885E-2</v>
      </c>
      <c r="AB269" s="1105"/>
    </row>
    <row r="270" spans="1:28">
      <c r="A270" s="1144">
        <f>Calendar!J262</f>
        <v>52897</v>
      </c>
      <c r="C270" s="1104"/>
      <c r="D270" s="1125">
        <f t="shared" ca="1" si="76"/>
        <v>54117</v>
      </c>
      <c r="E270" s="1126">
        <f t="shared" ca="1" si="77"/>
        <v>54144</v>
      </c>
      <c r="F270" s="1127">
        <f t="shared" ca="1" si="78"/>
        <v>7914</v>
      </c>
      <c r="G270" s="1128">
        <f ca="1">IF(F270&lt;&gt;"",COUNTIF($F$11:F270,"&gt;0"),"")</f>
        <v>260</v>
      </c>
      <c r="H270" s="1129">
        <v>4.3543732442168893E-2</v>
      </c>
      <c r="I270" s="1073"/>
      <c r="J270" s="1130">
        <f t="shared" ca="1" si="79"/>
        <v>210241938.09299988</v>
      </c>
      <c r="K270" s="1131">
        <f t="shared" ca="1" si="80"/>
        <v>9154718.700444622</v>
      </c>
      <c r="L270" s="1130">
        <f t="shared" ca="1" si="81"/>
        <v>0</v>
      </c>
      <c r="M270" s="1130">
        <f t="shared" ca="1" si="82"/>
        <v>0</v>
      </c>
      <c r="N270" s="1130">
        <f t="shared" ca="1" si="91"/>
        <v>201087219.39255527</v>
      </c>
      <c r="O270" s="1073"/>
      <c r="P270" s="1130">
        <f t="shared" ca="1" si="83"/>
        <v>9154718.7004446089</v>
      </c>
      <c r="Q270" s="1130">
        <f t="shared" ca="1" si="84"/>
        <v>191032858.4229275</v>
      </c>
      <c r="R270" s="1130">
        <f t="shared" ca="1" si="92"/>
        <v>199729841.18834987</v>
      </c>
      <c r="S270" s="1130">
        <f t="shared" ca="1" si="93"/>
        <v>8696982.765422374</v>
      </c>
      <c r="T270" s="1130">
        <f t="shared" ca="1" si="85"/>
        <v>191032858.4229275</v>
      </c>
      <c r="U270" s="1132">
        <f t="shared" ca="1" si="86"/>
        <v>1.6915936139673238E-2</v>
      </c>
      <c r="V270" s="1133">
        <f t="shared" ca="1" si="87"/>
        <v>5.0000000000000044E-2</v>
      </c>
      <c r="X270" s="1134">
        <f t="shared" ca="1" si="94"/>
        <v>10512096.904650003</v>
      </c>
      <c r="Y270" s="1134">
        <f t="shared" ca="1" si="88"/>
        <v>457735.93502223492</v>
      </c>
      <c r="Z270" s="1134">
        <f t="shared" ca="1" si="89"/>
        <v>10054360.969627768</v>
      </c>
      <c r="AA270" s="1132">
        <f t="shared" ca="1" si="90"/>
        <v>1.8099340400568188E-2</v>
      </c>
      <c r="AB270" s="1105"/>
    </row>
    <row r="271" spans="1:28">
      <c r="A271" s="1144">
        <f>Calendar!J263</f>
        <v>52929</v>
      </c>
      <c r="C271" s="1104"/>
      <c r="D271" s="1125">
        <f t="shared" ca="1" si="76"/>
        <v>54148</v>
      </c>
      <c r="E271" s="1126">
        <f t="shared" ca="1" si="77"/>
        <v>54175</v>
      </c>
      <c r="F271" s="1127">
        <f t="shared" ca="1" si="78"/>
        <v>7945</v>
      </c>
      <c r="G271" s="1128">
        <f ca="1">IF(F271&lt;&gt;"",COUNTIF($F$11:F271,"&gt;0"),"")</f>
        <v>261</v>
      </c>
      <c r="H271" s="1129">
        <v>4.4974028314519694E-2</v>
      </c>
      <c r="I271" s="1073"/>
      <c r="J271" s="1130">
        <f t="shared" ca="1" si="79"/>
        <v>201087219.39255527</v>
      </c>
      <c r="K271" s="1131">
        <f t="shared" ca="1" si="80"/>
        <v>9043702.2986488137</v>
      </c>
      <c r="L271" s="1130">
        <f t="shared" ca="1" si="81"/>
        <v>0</v>
      </c>
      <c r="M271" s="1130">
        <f t="shared" ca="1" si="82"/>
        <v>0</v>
      </c>
      <c r="N271" s="1130">
        <f t="shared" ca="1" si="91"/>
        <v>192043517.09390646</v>
      </c>
      <c r="O271" s="1073"/>
      <c r="P271" s="1130">
        <f t="shared" ca="1" si="83"/>
        <v>9043702.2986488044</v>
      </c>
      <c r="Q271" s="1130">
        <f t="shared" ca="1" si="84"/>
        <v>182441341.23921114</v>
      </c>
      <c r="R271" s="1130">
        <f t="shared" ca="1" si="92"/>
        <v>191032858.4229275</v>
      </c>
      <c r="S271" s="1130">
        <f t="shared" ca="1" si="93"/>
        <v>8591517.1837163568</v>
      </c>
      <c r="T271" s="1130">
        <f t="shared" ca="1" si="85"/>
        <v>182441341.23921114</v>
      </c>
      <c r="U271" s="1132">
        <f t="shared" ca="1" si="86"/>
        <v>1.6179353142398493E-2</v>
      </c>
      <c r="V271" s="1133">
        <f t="shared" ca="1" si="87"/>
        <v>4.9999999999999933E-2</v>
      </c>
      <c r="X271" s="1134">
        <f t="shared" ca="1" si="94"/>
        <v>10054360.969627768</v>
      </c>
      <c r="Y271" s="1134">
        <f t="shared" ca="1" si="88"/>
        <v>452185.11493244767</v>
      </c>
      <c r="Z271" s="1134">
        <f t="shared" ca="1" si="89"/>
        <v>9602175.8546953201</v>
      </c>
      <c r="AA271" s="1132">
        <f t="shared" ca="1" si="90"/>
        <v>1.7311227564786102E-2</v>
      </c>
      <c r="AB271" s="1105"/>
    </row>
    <row r="272" spans="1:28">
      <c r="A272" s="1144">
        <f>Calendar!J264</f>
        <v>52958</v>
      </c>
      <c r="C272" s="1104"/>
      <c r="D272" s="1125">
        <f t="shared" ca="1" si="76"/>
        <v>54178</v>
      </c>
      <c r="E272" s="1126">
        <f t="shared" ca="1" si="77"/>
        <v>54205</v>
      </c>
      <c r="F272" s="1127">
        <f t="shared" ca="1" si="78"/>
        <v>7975</v>
      </c>
      <c r="G272" s="1128">
        <f ca="1">IF(F272&lt;&gt;"",COUNTIF($F$11:F272,"&gt;0"),"")</f>
        <v>262</v>
      </c>
      <c r="H272" s="1129">
        <v>4.6209179495479959E-2</v>
      </c>
      <c r="I272" s="1073"/>
      <c r="J272" s="1130">
        <f t="shared" ca="1" si="79"/>
        <v>192043517.09390646</v>
      </c>
      <c r="K272" s="1131">
        <f t="shared" ca="1" si="80"/>
        <v>8874173.3523355983</v>
      </c>
      <c r="L272" s="1130">
        <f t="shared" ca="1" si="81"/>
        <v>0</v>
      </c>
      <c r="M272" s="1130">
        <f t="shared" ca="1" si="82"/>
        <v>0</v>
      </c>
      <c r="N272" s="1130">
        <f t="shared" ca="1" si="91"/>
        <v>183169343.74157086</v>
      </c>
      <c r="O272" s="1073"/>
      <c r="P272" s="1130">
        <f t="shared" ca="1" si="83"/>
        <v>8874173.352335602</v>
      </c>
      <c r="Q272" s="1130">
        <f t="shared" ca="1" si="84"/>
        <v>174010876.55449229</v>
      </c>
      <c r="R272" s="1130">
        <f t="shared" ca="1" si="92"/>
        <v>182441341.23921114</v>
      </c>
      <c r="S272" s="1130">
        <f t="shared" ca="1" si="93"/>
        <v>8430464.6847188473</v>
      </c>
      <c r="T272" s="1130">
        <f t="shared" ca="1" si="85"/>
        <v>174010876.55449229</v>
      </c>
      <c r="U272" s="1132">
        <f t="shared" ca="1" si="86"/>
        <v>1.5451702456061653E-2</v>
      </c>
      <c r="V272" s="1133">
        <f t="shared" ca="1" si="87"/>
        <v>5.0000000000000155E-2</v>
      </c>
      <c r="X272" s="1134">
        <f t="shared" ca="1" si="94"/>
        <v>9602175.8546953201</v>
      </c>
      <c r="Y272" s="1134">
        <f t="shared" ca="1" si="88"/>
        <v>443708.66761675477</v>
      </c>
      <c r="Z272" s="1134">
        <f t="shared" ca="1" si="89"/>
        <v>9158467.1870785654</v>
      </c>
      <c r="AA272" s="1132">
        <f t="shared" ca="1" si="90"/>
        <v>1.6532671926128305E-2</v>
      </c>
      <c r="AB272" s="1105"/>
    </row>
    <row r="273" spans="1:28">
      <c r="A273" s="1144">
        <f>Calendar!J265</f>
        <v>52989</v>
      </c>
      <c r="C273" s="1104"/>
      <c r="D273" s="1125">
        <f t="shared" ca="1" si="76"/>
        <v>54209</v>
      </c>
      <c r="E273" s="1126">
        <f t="shared" ca="1" si="77"/>
        <v>54238</v>
      </c>
      <c r="F273" s="1127">
        <f t="shared" ca="1" si="78"/>
        <v>8008</v>
      </c>
      <c r="G273" s="1128">
        <f ca="1">IF(F273&lt;&gt;"",COUNTIF($F$11:F273,"&gt;0"),"")</f>
        <v>263</v>
      </c>
      <c r="H273" s="1129">
        <v>4.7297366431884647E-2</v>
      </c>
      <c r="I273" s="1073"/>
      <c r="J273" s="1130">
        <f t="shared" ca="1" si="79"/>
        <v>183169343.74157086</v>
      </c>
      <c r="K273" s="1131">
        <f t="shared" ca="1" si="80"/>
        <v>8663427.5700329132</v>
      </c>
      <c r="L273" s="1130">
        <f t="shared" ca="1" si="81"/>
        <v>0</v>
      </c>
      <c r="M273" s="1130">
        <f t="shared" ca="1" si="82"/>
        <v>0</v>
      </c>
      <c r="N273" s="1130">
        <f t="shared" ca="1" si="91"/>
        <v>174505916.17153794</v>
      </c>
      <c r="O273" s="1073"/>
      <c r="P273" s="1130">
        <f t="shared" ca="1" si="83"/>
        <v>8663427.5700329244</v>
      </c>
      <c r="Q273" s="1130">
        <f t="shared" ca="1" si="84"/>
        <v>165780620.36296102</v>
      </c>
      <c r="R273" s="1130">
        <f t="shared" ca="1" si="92"/>
        <v>174010876.55449229</v>
      </c>
      <c r="S273" s="1130">
        <f t="shared" ca="1" si="93"/>
        <v>8230256.1915312707</v>
      </c>
      <c r="T273" s="1130">
        <f t="shared" ca="1" si="85"/>
        <v>165780620.36296102</v>
      </c>
      <c r="U273" s="1132">
        <f t="shared" ca="1" si="86"/>
        <v>1.4737691963758749E-2</v>
      </c>
      <c r="V273" s="1133">
        <f t="shared" ca="1" si="87"/>
        <v>5.0000000000000044E-2</v>
      </c>
      <c r="X273" s="1134">
        <f t="shared" ca="1" si="94"/>
        <v>9158467.1870785654</v>
      </c>
      <c r="Y273" s="1134">
        <f t="shared" ca="1" si="88"/>
        <v>433171.37850165367</v>
      </c>
      <c r="Z273" s="1134">
        <f t="shared" ca="1" si="89"/>
        <v>8725295.8085769117</v>
      </c>
      <c r="AA273" s="1132">
        <f t="shared" ca="1" si="90"/>
        <v>1.5768710721554002E-2</v>
      </c>
      <c r="AB273" s="1105"/>
    </row>
    <row r="274" spans="1:28">
      <c r="A274" s="1144">
        <f>Calendar!J266</f>
        <v>53020</v>
      </c>
      <c r="C274" s="1104"/>
      <c r="D274" s="1125">
        <f t="shared" ca="1" si="76"/>
        <v>54239</v>
      </c>
      <c r="E274" s="1126">
        <f t="shared" ca="1" si="77"/>
        <v>54266</v>
      </c>
      <c r="F274" s="1127">
        <f t="shared" ca="1" si="78"/>
        <v>8036</v>
      </c>
      <c r="G274" s="1128">
        <f ca="1">IF(F274&lt;&gt;"",COUNTIF($F$11:F274,"&gt;0"),"")</f>
        <v>264</v>
      </c>
      <c r="H274" s="1129">
        <v>4.8715388676511213E-2</v>
      </c>
      <c r="I274" s="1073"/>
      <c r="J274" s="1130">
        <f t="shared" ca="1" si="79"/>
        <v>174505916.17153794</v>
      </c>
      <c r="K274" s="1131">
        <f t="shared" ca="1" si="80"/>
        <v>8501123.5326471534</v>
      </c>
      <c r="L274" s="1130">
        <f t="shared" ca="1" si="81"/>
        <v>0</v>
      </c>
      <c r="M274" s="1130">
        <f t="shared" ca="1" si="82"/>
        <v>0</v>
      </c>
      <c r="N274" s="1130">
        <f t="shared" ca="1" si="91"/>
        <v>166004792.63889077</v>
      </c>
      <c r="O274" s="1073"/>
      <c r="P274" s="1130">
        <f t="shared" ca="1" si="83"/>
        <v>8501123.5326471627</v>
      </c>
      <c r="Q274" s="1130">
        <f t="shared" ca="1" si="84"/>
        <v>157704553.00694624</v>
      </c>
      <c r="R274" s="1130">
        <f t="shared" ca="1" si="92"/>
        <v>165780620.36296102</v>
      </c>
      <c r="S274" s="1130">
        <f t="shared" ca="1" si="93"/>
        <v>8076067.3560147882</v>
      </c>
      <c r="T274" s="1130">
        <f t="shared" ca="1" si="85"/>
        <v>157704553.00694624</v>
      </c>
      <c r="U274" s="1132">
        <f t="shared" ca="1" si="86"/>
        <v>1.4040637946588609E-2</v>
      </c>
      <c r="V274" s="1133">
        <f t="shared" ca="1" si="87"/>
        <v>5.0000000000000044E-2</v>
      </c>
      <c r="X274" s="1134">
        <f t="shared" ca="1" si="94"/>
        <v>8725295.8085769117</v>
      </c>
      <c r="Y274" s="1134">
        <f t="shared" ca="1" si="88"/>
        <v>425056.17663237453</v>
      </c>
      <c r="Z274" s="1134">
        <f t="shared" ca="1" si="89"/>
        <v>8300239.6319445372</v>
      </c>
      <c r="AA274" s="1132">
        <f t="shared" ca="1" si="90"/>
        <v>1.5022892232398263E-2</v>
      </c>
      <c r="AB274" s="1105"/>
    </row>
    <row r="275" spans="1:28">
      <c r="A275" s="1144">
        <f>Calendar!J267</f>
        <v>53048</v>
      </c>
      <c r="C275" s="1104"/>
      <c r="D275" s="1125">
        <f t="shared" ca="1" si="76"/>
        <v>54270</v>
      </c>
      <c r="E275" s="1126">
        <f t="shared" ca="1" si="77"/>
        <v>54297</v>
      </c>
      <c r="F275" s="1127">
        <f t="shared" ca="1" si="78"/>
        <v>8067</v>
      </c>
      <c r="G275" s="1128">
        <f ca="1">IF(F275&lt;&gt;"",COUNTIF($F$11:F275,"&gt;0"),"")</f>
        <v>265</v>
      </c>
      <c r="H275" s="1129">
        <v>5.0165108466581725E-2</v>
      </c>
      <c r="I275" s="1073"/>
      <c r="J275" s="1130">
        <f t="shared" ca="1" si="79"/>
        <v>166004792.63889077</v>
      </c>
      <c r="K275" s="1131">
        <f t="shared" ca="1" si="80"/>
        <v>8327648.4287023628</v>
      </c>
      <c r="L275" s="1130">
        <f t="shared" ca="1" si="81"/>
        <v>0</v>
      </c>
      <c r="M275" s="1130">
        <f t="shared" ca="1" si="82"/>
        <v>0</v>
      </c>
      <c r="N275" s="1130">
        <f t="shared" ca="1" si="91"/>
        <v>157677144.21018842</v>
      </c>
      <c r="O275" s="1073"/>
      <c r="P275" s="1130">
        <f t="shared" ca="1" si="83"/>
        <v>8327648.4287023544</v>
      </c>
      <c r="Q275" s="1130">
        <f t="shared" ca="1" si="84"/>
        <v>149793286.999679</v>
      </c>
      <c r="R275" s="1130">
        <f t="shared" ca="1" si="92"/>
        <v>157704553.00694624</v>
      </c>
      <c r="S275" s="1130">
        <f t="shared" ca="1" si="93"/>
        <v>7911266.0072672367</v>
      </c>
      <c r="T275" s="1130">
        <f t="shared" ca="1" si="85"/>
        <v>149793286.999679</v>
      </c>
      <c r="U275" s="1132">
        <f t="shared" ca="1" si="86"/>
        <v>1.3356642811754374E-2</v>
      </c>
      <c r="V275" s="1133">
        <f t="shared" ca="1" si="87"/>
        <v>5.0000000000000044E-2</v>
      </c>
      <c r="X275" s="1134">
        <f t="shared" ca="1" si="94"/>
        <v>8300239.6319445372</v>
      </c>
      <c r="Y275" s="1134">
        <f t="shared" ca="1" si="88"/>
        <v>416382.42143511772</v>
      </c>
      <c r="Z275" s="1134">
        <f t="shared" ca="1" si="89"/>
        <v>7883857.2105094194</v>
      </c>
      <c r="AA275" s="1132">
        <f t="shared" ca="1" si="90"/>
        <v>1.4291046198251613E-2</v>
      </c>
      <c r="AB275" s="1105"/>
    </row>
    <row r="276" spans="1:28">
      <c r="A276" s="1144">
        <f>Calendar!J268</f>
        <v>53079</v>
      </c>
      <c r="C276" s="1104"/>
      <c r="D276" s="1125">
        <f t="shared" ca="1" si="76"/>
        <v>54301</v>
      </c>
      <c r="E276" s="1126">
        <f t="shared" ca="1" si="77"/>
        <v>54329</v>
      </c>
      <c r="F276" s="1127">
        <f t="shared" ca="1" si="78"/>
        <v>8099</v>
      </c>
      <c r="G276" s="1128">
        <f ca="1">IF(F276&lt;&gt;"",COUNTIF($F$11:F276,"&gt;0"),"")</f>
        <v>266</v>
      </c>
      <c r="H276" s="1129">
        <v>5.1883001386825167E-2</v>
      </c>
      <c r="I276" s="1073"/>
      <c r="J276" s="1130">
        <f t="shared" ca="1" si="79"/>
        <v>157677144.21018842</v>
      </c>
      <c r="K276" s="1131">
        <f t="shared" ca="1" si="80"/>
        <v>8180763.4917278374</v>
      </c>
      <c r="L276" s="1130">
        <f t="shared" ca="1" si="81"/>
        <v>0</v>
      </c>
      <c r="M276" s="1130">
        <f t="shared" ca="1" si="82"/>
        <v>0</v>
      </c>
      <c r="N276" s="1130">
        <f t="shared" ca="1" si="91"/>
        <v>149496380.71846059</v>
      </c>
      <c r="O276" s="1073"/>
      <c r="P276" s="1130">
        <f t="shared" ca="1" si="83"/>
        <v>8180763.491727829</v>
      </c>
      <c r="Q276" s="1130">
        <f t="shared" ca="1" si="84"/>
        <v>142021561.68253756</v>
      </c>
      <c r="R276" s="1130">
        <f t="shared" ca="1" si="92"/>
        <v>149793286.999679</v>
      </c>
      <c r="S276" s="1130">
        <f t="shared" ca="1" si="93"/>
        <v>7771725.3171414435</v>
      </c>
      <c r="T276" s="1130">
        <f t="shared" ca="1" si="85"/>
        <v>142021561.68253756</v>
      </c>
      <c r="U276" s="1132">
        <f t="shared" ca="1" si="86"/>
        <v>1.2686605376353327E-2</v>
      </c>
      <c r="V276" s="1133">
        <f t="shared" ca="1" si="87"/>
        <v>5.0000000000000044E-2</v>
      </c>
      <c r="X276" s="1134">
        <f t="shared" ca="1" si="94"/>
        <v>7883857.2105094194</v>
      </c>
      <c r="Y276" s="1134">
        <f t="shared" ca="1" si="88"/>
        <v>409038.17458638549</v>
      </c>
      <c r="Z276" s="1134">
        <f t="shared" ca="1" si="89"/>
        <v>7474819.035923034</v>
      </c>
      <c r="AA276" s="1132">
        <f t="shared" ca="1" si="90"/>
        <v>1.3574134315615391E-2</v>
      </c>
      <c r="AB276" s="1105"/>
    </row>
    <row r="277" spans="1:28">
      <c r="A277" s="1144">
        <f>Calendar!J269</f>
        <v>53111</v>
      </c>
      <c r="C277" s="1104"/>
      <c r="D277" s="1125">
        <f t="shared" ca="1" si="76"/>
        <v>54331</v>
      </c>
      <c r="E277" s="1126">
        <f t="shared" ca="1" si="77"/>
        <v>54358</v>
      </c>
      <c r="F277" s="1127">
        <f t="shared" ca="1" si="78"/>
        <v>8128</v>
      </c>
      <c r="G277" s="1128">
        <f ca="1">IF(F277&lt;&gt;"",COUNTIF($F$11:F277,"&gt;0"),"")</f>
        <v>267</v>
      </c>
      <c r="H277" s="1129">
        <v>5.3713176463733601E-2</v>
      </c>
      <c r="I277" s="1073"/>
      <c r="J277" s="1130">
        <f t="shared" ca="1" si="79"/>
        <v>149496380.71846059</v>
      </c>
      <c r="K277" s="1131">
        <f t="shared" ca="1" si="80"/>
        <v>8029925.478220175</v>
      </c>
      <c r="L277" s="1130">
        <f t="shared" ca="1" si="81"/>
        <v>0</v>
      </c>
      <c r="M277" s="1130">
        <f t="shared" ca="1" si="82"/>
        <v>0</v>
      </c>
      <c r="N277" s="1130">
        <f t="shared" ca="1" si="91"/>
        <v>141466455.24024042</v>
      </c>
      <c r="O277" s="1073"/>
      <c r="P277" s="1130">
        <f t="shared" ca="1" si="83"/>
        <v>8029925.4782201648</v>
      </c>
      <c r="Q277" s="1130">
        <f t="shared" ca="1" si="84"/>
        <v>134393132.47822839</v>
      </c>
      <c r="R277" s="1130">
        <f t="shared" ca="1" si="92"/>
        <v>142021561.68253756</v>
      </c>
      <c r="S277" s="1130">
        <f t="shared" ca="1" si="93"/>
        <v>7628429.2043091655</v>
      </c>
      <c r="T277" s="1130">
        <f t="shared" ca="1" si="85"/>
        <v>134393132.47822839</v>
      </c>
      <c r="U277" s="1132">
        <f t="shared" ca="1" si="86"/>
        <v>1.2028386212017884E-2</v>
      </c>
      <c r="V277" s="1133">
        <f t="shared" ca="1" si="87"/>
        <v>5.0000000000000044E-2</v>
      </c>
      <c r="X277" s="1134">
        <f t="shared" ca="1" si="94"/>
        <v>7474819.035923034</v>
      </c>
      <c r="Y277" s="1134">
        <f t="shared" ca="1" si="88"/>
        <v>401496.2739109993</v>
      </c>
      <c r="Z277" s="1134">
        <f t="shared" ca="1" si="89"/>
        <v>7073322.7620120347</v>
      </c>
      <c r="AA277" s="1132">
        <f t="shared" ca="1" si="90"/>
        <v>1.2869867486093377E-2</v>
      </c>
      <c r="AB277" s="1105"/>
    </row>
    <row r="278" spans="1:28">
      <c r="A278" s="1144">
        <f>Calendar!J270</f>
        <v>53140</v>
      </c>
      <c r="C278" s="1104"/>
      <c r="D278" s="1125">
        <f t="shared" ca="1" si="76"/>
        <v>54362</v>
      </c>
      <c r="E278" s="1126">
        <f t="shared" ca="1" si="77"/>
        <v>54389</v>
      </c>
      <c r="F278" s="1127">
        <f t="shared" ca="1" si="78"/>
        <v>8159</v>
      </c>
      <c r="G278" s="1128">
        <f ca="1">IF(F278&lt;&gt;"",COUNTIF($F$11:F278,"&gt;0"),"")</f>
        <v>268</v>
      </c>
      <c r="H278" s="1129">
        <v>5.5394495085137607E-2</v>
      </c>
      <c r="I278" s="1073"/>
      <c r="J278" s="1130">
        <f t="shared" ca="1" si="79"/>
        <v>141466455.24024042</v>
      </c>
      <c r="K278" s="1131">
        <f t="shared" ca="1" si="80"/>
        <v>7836462.8595173378</v>
      </c>
      <c r="L278" s="1130">
        <f t="shared" ca="1" si="81"/>
        <v>0</v>
      </c>
      <c r="M278" s="1130">
        <f t="shared" ca="1" si="82"/>
        <v>0</v>
      </c>
      <c r="N278" s="1130">
        <f t="shared" ca="1" si="91"/>
        <v>133629992.38072309</v>
      </c>
      <c r="O278" s="1073"/>
      <c r="P278" s="1130">
        <f t="shared" ca="1" si="83"/>
        <v>7836462.8595173359</v>
      </c>
      <c r="Q278" s="1130">
        <f t="shared" ca="1" si="84"/>
        <v>126948492.76168694</v>
      </c>
      <c r="R278" s="1130">
        <f t="shared" ca="1" si="92"/>
        <v>134393132.47822839</v>
      </c>
      <c r="S278" s="1130">
        <f t="shared" ca="1" si="93"/>
        <v>7444639.7165414542</v>
      </c>
      <c r="T278" s="1130">
        <f t="shared" ca="1" si="85"/>
        <v>126948492.76168694</v>
      </c>
      <c r="U278" s="1132">
        <f t="shared" ca="1" si="86"/>
        <v>1.1382303380837826E-2</v>
      </c>
      <c r="V278" s="1133">
        <f t="shared" ca="1" si="87"/>
        <v>4.9999999999999933E-2</v>
      </c>
      <c r="X278" s="1134">
        <f t="shared" ca="1" si="94"/>
        <v>7073322.7620120347</v>
      </c>
      <c r="Y278" s="1134">
        <f t="shared" ca="1" si="88"/>
        <v>391823.1429758817</v>
      </c>
      <c r="Z278" s="1134">
        <f t="shared" ca="1" si="89"/>
        <v>6681499.619036153</v>
      </c>
      <c r="AA278" s="1132">
        <f t="shared" ca="1" si="90"/>
        <v>1.2178586022747994E-2</v>
      </c>
      <c r="AB278" s="1105"/>
    </row>
    <row r="279" spans="1:28">
      <c r="A279" s="1144">
        <f>Calendar!J271</f>
        <v>53170</v>
      </c>
      <c r="C279" s="1104"/>
      <c r="D279" s="1125">
        <f t="shared" ca="1" si="76"/>
        <v>54392</v>
      </c>
      <c r="E279" s="1126">
        <f t="shared" ca="1" si="77"/>
        <v>54420</v>
      </c>
      <c r="F279" s="1127">
        <f t="shared" ca="1" si="78"/>
        <v>8190</v>
      </c>
      <c r="G279" s="1128">
        <f ca="1">IF(F279&lt;&gt;"",COUNTIF($F$11:F279,"&gt;0"),"")</f>
        <v>269</v>
      </c>
      <c r="H279" s="1129">
        <v>5.7138442985255958E-2</v>
      </c>
      <c r="I279" s="1073"/>
      <c r="J279" s="1130">
        <f t="shared" ca="1" si="79"/>
        <v>133629992.38072309</v>
      </c>
      <c r="K279" s="1131">
        <f t="shared" ca="1" si="80"/>
        <v>7635409.7007661341</v>
      </c>
      <c r="L279" s="1130">
        <f t="shared" ca="1" si="81"/>
        <v>0</v>
      </c>
      <c r="M279" s="1130">
        <f t="shared" ca="1" si="82"/>
        <v>0</v>
      </c>
      <c r="N279" s="1130">
        <f t="shared" ca="1" si="91"/>
        <v>125994582.67995696</v>
      </c>
      <c r="O279" s="1073"/>
      <c r="P279" s="1130">
        <f t="shared" ca="1" si="83"/>
        <v>7635409.7007661313</v>
      </c>
      <c r="Q279" s="1130">
        <f t="shared" ca="1" si="84"/>
        <v>119694853.5459591</v>
      </c>
      <c r="R279" s="1130">
        <f t="shared" ca="1" si="92"/>
        <v>126948492.76168694</v>
      </c>
      <c r="S279" s="1130">
        <f t="shared" ca="1" si="93"/>
        <v>7253639.2157278359</v>
      </c>
      <c r="T279" s="1130">
        <f t="shared" ca="1" si="85"/>
        <v>119694853.5459591</v>
      </c>
      <c r="U279" s="1132">
        <f t="shared" ca="1" si="86"/>
        <v>1.0751786432150462E-2</v>
      </c>
      <c r="V279" s="1133">
        <f t="shared" ca="1" si="87"/>
        <v>5.0000000000000044E-2</v>
      </c>
      <c r="X279" s="1134">
        <f t="shared" ca="1" si="94"/>
        <v>6681499.619036153</v>
      </c>
      <c r="Y279" s="1134">
        <f t="shared" ca="1" si="88"/>
        <v>381770.48503829539</v>
      </c>
      <c r="Z279" s="1134">
        <f t="shared" ca="1" si="89"/>
        <v>6299729.1339978576</v>
      </c>
      <c r="AA279" s="1132">
        <f t="shared" ca="1" si="90"/>
        <v>1.150395939916693E-2</v>
      </c>
      <c r="AB279" s="1105"/>
    </row>
    <row r="280" spans="1:28">
      <c r="A280" s="1144">
        <f>Calendar!J272</f>
        <v>53202</v>
      </c>
      <c r="C280" s="1104"/>
      <c r="D280" s="1125">
        <f t="shared" ca="1" si="76"/>
        <v>54423</v>
      </c>
      <c r="E280" s="1126">
        <f t="shared" ca="1" si="77"/>
        <v>54450</v>
      </c>
      <c r="F280" s="1127">
        <f t="shared" ca="1" si="78"/>
        <v>8220</v>
      </c>
      <c r="G280" s="1128">
        <f ca="1">IF(F280&lt;&gt;"",COUNTIF($F$11:F280,"&gt;0"),"")</f>
        <v>270</v>
      </c>
      <c r="H280" s="1129">
        <v>5.8612212766243177E-2</v>
      </c>
      <c r="I280" s="1073"/>
      <c r="J280" s="1130">
        <f t="shared" ca="1" si="79"/>
        <v>125994582.67995696</v>
      </c>
      <c r="K280" s="1131">
        <f t="shared" ca="1" si="80"/>
        <v>7384821.2874316545</v>
      </c>
      <c r="L280" s="1130">
        <f t="shared" ca="1" si="81"/>
        <v>0</v>
      </c>
      <c r="M280" s="1130">
        <f t="shared" ca="1" si="82"/>
        <v>0</v>
      </c>
      <c r="N280" s="1130">
        <f t="shared" ca="1" si="91"/>
        <v>118609761.3925253</v>
      </c>
      <c r="O280" s="1073"/>
      <c r="P280" s="1130">
        <f t="shared" ca="1" si="83"/>
        <v>7384821.2874316573</v>
      </c>
      <c r="Q280" s="1130">
        <f t="shared" ca="1" si="84"/>
        <v>112679273.32289903</v>
      </c>
      <c r="R280" s="1130">
        <f t="shared" ca="1" si="92"/>
        <v>119694853.5459591</v>
      </c>
      <c r="S280" s="1130">
        <f t="shared" ca="1" si="93"/>
        <v>7015580.2230600715</v>
      </c>
      <c r="T280" s="1130">
        <f t="shared" ca="1" si="85"/>
        <v>112679273.32289903</v>
      </c>
      <c r="U280" s="1132">
        <f t="shared" ca="1" si="86"/>
        <v>1.0137446096107384E-2</v>
      </c>
      <c r="V280" s="1133">
        <f t="shared" ca="1" si="87"/>
        <v>5.0000000000000044E-2</v>
      </c>
      <c r="X280" s="1134">
        <f t="shared" ca="1" si="94"/>
        <v>6299729.1339978576</v>
      </c>
      <c r="Y280" s="1134">
        <f t="shared" ca="1" si="88"/>
        <v>369241.06437158585</v>
      </c>
      <c r="Z280" s="1134">
        <f t="shared" ca="1" si="89"/>
        <v>5930488.0696262717</v>
      </c>
      <c r="AA280" s="1132">
        <f t="shared" ca="1" si="90"/>
        <v>1.0846641070932951E-2</v>
      </c>
      <c r="AB280" s="1105"/>
    </row>
    <row r="281" spans="1:28">
      <c r="A281" s="1144">
        <f>Calendar!J273</f>
        <v>53232</v>
      </c>
      <c r="C281" s="1104"/>
      <c r="D281" s="1125">
        <f t="shared" ca="1" si="76"/>
        <v>54454</v>
      </c>
      <c r="E281" s="1126">
        <f t="shared" ca="1" si="77"/>
        <v>54480</v>
      </c>
      <c r="F281" s="1127">
        <f t="shared" ca="1" si="78"/>
        <v>8250</v>
      </c>
      <c r="G281" s="1128">
        <f ca="1">IF(F281&lt;&gt;"",COUNTIF($F$11:F281,"&gt;0"),"")</f>
        <v>271</v>
      </c>
      <c r="H281" s="1129">
        <v>6.0041942100627681E-2</v>
      </c>
      <c r="I281" s="1073"/>
      <c r="J281" s="1130">
        <f t="shared" ca="1" si="79"/>
        <v>118609761.3925253</v>
      </c>
      <c r="K281" s="1131">
        <f t="shared" ca="1" si="80"/>
        <v>7121560.4260992687</v>
      </c>
      <c r="L281" s="1130">
        <f t="shared" ca="1" si="81"/>
        <v>0</v>
      </c>
      <c r="M281" s="1130">
        <f t="shared" ca="1" si="82"/>
        <v>0</v>
      </c>
      <c r="N281" s="1130">
        <f t="shared" ca="1" si="91"/>
        <v>111488200.96642603</v>
      </c>
      <c r="O281" s="1073"/>
      <c r="P281" s="1130">
        <f t="shared" ca="1" si="83"/>
        <v>7121560.4260992706</v>
      </c>
      <c r="Q281" s="1130">
        <f t="shared" ca="1" si="84"/>
        <v>105913790.91810472</v>
      </c>
      <c r="R281" s="1130">
        <f t="shared" ca="1" si="92"/>
        <v>112679273.32289903</v>
      </c>
      <c r="S281" s="1130">
        <f t="shared" ca="1" si="93"/>
        <v>6765482.4047943056</v>
      </c>
      <c r="T281" s="1130">
        <f t="shared" ca="1" si="85"/>
        <v>105913790.91810472</v>
      </c>
      <c r="U281" s="1132">
        <f t="shared" ca="1" si="86"/>
        <v>9.5432679486160167E-3</v>
      </c>
      <c r="V281" s="1133">
        <f t="shared" ca="1" si="87"/>
        <v>5.0000000000000044E-2</v>
      </c>
      <c r="X281" s="1134">
        <f t="shared" ca="1" si="94"/>
        <v>5930488.0696262717</v>
      </c>
      <c r="Y281" s="1134">
        <f t="shared" ca="1" si="88"/>
        <v>356078.02130496502</v>
      </c>
      <c r="Z281" s="1134">
        <f t="shared" ca="1" si="89"/>
        <v>5574410.0483213067</v>
      </c>
      <c r="AA281" s="1132">
        <f t="shared" ca="1" si="90"/>
        <v>1.0210895436684353E-2</v>
      </c>
      <c r="AB281" s="1105"/>
    </row>
    <row r="282" spans="1:28">
      <c r="A282" s="1144">
        <f>Calendar!J274</f>
        <v>53262</v>
      </c>
      <c r="C282" s="1104"/>
      <c r="D282" s="1125">
        <f t="shared" ca="1" si="76"/>
        <v>54482</v>
      </c>
      <c r="E282" s="1126">
        <f t="shared" ca="1" si="77"/>
        <v>54511</v>
      </c>
      <c r="F282" s="1127">
        <f t="shared" ca="1" si="78"/>
        <v>8281</v>
      </c>
      <c r="G282" s="1128">
        <f ca="1">IF(F282&lt;&gt;"",COUNTIF($F$11:F282,"&gt;0"),"")</f>
        <v>272</v>
      </c>
      <c r="H282" s="1129">
        <v>6.0426766966292837E-2</v>
      </c>
      <c r="I282" s="1073"/>
      <c r="J282" s="1130">
        <f t="shared" ca="1" si="79"/>
        <v>111488200.96642603</v>
      </c>
      <c r="K282" s="1131">
        <f t="shared" ca="1" si="80"/>
        <v>6736871.5392894493</v>
      </c>
      <c r="L282" s="1130">
        <f t="shared" ca="1" si="81"/>
        <v>0</v>
      </c>
      <c r="M282" s="1130">
        <f t="shared" ca="1" si="82"/>
        <v>0</v>
      </c>
      <c r="N282" s="1130">
        <f t="shared" ca="1" si="91"/>
        <v>104751329.42713659</v>
      </c>
      <c r="O282" s="1073"/>
      <c r="P282" s="1130">
        <f t="shared" ca="1" si="83"/>
        <v>6736871.5392894447</v>
      </c>
      <c r="Q282" s="1130">
        <f t="shared" ca="1" si="84"/>
        <v>99513762.955779746</v>
      </c>
      <c r="R282" s="1130">
        <f t="shared" ca="1" si="92"/>
        <v>105913790.91810472</v>
      </c>
      <c r="S282" s="1130">
        <f t="shared" ca="1" si="93"/>
        <v>6400027.9623249769</v>
      </c>
      <c r="T282" s="1130">
        <f t="shared" ca="1" si="85"/>
        <v>99513762.955779746</v>
      </c>
      <c r="U282" s="1132">
        <f t="shared" ca="1" si="86"/>
        <v>8.9702716069944375E-3</v>
      </c>
      <c r="V282" s="1133">
        <f t="shared" ca="1" si="87"/>
        <v>5.0000000000000044E-2</v>
      </c>
      <c r="X282" s="1134">
        <f t="shared" ca="1" si="94"/>
        <v>5574410.0483213067</v>
      </c>
      <c r="Y282" s="1134">
        <f t="shared" ca="1" si="88"/>
        <v>336843.57696446776</v>
      </c>
      <c r="Z282" s="1134">
        <f t="shared" ca="1" si="89"/>
        <v>5237566.4713568389</v>
      </c>
      <c r="AA282" s="1132">
        <f t="shared" ca="1" si="90"/>
        <v>9.5978134440793846E-3</v>
      </c>
      <c r="AB282" s="1105"/>
    </row>
    <row r="283" spans="1:28">
      <c r="A283" s="1144">
        <f>Calendar!J275</f>
        <v>53293</v>
      </c>
      <c r="C283" s="1104"/>
      <c r="D283" s="1125">
        <f t="shared" ca="1" si="76"/>
        <v>54513</v>
      </c>
      <c r="E283" s="1126">
        <f t="shared" ca="1" si="77"/>
        <v>54540</v>
      </c>
      <c r="F283" s="1127">
        <f t="shared" ca="1" si="78"/>
        <v>8310</v>
      </c>
      <c r="G283" s="1128">
        <f ca="1">IF(F283&lt;&gt;"",COUNTIF($F$11:F283,"&gt;0"),"")</f>
        <v>273</v>
      </c>
      <c r="H283" s="1129">
        <v>6.1780428959803547E-2</v>
      </c>
      <c r="I283" s="1073"/>
      <c r="J283" s="1130">
        <f t="shared" ca="1" si="79"/>
        <v>104751329.42713659</v>
      </c>
      <c r="K283" s="1131">
        <f t="shared" ca="1" si="80"/>
        <v>6471582.066118191</v>
      </c>
      <c r="L283" s="1130">
        <f t="shared" ca="1" si="81"/>
        <v>0</v>
      </c>
      <c r="M283" s="1130">
        <f t="shared" ca="1" si="82"/>
        <v>0</v>
      </c>
      <c r="N283" s="1130">
        <f t="shared" ca="1" si="91"/>
        <v>98279747.361018389</v>
      </c>
      <c r="O283" s="1073"/>
      <c r="P283" s="1130">
        <f t="shared" ca="1" si="83"/>
        <v>6471582.0661181957</v>
      </c>
      <c r="Q283" s="1130">
        <f t="shared" ca="1" si="84"/>
        <v>93365759.992967471</v>
      </c>
      <c r="R283" s="1130">
        <f t="shared" ca="1" si="92"/>
        <v>99513762.955779746</v>
      </c>
      <c r="S283" s="1130">
        <f t="shared" ca="1" si="93"/>
        <v>6148002.9628122747</v>
      </c>
      <c r="T283" s="1130">
        <f t="shared" ca="1" si="85"/>
        <v>93365759.992967471</v>
      </c>
      <c r="U283" s="1132">
        <f t="shared" ca="1" si="86"/>
        <v>8.4282270949742315E-3</v>
      </c>
      <c r="V283" s="1133">
        <f t="shared" ca="1" si="87"/>
        <v>4.9999999999999933E-2</v>
      </c>
      <c r="X283" s="1134">
        <f t="shared" ca="1" si="94"/>
        <v>5237566.4713568389</v>
      </c>
      <c r="Y283" s="1134">
        <f t="shared" ca="1" si="88"/>
        <v>323579.10330592096</v>
      </c>
      <c r="Z283" s="1134">
        <f t="shared" ca="1" si="89"/>
        <v>4913987.368050918</v>
      </c>
      <c r="AA283" s="1132">
        <f t="shared" ca="1" si="90"/>
        <v>9.0178486077080559E-3</v>
      </c>
      <c r="AB283" s="1105"/>
    </row>
    <row r="284" spans="1:28">
      <c r="A284" s="1144">
        <f>Calendar!J276</f>
        <v>53323</v>
      </c>
      <c r="C284" s="1104"/>
      <c r="D284" s="1125">
        <f t="shared" ca="1" si="76"/>
        <v>54543</v>
      </c>
      <c r="E284" s="1126">
        <f t="shared" ca="1" si="77"/>
        <v>54570</v>
      </c>
      <c r="F284" s="1127">
        <f t="shared" ca="1" si="78"/>
        <v>8340</v>
      </c>
      <c r="G284" s="1128">
        <f ca="1">IF(F284&lt;&gt;"",COUNTIF($F$11:F284,"&gt;0"),"")</f>
        <v>274</v>
      </c>
      <c r="H284" s="1129">
        <v>6.2921312690656164E-2</v>
      </c>
      <c r="I284" s="1073"/>
      <c r="J284" s="1130">
        <f t="shared" ca="1" si="79"/>
        <v>98279747.361018389</v>
      </c>
      <c r="K284" s="1131">
        <f t="shared" ca="1" si="80"/>
        <v>6183890.7148613278</v>
      </c>
      <c r="L284" s="1130">
        <f t="shared" ca="1" si="81"/>
        <v>0</v>
      </c>
      <c r="M284" s="1130">
        <f t="shared" ca="1" si="82"/>
        <v>0</v>
      </c>
      <c r="N284" s="1130">
        <f t="shared" ca="1" si="91"/>
        <v>92095856.646157056</v>
      </c>
      <c r="O284" s="1073"/>
      <c r="P284" s="1130">
        <f t="shared" ca="1" si="83"/>
        <v>6183890.7148613334</v>
      </c>
      <c r="Q284" s="1130">
        <f t="shared" ca="1" si="84"/>
        <v>87491063.813849196</v>
      </c>
      <c r="R284" s="1130">
        <f t="shared" ca="1" si="92"/>
        <v>93365759.992967471</v>
      </c>
      <c r="S284" s="1130">
        <f t="shared" ca="1" si="93"/>
        <v>5874696.1791182756</v>
      </c>
      <c r="T284" s="1130">
        <f t="shared" ca="1" si="85"/>
        <v>87491063.813849196</v>
      </c>
      <c r="U284" s="1132">
        <f t="shared" ca="1" si="86"/>
        <v>7.9075276096760849E-3</v>
      </c>
      <c r="V284" s="1133">
        <f t="shared" ca="1" si="87"/>
        <v>5.0000000000000044E-2</v>
      </c>
      <c r="X284" s="1134">
        <f t="shared" ca="1" si="94"/>
        <v>4913987.368050918</v>
      </c>
      <c r="Y284" s="1134">
        <f t="shared" ca="1" si="88"/>
        <v>309194.53574305773</v>
      </c>
      <c r="Z284" s="1134">
        <f t="shared" ca="1" si="89"/>
        <v>4604792.8323078603</v>
      </c>
      <c r="AA284" s="1132">
        <f t="shared" ca="1" si="90"/>
        <v>8.4607220524292662E-3</v>
      </c>
      <c r="AB284" s="1105"/>
    </row>
    <row r="285" spans="1:28">
      <c r="A285" s="1144">
        <f>Calendar!J277</f>
        <v>53356</v>
      </c>
      <c r="C285" s="1104"/>
      <c r="D285" s="1125">
        <f t="shared" ca="1" si="76"/>
        <v>54574</v>
      </c>
      <c r="E285" s="1126">
        <f t="shared" ca="1" si="77"/>
        <v>54602</v>
      </c>
      <c r="F285" s="1127">
        <f t="shared" ca="1" si="78"/>
        <v>8372</v>
      </c>
      <c r="G285" s="1128">
        <f ca="1">IF(F285&lt;&gt;"",COUNTIF($F$11:F285,"&gt;0"),"")</f>
        <v>275</v>
      </c>
      <c r="H285" s="1129">
        <v>6.3961417409715671E-2</v>
      </c>
      <c r="I285" s="1073"/>
      <c r="J285" s="1130">
        <f t="shared" ca="1" si="79"/>
        <v>92095856.646157056</v>
      </c>
      <c r="K285" s="1131">
        <f t="shared" ca="1" si="80"/>
        <v>5890581.5286501888</v>
      </c>
      <c r="L285" s="1130">
        <f t="shared" ca="1" si="81"/>
        <v>0</v>
      </c>
      <c r="M285" s="1130">
        <f t="shared" ca="1" si="82"/>
        <v>0</v>
      </c>
      <c r="N285" s="1130">
        <f t="shared" ca="1" si="91"/>
        <v>86205275.117506862</v>
      </c>
      <c r="O285" s="1073"/>
      <c r="P285" s="1130">
        <f t="shared" ca="1" si="83"/>
        <v>5890581.5286501944</v>
      </c>
      <c r="Q285" s="1130">
        <f t="shared" ca="1" si="84"/>
        <v>81895011.361631513</v>
      </c>
      <c r="R285" s="1130">
        <f t="shared" ca="1" si="92"/>
        <v>87491063.813849196</v>
      </c>
      <c r="S285" s="1130">
        <f t="shared" ca="1" si="93"/>
        <v>5596052.4522176832</v>
      </c>
      <c r="T285" s="1130">
        <f t="shared" ca="1" si="85"/>
        <v>81895011.361631513</v>
      </c>
      <c r="U285" s="1132">
        <f t="shared" ca="1" si="86"/>
        <v>7.4099755923376582E-3</v>
      </c>
      <c r="V285" s="1133">
        <f t="shared" ca="1" si="87"/>
        <v>5.0000000000000044E-2</v>
      </c>
      <c r="X285" s="1134">
        <f t="shared" ca="1" si="94"/>
        <v>4604792.8323078603</v>
      </c>
      <c r="Y285" s="1134">
        <f t="shared" ca="1" si="88"/>
        <v>294529.07643251121</v>
      </c>
      <c r="Z285" s="1134">
        <f t="shared" ca="1" si="89"/>
        <v>4310263.755875349</v>
      </c>
      <c r="AA285" s="1132">
        <f t="shared" ca="1" si="90"/>
        <v>7.9283623145796484E-3</v>
      </c>
      <c r="AB285" s="1105"/>
    </row>
    <row r="286" spans="1:28">
      <c r="A286" s="1144">
        <f>Calendar!J278</f>
        <v>53385</v>
      </c>
      <c r="C286" s="1104"/>
      <c r="D286" s="1125">
        <f t="shared" ca="1" si="76"/>
        <v>54604</v>
      </c>
      <c r="E286" s="1126">
        <f t="shared" ca="1" si="77"/>
        <v>54631</v>
      </c>
      <c r="F286" s="1127">
        <f t="shared" ca="1" si="78"/>
        <v>8401</v>
      </c>
      <c r="G286" s="1128">
        <f ca="1">IF(F286&lt;&gt;"",COUNTIF($F$11:F286,"&gt;0"),"")</f>
        <v>276</v>
      </c>
      <c r="H286" s="1129">
        <v>6.5734373171687552E-2</v>
      </c>
      <c r="I286" s="1073"/>
      <c r="J286" s="1130">
        <f t="shared" ca="1" si="79"/>
        <v>86205275.117506862</v>
      </c>
      <c r="K286" s="1131">
        <f t="shared" ca="1" si="80"/>
        <v>5666649.7239421876</v>
      </c>
      <c r="L286" s="1130">
        <f t="shared" ca="1" si="81"/>
        <v>0</v>
      </c>
      <c r="M286" s="1130">
        <f t="shared" ca="1" si="82"/>
        <v>0</v>
      </c>
      <c r="N286" s="1130">
        <f t="shared" ca="1" si="91"/>
        <v>80538625.393564671</v>
      </c>
      <c r="O286" s="1073"/>
      <c r="P286" s="1130">
        <f t="shared" ca="1" si="83"/>
        <v>5666649.7239421904</v>
      </c>
      <c r="Q286" s="1130">
        <f t="shared" ca="1" si="84"/>
        <v>76511694.123886436</v>
      </c>
      <c r="R286" s="1130">
        <f t="shared" ca="1" si="92"/>
        <v>81895011.361631513</v>
      </c>
      <c r="S286" s="1130">
        <f t="shared" ca="1" si="93"/>
        <v>5383317.2377450764</v>
      </c>
      <c r="T286" s="1130">
        <f t="shared" ca="1" si="85"/>
        <v>76511694.123886436</v>
      </c>
      <c r="U286" s="1132">
        <f t="shared" ca="1" si="86"/>
        <v>6.9360230504803434E-3</v>
      </c>
      <c r="V286" s="1133">
        <f t="shared" ca="1" si="87"/>
        <v>5.0000000000000044E-2</v>
      </c>
      <c r="X286" s="1134">
        <f t="shared" ca="1" si="94"/>
        <v>4310263.755875349</v>
      </c>
      <c r="Y286" s="1134">
        <f t="shared" ca="1" si="88"/>
        <v>283332.48619711399</v>
      </c>
      <c r="Z286" s="1134">
        <f t="shared" ca="1" si="89"/>
        <v>4026931.2696782351</v>
      </c>
      <c r="AA286" s="1132">
        <f t="shared" ca="1" si="90"/>
        <v>7.4212530232013584E-3</v>
      </c>
      <c r="AB286" s="1105"/>
    </row>
    <row r="287" spans="1:28">
      <c r="A287" s="1144">
        <f>Calendar!J279</f>
        <v>53413</v>
      </c>
      <c r="C287" s="1104"/>
      <c r="D287" s="1125">
        <f t="shared" ca="1" si="76"/>
        <v>54635</v>
      </c>
      <c r="E287" s="1126">
        <f t="shared" ca="1" si="77"/>
        <v>54662</v>
      </c>
      <c r="F287" s="1127">
        <f t="shared" ca="1" si="78"/>
        <v>8432</v>
      </c>
      <c r="G287" s="1128">
        <f ca="1">IF(F287&lt;&gt;"",COUNTIF($F$11:F287,"&gt;0"),"")</f>
        <v>277</v>
      </c>
      <c r="H287" s="1129">
        <v>6.770040803534462E-2</v>
      </c>
      <c r="I287" s="1073"/>
      <c r="J287" s="1130">
        <f t="shared" ca="1" si="79"/>
        <v>80538625.393564671</v>
      </c>
      <c r="K287" s="1131">
        <f t="shared" ca="1" si="80"/>
        <v>5452497.8017500956</v>
      </c>
      <c r="L287" s="1130">
        <f t="shared" ca="1" si="81"/>
        <v>0</v>
      </c>
      <c r="M287" s="1130">
        <f t="shared" ca="1" si="82"/>
        <v>0</v>
      </c>
      <c r="N287" s="1130">
        <f t="shared" ca="1" si="91"/>
        <v>75086127.591814578</v>
      </c>
      <c r="O287" s="1073"/>
      <c r="P287" s="1130">
        <f t="shared" ca="1" si="83"/>
        <v>5452497.8017500937</v>
      </c>
      <c r="Q287" s="1130">
        <f t="shared" ca="1" si="84"/>
        <v>71331821.212223843</v>
      </c>
      <c r="R287" s="1130">
        <f t="shared" ca="1" si="92"/>
        <v>76511694.123886436</v>
      </c>
      <c r="S287" s="1130">
        <f t="shared" ca="1" si="93"/>
        <v>5179872.9116625935</v>
      </c>
      <c r="T287" s="1130">
        <f t="shared" ca="1" si="85"/>
        <v>71331821.212223843</v>
      </c>
      <c r="U287" s="1132">
        <f t="shared" ca="1" si="86"/>
        <v>6.4800879229526421E-3</v>
      </c>
      <c r="V287" s="1133">
        <f t="shared" ca="1" si="87"/>
        <v>5.0000000000000044E-2</v>
      </c>
      <c r="X287" s="1134">
        <f t="shared" ca="1" si="94"/>
        <v>4026931.2696782351</v>
      </c>
      <c r="Y287" s="1134">
        <f t="shared" ca="1" si="88"/>
        <v>272624.89008750021</v>
      </c>
      <c r="Z287" s="1134">
        <f t="shared" ca="1" si="89"/>
        <v>3754306.3795907348</v>
      </c>
      <c r="AA287" s="1132">
        <f t="shared" ca="1" si="90"/>
        <v>6.9334216075727191E-3</v>
      </c>
      <c r="AB287" s="1105"/>
    </row>
    <row r="288" spans="1:28">
      <c r="A288" s="1144">
        <f>Calendar!J280</f>
        <v>53444</v>
      </c>
      <c r="C288" s="1104"/>
      <c r="D288" s="1125">
        <f t="shared" ca="1" si="76"/>
        <v>54666</v>
      </c>
      <c r="E288" s="1126">
        <f t="shared" ca="1" si="77"/>
        <v>54693</v>
      </c>
      <c r="F288" s="1127">
        <f t="shared" ca="1" si="78"/>
        <v>8463</v>
      </c>
      <c r="G288" s="1128">
        <f ca="1">IF(F288&lt;&gt;"",COUNTIF($F$11:F288,"&gt;0"),"")</f>
        <v>278</v>
      </c>
      <c r="H288" s="1129">
        <v>7.0054698578079694E-2</v>
      </c>
      <c r="I288" s="1073"/>
      <c r="J288" s="1130">
        <f t="shared" ca="1" si="79"/>
        <v>75086127.591814578</v>
      </c>
      <c r="K288" s="1131">
        <f t="shared" ca="1" si="80"/>
        <v>5260136.0358398035</v>
      </c>
      <c r="L288" s="1130">
        <f t="shared" ca="1" si="81"/>
        <v>0</v>
      </c>
      <c r="M288" s="1130">
        <f t="shared" ca="1" si="82"/>
        <v>0</v>
      </c>
      <c r="N288" s="1130">
        <f t="shared" ca="1" si="91"/>
        <v>69825991.555974782</v>
      </c>
      <c r="O288" s="1073"/>
      <c r="P288" s="1130">
        <f t="shared" ca="1" si="83"/>
        <v>5260136.0358397961</v>
      </c>
      <c r="Q288" s="1130">
        <f t="shared" ca="1" si="84"/>
        <v>66334691.978176042</v>
      </c>
      <c r="R288" s="1130">
        <f t="shared" ca="1" si="92"/>
        <v>71331821.212223843</v>
      </c>
      <c r="S288" s="1130">
        <f t="shared" ca="1" si="93"/>
        <v>4997129.2340478003</v>
      </c>
      <c r="T288" s="1130">
        <f t="shared" ca="1" si="85"/>
        <v>66334691.978176042</v>
      </c>
      <c r="U288" s="1132">
        <f t="shared" ca="1" si="86"/>
        <v>6.0413833264638395E-3</v>
      </c>
      <c r="V288" s="1133">
        <f t="shared" ca="1" si="87"/>
        <v>5.0000000000000044E-2</v>
      </c>
      <c r="X288" s="1134">
        <f t="shared" ca="1" si="94"/>
        <v>3754306.3795907348</v>
      </c>
      <c r="Y288" s="1134">
        <f t="shared" ca="1" si="88"/>
        <v>263006.80179199576</v>
      </c>
      <c r="Z288" s="1134">
        <f t="shared" ca="1" si="89"/>
        <v>3491299.5777987391</v>
      </c>
      <c r="AA288" s="1132">
        <f t="shared" ca="1" si="90"/>
        <v>6.4640261356589783E-3</v>
      </c>
      <c r="AB288" s="1105"/>
    </row>
    <row r="289" spans="1:28">
      <c r="A289" s="1144">
        <f>Calendar!J281</f>
        <v>53475</v>
      </c>
      <c r="C289" s="1104"/>
      <c r="D289" s="1125">
        <f t="shared" ca="1" si="76"/>
        <v>54696</v>
      </c>
      <c r="E289" s="1126">
        <f t="shared" ca="1" si="77"/>
        <v>54723</v>
      </c>
      <c r="F289" s="1127">
        <f t="shared" ca="1" si="78"/>
        <v>8493</v>
      </c>
      <c r="G289" s="1128">
        <f ca="1">IF(F289&lt;&gt;"",COUNTIF($F$11:F289,"&gt;0"),"")</f>
        <v>279</v>
      </c>
      <c r="H289" s="1129">
        <v>7.3041728114179263E-2</v>
      </c>
      <c r="I289" s="1073"/>
      <c r="J289" s="1130">
        <f t="shared" ca="1" si="79"/>
        <v>69825991.555974782</v>
      </c>
      <c r="K289" s="1131">
        <f t="shared" ca="1" si="80"/>
        <v>5100211.0905344868</v>
      </c>
      <c r="L289" s="1130">
        <f t="shared" ca="1" si="81"/>
        <v>0</v>
      </c>
      <c r="M289" s="1130">
        <f t="shared" ca="1" si="82"/>
        <v>0</v>
      </c>
      <c r="N289" s="1130">
        <f t="shared" ca="1" si="91"/>
        <v>64725780.465440296</v>
      </c>
      <c r="O289" s="1073"/>
      <c r="P289" s="1130">
        <f t="shared" ca="1" si="83"/>
        <v>5100211.0905344859</v>
      </c>
      <c r="Q289" s="1130">
        <f t="shared" ca="1" si="84"/>
        <v>61489491.44216828</v>
      </c>
      <c r="R289" s="1130">
        <f t="shared" ca="1" si="92"/>
        <v>66334691.978176042</v>
      </c>
      <c r="S289" s="1130">
        <f t="shared" ca="1" si="93"/>
        <v>4845200.536007762</v>
      </c>
      <c r="T289" s="1130">
        <f t="shared" ca="1" si="85"/>
        <v>61489491.44216828</v>
      </c>
      <c r="U289" s="1132">
        <f t="shared" ca="1" si="86"/>
        <v>5.6181560385337795E-3</v>
      </c>
      <c r="V289" s="1133">
        <f t="shared" ca="1" si="87"/>
        <v>5.0000000000000044E-2</v>
      </c>
      <c r="X289" s="1134">
        <f t="shared" ca="1" si="94"/>
        <v>3491299.5777987391</v>
      </c>
      <c r="Y289" s="1134">
        <f t="shared" ca="1" si="88"/>
        <v>255010.55452672392</v>
      </c>
      <c r="Z289" s="1134">
        <f t="shared" ca="1" si="89"/>
        <v>3236289.0232720152</v>
      </c>
      <c r="AA289" s="1132">
        <f t="shared" ca="1" si="90"/>
        <v>6.0111907331245511E-3</v>
      </c>
      <c r="AB289" s="1105"/>
    </row>
    <row r="290" spans="1:28">
      <c r="A290" s="1144">
        <f>Calendar!J282</f>
        <v>53505</v>
      </c>
      <c r="C290" s="1104"/>
      <c r="D290" s="1125">
        <f t="shared" ca="1" si="76"/>
        <v>54727</v>
      </c>
      <c r="E290" s="1126">
        <f t="shared" ca="1" si="77"/>
        <v>54756</v>
      </c>
      <c r="F290" s="1127">
        <f t="shared" ca="1" si="78"/>
        <v>8526</v>
      </c>
      <c r="G290" s="1128">
        <f ca="1">IF(F290&lt;&gt;"",COUNTIF($F$11:F290,"&gt;0"),"")</f>
        <v>280</v>
      </c>
      <c r="H290" s="1129">
        <v>7.7181389946413451E-2</v>
      </c>
      <c r="I290" s="1073"/>
      <c r="J290" s="1130">
        <f t="shared" ca="1" si="79"/>
        <v>64725780.465440296</v>
      </c>
      <c r="K290" s="1131">
        <f t="shared" ca="1" si="80"/>
        <v>4995625.701689098</v>
      </c>
      <c r="L290" s="1130">
        <f t="shared" ca="1" si="81"/>
        <v>0</v>
      </c>
      <c r="M290" s="1130">
        <f t="shared" ca="1" si="82"/>
        <v>0</v>
      </c>
      <c r="N290" s="1130">
        <f t="shared" ca="1" si="91"/>
        <v>59730154.763751194</v>
      </c>
      <c r="O290" s="1073"/>
      <c r="P290" s="1130">
        <f t="shared" ca="1" si="83"/>
        <v>4995625.7016891018</v>
      </c>
      <c r="Q290" s="1130">
        <f t="shared" ca="1" si="84"/>
        <v>56743647.025563635</v>
      </c>
      <c r="R290" s="1130">
        <f t="shared" ca="1" si="92"/>
        <v>61489491.44216828</v>
      </c>
      <c r="S290" s="1130">
        <f t="shared" ca="1" si="93"/>
        <v>4745844.4166046456</v>
      </c>
      <c r="T290" s="1130">
        <f t="shared" ca="1" si="85"/>
        <v>56743647.025563635</v>
      </c>
      <c r="U290" s="1132">
        <f t="shared" ca="1" si="86"/>
        <v>5.2077962126641612E-3</v>
      </c>
      <c r="V290" s="1133">
        <f t="shared" ca="1" si="87"/>
        <v>4.9999999999999933E-2</v>
      </c>
      <c r="X290" s="1134">
        <f t="shared" ca="1" si="94"/>
        <v>3236289.0232720152</v>
      </c>
      <c r="Y290" s="1134">
        <f t="shared" ca="1" si="88"/>
        <v>249781.28508445621</v>
      </c>
      <c r="Z290" s="1134">
        <f t="shared" ca="1" si="89"/>
        <v>2986507.7381875589</v>
      </c>
      <c r="AA290" s="1132">
        <f t="shared" ca="1" si="90"/>
        <v>5.5721229739531938E-3</v>
      </c>
      <c r="AB290" s="1105"/>
    </row>
    <row r="291" spans="1:28">
      <c r="A291" s="1144">
        <f>Calendar!J283</f>
        <v>53535</v>
      </c>
      <c r="C291" s="1104"/>
      <c r="D291" s="1125">
        <f t="shared" ca="1" si="76"/>
        <v>54757</v>
      </c>
      <c r="E291" s="1126">
        <f t="shared" ca="1" si="77"/>
        <v>54784</v>
      </c>
      <c r="F291" s="1127">
        <f t="shared" ca="1" si="78"/>
        <v>8554</v>
      </c>
      <c r="G291" s="1128">
        <f ca="1">IF(F291&lt;&gt;"",COUNTIF($F$11:F291,"&gt;0"),"")</f>
        <v>281</v>
      </c>
      <c r="H291" s="1129">
        <v>8.2215919503936141E-2</v>
      </c>
      <c r="I291" s="1073"/>
      <c r="J291" s="1130">
        <f t="shared" ca="1" si="79"/>
        <v>59730154.763751194</v>
      </c>
      <c r="K291" s="1131">
        <f t="shared" ca="1" si="80"/>
        <v>4910769.5960142156</v>
      </c>
      <c r="L291" s="1130">
        <f t="shared" ca="1" si="81"/>
        <v>0</v>
      </c>
      <c r="M291" s="1130">
        <f t="shared" ca="1" si="82"/>
        <v>0</v>
      </c>
      <c r="N291" s="1130">
        <f t="shared" ca="1" si="91"/>
        <v>54819385.167736977</v>
      </c>
      <c r="O291" s="1073"/>
      <c r="P291" s="1130">
        <f t="shared" ca="1" si="83"/>
        <v>4910769.5960142165</v>
      </c>
      <c r="Q291" s="1130">
        <f t="shared" ca="1" si="84"/>
        <v>52078415.909350127</v>
      </c>
      <c r="R291" s="1130">
        <f t="shared" ca="1" si="92"/>
        <v>56743647.025563635</v>
      </c>
      <c r="S291" s="1130">
        <f t="shared" ca="1" si="93"/>
        <v>4665231.116213508</v>
      </c>
      <c r="T291" s="1130">
        <f t="shared" ca="1" si="85"/>
        <v>52078415.909350127</v>
      </c>
      <c r="U291" s="1132">
        <f t="shared" ca="1" si="86"/>
        <v>4.8058512624130729E-3</v>
      </c>
      <c r="V291" s="1133">
        <f t="shared" ca="1" si="87"/>
        <v>5.0000000000000044E-2</v>
      </c>
      <c r="X291" s="1134">
        <f t="shared" ca="1" si="94"/>
        <v>2986507.7381875589</v>
      </c>
      <c r="Y291" s="1134">
        <f t="shared" ca="1" si="88"/>
        <v>245538.47980070859</v>
      </c>
      <c r="Z291" s="1134">
        <f t="shared" ca="1" si="89"/>
        <v>2740969.2583868504</v>
      </c>
      <c r="AA291" s="1132">
        <f t="shared" ca="1" si="90"/>
        <v>5.1420587778711413E-3</v>
      </c>
      <c r="AB291" s="1105"/>
    </row>
    <row r="292" spans="1:28">
      <c r="A292" s="1144">
        <f>Calendar!J284</f>
        <v>53566</v>
      </c>
      <c r="C292" s="1104"/>
      <c r="D292" s="1125">
        <f t="shared" ca="1" si="76"/>
        <v>54788</v>
      </c>
      <c r="E292" s="1126">
        <f t="shared" ca="1" si="77"/>
        <v>54815</v>
      </c>
      <c r="F292" s="1127">
        <f t="shared" ca="1" si="78"/>
        <v>8585</v>
      </c>
      <c r="G292" s="1128">
        <f ca="1">IF(F292&lt;&gt;"",COUNTIF($F$11:F292,"&gt;0"),"")</f>
        <v>282</v>
      </c>
      <c r="H292" s="1129">
        <v>8.6858023880932014E-2</v>
      </c>
      <c r="I292" s="1073"/>
      <c r="J292" s="1130">
        <f t="shared" ca="1" si="79"/>
        <v>54819385.167736977</v>
      </c>
      <c r="K292" s="1131">
        <f t="shared" ca="1" si="80"/>
        <v>4761503.4660373088</v>
      </c>
      <c r="L292" s="1130">
        <f t="shared" ca="1" si="81"/>
        <v>0</v>
      </c>
      <c r="M292" s="1130">
        <f t="shared" ca="1" si="82"/>
        <v>0</v>
      </c>
      <c r="N292" s="1130">
        <f t="shared" ca="1" si="91"/>
        <v>50057881.701699667</v>
      </c>
      <c r="O292" s="1073"/>
      <c r="P292" s="1130">
        <f t="shared" ca="1" si="83"/>
        <v>4761503.4660373107</v>
      </c>
      <c r="Q292" s="1130">
        <f t="shared" ca="1" si="84"/>
        <v>47554987.616614684</v>
      </c>
      <c r="R292" s="1130">
        <f t="shared" ca="1" si="92"/>
        <v>52078415.909350127</v>
      </c>
      <c r="S292" s="1130">
        <f t="shared" ca="1" si="93"/>
        <v>4523428.2927354425</v>
      </c>
      <c r="T292" s="1130">
        <f t="shared" ca="1" si="85"/>
        <v>47554987.616614684</v>
      </c>
      <c r="U292" s="1132">
        <f t="shared" ca="1" si="86"/>
        <v>4.4107337818746293E-3</v>
      </c>
      <c r="V292" s="1133">
        <f t="shared" ca="1" si="87"/>
        <v>4.9999999999999933E-2</v>
      </c>
      <c r="X292" s="1134">
        <f t="shared" ca="1" si="94"/>
        <v>2740969.2583868504</v>
      </c>
      <c r="Y292" s="1134">
        <f t="shared" ca="1" si="88"/>
        <v>238075.17330186814</v>
      </c>
      <c r="Z292" s="1134">
        <f t="shared" ca="1" si="89"/>
        <v>2502894.0850849822</v>
      </c>
      <c r="AA292" s="1132">
        <f t="shared" ca="1" si="90"/>
        <v>4.719299687305183E-3</v>
      </c>
      <c r="AB292" s="1105"/>
    </row>
    <row r="293" spans="1:28">
      <c r="A293" s="1144">
        <f>Calendar!J285</f>
        <v>53597</v>
      </c>
      <c r="C293" s="1104"/>
      <c r="D293" s="1125">
        <f t="shared" ca="1" si="76"/>
        <v>54819</v>
      </c>
      <c r="E293" s="1126">
        <f t="shared" ca="1" si="77"/>
        <v>54847</v>
      </c>
      <c r="F293" s="1127">
        <f t="shared" ca="1" si="78"/>
        <v>8617</v>
      </c>
      <c r="G293" s="1128">
        <f ca="1">IF(F293&lt;&gt;"",COUNTIF($F$11:F293,"&gt;0"),"")</f>
        <v>283</v>
      </c>
      <c r="H293" s="1129">
        <v>9.168346749475724E-2</v>
      </c>
      <c r="I293" s="1073"/>
      <c r="J293" s="1130">
        <f t="shared" ca="1" si="79"/>
        <v>50057881.701699667</v>
      </c>
      <c r="K293" s="1131">
        <f t="shared" ca="1" si="80"/>
        <v>4589480.1698541846</v>
      </c>
      <c r="L293" s="1130">
        <f t="shared" ca="1" si="81"/>
        <v>0</v>
      </c>
      <c r="M293" s="1130">
        <f t="shared" ca="1" si="82"/>
        <v>0</v>
      </c>
      <c r="N293" s="1130">
        <f t="shared" ca="1" si="91"/>
        <v>45468401.53184548</v>
      </c>
      <c r="O293" s="1073"/>
      <c r="P293" s="1130">
        <f t="shared" ca="1" si="83"/>
        <v>4589480.1698541865</v>
      </c>
      <c r="Q293" s="1130">
        <f t="shared" ca="1" si="84"/>
        <v>43194981.455253206</v>
      </c>
      <c r="R293" s="1130">
        <f t="shared" ca="1" si="92"/>
        <v>47554987.616614684</v>
      </c>
      <c r="S293" s="1130">
        <f t="shared" ca="1" si="93"/>
        <v>4360006.1613614783</v>
      </c>
      <c r="T293" s="1130">
        <f t="shared" ca="1" si="85"/>
        <v>43194981.455253206</v>
      </c>
      <c r="U293" s="1132">
        <f t="shared" ca="1" si="86"/>
        <v>4.0276261617161295E-3</v>
      </c>
      <c r="V293" s="1133">
        <f t="shared" ca="1" si="87"/>
        <v>5.0000000000000044E-2</v>
      </c>
      <c r="X293" s="1134">
        <f t="shared" ca="1" si="94"/>
        <v>2502894.0850849822</v>
      </c>
      <c r="Y293" s="1134">
        <f t="shared" ca="1" si="88"/>
        <v>229474.00849270821</v>
      </c>
      <c r="Z293" s="1134">
        <f t="shared" ca="1" si="89"/>
        <v>2273420.076592274</v>
      </c>
      <c r="AA293" s="1132">
        <f t="shared" ca="1" si="90"/>
        <v>4.30939064236395E-3</v>
      </c>
      <c r="AB293" s="1105"/>
    </row>
    <row r="294" spans="1:28">
      <c r="A294" s="1144">
        <f>Calendar!J286</f>
        <v>53629</v>
      </c>
      <c r="C294" s="1104"/>
      <c r="D294" s="1125">
        <f t="shared" ca="1" si="76"/>
        <v>54847</v>
      </c>
      <c r="E294" s="1126">
        <f t="shared" ca="1" si="77"/>
        <v>54875</v>
      </c>
      <c r="F294" s="1127">
        <f t="shared" ca="1" si="78"/>
        <v>8645</v>
      </c>
      <c r="G294" s="1128">
        <f ca="1">IF(F294&lt;&gt;"",COUNTIF($F$11:F294,"&gt;0"),"")</f>
        <v>284</v>
      </c>
      <c r="H294" s="1129">
        <v>9.7741681610913456E-2</v>
      </c>
      <c r="I294" s="1073"/>
      <c r="J294" s="1130">
        <f t="shared" ca="1" si="79"/>
        <v>45468401.53184548</v>
      </c>
      <c r="K294" s="1131">
        <f t="shared" ca="1" si="80"/>
        <v>4444158.0258828104</v>
      </c>
      <c r="L294" s="1130">
        <f t="shared" ca="1" si="81"/>
        <v>0</v>
      </c>
      <c r="M294" s="1130">
        <f t="shared" ca="1" si="82"/>
        <v>0</v>
      </c>
      <c r="N294" s="1130">
        <f t="shared" ca="1" si="91"/>
        <v>41024243.50596267</v>
      </c>
      <c r="O294" s="1073"/>
      <c r="P294" s="1130">
        <f t="shared" ca="1" si="83"/>
        <v>4444158.0258828104</v>
      </c>
      <c r="Q294" s="1130">
        <f t="shared" ca="1" si="84"/>
        <v>38973031.330664538</v>
      </c>
      <c r="R294" s="1130">
        <f t="shared" ca="1" si="92"/>
        <v>43194981.455253206</v>
      </c>
      <c r="S294" s="1130">
        <f t="shared" ca="1" si="93"/>
        <v>4221950.1245886683</v>
      </c>
      <c r="T294" s="1130">
        <f t="shared" ca="1" si="85"/>
        <v>38973031.330664538</v>
      </c>
      <c r="U294" s="1132">
        <f t="shared" ca="1" si="86"/>
        <v>3.6583594294373948E-3</v>
      </c>
      <c r="V294" s="1133">
        <f t="shared" ca="1" si="87"/>
        <v>4.9999999999999933E-2</v>
      </c>
      <c r="X294" s="1134">
        <f t="shared" ca="1" si="94"/>
        <v>2273420.076592274</v>
      </c>
      <c r="Y294" s="1134">
        <f t="shared" ca="1" si="88"/>
        <v>222207.90129414201</v>
      </c>
      <c r="Z294" s="1134">
        <f t="shared" ca="1" si="89"/>
        <v>2051212.175298132</v>
      </c>
      <c r="AA294" s="1132">
        <f t="shared" ca="1" si="90"/>
        <v>3.9142907654825653E-3</v>
      </c>
      <c r="AB294" s="1105"/>
    </row>
    <row r="295" spans="1:28">
      <c r="A295" s="1144">
        <f>Calendar!J287</f>
        <v>53658</v>
      </c>
      <c r="C295" s="1104"/>
      <c r="D295" s="1125">
        <f t="shared" ca="1" si="76"/>
        <v>54878</v>
      </c>
      <c r="E295" s="1126">
        <f t="shared" ca="1" si="77"/>
        <v>54905</v>
      </c>
      <c r="F295" s="1127">
        <f t="shared" ca="1" si="78"/>
        <v>8675</v>
      </c>
      <c r="G295" s="1128">
        <f ca="1">IF(F295&lt;&gt;"",COUNTIF($F$11:F295,"&gt;0"),"")</f>
        <v>285</v>
      </c>
      <c r="H295" s="1129">
        <v>0.10470054955174993</v>
      </c>
      <c r="I295" s="1073"/>
      <c r="J295" s="1130">
        <f t="shared" ca="1" si="79"/>
        <v>41024243.50596267</v>
      </c>
      <c r="K295" s="1131">
        <f t="shared" ca="1" si="80"/>
        <v>4295260.8400190994</v>
      </c>
      <c r="L295" s="1130">
        <f t="shared" ca="1" si="81"/>
        <v>0</v>
      </c>
      <c r="M295" s="1130">
        <f t="shared" ca="1" si="82"/>
        <v>0</v>
      </c>
      <c r="N295" s="1130">
        <f t="shared" ca="1" si="91"/>
        <v>36728982.66594357</v>
      </c>
      <c r="O295" s="1073"/>
      <c r="P295" s="1130">
        <f t="shared" ca="1" si="83"/>
        <v>4295260.8400190994</v>
      </c>
      <c r="Q295" s="1130">
        <f t="shared" ca="1" si="84"/>
        <v>34892533.532646388</v>
      </c>
      <c r="R295" s="1130">
        <f t="shared" ca="1" si="92"/>
        <v>38973031.330664538</v>
      </c>
      <c r="S295" s="1130">
        <f t="shared" ca="1" si="93"/>
        <v>4080497.79801815</v>
      </c>
      <c r="T295" s="1130">
        <f t="shared" ca="1" si="85"/>
        <v>34892533.532646388</v>
      </c>
      <c r="U295" s="1132">
        <f t="shared" ca="1" si="86"/>
        <v>3.3007852268670422E-3</v>
      </c>
      <c r="V295" s="1133">
        <f t="shared" ca="1" si="87"/>
        <v>5.0000000000000155E-2</v>
      </c>
      <c r="X295" s="1134">
        <f t="shared" ca="1" si="94"/>
        <v>2051212.175298132</v>
      </c>
      <c r="Y295" s="1134">
        <f t="shared" ca="1" si="88"/>
        <v>214763.04200094938</v>
      </c>
      <c r="Z295" s="1134">
        <f t="shared" ca="1" si="89"/>
        <v>1836449.1332971826</v>
      </c>
      <c r="AA295" s="1132">
        <f t="shared" ca="1" si="90"/>
        <v>3.5317014037502272E-3</v>
      </c>
      <c r="AB295" s="1105"/>
    </row>
    <row r="296" spans="1:28">
      <c r="A296" s="1144">
        <f>Calendar!J288</f>
        <v>53688</v>
      </c>
      <c r="C296" s="1104"/>
      <c r="D296" s="1125">
        <f t="shared" ca="1" si="76"/>
        <v>54908</v>
      </c>
      <c r="E296" s="1126">
        <f t="shared" ca="1" si="77"/>
        <v>54935</v>
      </c>
      <c r="F296" s="1127">
        <f t="shared" ca="1" si="78"/>
        <v>8705</v>
      </c>
      <c r="G296" s="1128">
        <f ca="1">IF(F296&lt;&gt;"",COUNTIF($F$11:F296,"&gt;0"),"")</f>
        <v>286</v>
      </c>
      <c r="H296" s="1129">
        <v>0.11061768586956627</v>
      </c>
      <c r="I296" s="1073"/>
      <c r="J296" s="1130">
        <f t="shared" ca="1" si="79"/>
        <v>36728982.66594357</v>
      </c>
      <c r="K296" s="1131">
        <f t="shared" ca="1" si="80"/>
        <v>4062875.0668500909</v>
      </c>
      <c r="L296" s="1130">
        <f t="shared" ca="1" si="81"/>
        <v>0</v>
      </c>
      <c r="M296" s="1130">
        <f t="shared" ca="1" si="82"/>
        <v>0</v>
      </c>
      <c r="N296" s="1130">
        <f t="shared" ca="1" si="91"/>
        <v>32666107.599093478</v>
      </c>
      <c r="O296" s="1073"/>
      <c r="P296" s="1130">
        <f t="shared" ca="1" si="83"/>
        <v>4062875.0668500923</v>
      </c>
      <c r="Q296" s="1130">
        <f t="shared" ca="1" si="84"/>
        <v>31032802.219138801</v>
      </c>
      <c r="R296" s="1130">
        <f t="shared" ca="1" si="92"/>
        <v>34892533.532646388</v>
      </c>
      <c r="S296" s="1130">
        <f t="shared" ca="1" si="93"/>
        <v>3859731.3135075867</v>
      </c>
      <c r="T296" s="1130">
        <f t="shared" ca="1" si="85"/>
        <v>31032802.219138801</v>
      </c>
      <c r="U296" s="1132">
        <f t="shared" ca="1" si="86"/>
        <v>2.9551911996617648E-3</v>
      </c>
      <c r="V296" s="1133">
        <f t="shared" ca="1" si="87"/>
        <v>5.0000000000000044E-2</v>
      </c>
      <c r="X296" s="1134">
        <f t="shared" ca="1" si="94"/>
        <v>1836449.1332971826</v>
      </c>
      <c r="Y296" s="1134">
        <f t="shared" ca="1" si="88"/>
        <v>203143.75334250554</v>
      </c>
      <c r="Z296" s="1134">
        <f t="shared" ca="1" si="89"/>
        <v>1633305.3799546771</v>
      </c>
      <c r="AA296" s="1132">
        <f t="shared" ca="1" si="90"/>
        <v>3.1619303259249011E-3</v>
      </c>
      <c r="AB296" s="1105"/>
    </row>
    <row r="297" spans="1:28">
      <c r="A297" s="1144">
        <f>Calendar!J289</f>
        <v>53720</v>
      </c>
      <c r="C297" s="1104"/>
      <c r="D297" s="1125">
        <f t="shared" ca="1" si="76"/>
        <v>54939</v>
      </c>
      <c r="E297" s="1126">
        <f t="shared" ca="1" si="77"/>
        <v>54966</v>
      </c>
      <c r="F297" s="1127">
        <f t="shared" ca="1" si="78"/>
        <v>8736</v>
      </c>
      <c r="G297" s="1128">
        <f ca="1">IF(F297&lt;&gt;"",COUNTIF($F$11:F297,"&gt;0"),"")</f>
        <v>287</v>
      </c>
      <c r="H297" s="1129">
        <v>0.11732030969490148</v>
      </c>
      <c r="I297" s="1073"/>
      <c r="J297" s="1130">
        <f t="shared" ca="1" si="79"/>
        <v>32666107.599093478</v>
      </c>
      <c r="K297" s="1131">
        <f t="shared" ca="1" si="80"/>
        <v>3832397.8600526215</v>
      </c>
      <c r="L297" s="1130">
        <f t="shared" ca="1" si="81"/>
        <v>0</v>
      </c>
      <c r="M297" s="1130">
        <f t="shared" ca="1" si="82"/>
        <v>0</v>
      </c>
      <c r="N297" s="1130">
        <f t="shared" ca="1" si="91"/>
        <v>28833709.739040855</v>
      </c>
      <c r="O297" s="1073"/>
      <c r="P297" s="1130">
        <f t="shared" ca="1" si="83"/>
        <v>3832397.8600526229</v>
      </c>
      <c r="Q297" s="1130">
        <f t="shared" ca="1" si="84"/>
        <v>27392024.252088811</v>
      </c>
      <c r="R297" s="1130">
        <f t="shared" ca="1" si="92"/>
        <v>31032802.219138801</v>
      </c>
      <c r="S297" s="1130">
        <f t="shared" ca="1" si="93"/>
        <v>3640777.9670499898</v>
      </c>
      <c r="T297" s="1130">
        <f t="shared" ca="1" si="85"/>
        <v>27392024.252088811</v>
      </c>
      <c r="U297" s="1132">
        <f t="shared" ca="1" si="86"/>
        <v>2.6282947878530729E-3</v>
      </c>
      <c r="V297" s="1133">
        <f t="shared" ca="1" si="87"/>
        <v>5.0000000000000044E-2</v>
      </c>
      <c r="X297" s="1134">
        <f t="shared" ca="1" si="94"/>
        <v>1633305.3799546771</v>
      </c>
      <c r="Y297" s="1134">
        <f t="shared" ca="1" si="88"/>
        <v>191619.89300263301</v>
      </c>
      <c r="Z297" s="1134">
        <f t="shared" ca="1" si="89"/>
        <v>1441685.4869520441</v>
      </c>
      <c r="AA297" s="1132">
        <f t="shared" ca="1" si="90"/>
        <v>2.8121649103902842E-3</v>
      </c>
      <c r="AB297" s="1105"/>
    </row>
    <row r="298" spans="1:28">
      <c r="A298" s="1144">
        <f>Calendar!J290</f>
        <v>53750</v>
      </c>
      <c r="C298" s="1104"/>
      <c r="D298" s="1125">
        <f t="shared" ca="1" si="76"/>
        <v>54969</v>
      </c>
      <c r="E298" s="1126">
        <f t="shared" ca="1" si="77"/>
        <v>54996</v>
      </c>
      <c r="F298" s="1127">
        <f t="shared" ca="1" si="78"/>
        <v>8766</v>
      </c>
      <c r="G298" s="1128">
        <f ca="1">IF(F298&lt;&gt;"",COUNTIF($F$11:F298,"&gt;0"),"")</f>
        <v>288</v>
      </c>
      <c r="H298" s="1129">
        <v>0.12633784130682557</v>
      </c>
      <c r="I298" s="1073"/>
      <c r="J298" s="1130">
        <f t="shared" ca="1" si="79"/>
        <v>28833709.739040855</v>
      </c>
      <c r="K298" s="1131">
        <f t="shared" ca="1" si="80"/>
        <v>3642788.6452980144</v>
      </c>
      <c r="L298" s="1130">
        <f t="shared" ca="1" si="81"/>
        <v>0</v>
      </c>
      <c r="M298" s="1130">
        <f t="shared" ca="1" si="82"/>
        <v>0</v>
      </c>
      <c r="N298" s="1130">
        <f t="shared" ca="1" si="91"/>
        <v>25190921.09374284</v>
      </c>
      <c r="O298" s="1073"/>
      <c r="P298" s="1130">
        <f t="shared" ca="1" si="83"/>
        <v>3642788.6452980153</v>
      </c>
      <c r="Q298" s="1130">
        <f t="shared" ca="1" si="84"/>
        <v>23931375.039055698</v>
      </c>
      <c r="R298" s="1130">
        <f t="shared" ca="1" si="92"/>
        <v>27392024.252088811</v>
      </c>
      <c r="S298" s="1130">
        <f t="shared" ca="1" si="93"/>
        <v>3460649.2130331136</v>
      </c>
      <c r="T298" s="1130">
        <f t="shared" ca="1" si="85"/>
        <v>23931375.039055698</v>
      </c>
      <c r="U298" s="1132">
        <f t="shared" ca="1" si="86"/>
        <v>2.3199424293726548E-3</v>
      </c>
      <c r="V298" s="1133">
        <f t="shared" ca="1" si="87"/>
        <v>5.0000000000000044E-2</v>
      </c>
      <c r="X298" s="1134">
        <f t="shared" ca="1" si="94"/>
        <v>1441685.4869520441</v>
      </c>
      <c r="Y298" s="1134">
        <f t="shared" ca="1" si="88"/>
        <v>182139.4322649017</v>
      </c>
      <c r="Z298" s="1134">
        <f t="shared" ca="1" si="89"/>
        <v>1259546.0546871424</v>
      </c>
      <c r="AA298" s="1132">
        <f t="shared" ca="1" si="90"/>
        <v>2.4822408521901584E-3</v>
      </c>
      <c r="AB298" s="1105"/>
    </row>
    <row r="299" spans="1:28">
      <c r="A299" s="1144">
        <f>Calendar!J291</f>
        <v>53778</v>
      </c>
      <c r="C299" s="1104"/>
      <c r="D299" s="1125">
        <f t="shared" ca="1" si="76"/>
        <v>55000</v>
      </c>
      <c r="E299" s="1126">
        <f t="shared" ca="1" si="77"/>
        <v>55029</v>
      </c>
      <c r="F299" s="1127">
        <f t="shared" ca="1" si="78"/>
        <v>8799</v>
      </c>
      <c r="G299" s="1128">
        <f ca="1">IF(F299&lt;&gt;"",COUNTIF($F$11:F299,"&gt;0"),"")</f>
        <v>289</v>
      </c>
      <c r="H299" s="1129">
        <v>0.13615492669384663</v>
      </c>
      <c r="I299" s="1073"/>
      <c r="J299" s="1130">
        <f t="shared" ca="1" si="79"/>
        <v>25190921.09374284</v>
      </c>
      <c r="K299" s="1131">
        <f t="shared" ca="1" si="80"/>
        <v>3429868.014869031</v>
      </c>
      <c r="L299" s="1130">
        <f t="shared" ca="1" si="81"/>
        <v>0</v>
      </c>
      <c r="M299" s="1130">
        <f t="shared" ca="1" si="82"/>
        <v>0</v>
      </c>
      <c r="N299" s="1130">
        <f t="shared" ca="1" si="91"/>
        <v>21761053.078873809</v>
      </c>
      <c r="O299" s="1073"/>
      <c r="P299" s="1130">
        <f t="shared" ca="1" si="83"/>
        <v>3429868.0148690306</v>
      </c>
      <c r="Q299" s="1130">
        <f t="shared" ca="1" si="84"/>
        <v>20673000.424930118</v>
      </c>
      <c r="R299" s="1130">
        <f t="shared" ca="1" si="92"/>
        <v>23931375.039055698</v>
      </c>
      <c r="S299" s="1130">
        <f t="shared" ca="1" si="93"/>
        <v>3258374.6141255796</v>
      </c>
      <c r="T299" s="1130">
        <f t="shared" ca="1" si="85"/>
        <v>20673000.424930118</v>
      </c>
      <c r="U299" s="1132">
        <f t="shared" ca="1" si="86"/>
        <v>2.0268459108896009E-3</v>
      </c>
      <c r="V299" s="1133">
        <f t="shared" ca="1" si="87"/>
        <v>5.0000000000000044E-2</v>
      </c>
      <c r="X299" s="1134">
        <f t="shared" ca="1" si="94"/>
        <v>1259546.0546871424</v>
      </c>
      <c r="Y299" s="1134">
        <f t="shared" ca="1" si="88"/>
        <v>171493.40074345097</v>
      </c>
      <c r="Z299" s="1134">
        <f t="shared" ca="1" si="89"/>
        <v>1088052.6539436914</v>
      </c>
      <c r="AA299" s="1132">
        <f t="shared" ca="1" si="90"/>
        <v>2.1686399013208374E-3</v>
      </c>
      <c r="AB299" s="1105"/>
    </row>
    <row r="300" spans="1:28">
      <c r="A300" s="1144">
        <f>Calendar!J292</f>
        <v>53811</v>
      </c>
      <c r="C300" s="1104"/>
      <c r="D300" s="1125">
        <f t="shared" ca="1" si="76"/>
        <v>55031</v>
      </c>
      <c r="E300" s="1126">
        <f t="shared" ca="1" si="77"/>
        <v>55058</v>
      </c>
      <c r="F300" s="1127">
        <f t="shared" ca="1" si="78"/>
        <v>8828</v>
      </c>
      <c r="G300" s="1128">
        <f ca="1">IF(F300&lt;&gt;"",COUNTIF($F$11:F300,"&gt;0"),"")</f>
        <v>290</v>
      </c>
      <c r="H300" s="1129">
        <v>0.1491211442456824</v>
      </c>
      <c r="I300" s="1073"/>
      <c r="J300" s="1130">
        <f t="shared" ca="1" si="79"/>
        <v>21761053.078873809</v>
      </c>
      <c r="K300" s="1131">
        <f t="shared" ca="1" si="80"/>
        <v>3245033.1351126926</v>
      </c>
      <c r="L300" s="1130">
        <f t="shared" ca="1" si="81"/>
        <v>0</v>
      </c>
      <c r="M300" s="1130">
        <f t="shared" ca="1" si="82"/>
        <v>0</v>
      </c>
      <c r="N300" s="1130">
        <f t="shared" ca="1" si="91"/>
        <v>18516019.943761118</v>
      </c>
      <c r="O300" s="1073"/>
      <c r="P300" s="1130">
        <f t="shared" ca="1" si="83"/>
        <v>3245033.1351126917</v>
      </c>
      <c r="Q300" s="1130">
        <f t="shared" ca="1" si="84"/>
        <v>17590218.94657306</v>
      </c>
      <c r="R300" s="1130">
        <f t="shared" ca="1" si="92"/>
        <v>20673000.424930118</v>
      </c>
      <c r="S300" s="1130">
        <f t="shared" ca="1" si="93"/>
        <v>3082781.478357058</v>
      </c>
      <c r="T300" s="1130">
        <f t="shared" ca="1" si="85"/>
        <v>17590218.94657306</v>
      </c>
      <c r="U300" s="1132">
        <f t="shared" ca="1" si="86"/>
        <v>1.7508808544727046E-3</v>
      </c>
      <c r="V300" s="1133">
        <f t="shared" ca="1" si="87"/>
        <v>5.0000000000000155E-2</v>
      </c>
      <c r="X300" s="1134">
        <f t="shared" ca="1" si="94"/>
        <v>1088052.6539436914</v>
      </c>
      <c r="Y300" s="1134">
        <f t="shared" ca="1" si="88"/>
        <v>162251.65675563365</v>
      </c>
      <c r="Z300" s="1134">
        <f t="shared" ca="1" si="89"/>
        <v>925800.99718805775</v>
      </c>
      <c r="AA300" s="1132">
        <f t="shared" ca="1" si="90"/>
        <v>1.8733688945311491E-3</v>
      </c>
      <c r="AB300" s="1105"/>
    </row>
    <row r="301" spans="1:28">
      <c r="A301" s="1144">
        <f>Calendar!J293</f>
        <v>53839</v>
      </c>
      <c r="C301" s="1104"/>
      <c r="D301" s="1125">
        <f t="shared" ca="1" si="76"/>
        <v>55061</v>
      </c>
      <c r="E301" s="1126">
        <f t="shared" ca="1" si="77"/>
        <v>55088</v>
      </c>
      <c r="F301" s="1127">
        <f t="shared" ca="1" si="78"/>
        <v>8858</v>
      </c>
      <c r="G301" s="1128">
        <f ca="1">IF(F301&lt;&gt;"",COUNTIF($F$11:F301,"&gt;0"),"")</f>
        <v>291</v>
      </c>
      <c r="H301" s="1129">
        <v>0.16896561620355724</v>
      </c>
      <c r="I301" s="1073"/>
      <c r="J301" s="1130">
        <f t="shared" ca="1" si="79"/>
        <v>18516019.943761118</v>
      </c>
      <c r="K301" s="1131">
        <f t="shared" ca="1" si="80"/>
        <v>3128570.7194349524</v>
      </c>
      <c r="L301" s="1130">
        <f t="shared" ca="1" si="81"/>
        <v>0</v>
      </c>
      <c r="M301" s="1130">
        <f t="shared" ca="1" si="82"/>
        <v>0</v>
      </c>
      <c r="N301" s="1130">
        <f t="shared" ca="1" si="91"/>
        <v>15387449.224326165</v>
      </c>
      <c r="O301" s="1073"/>
      <c r="P301" s="1130">
        <f t="shared" ca="1" si="83"/>
        <v>3128570.7194349524</v>
      </c>
      <c r="Q301" s="1130">
        <f t="shared" ca="1" si="84"/>
        <v>14618076.763109857</v>
      </c>
      <c r="R301" s="1130">
        <f t="shared" ca="1" si="92"/>
        <v>17590218.94657306</v>
      </c>
      <c r="S301" s="1130">
        <f t="shared" ca="1" si="93"/>
        <v>2972142.1834632028</v>
      </c>
      <c r="T301" s="1130">
        <f t="shared" ca="1" si="85"/>
        <v>14618076.763109857</v>
      </c>
      <c r="U301" s="1132">
        <f t="shared" ca="1" si="86"/>
        <v>1.4897874980158768E-3</v>
      </c>
      <c r="V301" s="1133">
        <f t="shared" ca="1" si="87"/>
        <v>5.0000000000000044E-2</v>
      </c>
      <c r="X301" s="1134">
        <f t="shared" ca="1" si="94"/>
        <v>925800.99718805775</v>
      </c>
      <c r="Y301" s="1134">
        <f t="shared" ca="1" si="88"/>
        <v>156428.53597174957</v>
      </c>
      <c r="Z301" s="1134">
        <f t="shared" ca="1" si="89"/>
        <v>769372.46121630818</v>
      </c>
      <c r="AA301" s="1132">
        <f t="shared" ca="1" si="90"/>
        <v>1.5940099813843969E-3</v>
      </c>
      <c r="AB301" s="1105"/>
    </row>
    <row r="302" spans="1:28">
      <c r="A302" s="1144">
        <f>Calendar!J294</f>
        <v>53870</v>
      </c>
      <c r="C302" s="1104"/>
      <c r="D302" s="1125">
        <f t="shared" ca="1" si="76"/>
        <v>55092</v>
      </c>
      <c r="E302" s="1126">
        <f t="shared" ca="1" si="77"/>
        <v>55120</v>
      </c>
      <c r="F302" s="1127">
        <f t="shared" ca="1" si="78"/>
        <v>8890</v>
      </c>
      <c r="G302" s="1128">
        <f ca="1">IF(F302&lt;&gt;"",COUNTIF($F$11:F302,"&gt;0"),"")</f>
        <v>292</v>
      </c>
      <c r="H302" s="1129">
        <v>0.19188374195617591</v>
      </c>
      <c r="I302" s="1073"/>
      <c r="J302" s="1130">
        <f t="shared" ca="1" si="79"/>
        <v>15387449.224326165</v>
      </c>
      <c r="K302" s="1131">
        <f t="shared" ca="1" si="80"/>
        <v>2952601.3363243612</v>
      </c>
      <c r="L302" s="1130">
        <f t="shared" ca="1" si="81"/>
        <v>0</v>
      </c>
      <c r="M302" s="1130">
        <f t="shared" ca="1" si="82"/>
        <v>0</v>
      </c>
      <c r="N302" s="1130">
        <f t="shared" ca="1" si="91"/>
        <v>12434847.888001803</v>
      </c>
      <c r="O302" s="1073"/>
      <c r="P302" s="1130">
        <f t="shared" ca="1" si="83"/>
        <v>2952601.3363243621</v>
      </c>
      <c r="Q302" s="1130">
        <f t="shared" ca="1" si="84"/>
        <v>11813105.493601713</v>
      </c>
      <c r="R302" s="1130">
        <f t="shared" ca="1" si="92"/>
        <v>14618076.763109857</v>
      </c>
      <c r="S302" s="1130">
        <f t="shared" ca="1" si="93"/>
        <v>2804971.2695081439</v>
      </c>
      <c r="T302" s="1130">
        <f t="shared" ca="1" si="85"/>
        <v>11813105.493601713</v>
      </c>
      <c r="U302" s="1132">
        <f t="shared" ca="1" si="86"/>
        <v>1.2380646354012686E-3</v>
      </c>
      <c r="V302" s="1133">
        <f t="shared" ca="1" si="87"/>
        <v>4.9999999999999933E-2</v>
      </c>
      <c r="X302" s="1134">
        <f t="shared" ca="1" si="94"/>
        <v>769372.46121630818</v>
      </c>
      <c r="Y302" s="1134">
        <f t="shared" ca="1" si="88"/>
        <v>147630.0668162182</v>
      </c>
      <c r="Z302" s="1134">
        <f t="shared" ca="1" si="89"/>
        <v>621742.39440008998</v>
      </c>
      <c r="AA302" s="1132">
        <f t="shared" ca="1" si="90"/>
        <v>1.3246771026451587E-3</v>
      </c>
      <c r="AB302" s="1105"/>
    </row>
    <row r="303" spans="1:28">
      <c r="A303" s="1144">
        <f>Calendar!J295</f>
        <v>53902</v>
      </c>
      <c r="C303" s="1104"/>
      <c r="D303" s="1125">
        <f t="shared" ca="1" si="76"/>
        <v>55122</v>
      </c>
      <c r="E303" s="1126">
        <f t="shared" ca="1" si="77"/>
        <v>55149</v>
      </c>
      <c r="F303" s="1127">
        <f t="shared" ca="1" si="78"/>
        <v>8919</v>
      </c>
      <c r="G303" s="1128">
        <f ca="1">IF(F303&lt;&gt;"",COUNTIF($F$11:F303,"&gt;0"),"")</f>
        <v>293</v>
      </c>
      <c r="H303" s="1129">
        <v>0.22220824467743641</v>
      </c>
      <c r="I303" s="1073"/>
      <c r="J303" s="1130">
        <f t="shared" ca="1" si="79"/>
        <v>12434847.888001803</v>
      </c>
      <c r="K303" s="1131">
        <f t="shared" ca="1" si="80"/>
        <v>2763125.7220238079</v>
      </c>
      <c r="L303" s="1130">
        <f t="shared" ca="1" si="81"/>
        <v>0</v>
      </c>
      <c r="M303" s="1130">
        <f t="shared" ca="1" si="82"/>
        <v>0</v>
      </c>
      <c r="N303" s="1130">
        <f t="shared" ca="1" si="91"/>
        <v>9671722.1659779958</v>
      </c>
      <c r="O303" s="1073"/>
      <c r="P303" s="1130">
        <f t="shared" ca="1" si="83"/>
        <v>2763125.7220238075</v>
      </c>
      <c r="Q303" s="1130">
        <f t="shared" ca="1" si="84"/>
        <v>9188136.0576790962</v>
      </c>
      <c r="R303" s="1130">
        <f t="shared" ca="1" si="92"/>
        <v>11813105.493601713</v>
      </c>
      <c r="S303" s="1130">
        <f t="shared" ca="1" si="93"/>
        <v>2624969.4359226171</v>
      </c>
      <c r="T303" s="1130">
        <f t="shared" ca="1" si="85"/>
        <v>9188136.0576790962</v>
      </c>
      <c r="U303" s="1132">
        <f t="shared" ca="1" si="86"/>
        <v>1.0005001603768644E-3</v>
      </c>
      <c r="V303" s="1133">
        <f t="shared" ca="1" si="87"/>
        <v>4.9999999999999933E-2</v>
      </c>
      <c r="X303" s="1134">
        <f t="shared" ca="1" si="94"/>
        <v>621742.39440008998</v>
      </c>
      <c r="Y303" s="1134">
        <f t="shared" ca="1" si="88"/>
        <v>138156.28610119037</v>
      </c>
      <c r="Z303" s="1134">
        <f t="shared" ca="1" si="89"/>
        <v>483586.10829889961</v>
      </c>
      <c r="AA303" s="1132">
        <f t="shared" ca="1" si="90"/>
        <v>1.07049310330594E-3</v>
      </c>
      <c r="AB303" s="1105"/>
    </row>
    <row r="304" spans="1:28">
      <c r="A304" s="1144">
        <f>Calendar!J296</f>
        <v>53931</v>
      </c>
      <c r="C304" s="1104"/>
      <c r="D304" s="1125">
        <f t="shared" ca="1" si="76"/>
        <v>55153</v>
      </c>
      <c r="E304" s="1126">
        <f t="shared" ca="1" si="77"/>
        <v>55180</v>
      </c>
      <c r="F304" s="1127">
        <f t="shared" ca="1" si="78"/>
        <v>8950</v>
      </c>
      <c r="G304" s="1128">
        <f ca="1">IF(F304&lt;&gt;"",COUNTIF($F$11:F304,"&gt;0"),"")</f>
        <v>294</v>
      </c>
      <c r="H304" s="1129">
        <v>0.2626909689630772</v>
      </c>
      <c r="I304" s="1073"/>
      <c r="J304" s="1130">
        <f t="shared" ca="1" si="79"/>
        <v>9671722.1659779958</v>
      </c>
      <c r="K304" s="1131">
        <f t="shared" ca="1" si="80"/>
        <v>2540674.0673224316</v>
      </c>
      <c r="L304" s="1130">
        <f t="shared" ca="1" si="81"/>
        <v>0</v>
      </c>
      <c r="M304" s="1130">
        <f t="shared" ca="1" si="82"/>
        <v>0</v>
      </c>
      <c r="N304" s="1130">
        <f t="shared" ca="1" si="91"/>
        <v>7131048.0986555647</v>
      </c>
      <c r="O304" s="1073"/>
      <c r="P304" s="1130">
        <f t="shared" ca="1" si="83"/>
        <v>2540674.0673224311</v>
      </c>
      <c r="Q304" s="1130">
        <f t="shared" ca="1" si="84"/>
        <v>6774495.6937227864</v>
      </c>
      <c r="R304" s="1130">
        <f t="shared" ca="1" si="92"/>
        <v>9188136.0576790962</v>
      </c>
      <c r="S304" s="1130">
        <f t="shared" ca="1" si="93"/>
        <v>2413640.3639563099</v>
      </c>
      <c r="T304" s="1130">
        <f t="shared" ca="1" si="85"/>
        <v>6774495.6937227864</v>
      </c>
      <c r="U304" s="1132">
        <f t="shared" ca="1" si="86"/>
        <v>7.7818077594002779E-4</v>
      </c>
      <c r="V304" s="1133">
        <f t="shared" ca="1" si="87"/>
        <v>5.0000000000000044E-2</v>
      </c>
      <c r="X304" s="1134">
        <f t="shared" ca="1" si="94"/>
        <v>483586.10829889961</v>
      </c>
      <c r="Y304" s="1134">
        <f t="shared" ca="1" si="88"/>
        <v>127033.70336612128</v>
      </c>
      <c r="Z304" s="1134">
        <f t="shared" ca="1" si="89"/>
        <v>356552.40493277833</v>
      </c>
      <c r="AA304" s="1132">
        <f t="shared" ca="1" si="90"/>
        <v>8.3262070988102544E-4</v>
      </c>
      <c r="AB304" s="1105"/>
    </row>
    <row r="305" spans="1:28">
      <c r="A305" s="1144">
        <f>Calendar!J297</f>
        <v>53962</v>
      </c>
      <c r="C305" s="1104"/>
      <c r="D305" s="1125">
        <f t="shared" ca="1" si="76"/>
        <v>55184</v>
      </c>
      <c r="E305" s="1126">
        <f t="shared" ca="1" si="77"/>
        <v>55211</v>
      </c>
      <c r="F305" s="1127">
        <f t="shared" ca="1" si="78"/>
        <v>8981</v>
      </c>
      <c r="G305" s="1128">
        <f ca="1">IF(F305&lt;&gt;"",COUNTIF($F$11:F305,"&gt;0"),"")</f>
        <v>295</v>
      </c>
      <c r="H305" s="1129">
        <v>0.30906128739427524</v>
      </c>
      <c r="I305" s="1073"/>
      <c r="J305" s="1130">
        <f t="shared" ca="1" si="79"/>
        <v>7131048.0986555647</v>
      </c>
      <c r="K305" s="1131">
        <f t="shared" ca="1" si="80"/>
        <v>2203930.9058409873</v>
      </c>
      <c r="L305" s="1130">
        <f t="shared" ca="1" si="81"/>
        <v>0</v>
      </c>
      <c r="M305" s="1130">
        <f t="shared" ca="1" si="82"/>
        <v>0</v>
      </c>
      <c r="N305" s="1130">
        <f t="shared" ca="1" si="91"/>
        <v>4927117.1928145774</v>
      </c>
      <c r="O305" s="1073"/>
      <c r="P305" s="1130">
        <f t="shared" ca="1" si="83"/>
        <v>2203930.9058409873</v>
      </c>
      <c r="Q305" s="1130">
        <f t="shared" ca="1" si="84"/>
        <v>4680761.3331738487</v>
      </c>
      <c r="R305" s="1130">
        <f t="shared" ca="1" si="92"/>
        <v>6774495.6937227864</v>
      </c>
      <c r="S305" s="1130">
        <f t="shared" ca="1" si="93"/>
        <v>2093734.3605489377</v>
      </c>
      <c r="T305" s="1130">
        <f t="shared" ca="1" si="85"/>
        <v>4680761.3331738487</v>
      </c>
      <c r="U305" s="1132">
        <f t="shared" ca="1" si="86"/>
        <v>5.7375971387990264E-4</v>
      </c>
      <c r="V305" s="1133">
        <f t="shared" ca="1" si="87"/>
        <v>4.9999999999999933E-2</v>
      </c>
      <c r="X305" s="1134">
        <f t="shared" ca="1" si="94"/>
        <v>356552.40493277833</v>
      </c>
      <c r="Y305" s="1134">
        <f t="shared" ca="1" si="88"/>
        <v>110196.54529204965</v>
      </c>
      <c r="Z305" s="1134">
        <f t="shared" ca="1" si="89"/>
        <v>246355.85964072868</v>
      </c>
      <c r="AA305" s="1132">
        <f t="shared" ca="1" si="90"/>
        <v>6.1389876882365414E-4</v>
      </c>
      <c r="AB305" s="1105"/>
    </row>
    <row r="306" spans="1:28">
      <c r="A306" s="1144">
        <f>Calendar!J298</f>
        <v>53993</v>
      </c>
      <c r="C306" s="1104"/>
      <c r="D306" s="1125">
        <f t="shared" ca="1" si="76"/>
        <v>55212</v>
      </c>
      <c r="E306" s="1126">
        <f t="shared" ca="1" si="77"/>
        <v>55239</v>
      </c>
      <c r="F306" s="1127">
        <f t="shared" ca="1" si="78"/>
        <v>9009</v>
      </c>
      <c r="G306" s="1128">
        <f ca="1">IF(F306&lt;&gt;"",COUNTIF($F$11:F306,"&gt;0"),"")</f>
        <v>296</v>
      </c>
      <c r="H306" s="1129">
        <v>0.35483122856910354</v>
      </c>
      <c r="I306" s="1073"/>
      <c r="J306" s="1130">
        <f t="shared" ca="1" si="79"/>
        <v>4927117.1928145774</v>
      </c>
      <c r="K306" s="1131">
        <f t="shared" ca="1" si="80"/>
        <v>1748295.0468303491</v>
      </c>
      <c r="L306" s="1130">
        <f t="shared" ca="1" si="81"/>
        <v>0</v>
      </c>
      <c r="M306" s="1130">
        <f t="shared" ca="1" si="82"/>
        <v>0</v>
      </c>
      <c r="N306" s="1130">
        <f t="shared" ca="1" si="91"/>
        <v>3178822.1459842282</v>
      </c>
      <c r="O306" s="1073"/>
      <c r="P306" s="1130">
        <f t="shared" ca="1" si="83"/>
        <v>1748295.0468303491</v>
      </c>
      <c r="Q306" s="1130">
        <f t="shared" ca="1" si="84"/>
        <v>3019881.0386850168</v>
      </c>
      <c r="R306" s="1130">
        <f t="shared" ca="1" si="92"/>
        <v>4680761.3331738487</v>
      </c>
      <c r="S306" s="1130">
        <f t="shared" ca="1" si="93"/>
        <v>1660880.2944888319</v>
      </c>
      <c r="T306" s="1130">
        <f t="shared" ca="1" si="85"/>
        <v>3019881.0386850168</v>
      </c>
      <c r="U306" s="1132">
        <f t="shared" ca="1" si="86"/>
        <v>3.9643279805320897E-4</v>
      </c>
      <c r="V306" s="1133">
        <f t="shared" ca="1" si="87"/>
        <v>5.0000000000000044E-2</v>
      </c>
      <c r="X306" s="1134">
        <f t="shared" ca="1" si="94"/>
        <v>246355.85964072868</v>
      </c>
      <c r="Y306" s="1134">
        <f t="shared" ca="1" si="88"/>
        <v>87414.752341517247</v>
      </c>
      <c r="Z306" s="1134">
        <f t="shared" ca="1" si="89"/>
        <v>158941.10729921144</v>
      </c>
      <c r="AA306" s="1132">
        <f t="shared" ca="1" si="90"/>
        <v>4.2416642500125464E-4</v>
      </c>
      <c r="AB306" s="1105"/>
    </row>
    <row r="307" spans="1:28">
      <c r="A307" s="1144">
        <f>Calendar!J299</f>
        <v>54023</v>
      </c>
      <c r="C307" s="1104"/>
      <c r="D307" s="1125">
        <f t="shared" ca="1" si="76"/>
        <v>55243</v>
      </c>
      <c r="E307" s="1126">
        <f t="shared" ca="1" si="77"/>
        <v>55270</v>
      </c>
      <c r="F307" s="1127">
        <f t="shared" ca="1" si="78"/>
        <v>9040</v>
      </c>
      <c r="G307" s="1128">
        <f ca="1">IF(F307&lt;&gt;"",COUNTIF($F$11:F307,"&gt;0"),"")</f>
        <v>297</v>
      </c>
      <c r="H307" s="1129">
        <v>0.43581685693038397</v>
      </c>
      <c r="I307" s="1073"/>
      <c r="J307" s="1130">
        <f t="shared" ca="1" si="79"/>
        <v>3178822.1459842282</v>
      </c>
      <c r="K307" s="1131">
        <f t="shared" ca="1" si="80"/>
        <v>1385384.2764035445</v>
      </c>
      <c r="L307" s="1130">
        <f t="shared" ca="1" si="81"/>
        <v>0</v>
      </c>
      <c r="M307" s="1130">
        <f t="shared" ca="1" si="82"/>
        <v>0</v>
      </c>
      <c r="N307" s="1130">
        <f t="shared" ca="1" si="91"/>
        <v>1793437.8695806838</v>
      </c>
      <c r="O307" s="1073"/>
      <c r="P307" s="1130">
        <f t="shared" ca="1" si="83"/>
        <v>1385384.2764035445</v>
      </c>
      <c r="Q307" s="1130">
        <f t="shared" ca="1" si="84"/>
        <v>1703765.9761016495</v>
      </c>
      <c r="R307" s="1130">
        <f t="shared" ca="1" si="92"/>
        <v>3019881.0386850168</v>
      </c>
      <c r="S307" s="1130">
        <f t="shared" ca="1" si="93"/>
        <v>1316115.0625833673</v>
      </c>
      <c r="T307" s="1130">
        <f t="shared" ca="1" si="85"/>
        <v>1703765.9761016495</v>
      </c>
      <c r="U307" s="1132">
        <f t="shared" ca="1" si="86"/>
        <v>2.5576606127490148E-4</v>
      </c>
      <c r="V307" s="1133">
        <f t="shared" ca="1" si="87"/>
        <v>5.0000000000000044E-2</v>
      </c>
      <c r="X307" s="1134">
        <f t="shared" ca="1" si="94"/>
        <v>158941.10729921144</v>
      </c>
      <c r="Y307" s="1134">
        <f t="shared" ca="1" si="88"/>
        <v>69269.21382017713</v>
      </c>
      <c r="Z307" s="1134">
        <f t="shared" ca="1" si="89"/>
        <v>89671.893479034305</v>
      </c>
      <c r="AA307" s="1132">
        <f t="shared" ca="1" si="90"/>
        <v>2.7365893130029516E-4</v>
      </c>
      <c r="AB307" s="1105"/>
    </row>
    <row r="308" spans="1:28">
      <c r="A308" s="1144">
        <f>Calendar!J300</f>
        <v>54053</v>
      </c>
      <c r="C308" s="1104"/>
      <c r="D308" s="1125">
        <f t="shared" ca="1" si="76"/>
        <v>55273</v>
      </c>
      <c r="E308" s="1126">
        <f t="shared" ca="1" si="77"/>
        <v>55302</v>
      </c>
      <c r="F308" s="1127">
        <f t="shared" ca="1" si="78"/>
        <v>9072</v>
      </c>
      <c r="G308" s="1128">
        <f ca="1">IF(F308&lt;&gt;"",COUNTIF($F$11:F308,"&gt;0"),"")</f>
        <v>298</v>
      </c>
      <c r="H308" s="1129">
        <v>0.52711635309741389</v>
      </c>
      <c r="I308" s="1073"/>
      <c r="J308" s="1130">
        <f t="shared" ca="1" si="79"/>
        <v>1793437.8695806838</v>
      </c>
      <c r="K308" s="1131">
        <f t="shared" ca="1" si="80"/>
        <v>945350.42932016542</v>
      </c>
      <c r="L308" s="1130">
        <f t="shared" ca="1" si="81"/>
        <v>0</v>
      </c>
      <c r="M308" s="1130">
        <f t="shared" ca="1" si="82"/>
        <v>0</v>
      </c>
      <c r="N308" s="1130">
        <f t="shared" ca="1" si="91"/>
        <v>848087.44026051834</v>
      </c>
      <c r="O308" s="1073"/>
      <c r="P308" s="1130">
        <f t="shared" ca="1" si="83"/>
        <v>945350.42932016542</v>
      </c>
      <c r="Q308" s="1130">
        <f t="shared" ca="1" si="84"/>
        <v>805683.06824749243</v>
      </c>
      <c r="R308" s="1130">
        <f t="shared" ca="1" si="92"/>
        <v>1703765.9761016495</v>
      </c>
      <c r="S308" s="1130">
        <f t="shared" ca="1" si="93"/>
        <v>898082.90785415703</v>
      </c>
      <c r="T308" s="1130">
        <f t="shared" ca="1" si="85"/>
        <v>805683.06824749243</v>
      </c>
      <c r="U308" s="1132">
        <f t="shared" ca="1" si="86"/>
        <v>1.4429890034060993E-4</v>
      </c>
      <c r="V308" s="1133">
        <f t="shared" ca="1" si="87"/>
        <v>5.0000000000000044E-2</v>
      </c>
      <c r="X308" s="1134">
        <f t="shared" ca="1" si="94"/>
        <v>89671.893479034305</v>
      </c>
      <c r="Y308" s="1134">
        <f t="shared" ca="1" si="88"/>
        <v>47267.521466008388</v>
      </c>
      <c r="Z308" s="1134">
        <f t="shared" ca="1" si="89"/>
        <v>42404.372013025917</v>
      </c>
      <c r="AA308" s="1132">
        <f t="shared" ca="1" si="90"/>
        <v>1.5439375599007283E-4</v>
      </c>
      <c r="AB308" s="1105"/>
    </row>
    <row r="309" spans="1:28">
      <c r="A309" s="1144">
        <f>Calendar!J301</f>
        <v>54084</v>
      </c>
      <c r="C309" s="1104"/>
      <c r="D309" s="1125">
        <f t="shared" ca="1" si="76"/>
        <v>55304</v>
      </c>
      <c r="E309" s="1126">
        <f t="shared" ca="1" si="77"/>
        <v>55331</v>
      </c>
      <c r="F309" s="1127">
        <f t="shared" ca="1" si="78"/>
        <v>9101</v>
      </c>
      <c r="G309" s="1128">
        <f ca="1">IF(F309&lt;&gt;"",COUNTIF($F$11:F309,"&gt;0"),"")</f>
        <v>299</v>
      </c>
      <c r="H309" s="1129">
        <v>0.6388135512071933</v>
      </c>
      <c r="I309" s="1073"/>
      <c r="J309" s="1130">
        <f t="shared" ca="1" si="79"/>
        <v>848087.44026051834</v>
      </c>
      <c r="K309" s="1131">
        <f t="shared" ca="1" si="80"/>
        <v>541769.74944704014</v>
      </c>
      <c r="L309" s="1130">
        <f t="shared" ca="1" si="81"/>
        <v>0</v>
      </c>
      <c r="M309" s="1130">
        <f t="shared" ca="1" si="82"/>
        <v>0</v>
      </c>
      <c r="N309" s="1130">
        <f t="shared" ca="1" si="91"/>
        <v>306317.6908134782</v>
      </c>
      <c r="O309" s="1073"/>
      <c r="P309" s="1130">
        <f t="shared" ca="1" si="83"/>
        <v>541769.74944704014</v>
      </c>
      <c r="Q309" s="1130">
        <f t="shared" ca="1" si="84"/>
        <v>291001.80627280427</v>
      </c>
      <c r="R309" s="1130">
        <f t="shared" ca="1" si="92"/>
        <v>805683.06824749243</v>
      </c>
      <c r="S309" s="1130">
        <f t="shared" ca="1" si="93"/>
        <v>514681.26197468815</v>
      </c>
      <c r="T309" s="1130">
        <f t="shared" ca="1" si="85"/>
        <v>291001.80627280427</v>
      </c>
      <c r="U309" s="1132">
        <f t="shared" ca="1" si="86"/>
        <v>6.8236590237100449E-5</v>
      </c>
      <c r="V309" s="1133">
        <f t="shared" ca="1" si="87"/>
        <v>5.0000000000000044E-2</v>
      </c>
      <c r="X309" s="1134">
        <f t="shared" ca="1" si="94"/>
        <v>42404.372013025917</v>
      </c>
      <c r="Y309" s="1134">
        <f t="shared" ca="1" si="88"/>
        <v>27088.48747235199</v>
      </c>
      <c r="Z309" s="1134">
        <f t="shared" ca="1" si="89"/>
        <v>15315.884540673927</v>
      </c>
      <c r="AA309" s="1132">
        <f t="shared" ca="1" si="90"/>
        <v>7.3010282391573552E-5</v>
      </c>
      <c r="AB309" s="1105"/>
    </row>
    <row r="310" spans="1:28">
      <c r="A310" s="1144">
        <f>Calendar!J302</f>
        <v>54115</v>
      </c>
      <c r="C310" s="1104"/>
      <c r="D310" s="1125">
        <f t="shared" ca="1" si="76"/>
        <v>55334</v>
      </c>
      <c r="E310" s="1126">
        <f t="shared" ca="1" si="77"/>
        <v>55361</v>
      </c>
      <c r="F310" s="1127">
        <f t="shared" ca="1" si="78"/>
        <v>9131</v>
      </c>
      <c r="G310" s="1128">
        <f ca="1">IF(F310&lt;&gt;"",COUNTIF($F$11:F310,"&gt;0"),"")</f>
        <v>300</v>
      </c>
      <c r="H310" s="1129">
        <v>0.84135005812035624</v>
      </c>
      <c r="I310" s="1073"/>
      <c r="J310" s="1130">
        <f t="shared" ca="1" si="79"/>
        <v>306317.6908134782</v>
      </c>
      <c r="K310" s="1131">
        <f t="shared" ca="1" si="80"/>
        <v>257720.40696921319</v>
      </c>
      <c r="L310" s="1130">
        <f t="shared" ca="1" si="81"/>
        <v>0</v>
      </c>
      <c r="M310" s="1130">
        <f t="shared" ca="1" si="82"/>
        <v>0</v>
      </c>
      <c r="N310" s="1130">
        <f t="shared" ca="1" si="91"/>
        <v>48597.28384426501</v>
      </c>
      <c r="O310" s="1073"/>
      <c r="P310" s="1130">
        <f t="shared" ca="1" si="83"/>
        <v>257720.40696921319</v>
      </c>
      <c r="Q310" s="1130">
        <f t="shared" ca="1" si="84"/>
        <v>46167.419652051758</v>
      </c>
      <c r="R310" s="1130">
        <f t="shared" ca="1" si="92"/>
        <v>291001.80627280427</v>
      </c>
      <c r="S310" s="1130">
        <f t="shared" ca="1" si="93"/>
        <v>244834.38662075251</v>
      </c>
      <c r="T310" s="1130">
        <f t="shared" ca="1" si="85"/>
        <v>46167.419652051758</v>
      </c>
      <c r="U310" s="1132">
        <f t="shared" ca="1" si="86"/>
        <v>2.4646131705468211E-5</v>
      </c>
      <c r="V310" s="1133">
        <f t="shared" ca="1" si="87"/>
        <v>5.0000000000000044E-2</v>
      </c>
      <c r="X310" s="1134">
        <f t="shared" ca="1" si="94"/>
        <v>15315.884540673927</v>
      </c>
      <c r="Y310" s="1134">
        <f t="shared" ca="1" si="88"/>
        <v>12886.020348460675</v>
      </c>
      <c r="Z310" s="1134">
        <f t="shared" ca="1" si="89"/>
        <v>2429.864192213252</v>
      </c>
      <c r="AA310" s="1132">
        <f t="shared" ca="1" si="90"/>
        <v>2.6370324622372464E-5</v>
      </c>
      <c r="AB310" s="1105"/>
    </row>
    <row r="311" spans="1:28">
      <c r="A311" s="1144">
        <f>Calendar!J303</f>
        <v>54144</v>
      </c>
      <c r="C311" s="1104"/>
      <c r="D311" s="1125">
        <f t="shared" ca="1" si="76"/>
        <v>55365</v>
      </c>
      <c r="E311" s="1126">
        <f t="shared" ca="1" si="77"/>
        <v>55393</v>
      </c>
      <c r="F311" s="1127">
        <f t="shared" ca="1" si="78"/>
        <v>9163</v>
      </c>
      <c r="G311" s="1128">
        <f ca="1">IF(F311&lt;&gt;"",COUNTIF($F$11:F311,"&gt;0"),"")</f>
        <v>301</v>
      </c>
      <c r="H311" s="1129">
        <v>0.10319946675900421</v>
      </c>
      <c r="I311" s="1073"/>
      <c r="J311" s="1130">
        <f t="shared" ca="1" si="79"/>
        <v>48597.28384426501</v>
      </c>
      <c r="K311" s="1131">
        <f t="shared" ca="1" si="80"/>
        <v>5015.2137786641197</v>
      </c>
      <c r="L311" s="1130">
        <f t="shared" ca="1" si="81"/>
        <v>0</v>
      </c>
      <c r="M311" s="1130">
        <f t="shared" ca="1" si="82"/>
        <v>0</v>
      </c>
      <c r="N311" s="1130">
        <f t="shared" ca="1" si="91"/>
        <v>43582.070065600892</v>
      </c>
      <c r="O311" s="1073"/>
      <c r="P311" s="1130">
        <f t="shared" ca="1" si="83"/>
        <v>5015.2137786641179</v>
      </c>
      <c r="Q311" s="1130">
        <f t="shared" ca="1" si="84"/>
        <v>41402.966562320842</v>
      </c>
      <c r="R311" s="1130">
        <f t="shared" ca="1" si="92"/>
        <v>46167.419652051758</v>
      </c>
      <c r="S311" s="1130">
        <f t="shared" ca="1" si="93"/>
        <v>4764.453089730916</v>
      </c>
      <c r="T311" s="1130">
        <f t="shared" ca="1" si="85"/>
        <v>41402.966562320842</v>
      </c>
      <c r="U311" s="1132">
        <f t="shared" ca="1" si="86"/>
        <v>3.9101073626305782E-6</v>
      </c>
      <c r="V311" s="1133">
        <f t="shared" ca="1" si="87"/>
        <v>5.0000000000000155E-2</v>
      </c>
      <c r="X311" s="1134">
        <f t="shared" ca="1" si="94"/>
        <v>2429.864192213252</v>
      </c>
      <c r="Y311" s="1134">
        <f t="shared" ca="1" si="88"/>
        <v>250.76068893320189</v>
      </c>
      <c r="Z311" s="1134">
        <f t="shared" ca="1" si="89"/>
        <v>2179.1035032800501</v>
      </c>
      <c r="AA311" s="1132">
        <f t="shared" ca="1" si="90"/>
        <v>4.1836504686867283E-6</v>
      </c>
      <c r="AB311" s="1105"/>
    </row>
    <row r="312" spans="1:28">
      <c r="A312" s="1144">
        <f>Calendar!J304</f>
        <v>54175</v>
      </c>
      <c r="C312" s="1104"/>
      <c r="D312" s="1125">
        <f t="shared" ca="1" si="76"/>
        <v>55396</v>
      </c>
      <c r="E312" s="1126">
        <f t="shared" ca="1" si="77"/>
        <v>55423</v>
      </c>
      <c r="F312" s="1127">
        <f t="shared" ca="1" si="78"/>
        <v>9193</v>
      </c>
      <c r="G312" s="1128">
        <f ca="1">IF(F312&lt;&gt;"",COUNTIF($F$11:F312,"&gt;0"),"")</f>
        <v>302</v>
      </c>
      <c r="H312" s="1129">
        <v>0.11523252725615012</v>
      </c>
      <c r="I312" s="1073"/>
      <c r="J312" s="1130">
        <f t="shared" ca="1" si="79"/>
        <v>43582.070065600892</v>
      </c>
      <c r="K312" s="1131">
        <f t="shared" ca="1" si="80"/>
        <v>5022.0720767137991</v>
      </c>
      <c r="L312" s="1130">
        <f t="shared" ca="1" si="81"/>
        <v>0</v>
      </c>
      <c r="M312" s="1130">
        <f t="shared" ca="1" si="82"/>
        <v>0</v>
      </c>
      <c r="N312" s="1130">
        <f t="shared" ca="1" si="91"/>
        <v>38559.997988887095</v>
      </c>
      <c r="O312" s="1073"/>
      <c r="P312" s="1130">
        <f t="shared" ca="1" si="83"/>
        <v>5022.0720767137973</v>
      </c>
      <c r="Q312" s="1130">
        <f t="shared" ca="1" si="84"/>
        <v>36631.998089442735</v>
      </c>
      <c r="R312" s="1130">
        <f t="shared" ca="1" si="92"/>
        <v>41402.966562320842</v>
      </c>
      <c r="S312" s="1130">
        <f t="shared" ca="1" si="93"/>
        <v>4770.9684728781067</v>
      </c>
      <c r="T312" s="1130">
        <f t="shared" ca="1" si="85"/>
        <v>36631.998089442735</v>
      </c>
      <c r="U312" s="1132">
        <f t="shared" ca="1" si="86"/>
        <v>3.5065863678366456E-6</v>
      </c>
      <c r="V312" s="1133">
        <f t="shared" ca="1" si="87"/>
        <v>5.0000000000000155E-2</v>
      </c>
      <c r="X312" s="1134">
        <f t="shared" ca="1" si="94"/>
        <v>2179.1035032800501</v>
      </c>
      <c r="Y312" s="1134">
        <f t="shared" ca="1" si="88"/>
        <v>251.10360383569059</v>
      </c>
      <c r="Z312" s="1134">
        <f t="shared" ca="1" si="89"/>
        <v>1927.9998994443595</v>
      </c>
      <c r="AA312" s="1132">
        <f t="shared" ca="1" si="90"/>
        <v>3.7518999712122076E-6</v>
      </c>
      <c r="AB312" s="1105"/>
    </row>
    <row r="313" spans="1:28">
      <c r="A313" s="1144">
        <f>Calendar!J305</f>
        <v>54205</v>
      </c>
      <c r="C313" s="1104"/>
      <c r="D313" s="1125">
        <f t="shared" ca="1" si="76"/>
        <v>55426</v>
      </c>
      <c r="E313" s="1126">
        <f t="shared" ca="1" si="77"/>
        <v>55453</v>
      </c>
      <c r="F313" s="1127">
        <f t="shared" ca="1" si="78"/>
        <v>9223</v>
      </c>
      <c r="G313" s="1128">
        <f ca="1">IF(F313&lt;&gt;"",COUNTIF($F$11:F313,"&gt;0"),"")</f>
        <v>303</v>
      </c>
      <c r="H313" s="1129">
        <v>0.13041858759430011</v>
      </c>
      <c r="I313" s="1073"/>
      <c r="J313" s="1130">
        <f t="shared" ca="1" si="79"/>
        <v>38559.997988887095</v>
      </c>
      <c r="K313" s="1131">
        <f t="shared" ca="1" si="80"/>
        <v>5028.9404753497074</v>
      </c>
      <c r="L313" s="1130">
        <f t="shared" ca="1" si="81"/>
        <v>0</v>
      </c>
      <c r="M313" s="1130">
        <f t="shared" ca="1" si="82"/>
        <v>0</v>
      </c>
      <c r="N313" s="1130">
        <f t="shared" ca="1" si="91"/>
        <v>33531.057513537387</v>
      </c>
      <c r="O313" s="1073"/>
      <c r="P313" s="1130">
        <f t="shared" ca="1" si="83"/>
        <v>5028.9404753497074</v>
      </c>
      <c r="Q313" s="1130">
        <f t="shared" ca="1" si="84"/>
        <v>31854.504637860515</v>
      </c>
      <c r="R313" s="1130">
        <f t="shared" ca="1" si="92"/>
        <v>36631.998089442735</v>
      </c>
      <c r="S313" s="1130">
        <f t="shared" ca="1" si="93"/>
        <v>4777.4934515822206</v>
      </c>
      <c r="T313" s="1130">
        <f t="shared" ca="1" si="85"/>
        <v>31854.504637860515</v>
      </c>
      <c r="U313" s="1132">
        <f t="shared" ca="1" si="86"/>
        <v>3.102513558628865E-6</v>
      </c>
      <c r="V313" s="1133">
        <f t="shared" ca="1" si="87"/>
        <v>5.0000000000000044E-2</v>
      </c>
      <c r="X313" s="1134">
        <f t="shared" ca="1" si="94"/>
        <v>1927.9998994443595</v>
      </c>
      <c r="Y313" s="1134">
        <f t="shared" ca="1" si="88"/>
        <v>251.44702376748683</v>
      </c>
      <c r="Z313" s="1134">
        <f t="shared" ca="1" si="89"/>
        <v>1676.5528756768726</v>
      </c>
      <c r="AA313" s="1132">
        <f t="shared" ca="1" si="90"/>
        <v>3.3195590555171477E-6</v>
      </c>
      <c r="AB313" s="1105"/>
    </row>
    <row r="314" spans="1:28">
      <c r="A314" s="1144">
        <f>Calendar!J306</f>
        <v>54238</v>
      </c>
      <c r="C314" s="1104"/>
      <c r="D314" s="1125">
        <f t="shared" ca="1" si="76"/>
        <v>55457</v>
      </c>
      <c r="E314" s="1126">
        <f t="shared" ca="1" si="77"/>
        <v>55484</v>
      </c>
      <c r="F314" s="1127">
        <f t="shared" ca="1" si="78"/>
        <v>9254</v>
      </c>
      <c r="G314" s="1128">
        <f ca="1">IF(F314&lt;&gt;"",COUNTIF($F$11:F314,"&gt;0"),"")</f>
        <v>304</v>
      </c>
      <c r="H314" s="1129">
        <v>0.15018372064581467</v>
      </c>
      <c r="I314" s="1073"/>
      <c r="J314" s="1130">
        <f t="shared" ca="1" si="79"/>
        <v>33531.057513537387</v>
      </c>
      <c r="K314" s="1131">
        <f t="shared" ca="1" si="80"/>
        <v>5035.8189745718437</v>
      </c>
      <c r="L314" s="1130">
        <f t="shared" ca="1" si="81"/>
        <v>0</v>
      </c>
      <c r="M314" s="1130">
        <f t="shared" ca="1" si="82"/>
        <v>0</v>
      </c>
      <c r="N314" s="1130">
        <f t="shared" ca="1" si="91"/>
        <v>28495.238538965543</v>
      </c>
      <c r="O314" s="1073"/>
      <c r="P314" s="1130">
        <f t="shared" ca="1" si="83"/>
        <v>5035.8189745718446</v>
      </c>
      <c r="Q314" s="1130">
        <f t="shared" ca="1" si="84"/>
        <v>27070.476612017264</v>
      </c>
      <c r="R314" s="1130">
        <f t="shared" ca="1" si="92"/>
        <v>31854.504637860515</v>
      </c>
      <c r="S314" s="1130">
        <f t="shared" ca="1" si="93"/>
        <v>4784.0280258432504</v>
      </c>
      <c r="T314" s="1130">
        <f t="shared" ca="1" si="85"/>
        <v>27070.476612017264</v>
      </c>
      <c r="U314" s="1132">
        <f t="shared" ca="1" si="86"/>
        <v>2.6978881223203228E-6</v>
      </c>
      <c r="V314" s="1133">
        <f t="shared" ca="1" si="87"/>
        <v>5.0000000000000044E-2</v>
      </c>
      <c r="X314" s="1134">
        <f t="shared" ca="1" si="94"/>
        <v>1676.5528756768726</v>
      </c>
      <c r="Y314" s="1134">
        <f t="shared" ca="1" si="88"/>
        <v>251.79094872859423</v>
      </c>
      <c r="Z314" s="1134">
        <f t="shared" ca="1" si="89"/>
        <v>1424.7619269482784</v>
      </c>
      <c r="AA314" s="1132">
        <f t="shared" ca="1" si="90"/>
        <v>2.886626852060731E-6</v>
      </c>
      <c r="AB314" s="1105"/>
    </row>
    <row r="315" spans="1:28">
      <c r="A315" s="1144">
        <f>Calendar!J307</f>
        <v>54266</v>
      </c>
      <c r="C315" s="1104"/>
      <c r="D315" s="1125">
        <f t="shared" ca="1" si="76"/>
        <v>55487</v>
      </c>
      <c r="E315" s="1126">
        <f t="shared" ca="1" si="77"/>
        <v>55514</v>
      </c>
      <c r="F315" s="1127">
        <f t="shared" ca="1" si="78"/>
        <v>9284</v>
      </c>
      <c r="G315" s="1128">
        <f ca="1">IF(F315&lt;&gt;"",COUNTIF($F$11:F315,"&gt;0"),"")</f>
        <v>305</v>
      </c>
      <c r="H315" s="1129">
        <v>0.17696738241573376</v>
      </c>
      <c r="I315" s="1073"/>
      <c r="J315" s="1130">
        <f t="shared" ca="1" si="79"/>
        <v>28495.238538965543</v>
      </c>
      <c r="K315" s="1131">
        <f t="shared" ca="1" si="80"/>
        <v>5042.7277755526693</v>
      </c>
      <c r="L315" s="1130">
        <f t="shared" ca="1" si="81"/>
        <v>0</v>
      </c>
      <c r="M315" s="1130">
        <f t="shared" ca="1" si="82"/>
        <v>0</v>
      </c>
      <c r="N315" s="1130">
        <f t="shared" ca="1" si="91"/>
        <v>23452.510763412873</v>
      </c>
      <c r="O315" s="1073"/>
      <c r="P315" s="1130">
        <f t="shared" ca="1" si="83"/>
        <v>5042.7277755526702</v>
      </c>
      <c r="Q315" s="1130">
        <f t="shared" ca="1" si="84"/>
        <v>22279.885225242229</v>
      </c>
      <c r="R315" s="1130">
        <f t="shared" ca="1" si="92"/>
        <v>27070.476612017264</v>
      </c>
      <c r="S315" s="1130">
        <f t="shared" ca="1" si="93"/>
        <v>4790.5913867750351</v>
      </c>
      <c r="T315" s="1130">
        <f t="shared" ca="1" si="85"/>
        <v>22279.885225242229</v>
      </c>
      <c r="U315" s="1132">
        <f t="shared" ca="1" si="86"/>
        <v>2.2927092462241058E-6</v>
      </c>
      <c r="V315" s="1133">
        <f t="shared" ca="1" si="87"/>
        <v>4.9999999999999933E-2</v>
      </c>
      <c r="X315" s="1134">
        <f t="shared" ca="1" si="94"/>
        <v>1424.7619269482784</v>
      </c>
      <c r="Y315" s="1134">
        <f t="shared" ca="1" si="88"/>
        <v>252.13638877763515</v>
      </c>
      <c r="Z315" s="1134">
        <f t="shared" ca="1" si="89"/>
        <v>1172.6255381706433</v>
      </c>
      <c r="AA315" s="1132">
        <f t="shared" ca="1" si="90"/>
        <v>2.4531024913021321E-6</v>
      </c>
      <c r="AB315" s="1105"/>
    </row>
    <row r="316" spans="1:28">
      <c r="A316" s="1144">
        <f>Calendar!J308</f>
        <v>54297</v>
      </c>
      <c r="C316" s="1104"/>
      <c r="D316" s="1125">
        <f t="shared" ca="1" si="76"/>
        <v>55518</v>
      </c>
      <c r="E316" s="1126">
        <f t="shared" ca="1" si="77"/>
        <v>55547</v>
      </c>
      <c r="F316" s="1127">
        <f t="shared" ca="1" si="78"/>
        <v>9317</v>
      </c>
      <c r="G316" s="1128">
        <f ca="1">IF(F316&lt;&gt;"",COUNTIF($F$11:F316,"&gt;0"),"")</f>
        <v>306</v>
      </c>
      <c r="H316" s="1129">
        <v>0.21531239986631612</v>
      </c>
      <c r="I316" s="1073"/>
      <c r="J316" s="1130">
        <f t="shared" ca="1" si="79"/>
        <v>23452.510763412873</v>
      </c>
      <c r="K316" s="1131">
        <f t="shared" ca="1" si="80"/>
        <v>5049.6163753610354</v>
      </c>
      <c r="L316" s="1130">
        <f t="shared" ca="1" si="81"/>
        <v>0</v>
      </c>
      <c r="M316" s="1130">
        <f t="shared" ca="1" si="82"/>
        <v>0</v>
      </c>
      <c r="N316" s="1130">
        <f t="shared" ca="1" si="91"/>
        <v>18402.894388051838</v>
      </c>
      <c r="O316" s="1073"/>
      <c r="P316" s="1130">
        <f t="shared" ca="1" si="83"/>
        <v>5049.6163753610344</v>
      </c>
      <c r="Q316" s="1130">
        <f t="shared" ca="1" si="84"/>
        <v>17482.749668649245</v>
      </c>
      <c r="R316" s="1130">
        <f t="shared" ca="1" si="92"/>
        <v>22279.885225242229</v>
      </c>
      <c r="S316" s="1130">
        <f t="shared" ca="1" si="93"/>
        <v>4797.1355565929844</v>
      </c>
      <c r="T316" s="1130">
        <f t="shared" ca="1" si="85"/>
        <v>17482.749668649245</v>
      </c>
      <c r="U316" s="1132">
        <f t="shared" ca="1" si="86"/>
        <v>1.8869744922794761E-6</v>
      </c>
      <c r="V316" s="1133">
        <f t="shared" ca="1" si="87"/>
        <v>5.0000000000000044E-2</v>
      </c>
      <c r="X316" s="1134">
        <f t="shared" ca="1" si="94"/>
        <v>1172.6255381706433</v>
      </c>
      <c r="Y316" s="1134">
        <f t="shared" ca="1" si="88"/>
        <v>252.48081876805009</v>
      </c>
      <c r="Z316" s="1134">
        <f t="shared" ca="1" si="89"/>
        <v>920.14471940259318</v>
      </c>
      <c r="AA316" s="1132">
        <f t="shared" ca="1" si="90"/>
        <v>2.018983364618876E-6</v>
      </c>
      <c r="AB316" s="1105"/>
    </row>
    <row r="317" spans="1:28">
      <c r="A317" s="1144">
        <f>Calendar!J309</f>
        <v>54329</v>
      </c>
      <c r="C317" s="1104"/>
      <c r="D317" s="1125">
        <f t="shared" ca="1" si="76"/>
        <v>55549</v>
      </c>
      <c r="E317" s="1126">
        <f t="shared" ca="1" si="77"/>
        <v>55576</v>
      </c>
      <c r="F317" s="1127">
        <f t="shared" ca="1" si="78"/>
        <v>9346</v>
      </c>
      <c r="G317" s="1128">
        <f ca="1">IF(F317&lt;&gt;"",COUNTIF($F$11:F317,"&gt;0"),"")</f>
        <v>307</v>
      </c>
      <c r="H317" s="1129">
        <v>0.27470645671728788</v>
      </c>
      <c r="I317" s="1073"/>
      <c r="J317" s="1130">
        <f t="shared" ca="1" si="79"/>
        <v>18402.894388051838</v>
      </c>
      <c r="K317" s="1131">
        <f t="shared" ca="1" si="80"/>
        <v>5055.3939106841826</v>
      </c>
      <c r="L317" s="1130">
        <f t="shared" ca="1" si="81"/>
        <v>0</v>
      </c>
      <c r="M317" s="1130">
        <f t="shared" ca="1" si="82"/>
        <v>0</v>
      </c>
      <c r="N317" s="1130">
        <f t="shared" ca="1" si="91"/>
        <v>13347.500477367656</v>
      </c>
      <c r="O317" s="1073"/>
      <c r="P317" s="1130">
        <f t="shared" ca="1" si="83"/>
        <v>5055.3939106841826</v>
      </c>
      <c r="Q317" s="1130">
        <f t="shared" ca="1" si="84"/>
        <v>12680.125453499271</v>
      </c>
      <c r="R317" s="1130">
        <f t="shared" ca="1" si="92"/>
        <v>17482.749668649245</v>
      </c>
      <c r="S317" s="1130">
        <f t="shared" ca="1" si="93"/>
        <v>4802.6242151499737</v>
      </c>
      <c r="T317" s="1130">
        <f t="shared" ca="1" si="85"/>
        <v>12680.125453499271</v>
      </c>
      <c r="U317" s="1132">
        <f t="shared" ca="1" si="86"/>
        <v>1.4806854858602586E-6</v>
      </c>
      <c r="V317" s="1133">
        <f t="shared" ca="1" si="87"/>
        <v>5.0000000000000155E-2</v>
      </c>
      <c r="X317" s="1134">
        <f t="shared" ca="1" si="94"/>
        <v>920.14471940259318</v>
      </c>
      <c r="Y317" s="1134">
        <f t="shared" ca="1" si="88"/>
        <v>252.76969553420895</v>
      </c>
      <c r="Z317" s="1134">
        <f t="shared" ca="1" si="89"/>
        <v>667.37502386838423</v>
      </c>
      <c r="AA317" s="1132">
        <f t="shared" ca="1" si="90"/>
        <v>1.5842712110926191E-6</v>
      </c>
      <c r="AB317" s="1105"/>
    </row>
    <row r="318" spans="1:28">
      <c r="A318" s="1144">
        <f>Calendar!J310</f>
        <v>54358</v>
      </c>
      <c r="C318" s="1104"/>
      <c r="D318" s="1125">
        <f t="shared" ca="1" si="76"/>
        <v>55578</v>
      </c>
      <c r="E318" s="1126">
        <f t="shared" ca="1" si="77"/>
        <v>55605</v>
      </c>
      <c r="F318" s="1127">
        <f t="shared" ca="1" si="78"/>
        <v>9375</v>
      </c>
      <c r="G318" s="1128">
        <f ca="1">IF(F318&lt;&gt;"",COUNTIF($F$11:F318,"&gt;0"),"")</f>
        <v>308</v>
      </c>
      <c r="H318" s="1129">
        <v>0.32151381277346691</v>
      </c>
      <c r="I318" s="1073"/>
      <c r="J318" s="1130">
        <f t="shared" ca="1" si="79"/>
        <v>13347.500477367656</v>
      </c>
      <c r="K318" s="1131">
        <f t="shared" ca="1" si="80"/>
        <v>4291.405769474145</v>
      </c>
      <c r="L318" s="1130">
        <f t="shared" ca="1" si="81"/>
        <v>0</v>
      </c>
      <c r="M318" s="1130">
        <f t="shared" ca="1" si="82"/>
        <v>0</v>
      </c>
      <c r="N318" s="1130">
        <f t="shared" ca="1" si="91"/>
        <v>9056.0947078935096</v>
      </c>
      <c r="O318" s="1073"/>
      <c r="P318" s="1130">
        <f t="shared" ca="1" si="83"/>
        <v>4291.4057694741459</v>
      </c>
      <c r="Q318" s="1130">
        <f t="shared" ca="1" si="84"/>
        <v>8603.2899724988329</v>
      </c>
      <c r="R318" s="1130">
        <f t="shared" ca="1" si="92"/>
        <v>12680.125453499271</v>
      </c>
      <c r="S318" s="1130">
        <f t="shared" ca="1" si="93"/>
        <v>4076.8354810004384</v>
      </c>
      <c r="T318" s="1130">
        <f t="shared" ca="1" si="85"/>
        <v>8603.2899724988329</v>
      </c>
      <c r="U318" s="1132">
        <f t="shared" ca="1" si="86"/>
        <v>1.0739316225268709E-6</v>
      </c>
      <c r="V318" s="1133">
        <f t="shared" ca="1" si="87"/>
        <v>5.0000000000000155E-2</v>
      </c>
      <c r="X318" s="1134">
        <f t="shared" ca="1" si="94"/>
        <v>667.37502386838423</v>
      </c>
      <c r="Y318" s="1134">
        <f t="shared" ca="1" si="88"/>
        <v>214.57028847370748</v>
      </c>
      <c r="Z318" s="1134">
        <f t="shared" ca="1" si="89"/>
        <v>452.80473539467675</v>
      </c>
      <c r="AA318" s="1132">
        <f t="shared" ca="1" si="90"/>
        <v>1.1490616802141603E-6</v>
      </c>
      <c r="AB318" s="1105"/>
    </row>
    <row r="319" spans="1:28">
      <c r="A319" s="1144">
        <f>Calendar!J311</f>
        <v>54389</v>
      </c>
      <c r="C319" s="1104"/>
      <c r="D319" s="1125">
        <f t="shared" ca="1" si="76"/>
        <v>55609</v>
      </c>
      <c r="E319" s="1126">
        <f t="shared" ca="1" si="77"/>
        <v>55638</v>
      </c>
      <c r="F319" s="1127">
        <f t="shared" ca="1" si="78"/>
        <v>9408</v>
      </c>
      <c r="G319" s="1128">
        <f ca="1">IF(F319&lt;&gt;"",COUNTIF($F$11:F319,"&gt;0"),"")</f>
        <v>309</v>
      </c>
      <c r="H319" s="1129">
        <v>0.31524518983572219</v>
      </c>
      <c r="I319" s="1073"/>
      <c r="J319" s="1130">
        <f t="shared" ca="1" si="79"/>
        <v>9056.0947078935096</v>
      </c>
      <c r="K319" s="1131">
        <f t="shared" ca="1" si="80"/>
        <v>2854.8902953601687</v>
      </c>
      <c r="L319" s="1130">
        <f t="shared" ca="1" si="81"/>
        <v>0</v>
      </c>
      <c r="M319" s="1130">
        <f t="shared" ca="1" si="82"/>
        <v>0</v>
      </c>
      <c r="N319" s="1130">
        <f t="shared" ca="1" si="91"/>
        <v>6201.2044125333414</v>
      </c>
      <c r="O319" s="1073"/>
      <c r="P319" s="1130">
        <f t="shared" ca="1" si="83"/>
        <v>2854.8902953601682</v>
      </c>
      <c r="Q319" s="1130">
        <f t="shared" ca="1" si="84"/>
        <v>5891.1441919066738</v>
      </c>
      <c r="R319" s="1130">
        <f t="shared" ca="1" si="92"/>
        <v>8603.2899724988329</v>
      </c>
      <c r="S319" s="1130">
        <f t="shared" ca="1" si="93"/>
        <v>2712.1457805921591</v>
      </c>
      <c r="T319" s="1130">
        <f t="shared" ca="1" si="85"/>
        <v>5891.1441919066738</v>
      </c>
      <c r="U319" s="1132">
        <f t="shared" ca="1" si="86"/>
        <v>7.2864777191026096E-7</v>
      </c>
      <c r="V319" s="1133">
        <f t="shared" ca="1" si="87"/>
        <v>5.0000000000000044E-2</v>
      </c>
      <c r="X319" s="1134">
        <f t="shared" ca="1" si="94"/>
        <v>452.80473539467675</v>
      </c>
      <c r="Y319" s="1134">
        <f t="shared" ca="1" si="88"/>
        <v>142.74451476800914</v>
      </c>
      <c r="Z319" s="1134">
        <f t="shared" ca="1" si="89"/>
        <v>310.06022062666761</v>
      </c>
      <c r="AA319" s="1132">
        <f t="shared" ca="1" si="90"/>
        <v>7.7962247829661975E-7</v>
      </c>
      <c r="AB319" s="1105"/>
    </row>
    <row r="320" spans="1:28">
      <c r="A320" s="1144">
        <f>Calendar!J312</f>
        <v>54420</v>
      </c>
      <c r="C320" s="1104"/>
      <c r="D320" s="1125">
        <f t="shared" ca="1" si="76"/>
        <v>55639</v>
      </c>
      <c r="E320" s="1126">
        <f t="shared" ca="1" si="77"/>
        <v>55666</v>
      </c>
      <c r="F320" s="1127">
        <f t="shared" ca="1" si="78"/>
        <v>9436</v>
      </c>
      <c r="G320" s="1128">
        <f ca="1">IF(F320&lt;&gt;"",COUNTIF($F$11:F320,"&gt;0"),"")</f>
        <v>310</v>
      </c>
      <c r="H320" s="1129">
        <v>0.33987246414581107</v>
      </c>
      <c r="I320" s="1073"/>
      <c r="J320" s="1130">
        <f t="shared" ca="1" si="79"/>
        <v>6201.2044125333414</v>
      </c>
      <c r="K320" s="1131">
        <f t="shared" ca="1" si="80"/>
        <v>2107.6186243595835</v>
      </c>
      <c r="L320" s="1130">
        <f t="shared" ca="1" si="81"/>
        <v>0</v>
      </c>
      <c r="M320" s="1130">
        <f t="shared" ca="1" si="82"/>
        <v>0</v>
      </c>
      <c r="N320" s="1130">
        <f t="shared" ca="1" si="91"/>
        <v>4093.5857881737579</v>
      </c>
      <c r="O320" s="1073"/>
      <c r="P320" s="1130">
        <f t="shared" ca="1" si="83"/>
        <v>2107.6186243595835</v>
      </c>
      <c r="Q320" s="1130">
        <f t="shared" ca="1" si="84"/>
        <v>3888.90649876507</v>
      </c>
      <c r="R320" s="1130">
        <f t="shared" ca="1" si="92"/>
        <v>5891.1441919066738</v>
      </c>
      <c r="S320" s="1130">
        <f t="shared" ca="1" si="93"/>
        <v>2002.2376931416038</v>
      </c>
      <c r="T320" s="1130">
        <f t="shared" ca="1" si="85"/>
        <v>3888.90649876507</v>
      </c>
      <c r="U320" s="1132">
        <f t="shared" ca="1" si="86"/>
        <v>4.9894506673103475E-7</v>
      </c>
      <c r="V320" s="1133">
        <f t="shared" ca="1" si="87"/>
        <v>5.0000000000000044E-2</v>
      </c>
      <c r="X320" s="1134">
        <f t="shared" ca="1" si="94"/>
        <v>310.06022062666761</v>
      </c>
      <c r="Y320" s="1134">
        <f t="shared" ca="1" si="88"/>
        <v>105.38093121797965</v>
      </c>
      <c r="Z320" s="1134">
        <f t="shared" ca="1" si="89"/>
        <v>204.67928940868796</v>
      </c>
      <c r="AA320" s="1132">
        <f t="shared" ca="1" si="90"/>
        <v>5.3385024212580516E-7</v>
      </c>
      <c r="AB320" s="1105"/>
    </row>
    <row r="321" spans="1:28">
      <c r="A321" s="1144">
        <f>Calendar!J313</f>
        <v>54450</v>
      </c>
      <c r="C321" s="1104"/>
      <c r="D321" s="1125">
        <f t="shared" ca="1" si="76"/>
        <v>55670</v>
      </c>
      <c r="E321" s="1126">
        <f t="shared" ca="1" si="77"/>
        <v>55697</v>
      </c>
      <c r="F321" s="1127">
        <f t="shared" ca="1" si="78"/>
        <v>9467</v>
      </c>
      <c r="G321" s="1128">
        <f ca="1">IF(F321&lt;&gt;"",COUNTIF($F$11:F321,"&gt;0"),"")</f>
        <v>311</v>
      </c>
      <c r="H321" s="1129">
        <v>0.24921166002931291</v>
      </c>
      <c r="I321" s="1073"/>
      <c r="J321" s="1130">
        <f t="shared" ca="1" si="79"/>
        <v>4093.5857881737579</v>
      </c>
      <c r="K321" s="1131">
        <f t="shared" ca="1" si="80"/>
        <v>1020.1693097431855</v>
      </c>
      <c r="L321" s="1130">
        <f t="shared" ca="1" si="81"/>
        <v>0</v>
      </c>
      <c r="M321" s="1130">
        <f t="shared" ca="1" si="82"/>
        <v>0</v>
      </c>
      <c r="N321" s="1130">
        <f t="shared" ca="1" si="91"/>
        <v>3073.4164784305722</v>
      </c>
      <c r="O321" s="1073"/>
      <c r="P321" s="1130">
        <f t="shared" ca="1" si="83"/>
        <v>1020.1693097431857</v>
      </c>
      <c r="Q321" s="1130">
        <f t="shared" ca="1" si="84"/>
        <v>2919.7456545090436</v>
      </c>
      <c r="R321" s="1130">
        <f t="shared" ca="1" si="92"/>
        <v>3888.90649876507</v>
      </c>
      <c r="S321" s="1130">
        <f t="shared" ca="1" si="93"/>
        <v>969.16084425602639</v>
      </c>
      <c r="T321" s="1130">
        <f t="shared" ca="1" si="85"/>
        <v>2919.7456545090436</v>
      </c>
      <c r="U321" s="1132">
        <f t="shared" ca="1" si="86"/>
        <v>3.2936737742776186E-7</v>
      </c>
      <c r="V321" s="1133">
        <f t="shared" ca="1" si="87"/>
        <v>5.0000000000000044E-2</v>
      </c>
      <c r="X321" s="1134">
        <f t="shared" ca="1" si="94"/>
        <v>204.67928940868796</v>
      </c>
      <c r="Y321" s="1134">
        <f t="shared" ca="1" si="88"/>
        <v>51.008465487159356</v>
      </c>
      <c r="Z321" s="1134">
        <f t="shared" ca="1" si="89"/>
        <v>153.67082392152861</v>
      </c>
      <c r="AA321" s="1132">
        <f t="shared" ca="1" si="90"/>
        <v>3.5240924484966936E-7</v>
      </c>
      <c r="AB321" s="1105"/>
    </row>
    <row r="322" spans="1:28">
      <c r="A322" s="1144">
        <f>Calendar!J314</f>
        <v>54480</v>
      </c>
      <c r="C322" s="1104"/>
      <c r="D322" s="1125">
        <f t="shared" ca="1" si="76"/>
        <v>55700</v>
      </c>
      <c r="E322" s="1126">
        <f t="shared" ca="1" si="77"/>
        <v>55729</v>
      </c>
      <c r="F322" s="1127">
        <f t="shared" ca="1" si="78"/>
        <v>9499</v>
      </c>
      <c r="G322" s="1128">
        <f ca="1">IF(F322&lt;&gt;"",COUNTIF($F$11:F322,"&gt;0"),"")</f>
        <v>312</v>
      </c>
      <c r="H322" s="1129">
        <v>0.33266618684702626</v>
      </c>
      <c r="I322" s="1073"/>
      <c r="J322" s="1130">
        <f t="shared" ca="1" si="79"/>
        <v>3073.4164784305722</v>
      </c>
      <c r="K322" s="1131">
        <f t="shared" ca="1" si="80"/>
        <v>1022.4217404723141</v>
      </c>
      <c r="L322" s="1130">
        <f t="shared" ca="1" si="81"/>
        <v>0</v>
      </c>
      <c r="M322" s="1130">
        <f t="shared" ca="1" si="82"/>
        <v>0</v>
      </c>
      <c r="N322" s="1130">
        <f t="shared" ca="1" si="91"/>
        <v>2050.9947379582582</v>
      </c>
      <c r="O322" s="1073"/>
      <c r="P322" s="1130">
        <f t="shared" ca="1" si="83"/>
        <v>1022.421740472314</v>
      </c>
      <c r="Q322" s="1130">
        <f t="shared" ca="1" si="84"/>
        <v>1948.4450010603452</v>
      </c>
      <c r="R322" s="1130">
        <f t="shared" ca="1" si="92"/>
        <v>2919.7456545090436</v>
      </c>
      <c r="S322" s="1130">
        <f t="shared" ca="1" si="93"/>
        <v>971.30065344869831</v>
      </c>
      <c r="T322" s="1130">
        <f t="shared" ca="1" si="85"/>
        <v>1948.4450010603452</v>
      </c>
      <c r="U322" s="1132">
        <f t="shared" ca="1" si="86"/>
        <v>2.4728518653948809E-7</v>
      </c>
      <c r="V322" s="1133">
        <f t="shared" ca="1" si="87"/>
        <v>5.0000000000000044E-2</v>
      </c>
      <c r="X322" s="1134">
        <f t="shared" ca="1" si="94"/>
        <v>153.67082392152861</v>
      </c>
      <c r="Y322" s="1134">
        <f t="shared" ca="1" si="88"/>
        <v>51.121087023615701</v>
      </c>
      <c r="Z322" s="1134">
        <f t="shared" ca="1" si="89"/>
        <v>102.54973689791291</v>
      </c>
      <c r="AA322" s="1132">
        <f t="shared" ca="1" si="90"/>
        <v>2.6458475193100656E-7</v>
      </c>
      <c r="AB322" s="1105"/>
    </row>
    <row r="323" spans="1:28">
      <c r="A323" s="1144">
        <f>Calendar!J315</f>
        <v>54511</v>
      </c>
      <c r="C323" s="1104"/>
      <c r="D323" s="1125">
        <f t="shared" ca="1" si="76"/>
        <v>55731</v>
      </c>
      <c r="E323" s="1126">
        <f t="shared" ca="1" si="77"/>
        <v>55758</v>
      </c>
      <c r="F323" s="1127">
        <f t="shared" ca="1" si="78"/>
        <v>9528</v>
      </c>
      <c r="G323" s="1128">
        <f ca="1">IF(F323&lt;&gt;"",COUNTIF($F$11:F323,"&gt;0"),"")</f>
        <v>313</v>
      </c>
      <c r="H323" s="1129">
        <v>0.49960355959164171</v>
      </c>
      <c r="I323" s="1073"/>
      <c r="J323" s="1130">
        <f t="shared" ca="1" si="79"/>
        <v>2050.9947379582582</v>
      </c>
      <c r="K323" s="1131">
        <f t="shared" ca="1" si="80"/>
        <v>1024.6842717876723</v>
      </c>
      <c r="L323" s="1130">
        <f t="shared" ca="1" si="81"/>
        <v>0</v>
      </c>
      <c r="M323" s="1130">
        <f t="shared" ca="1" si="82"/>
        <v>0</v>
      </c>
      <c r="N323" s="1130">
        <f t="shared" ca="1" si="91"/>
        <v>1026.3104661705859</v>
      </c>
      <c r="O323" s="1073"/>
      <c r="P323" s="1130">
        <f t="shared" ca="1" si="83"/>
        <v>1024.6842717876723</v>
      </c>
      <c r="Q323" s="1130">
        <f t="shared" ca="1" si="84"/>
        <v>974.99494286205652</v>
      </c>
      <c r="R323" s="1130">
        <f t="shared" ca="1" si="92"/>
        <v>1948.4450010603452</v>
      </c>
      <c r="S323" s="1130">
        <f t="shared" ca="1" si="93"/>
        <v>973.45005819828873</v>
      </c>
      <c r="T323" s="1130">
        <f t="shared" ca="1" si="85"/>
        <v>974.99494286205652</v>
      </c>
      <c r="U323" s="1132">
        <f t="shared" ca="1" si="86"/>
        <v>1.65021766469641E-7</v>
      </c>
      <c r="V323" s="1133">
        <f t="shared" ca="1" si="87"/>
        <v>5.0000000000000044E-2</v>
      </c>
      <c r="X323" s="1134">
        <f t="shared" ca="1" si="94"/>
        <v>102.54973689791291</v>
      </c>
      <c r="Y323" s="1134">
        <f t="shared" ca="1" si="88"/>
        <v>51.234213589383558</v>
      </c>
      <c r="Z323" s="1134">
        <f t="shared" ca="1" si="89"/>
        <v>51.31552330852935</v>
      </c>
      <c r="AA323" s="1132">
        <f t="shared" ca="1" si="90"/>
        <v>1.7656635140825225E-7</v>
      </c>
      <c r="AB323" s="1105"/>
    </row>
    <row r="324" spans="1:28">
      <c r="A324" s="1144">
        <f>Calendar!J316</f>
        <v>54540</v>
      </c>
      <c r="C324" s="1104"/>
      <c r="D324" s="1125">
        <f t="shared" ca="1" si="76"/>
        <v>55762</v>
      </c>
      <c r="E324" s="1126">
        <f t="shared" ca="1" si="77"/>
        <v>55789</v>
      </c>
      <c r="F324" s="1127">
        <f t="shared" ca="1" si="78"/>
        <v>9559</v>
      </c>
      <c r="G324" s="1128">
        <f ca="1">IF(F324&lt;&gt;"",COUNTIF($F$11:F324,"&gt;0"),"")</f>
        <v>314</v>
      </c>
      <c r="H324" s="1129">
        <v>1</v>
      </c>
      <c r="I324" s="1073"/>
      <c r="J324" s="1130">
        <f t="shared" ca="1" si="79"/>
        <v>1026.3104661705859</v>
      </c>
      <c r="K324" s="1131">
        <f t="shared" ca="1" si="80"/>
        <v>1026.3104661705859</v>
      </c>
      <c r="L324" s="1130">
        <f t="shared" ca="1" si="81"/>
        <v>0</v>
      </c>
      <c r="M324" s="1130">
        <f t="shared" ca="1" si="82"/>
        <v>0</v>
      </c>
      <c r="N324" s="1130">
        <f t="shared" ca="1" si="91"/>
        <v>0</v>
      </c>
      <c r="O324" s="1073"/>
      <c r="P324" s="1130">
        <f t="shared" ca="1" si="83"/>
        <v>1026.3104661705859</v>
      </c>
      <c r="Q324" s="1130">
        <f t="shared" ca="1" si="84"/>
        <v>0</v>
      </c>
      <c r="R324" s="1130">
        <f t="shared" ca="1" si="92"/>
        <v>974.99494286205652</v>
      </c>
      <c r="S324" s="1130">
        <f t="shared" ca="1" si="93"/>
        <v>974.99494286205652</v>
      </c>
      <c r="T324" s="1130">
        <f t="shared" ca="1" si="85"/>
        <v>0</v>
      </c>
      <c r="U324" s="1132">
        <f t="shared" ca="1" si="86"/>
        <v>8.2576304531307718E-8</v>
      </c>
      <c r="V324" s="1133" t="str">
        <f t="shared" ca="1" si="87"/>
        <v>n.a.</v>
      </c>
      <c r="X324" s="1134">
        <f t="shared" ca="1" si="94"/>
        <v>51.31552330852935</v>
      </c>
      <c r="Y324" s="1134">
        <f t="shared" ca="1" si="88"/>
        <v>51.31552330852935</v>
      </c>
      <c r="Z324" s="1134">
        <f t="shared" ca="1" si="89"/>
        <v>0</v>
      </c>
      <c r="AA324" s="1132">
        <f t="shared" ca="1" si="90"/>
        <v>8.835317374058084E-8</v>
      </c>
      <c r="AB324" s="1105"/>
    </row>
    <row r="325" spans="1:28">
      <c r="A325" s="1144">
        <f>Calendar!J317</f>
        <v>54570</v>
      </c>
      <c r="C325" s="1104"/>
      <c r="D325" s="1125">
        <f t="shared" ca="1" si="76"/>
        <v>55792</v>
      </c>
      <c r="E325" s="1126">
        <f t="shared" ca="1" si="77"/>
        <v>55820</v>
      </c>
      <c r="F325" s="1127">
        <f t="shared" ca="1" si="78"/>
        <v>9590</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55823</v>
      </c>
      <c r="E326" s="1126">
        <f t="shared" ca="1" si="77"/>
        <v>55850</v>
      </c>
      <c r="F326" s="1127">
        <f t="shared" ca="1" si="78"/>
        <v>9620</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55853</v>
      </c>
      <c r="E327" s="1126">
        <f t="shared" ca="1" si="77"/>
        <v>55880</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55884</v>
      </c>
      <c r="E328" s="1126">
        <f t="shared" ca="1" si="77"/>
        <v>55911</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55915</v>
      </c>
      <c r="E329" s="1126">
        <f t="shared" ca="1" si="77"/>
        <v>55942</v>
      </c>
      <c r="F329" s="1127">
        <f t="shared" ca="1" si="78"/>
        <v>9712</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55943</v>
      </c>
      <c r="E330" s="1126">
        <f t="shared" ca="1" si="77"/>
        <v>55970</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55974</v>
      </c>
      <c r="E331" s="1126">
        <f t="shared" ca="1" si="77"/>
        <v>56002</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56004</v>
      </c>
      <c r="E332" s="1126">
        <f t="shared" ref="E332:E361" ca="1" si="96">IF(INDIRECT("A"&amp;(IFERROR(MATCH(E331,A:A),999)+1))&gt;0,INDIRECT("A"&amp;(IFERROR(MATCH(E331,A:A),999)+1)),"")</f>
        <v>56031</v>
      </c>
      <c r="F332" s="1127">
        <f ca="1">IF(E332&lt;&gt;"",E332-$A$31,"")</f>
        <v>9801</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56035</v>
      </c>
      <c r="E333" s="1126">
        <f t="shared" ca="1" si="96"/>
        <v>56062</v>
      </c>
      <c r="F333" s="1127">
        <f t="shared" ref="F333:F361" ca="1" si="97">IF(E333&lt;&gt;"",E333-$A$31,"")</f>
        <v>9832</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56065</v>
      </c>
      <c r="E334" s="1126">
        <f t="shared" ca="1" si="96"/>
        <v>56093</v>
      </c>
      <c r="F334" s="1127">
        <f t="shared" ca="1" si="97"/>
        <v>9863</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56096</v>
      </c>
      <c r="E335" s="1126">
        <f t="shared" ca="1" si="96"/>
        <v>56123</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56127</v>
      </c>
      <c r="E336" s="1126">
        <f t="shared" ca="1" si="96"/>
        <v>56156</v>
      </c>
      <c r="F336" s="1127">
        <f t="shared" ca="1" si="97"/>
        <v>9926</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56157</v>
      </c>
      <c r="E337" s="1126">
        <f t="shared" ca="1" si="96"/>
        <v>56184</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56188</v>
      </c>
      <c r="E338" s="1126">
        <f t="shared" ca="1" si="96"/>
        <v>56215</v>
      </c>
      <c r="F338" s="1127">
        <f t="shared" ca="1" si="97"/>
        <v>9985</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56218</v>
      </c>
      <c r="E339" s="1126">
        <f t="shared" ca="1" si="96"/>
        <v>56247</v>
      </c>
      <c r="F339" s="1127">
        <f t="shared" ca="1" si="97"/>
        <v>10017</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56249</v>
      </c>
      <c r="E340" s="1126">
        <f t="shared" ca="1" si="96"/>
        <v>56276</v>
      </c>
      <c r="F340" s="1127">
        <f t="shared" ca="1" si="97"/>
        <v>10046</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56280</v>
      </c>
      <c r="E341" s="1126">
        <f t="shared" ca="1" si="96"/>
        <v>56307</v>
      </c>
      <c r="F341" s="1127">
        <f t="shared" ca="1" si="97"/>
        <v>10077</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56308</v>
      </c>
      <c r="E342" s="1126">
        <f t="shared" ca="1" si="96"/>
        <v>56335</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56339</v>
      </c>
      <c r="E343" s="1126">
        <f t="shared" ca="1" si="96"/>
        <v>56366</v>
      </c>
      <c r="F343" s="1127">
        <f t="shared" ca="1" si="97"/>
        <v>10136</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56369</v>
      </c>
      <c r="E344" s="1126">
        <f t="shared" ca="1" si="96"/>
        <v>56396</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56400</v>
      </c>
      <c r="E345" s="1126">
        <f t="shared" ca="1" si="96"/>
        <v>56429</v>
      </c>
      <c r="F345" s="1127">
        <f t="shared" ca="1" si="97"/>
        <v>10199</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56430</v>
      </c>
      <c r="E346" s="1126">
        <f t="shared" ca="1" si="96"/>
        <v>56457</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56461</v>
      </c>
      <c r="E347" s="1126">
        <f t="shared" ca="1" si="96"/>
        <v>56488</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56492</v>
      </c>
      <c r="E348" s="1126">
        <f t="shared" ca="1" si="96"/>
        <v>56520</v>
      </c>
      <c r="F348" s="1127">
        <f t="shared" ca="1" si="97"/>
        <v>10290</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56522</v>
      </c>
      <c r="E349" s="1126">
        <f t="shared" ca="1" si="96"/>
        <v>56549</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56553</v>
      </c>
      <c r="E350" s="1126">
        <f t="shared" ca="1" si="96"/>
        <v>56580</v>
      </c>
      <c r="F350" s="1127">
        <f t="shared" ca="1" si="97"/>
        <v>10350</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56583</v>
      </c>
      <c r="E351" s="1126">
        <f t="shared" ca="1" si="96"/>
        <v>56611</v>
      </c>
      <c r="F351" s="1127">
        <f t="shared" ca="1" si="97"/>
        <v>10381</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56614</v>
      </c>
      <c r="E352" s="1126">
        <f t="shared" ca="1" si="96"/>
        <v>56641</v>
      </c>
      <c r="F352" s="1127">
        <f t="shared" ca="1" si="97"/>
        <v>10411</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56645</v>
      </c>
      <c r="E353" s="1126">
        <f t="shared" ca="1" si="96"/>
        <v>56671</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56673</v>
      </c>
      <c r="E354" s="1126">
        <f t="shared" ca="1" si="96"/>
        <v>56702</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56704</v>
      </c>
      <c r="E355" s="1126">
        <f t="shared" ca="1" si="96"/>
        <v>56731</v>
      </c>
      <c r="F355" s="1127">
        <f t="shared" ca="1" si="97"/>
        <v>10501</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56734</v>
      </c>
      <c r="E356" s="1126">
        <f t="shared" ca="1" si="96"/>
        <v>56761</v>
      </c>
      <c r="F356" s="1127">
        <f t="shared" ca="1" si="97"/>
        <v>10531</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56765</v>
      </c>
      <c r="E357" s="1126">
        <f t="shared" ca="1" si="96"/>
        <v>56793</v>
      </c>
      <c r="F357" s="1127">
        <f t="shared" ca="1" si="97"/>
        <v>10563</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56795</v>
      </c>
      <c r="E358" s="1126">
        <f t="shared" ca="1" si="96"/>
        <v>56822</v>
      </c>
      <c r="F358" s="1127">
        <f t="shared" ca="1" si="97"/>
        <v>10592</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56826</v>
      </c>
      <c r="E359" s="1126">
        <f t="shared" ca="1" si="96"/>
        <v>56853</v>
      </c>
      <c r="F359" s="1127">
        <f t="shared" ca="1" si="97"/>
        <v>10623</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56857</v>
      </c>
      <c r="E360" s="1126">
        <f t="shared" ca="1" si="96"/>
        <v>56884</v>
      </c>
      <c r="F360" s="1127">
        <f t="shared" ca="1" si="97"/>
        <v>10654</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56887</v>
      </c>
      <c r="E361" s="1126">
        <f t="shared" ca="1" si="96"/>
        <v>56914</v>
      </c>
      <c r="F361" s="1127">
        <f t="shared" ca="1" si="97"/>
        <v>10684</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56918</v>
      </c>
      <c r="E362" s="1126">
        <f t="shared" ref="E362:E383" ca="1" si="114">IF(INDIRECT("A"&amp;(IFERROR(MATCH(E361,A:A),999)+1))&gt;0,INDIRECT("A"&amp;(IFERROR(MATCH(E361,A:A),999)+1)),"")</f>
        <v>56947</v>
      </c>
      <c r="F362" s="1127">
        <f t="shared" ref="F362:F383" ca="1" si="115">IF(E362&lt;&gt;"",E362-$A$31,"")</f>
        <v>10717</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56948</v>
      </c>
      <c r="E363" s="1126">
        <f t="shared" ca="1" si="114"/>
        <v>56975</v>
      </c>
      <c r="F363" s="1127">
        <f t="shared" ca="1" si="115"/>
        <v>10745</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56979</v>
      </c>
      <c r="E364" s="1126">
        <f t="shared" ca="1" si="114"/>
        <v>57006</v>
      </c>
      <c r="F364" s="1127">
        <f t="shared" ca="1" si="115"/>
        <v>10776</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57010</v>
      </c>
      <c r="E365" s="1126">
        <f t="shared" ca="1" si="114"/>
        <v>57038</v>
      </c>
      <c r="F365" s="1127">
        <f t="shared" ca="1" si="115"/>
        <v>10808</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57039</v>
      </c>
      <c r="E366" s="1126">
        <f t="shared" ca="1" si="114"/>
        <v>57066</v>
      </c>
      <c r="F366" s="1127">
        <f t="shared" ca="1" si="115"/>
        <v>10836</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57070</v>
      </c>
      <c r="E367" s="1126">
        <f t="shared" ca="1" si="114"/>
        <v>57097</v>
      </c>
      <c r="F367" s="1127">
        <f t="shared" ca="1" si="115"/>
        <v>10867</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57100</v>
      </c>
      <c r="E368" s="1126">
        <f t="shared" ca="1" si="114"/>
        <v>57129</v>
      </c>
      <c r="F368" s="1127">
        <f t="shared" ca="1" si="115"/>
        <v>10899</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57131</v>
      </c>
      <c r="E369" s="1126">
        <f t="shared" ca="1" si="114"/>
        <v>57158</v>
      </c>
      <c r="F369" s="1127">
        <f t="shared" ca="1" si="115"/>
        <v>10928</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57161</v>
      </c>
      <c r="E370" s="1126">
        <f t="shared" ca="1" si="114"/>
        <v>57188</v>
      </c>
      <c r="F370" s="1127">
        <f t="shared" ca="1" si="115"/>
        <v>10958</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57192</v>
      </c>
      <c r="E371" s="1126">
        <f t="shared" ca="1" si="114"/>
        <v>57220</v>
      </c>
      <c r="F371" s="1127">
        <f t="shared" ca="1" si="115"/>
        <v>10990</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57223</v>
      </c>
      <c r="E372" s="1126">
        <f t="shared" ca="1" si="114"/>
        <v>57250</v>
      </c>
      <c r="F372" s="1127">
        <f t="shared" ca="1" si="115"/>
        <v>11020</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57253</v>
      </c>
      <c r="E373" s="1126">
        <f t="shared" ca="1" si="114"/>
        <v>57280</v>
      </c>
      <c r="F373" s="1127">
        <f t="shared" ca="1" si="115"/>
        <v>11050</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57284</v>
      </c>
      <c r="E374" s="1126">
        <f t="shared" ca="1" si="114"/>
        <v>57311</v>
      </c>
      <c r="F374" s="1127">
        <f t="shared" ca="1" si="115"/>
        <v>11081</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57314</v>
      </c>
      <c r="E375" s="1126">
        <f t="shared" ca="1" si="114"/>
        <v>57341</v>
      </c>
      <c r="F375" s="1127">
        <f t="shared" ca="1" si="115"/>
        <v>11111</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57345</v>
      </c>
      <c r="E376" s="1126">
        <f t="shared" ca="1" si="114"/>
        <v>57374</v>
      </c>
      <c r="F376" s="1127">
        <f t="shared" ca="1" si="115"/>
        <v>11144</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57376</v>
      </c>
      <c r="E377" s="1126">
        <f t="shared" ca="1" si="114"/>
        <v>57403</v>
      </c>
      <c r="F377" s="1127">
        <f t="shared" ca="1" si="115"/>
        <v>11173</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57404</v>
      </c>
      <c r="E378" s="1126">
        <f t="shared" ca="1" si="114"/>
        <v>57431</v>
      </c>
      <c r="F378" s="1127">
        <f t="shared" ca="1" si="115"/>
        <v>11201</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57435</v>
      </c>
      <c r="E379" s="1126">
        <f t="shared" ca="1" si="114"/>
        <v>57462</v>
      </c>
      <c r="F379" s="1127">
        <f t="shared" ca="1" si="115"/>
        <v>11232</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57465</v>
      </c>
      <c r="E380" s="1126">
        <f t="shared" ca="1" si="114"/>
        <v>57493</v>
      </c>
      <c r="F380" s="1127">
        <f t="shared" ca="1" si="115"/>
        <v>11263</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57496</v>
      </c>
      <c r="E381" s="1126">
        <f t="shared" ca="1" si="114"/>
        <v>57523</v>
      </c>
      <c r="F381" s="1127">
        <f t="shared" ca="1" si="115"/>
        <v>11293</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57526</v>
      </c>
      <c r="E382" s="1126">
        <f t="shared" ca="1" si="114"/>
        <v>57553</v>
      </c>
      <c r="F382" s="1127">
        <f t="shared" ca="1" si="115"/>
        <v>11323</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57557</v>
      </c>
      <c r="E383" s="1126">
        <f t="shared" ca="1" si="114"/>
        <v>57584</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57588</v>
      </c>
      <c r="E384" s="1126">
        <f t="shared" ref="E384:E447" ca="1" si="132">IF(INDIRECT("A"&amp;(IFERROR(MATCH(E383,A:A),999)+1))&gt;0,INDIRECT("A"&amp;(IFERROR(MATCH(E383,A:A),999)+1)),"")</f>
        <v>57615</v>
      </c>
      <c r="F384" s="1127">
        <f t="shared" ref="F384:F447" ca="1" si="133">IF(E384&lt;&gt;"",E384-$A$31,"")</f>
        <v>11385</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57618</v>
      </c>
      <c r="E385" s="1126">
        <f t="shared" ca="1" si="132"/>
        <v>57647</v>
      </c>
      <c r="F385" s="1127">
        <f t="shared" ca="1" si="133"/>
        <v>11417</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57649</v>
      </c>
      <c r="E386" s="1126">
        <f t="shared" ca="1" si="132"/>
        <v>57676</v>
      </c>
      <c r="F386" s="1127">
        <f t="shared" ca="1" si="133"/>
        <v>11446</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57679</v>
      </c>
      <c r="E387" s="1126">
        <f t="shared" ca="1" si="132"/>
        <v>57706</v>
      </c>
      <c r="F387" s="1127">
        <f t="shared" ca="1" si="133"/>
        <v>11476</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57710</v>
      </c>
      <c r="E388" s="1126">
        <f t="shared" ca="1" si="132"/>
        <v>57738</v>
      </c>
      <c r="F388" s="1127">
        <f t="shared" ca="1" si="133"/>
        <v>11508</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57741</v>
      </c>
      <c r="E389" s="1126">
        <f t="shared" ca="1" si="132"/>
        <v>57768</v>
      </c>
      <c r="F389" s="1127">
        <f t="shared" ca="1" si="133"/>
        <v>11538</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57769</v>
      </c>
      <c r="E390" s="1126">
        <f t="shared" ca="1" si="132"/>
        <v>57796</v>
      </c>
      <c r="F390" s="1127">
        <f t="shared" ca="1" si="133"/>
        <v>11566</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57800</v>
      </c>
      <c r="E391" s="1126">
        <f t="shared" ca="1" si="132"/>
        <v>57829</v>
      </c>
      <c r="F391" s="1127">
        <f t="shared" ca="1" si="133"/>
        <v>11599</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57830</v>
      </c>
      <c r="E392" s="1126">
        <f t="shared" ca="1" si="132"/>
        <v>57857</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57861</v>
      </c>
      <c r="E393" s="1126">
        <f t="shared" ca="1" si="132"/>
        <v>57888</v>
      </c>
      <c r="F393" s="1127">
        <f t="shared" ca="1" si="133"/>
        <v>11658</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57891</v>
      </c>
      <c r="E394" s="1126">
        <f t="shared" ca="1" si="132"/>
        <v>57920</v>
      </c>
      <c r="F394" s="1127">
        <f t="shared" ca="1" si="133"/>
        <v>11690</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57922</v>
      </c>
      <c r="E395" s="1126">
        <f t="shared" ca="1" si="132"/>
        <v>57949</v>
      </c>
      <c r="F395" s="1127">
        <f t="shared" ca="1" si="133"/>
        <v>11719</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57953</v>
      </c>
      <c r="E396" s="1126">
        <f t="shared" ca="1" si="132"/>
        <v>57980</v>
      </c>
      <c r="F396" s="1127">
        <f t="shared" ca="1" si="133"/>
        <v>11750</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57983</v>
      </c>
      <c r="E397" s="1126">
        <f t="shared" ca="1" si="132"/>
        <v>58011</v>
      </c>
      <c r="F397" s="1127">
        <f t="shared" ca="1" si="133"/>
        <v>11781</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58014</v>
      </c>
      <c r="E398" s="1126">
        <f t="shared" ca="1" si="132"/>
        <v>58041</v>
      </c>
      <c r="F398" s="1127">
        <f t="shared" ca="1" si="133"/>
        <v>11811</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58044</v>
      </c>
      <c r="E399" s="1126">
        <f t="shared" ca="1" si="132"/>
        <v>58071</v>
      </c>
      <c r="F399" s="1127">
        <f t="shared" ca="1" si="133"/>
        <v>11841</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58075</v>
      </c>
      <c r="E400" s="1126">
        <f t="shared" ca="1" si="132"/>
        <v>58102</v>
      </c>
      <c r="F400" s="1127">
        <f t="shared" ca="1" si="133"/>
        <v>11872</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58106</v>
      </c>
      <c r="E401" s="1126">
        <f t="shared" ca="1" si="132"/>
        <v>58133</v>
      </c>
      <c r="F401" s="1127">
        <f t="shared" ca="1" si="133"/>
        <v>11903</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58134</v>
      </c>
      <c r="E402" s="1126">
        <f t="shared" ca="1" si="132"/>
        <v>58161</v>
      </c>
      <c r="F402" s="1127">
        <f t="shared" ca="1" si="133"/>
        <v>11931</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58165</v>
      </c>
      <c r="E403" s="1126">
        <f t="shared" ca="1" si="132"/>
        <v>58193</v>
      </c>
      <c r="F403" s="1127">
        <f t="shared" ca="1" si="133"/>
        <v>11963</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58195</v>
      </c>
      <c r="E404" s="1126">
        <f t="shared" ca="1" si="132"/>
        <v>58222</v>
      </c>
      <c r="F404" s="1127">
        <f t="shared" ca="1" si="133"/>
        <v>11992</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58226</v>
      </c>
      <c r="E405" s="1126">
        <f t="shared" ca="1" si="132"/>
        <v>58253</v>
      </c>
      <c r="F405" s="1127">
        <f t="shared" ca="1" si="133"/>
        <v>12023</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58256</v>
      </c>
      <c r="E406" s="1126">
        <f t="shared" ca="1" si="132"/>
        <v>58284</v>
      </c>
      <c r="F406" s="1127">
        <f t="shared" ca="1" si="133"/>
        <v>12054</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58287</v>
      </c>
      <c r="E407" s="1126">
        <f t="shared" ca="1" si="132"/>
        <v>58314</v>
      </c>
      <c r="F407" s="1127">
        <f t="shared" ca="1" si="133"/>
        <v>12084</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58318</v>
      </c>
      <c r="E408" s="1126">
        <f t="shared" ca="1" si="132"/>
        <v>58347</v>
      </c>
      <c r="F408" s="1127">
        <f t="shared" ca="1" si="133"/>
        <v>12117</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58348</v>
      </c>
      <c r="E409" s="1126">
        <f t="shared" ca="1" si="132"/>
        <v>58375</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58379</v>
      </c>
      <c r="E410" s="1126">
        <f t="shared" ca="1" si="132"/>
        <v>58406</v>
      </c>
      <c r="F410" s="1127">
        <f t="shared" ca="1" si="133"/>
        <v>12176</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58409</v>
      </c>
      <c r="E411" s="1126">
        <f t="shared" ca="1" si="132"/>
        <v>58438</v>
      </c>
      <c r="F411" s="1127">
        <f t="shared" ca="1" si="133"/>
        <v>12208</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58440</v>
      </c>
      <c r="E412" s="1126">
        <f t="shared" ca="1" si="132"/>
        <v>58467</v>
      </c>
      <c r="F412" s="1127">
        <f t="shared" ca="1" si="133"/>
        <v>12237</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58471</v>
      </c>
      <c r="E413" s="1126">
        <f t="shared" ca="1" si="132"/>
        <v>58498</v>
      </c>
      <c r="F413" s="1127">
        <f t="shared" ca="1" si="133"/>
        <v>12268</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58500</v>
      </c>
      <c r="E414" s="1126">
        <f t="shared" ca="1" si="132"/>
        <v>58529</v>
      </c>
      <c r="F414" s="1127">
        <f t="shared" ca="1" si="133"/>
        <v>12299</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58531</v>
      </c>
      <c r="E415" s="1126">
        <f t="shared" ca="1" si="132"/>
        <v>58558</v>
      </c>
      <c r="F415" s="1127">
        <f t="shared" ca="1" si="133"/>
        <v>12328</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58561</v>
      </c>
      <c r="E416" s="1126">
        <f t="shared" ca="1" si="132"/>
        <v>58588</v>
      </c>
      <c r="F416" s="1127">
        <f t="shared" ca="1" si="133"/>
        <v>12358</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58592</v>
      </c>
      <c r="E417" s="1126">
        <f t="shared" ca="1" si="132"/>
        <v>58620</v>
      </c>
      <c r="F417" s="1127">
        <f t="shared" ca="1" si="133"/>
        <v>12390</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58622</v>
      </c>
      <c r="E418" s="1126">
        <f t="shared" ca="1" si="132"/>
        <v>58649</v>
      </c>
      <c r="F418" s="1127">
        <f t="shared" ca="1" si="133"/>
        <v>12419</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58653</v>
      </c>
      <c r="E419" s="1126">
        <f t="shared" ca="1" si="132"/>
        <v>58680</v>
      </c>
      <c r="F419" s="1127">
        <f t="shared" ca="1" si="133"/>
        <v>12450</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58684</v>
      </c>
      <c r="E420" s="1126">
        <f t="shared" ca="1" si="132"/>
        <v>58711</v>
      </c>
      <c r="F420" s="1127">
        <f t="shared" ca="1" si="133"/>
        <v>12481</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58714</v>
      </c>
      <c r="E421" s="1126">
        <f t="shared" ca="1" si="132"/>
        <v>58741</v>
      </c>
      <c r="F421" s="1127">
        <f t="shared" ca="1" si="133"/>
        <v>12511</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58745</v>
      </c>
      <c r="E422" s="1126">
        <f t="shared" ca="1" si="132"/>
        <v>58774</v>
      </c>
      <c r="F422" s="1127">
        <f t="shared" ca="1" si="133"/>
        <v>12544</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58775</v>
      </c>
      <c r="E423" s="1126">
        <f t="shared" ca="1" si="132"/>
        <v>58802</v>
      </c>
      <c r="F423" s="1127">
        <f t="shared" ca="1" si="133"/>
        <v>12572</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58806</v>
      </c>
      <c r="E424" s="1126">
        <f t="shared" ca="1" si="132"/>
        <v>58833</v>
      </c>
      <c r="F424" s="1127">
        <f t="shared" ca="1" si="133"/>
        <v>12603</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58837</v>
      </c>
      <c r="E425" s="1126">
        <f t="shared" ca="1" si="132"/>
        <v>58865</v>
      </c>
      <c r="F425" s="1127">
        <f t="shared" ca="1" si="133"/>
        <v>12635</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58865</v>
      </c>
      <c r="E426" s="1126">
        <f t="shared" ca="1" si="132"/>
        <v>58893</v>
      </c>
      <c r="F426" s="1127">
        <f t="shared" ca="1" si="133"/>
        <v>12663</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58896</v>
      </c>
      <c r="E427" s="1126">
        <f t="shared" ca="1" si="132"/>
        <v>58923</v>
      </c>
      <c r="F427" s="1127">
        <f t="shared" ca="1" si="133"/>
        <v>12693</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58926</v>
      </c>
      <c r="E428" s="1126">
        <f t="shared" ca="1" si="132"/>
        <v>58953</v>
      </c>
      <c r="F428" s="1127">
        <f t="shared" ca="1" si="133"/>
        <v>12723</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58957</v>
      </c>
      <c r="E429" s="1126">
        <f t="shared" ca="1" si="132"/>
        <v>58984</v>
      </c>
      <c r="F429" s="1127">
        <f t="shared" ca="1" si="133"/>
        <v>12754</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58987</v>
      </c>
      <c r="E430" s="1126">
        <f t="shared" ca="1" si="132"/>
        <v>59014</v>
      </c>
      <c r="F430" s="1127">
        <f t="shared" ca="1" si="133"/>
        <v>12784</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59018</v>
      </c>
      <c r="E431" s="1126">
        <f t="shared" ca="1" si="132"/>
        <v>59047</v>
      </c>
      <c r="F431" s="1127">
        <f t="shared" ca="1" si="133"/>
        <v>12817</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59049</v>
      </c>
      <c r="E432" s="1126">
        <f t="shared" ca="1" si="132"/>
        <v>59076</v>
      </c>
      <c r="F432" s="1127">
        <f t="shared" ca="1" si="133"/>
        <v>12846</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59079</v>
      </c>
      <c r="E433" s="1126">
        <f t="shared" ca="1" si="132"/>
        <v>59106</v>
      </c>
      <c r="F433" s="1127">
        <f t="shared" ca="1" si="133"/>
        <v>12876</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59110</v>
      </c>
      <c r="E434" s="1126">
        <f t="shared" ca="1" si="132"/>
        <v>59138</v>
      </c>
      <c r="F434" s="1127">
        <f t="shared" ca="1" si="133"/>
        <v>12908</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59140</v>
      </c>
      <c r="E435" s="1126">
        <f t="shared" ca="1" si="132"/>
        <v>59167</v>
      </c>
      <c r="F435" s="1127">
        <f t="shared" ca="1" si="133"/>
        <v>12937</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59171</v>
      </c>
      <c r="E436" s="1126">
        <f t="shared" ca="1" si="132"/>
        <v>59198</v>
      </c>
      <c r="F436" s="1127">
        <f t="shared" ca="1" si="133"/>
        <v>12968</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59202</v>
      </c>
      <c r="E437" s="1126">
        <f t="shared" ca="1" si="132"/>
        <v>59229</v>
      </c>
      <c r="F437" s="1127">
        <f t="shared" ca="1" si="133"/>
        <v>12999</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59230</v>
      </c>
      <c r="E438" s="1126">
        <f t="shared" ca="1" si="132"/>
        <v>59257</v>
      </c>
      <c r="F438" s="1127">
        <f t="shared" ca="1" si="133"/>
        <v>13027</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59261</v>
      </c>
      <c r="E439" s="1126">
        <f t="shared" ca="1" si="132"/>
        <v>59288</v>
      </c>
      <c r="F439" s="1127">
        <f t="shared" ca="1" si="133"/>
        <v>13058</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59291</v>
      </c>
      <c r="E440" s="1126">
        <f t="shared" ca="1" si="132"/>
        <v>59320</v>
      </c>
      <c r="F440" s="1127">
        <f t="shared" ca="1" si="133"/>
        <v>13090</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t="str">
        <f t="shared" ca="1" si="150"/>
        <v/>
      </c>
      <c r="E441" s="1126" t="str">
        <f t="shared" ca="1" si="132"/>
        <v/>
      </c>
      <c r="F441" s="1127" t="str">
        <f t="shared" ca="1" si="133"/>
        <v/>
      </c>
      <c r="G441" s="1128" t="str">
        <f ca="1">IF(F441&lt;&gt;"",COUNTIF($F$11:F441,"&gt;0"),"")</f>
        <v/>
      </c>
      <c r="H441" s="1129"/>
      <c r="I441" s="1073"/>
      <c r="J441" s="1130">
        <f t="shared" ca="1" si="134"/>
        <v>0</v>
      </c>
      <c r="K441" s="1131">
        <f t="shared" ca="1" si="135"/>
        <v>0</v>
      </c>
      <c r="L441" s="1130" t="str">
        <f t="shared" ca="1" si="136"/>
        <v/>
      </c>
      <c r="M441" s="1130" t="e">
        <f t="shared" ca="1" si="137"/>
        <v>#VALUE!</v>
      </c>
      <c r="N441" s="1130" t="str">
        <f t="shared" ca="1" si="138"/>
        <v/>
      </c>
      <c r="O441" s="1073"/>
      <c r="P441" s="1130" t="str">
        <f t="shared" ca="1" si="139"/>
        <v/>
      </c>
      <c r="Q441" s="1130" t="str">
        <f t="shared" ca="1" si="140"/>
        <v/>
      </c>
      <c r="R441" s="1130" t="str">
        <f t="shared" ca="1" si="141"/>
        <v/>
      </c>
      <c r="S441" s="1130" t="str">
        <f t="shared" ca="1" si="142"/>
        <v/>
      </c>
      <c r="T441" s="1130" t="str">
        <f t="shared" ca="1" si="143"/>
        <v/>
      </c>
      <c r="U441" s="1132" t="str">
        <f t="shared" ca="1" si="144"/>
        <v/>
      </c>
      <c r="V441" s="1133" t="str">
        <f t="shared" ca="1" si="145"/>
        <v/>
      </c>
      <c r="X441" s="1134" t="str">
        <f t="shared" ca="1" si="146"/>
        <v/>
      </c>
      <c r="Y441" s="1134" t="str">
        <f t="shared" ca="1" si="147"/>
        <v/>
      </c>
      <c r="Z441" s="1134" t="str">
        <f t="shared" ca="1" si="148"/>
        <v/>
      </c>
      <c r="AA441" s="1132" t="str">
        <f t="shared" ca="1" si="149"/>
        <v/>
      </c>
      <c r="AB441" s="1105"/>
    </row>
    <row r="442" spans="1:28">
      <c r="A442" s="1144">
        <f>Calendar!J434</f>
        <v>58133</v>
      </c>
      <c r="C442" s="1104"/>
      <c r="D442" s="1125" t="str">
        <f t="shared" ca="1" si="150"/>
        <v/>
      </c>
      <c r="E442" s="1126" t="str">
        <f t="shared" ca="1" si="132"/>
        <v/>
      </c>
      <c r="F442" s="1127" t="str">
        <f t="shared" ca="1" si="133"/>
        <v/>
      </c>
      <c r="G442" s="1128" t="str">
        <f ca="1">IF(F442&lt;&gt;"",COUNTIF($F$11:F442,"&gt;0"),"")</f>
        <v/>
      </c>
      <c r="H442" s="1129"/>
      <c r="I442" s="1073"/>
      <c r="J442" s="1130" t="str">
        <f t="shared" ca="1" si="134"/>
        <v/>
      </c>
      <c r="K442" s="1131" t="e">
        <f t="shared" ca="1" si="135"/>
        <v>#VALUE!</v>
      </c>
      <c r="L442" s="1130" t="str">
        <f t="shared" ca="1" si="136"/>
        <v/>
      </c>
      <c r="M442" s="1130" t="e">
        <f t="shared" ca="1" si="137"/>
        <v>#VALUE!</v>
      </c>
      <c r="N442" s="1130" t="str">
        <f t="shared" ca="1" si="138"/>
        <v/>
      </c>
      <c r="O442" s="1073"/>
      <c r="P442" s="1130" t="str">
        <f t="shared" ca="1" si="139"/>
        <v/>
      </c>
      <c r="Q442" s="1130" t="str">
        <f t="shared" ca="1" si="140"/>
        <v/>
      </c>
      <c r="R442" s="1130" t="str">
        <f t="shared" ca="1" si="141"/>
        <v/>
      </c>
      <c r="S442" s="1130" t="str">
        <f t="shared" ca="1" si="142"/>
        <v/>
      </c>
      <c r="T442" s="1130" t="str">
        <f t="shared" ca="1" si="143"/>
        <v/>
      </c>
      <c r="U442" s="1132" t="str">
        <f t="shared" ca="1" si="144"/>
        <v/>
      </c>
      <c r="V442" s="1133" t="str">
        <f t="shared" ca="1" si="145"/>
        <v/>
      </c>
      <c r="X442" s="1134" t="str">
        <f t="shared" ca="1" si="146"/>
        <v/>
      </c>
      <c r="Y442" s="1134" t="str">
        <f t="shared" ca="1" si="147"/>
        <v/>
      </c>
      <c r="Z442" s="1134" t="str">
        <f t="shared" ca="1" si="148"/>
        <v/>
      </c>
      <c r="AA442" s="1132" t="str">
        <f t="shared" ca="1" si="149"/>
        <v/>
      </c>
      <c r="AB442" s="1105"/>
    </row>
    <row r="443" spans="1:28">
      <c r="A443" s="1144">
        <f>Calendar!J435</f>
        <v>58161</v>
      </c>
      <c r="C443" s="1104"/>
      <c r="D443" s="1125" t="str">
        <f t="shared" ca="1" si="150"/>
        <v/>
      </c>
      <c r="E443" s="1126" t="str">
        <f t="shared" ca="1" si="132"/>
        <v/>
      </c>
      <c r="F443" s="1127" t="str">
        <f t="shared" ca="1" si="133"/>
        <v/>
      </c>
      <c r="G443" s="1128" t="str">
        <f ca="1">IF(F443&lt;&gt;"",COUNTIF($F$11:F443,"&gt;0"),"")</f>
        <v/>
      </c>
      <c r="H443" s="1129"/>
      <c r="I443" s="1073"/>
      <c r="J443" s="1130" t="str">
        <f t="shared" ca="1" si="134"/>
        <v/>
      </c>
      <c r="K443" s="1131" t="e">
        <f t="shared" ca="1" si="135"/>
        <v>#VALUE!</v>
      </c>
      <c r="L443" s="1130" t="str">
        <f t="shared" ca="1" si="136"/>
        <v/>
      </c>
      <c r="M443" s="1130" t="e">
        <f t="shared" ca="1" si="137"/>
        <v>#VALUE!</v>
      </c>
      <c r="N443" s="1130" t="str">
        <f t="shared" ca="1" si="138"/>
        <v/>
      </c>
      <c r="O443" s="1073"/>
      <c r="P443" s="1130" t="str">
        <f t="shared" ca="1" si="139"/>
        <v/>
      </c>
      <c r="Q443" s="1130" t="str">
        <f t="shared" ca="1" si="140"/>
        <v/>
      </c>
      <c r="R443" s="1130" t="str">
        <f t="shared" ca="1" si="141"/>
        <v/>
      </c>
      <c r="S443" s="1130" t="str">
        <f t="shared" ca="1" si="142"/>
        <v/>
      </c>
      <c r="T443" s="1130" t="str">
        <f t="shared" ca="1" si="143"/>
        <v/>
      </c>
      <c r="U443" s="1132" t="str">
        <f t="shared" ca="1" si="144"/>
        <v/>
      </c>
      <c r="V443" s="1133" t="str">
        <f t="shared" ca="1" si="145"/>
        <v/>
      </c>
      <c r="X443" s="1134" t="str">
        <f t="shared" ca="1" si="146"/>
        <v/>
      </c>
      <c r="Y443" s="1134" t="str">
        <f t="shared" ca="1" si="147"/>
        <v/>
      </c>
      <c r="Z443" s="1134" t="str">
        <f t="shared" ca="1" si="148"/>
        <v/>
      </c>
      <c r="AA443" s="1132" t="str">
        <f t="shared" ca="1" si="149"/>
        <v/>
      </c>
      <c r="AB443" s="1105"/>
    </row>
    <row r="444" spans="1:28">
      <c r="A444" s="1144">
        <f>Calendar!J436</f>
        <v>58193</v>
      </c>
      <c r="C444" s="1104"/>
      <c r="D444" s="1125" t="str">
        <f t="shared" ca="1" si="150"/>
        <v/>
      </c>
      <c r="E444" s="1126" t="str">
        <f t="shared" ca="1" si="132"/>
        <v/>
      </c>
      <c r="F444" s="1127" t="str">
        <f t="shared" ca="1" si="133"/>
        <v/>
      </c>
      <c r="G444" s="1128" t="str">
        <f ca="1">IF(F444&lt;&gt;"",COUNTIF($F$11:F444,"&gt;0"),"")</f>
        <v/>
      </c>
      <c r="H444" s="1129"/>
      <c r="I444" s="1073"/>
      <c r="J444" s="1130" t="str">
        <f t="shared" ca="1" si="134"/>
        <v/>
      </c>
      <c r="K444" s="1131" t="e">
        <f t="shared" ca="1" si="135"/>
        <v>#VALUE!</v>
      </c>
      <c r="L444" s="1130" t="str">
        <f t="shared" ca="1" si="136"/>
        <v/>
      </c>
      <c r="M444" s="1130" t="e">
        <f t="shared" ca="1" si="137"/>
        <v>#VALUE!</v>
      </c>
      <c r="N444" s="1130" t="str">
        <f t="shared" ca="1" si="138"/>
        <v/>
      </c>
      <c r="O444" s="1073"/>
      <c r="P444" s="1130" t="str">
        <f t="shared" ca="1" si="139"/>
        <v/>
      </c>
      <c r="Q444" s="1130" t="str">
        <f t="shared" ca="1" si="140"/>
        <v/>
      </c>
      <c r="R444" s="1130" t="str">
        <f t="shared" ca="1" si="141"/>
        <v/>
      </c>
      <c r="S444" s="1130" t="str">
        <f t="shared" ca="1" si="142"/>
        <v/>
      </c>
      <c r="T444" s="1130" t="str">
        <f t="shared" ca="1" si="143"/>
        <v/>
      </c>
      <c r="U444" s="1132" t="str">
        <f t="shared" ca="1" si="144"/>
        <v/>
      </c>
      <c r="V444" s="1133" t="str">
        <f t="shared" ca="1" si="145"/>
        <v/>
      </c>
      <c r="X444" s="1134" t="str">
        <f t="shared" ca="1" si="146"/>
        <v/>
      </c>
      <c r="Y444" s="1134" t="str">
        <f t="shared" ca="1" si="147"/>
        <v/>
      </c>
      <c r="Z444" s="1134" t="str">
        <f t="shared" ca="1" si="148"/>
        <v/>
      </c>
      <c r="AA444" s="1132" t="str">
        <f t="shared" ca="1" si="149"/>
        <v/>
      </c>
      <c r="AB444" s="1105"/>
    </row>
    <row r="445" spans="1:28">
      <c r="A445" s="1144">
        <f>Calendar!J437</f>
        <v>58222</v>
      </c>
      <c r="C445" s="1104"/>
      <c r="D445" s="1125" t="str">
        <f t="shared" ca="1" si="150"/>
        <v/>
      </c>
      <c r="E445" s="1126" t="str">
        <f t="shared" ca="1" si="132"/>
        <v/>
      </c>
      <c r="F445" s="1127" t="str">
        <f t="shared" ca="1" si="133"/>
        <v/>
      </c>
      <c r="G445" s="1128" t="str">
        <f ca="1">IF(F445&lt;&gt;"",COUNTIF($F$11:F445,"&gt;0"),"")</f>
        <v/>
      </c>
      <c r="H445" s="1129"/>
      <c r="I445" s="1073"/>
      <c r="J445" s="1130" t="str">
        <f t="shared" ca="1" si="134"/>
        <v/>
      </c>
      <c r="K445" s="1131" t="e">
        <f t="shared" ca="1" si="135"/>
        <v>#VALUE!</v>
      </c>
      <c r="L445" s="1130" t="str">
        <f t="shared" ca="1" si="136"/>
        <v/>
      </c>
      <c r="M445" s="1130" t="e">
        <f t="shared" ca="1" si="137"/>
        <v>#VALUE!</v>
      </c>
      <c r="N445" s="1130" t="str">
        <f t="shared" ca="1" si="138"/>
        <v/>
      </c>
      <c r="O445" s="1073"/>
      <c r="P445" s="1130" t="str">
        <f t="shared" ca="1" si="139"/>
        <v/>
      </c>
      <c r="Q445" s="1130" t="str">
        <f t="shared" ca="1" si="140"/>
        <v/>
      </c>
      <c r="R445" s="1130" t="str">
        <f t="shared" ca="1" si="141"/>
        <v/>
      </c>
      <c r="S445" s="1130" t="str">
        <f t="shared" ca="1" si="142"/>
        <v/>
      </c>
      <c r="T445" s="1130" t="str">
        <f t="shared" ca="1" si="143"/>
        <v/>
      </c>
      <c r="U445" s="1132" t="str">
        <f t="shared" ca="1" si="144"/>
        <v/>
      </c>
      <c r="V445" s="1133" t="str">
        <f t="shared" ca="1" si="145"/>
        <v/>
      </c>
      <c r="X445" s="1134" t="str">
        <f t="shared" ca="1" si="146"/>
        <v/>
      </c>
      <c r="Y445" s="1134" t="str">
        <f t="shared" ca="1" si="147"/>
        <v/>
      </c>
      <c r="Z445" s="1134" t="str">
        <f t="shared" ca="1" si="148"/>
        <v/>
      </c>
      <c r="AA445" s="1132" t="str">
        <f t="shared" ca="1" si="149"/>
        <v/>
      </c>
      <c r="AB445" s="1105"/>
    </row>
    <row r="446" spans="1:28">
      <c r="A446" s="1144">
        <f>Calendar!J438</f>
        <v>58253</v>
      </c>
      <c r="C446" s="1104"/>
      <c r="D446" s="1125" t="str">
        <f t="shared" ca="1" si="150"/>
        <v/>
      </c>
      <c r="E446" s="1126" t="str">
        <f t="shared" ca="1" si="132"/>
        <v/>
      </c>
      <c r="F446" s="1127" t="str">
        <f t="shared" ca="1" si="133"/>
        <v/>
      </c>
      <c r="G446" s="1128" t="str">
        <f ca="1">IF(F446&lt;&gt;"",COUNTIF($F$11:F446,"&gt;0"),"")</f>
        <v/>
      </c>
      <c r="H446" s="1129"/>
      <c r="I446" s="1073"/>
      <c r="J446" s="1130" t="str">
        <f t="shared" ca="1" si="134"/>
        <v/>
      </c>
      <c r="K446" s="1131" t="e">
        <f t="shared" ca="1" si="135"/>
        <v>#VALUE!</v>
      </c>
      <c r="L446" s="1130" t="str">
        <f t="shared" ca="1" si="136"/>
        <v/>
      </c>
      <c r="M446" s="1130" t="e">
        <f t="shared" ca="1" si="137"/>
        <v>#VALUE!</v>
      </c>
      <c r="N446" s="1130" t="str">
        <f t="shared" ca="1" si="138"/>
        <v/>
      </c>
      <c r="O446" s="1073"/>
      <c r="P446" s="1130" t="str">
        <f t="shared" ca="1" si="139"/>
        <v/>
      </c>
      <c r="Q446" s="1130" t="str">
        <f t="shared" ca="1" si="140"/>
        <v/>
      </c>
      <c r="R446" s="1130" t="str">
        <f t="shared" ca="1" si="141"/>
        <v/>
      </c>
      <c r="S446" s="1130" t="str">
        <f t="shared" ca="1" si="142"/>
        <v/>
      </c>
      <c r="T446" s="1130" t="str">
        <f t="shared" ca="1" si="143"/>
        <v/>
      </c>
      <c r="U446" s="1132" t="str">
        <f t="shared" ca="1" si="144"/>
        <v/>
      </c>
      <c r="V446" s="1133" t="str">
        <f t="shared" ca="1" si="145"/>
        <v/>
      </c>
      <c r="X446" s="1134" t="str">
        <f t="shared" ca="1" si="146"/>
        <v/>
      </c>
      <c r="Y446" s="1134" t="str">
        <f t="shared" ca="1" si="147"/>
        <v/>
      </c>
      <c r="Z446" s="1134" t="str">
        <f t="shared" ca="1" si="148"/>
        <v/>
      </c>
      <c r="AA446" s="1132" t="str">
        <f t="shared" ca="1" si="149"/>
        <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t="str">
        <f t="shared" ca="1" si="134"/>
        <v/>
      </c>
      <c r="K447" s="1131" t="e">
        <f t="shared" ca="1" si="135"/>
        <v>#VALUE!</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632</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f>'AMORT. PROFILE 0% CPR'!A5</f>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10731409727.809999</v>
      </c>
      <c r="C7" s="1104"/>
      <c r="H7" s="1563" t="s">
        <v>1312</v>
      </c>
      <c r="AB7" s="1105"/>
    </row>
    <row r="8" spans="1:28" s="1106" customFormat="1">
      <c r="B8" s="1107"/>
      <c r="C8" s="1108"/>
      <c r="D8" s="1109"/>
      <c r="E8" s="1109"/>
      <c r="F8" s="1110"/>
      <c r="G8" s="1111"/>
      <c r="H8" s="1562"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46203</v>
      </c>
      <c r="E11" s="1737">
        <f>'00 - Cover'!F21</f>
        <v>46261</v>
      </c>
      <c r="F11" s="1127">
        <f>IF(E11&lt;&gt;"",E11-$A$31,"")</f>
        <v>31</v>
      </c>
      <c r="G11" s="1128">
        <f>IF(F11&lt;&gt;"",COUNTIF($F$11:F11,"&gt;0"),"")</f>
        <v>1</v>
      </c>
      <c r="H11" s="1129">
        <v>5.7045189783785418E-3</v>
      </c>
      <c r="I11" s="1128"/>
      <c r="J11" s="1130">
        <f>IF(G11=1,$A$7,N10)</f>
        <v>10731409727.809999</v>
      </c>
      <c r="K11" s="1131">
        <f>H11*J11</f>
        <v>61217530.457048245</v>
      </c>
      <c r="L11" s="1130">
        <f>IF(E11&lt;&gt;"",(1-(1-$A$25)^(1/12))*(J11-K11),"")</f>
        <v>73884493.491966784</v>
      </c>
      <c r="M11" s="1130">
        <f>IF(J11-K11-L11&lt;$A$27*$A$5,J11-K11-L11,0)</f>
        <v>0</v>
      </c>
      <c r="N11" s="1130">
        <f>IF(E11&lt;&gt;"",J11-K11-L11-M11,"")</f>
        <v>10596307703.860985</v>
      </c>
      <c r="O11" s="1073"/>
      <c r="P11" s="1130">
        <f>IF(G11&lt;&gt; "", R11+X11-N11, "")</f>
        <v>135102438.89901543</v>
      </c>
      <c r="Q11" s="1130">
        <f>IF(E11&lt;&gt;"", N11*(1-$A$15), "")</f>
        <v>10066492318.667934</v>
      </c>
      <c r="R11" s="1130">
        <f>$A$13</f>
        <v>10194839630.92</v>
      </c>
      <c r="S11" s="1130">
        <f>IF(E11&lt;&gt;"", MIN(P11,MAX(R11-Q11,0)), "")</f>
        <v>128347312.25206566</v>
      </c>
      <c r="T11" s="1130">
        <f>IF(E11&lt;&gt;"", R11-S11, "")</f>
        <v>10066492318.667934</v>
      </c>
      <c r="U11" s="1132">
        <f>IF(E11&lt;&gt;"", R11/$A$11, "")</f>
        <v>0.8634426139067688</v>
      </c>
      <c r="V11" s="1133">
        <f>IF(E11&lt;&gt;"", IFERROR(1-T11/N11, "n.a."), "")</f>
        <v>5.0000000000000155E-2</v>
      </c>
      <c r="X11" s="1134">
        <f>$A$21</f>
        <v>536570511.84000009</v>
      </c>
      <c r="Y11" s="1134">
        <f>IF(E11&lt;&gt;"", P11-S11, "")</f>
        <v>6755126.6469497681</v>
      </c>
      <c r="Z11" s="1134">
        <f>IF(E11&lt;&gt;"", X11-Y11, "")</f>
        <v>529815385.19305032</v>
      </c>
      <c r="AA11" s="1132">
        <f>IF(E11&lt;&gt;"", X11/$A$19, "")</f>
        <v>0.92384730000000015</v>
      </c>
      <c r="AB11" s="1105"/>
    </row>
    <row r="12" spans="1:28">
      <c r="A12" s="1103" t="s">
        <v>609</v>
      </c>
      <c r="B12" s="1135"/>
      <c r="C12" s="1124"/>
      <c r="D12" s="1125">
        <f t="shared" ref="D12:D75" ca="1" si="0">IF(E12&lt;&gt;"",EOMONTH(E12,-1),"")</f>
        <v>46265</v>
      </c>
      <c r="E12" s="1126">
        <f t="shared" ref="E12:E75" ca="1" si="1">IF(INDIRECT("A"&amp;(IFERROR(MATCH(E11,A:A),999)+1))&gt;0,INDIRECT("A"&amp;(IFERROR(MATCH(E11,A:A),999)+1)),"")</f>
        <v>46293</v>
      </c>
      <c r="F12" s="1127">
        <f t="shared" ref="F12:F75" ca="1" si="2">IF(E12&lt;&gt;"",E12-$A$31,"")</f>
        <v>63</v>
      </c>
      <c r="G12" s="1128">
        <f ca="1">IF(F12&lt;&gt;"",COUNTIF($F$11:F12,"&gt;0"),"")</f>
        <v>2</v>
      </c>
      <c r="H12" s="1129">
        <v>5.7662737037847715E-3</v>
      </c>
      <c r="I12" s="1128"/>
      <c r="J12" s="1130">
        <f t="shared" ref="J12:J75" ca="1" si="3">IF(G12=1,$A$7,N11)</f>
        <v>10596307703.860985</v>
      </c>
      <c r="K12" s="1131">
        <f t="shared" ref="K12:K75" ca="1" si="4">H12*J12</f>
        <v>61101210.469985589</v>
      </c>
      <c r="L12" s="1130">
        <f t="shared" ref="L12:L75" ca="1" si="5">IF(E12&lt;&gt;"",(1-(1-$A$25)^(1/12))*(J12-K12),"")</f>
        <v>72949800.828383878</v>
      </c>
      <c r="M12" s="1130">
        <f t="shared" ref="M12:M75" ca="1" si="6">IF(J12-K12-L12&lt;$A$27*$A$5,J12-K12-L12,0)</f>
        <v>0</v>
      </c>
      <c r="N12" s="1130">
        <f ca="1">IF(E12&lt;&gt;"",J12-K12-L12-M12,"")</f>
        <v>10462256692.562614</v>
      </c>
      <c r="O12" s="1073"/>
      <c r="P12" s="1130">
        <f t="shared" ref="P12:P75" ca="1" si="7">IF(G12&lt;&gt; "", R12+X12-N12, "")</f>
        <v>134051011.29837036</v>
      </c>
      <c r="Q12" s="1130">
        <f t="shared" ref="Q12:Q75" ca="1" si="8">IF(E12&lt;&gt;"", N12*(1-$A$15), "")</f>
        <v>9939143857.9344826</v>
      </c>
      <c r="R12" s="1130">
        <f ca="1">IF(E12&lt;&gt;"", T11, "")</f>
        <v>10066492318.667934</v>
      </c>
      <c r="S12" s="1130">
        <f ca="1">IF(E12&lt;&gt;"", MIN(P12,MAX(R12-Q12,0)), "")</f>
        <v>127348460.73345184</v>
      </c>
      <c r="T12" s="1130">
        <f t="shared" ref="T12:T75" ca="1" si="9">IF(E12&lt;&gt;"", R12-S12, "")</f>
        <v>9939143857.9344826</v>
      </c>
      <c r="U12" s="1132">
        <f t="shared" ref="U12:U75" ca="1" si="10">IF(E12&lt;&gt;"", R12/$A$11, "")</f>
        <v>0.85257235573784929</v>
      </c>
      <c r="V12" s="1133">
        <f t="shared" ref="V12:V75" ca="1" si="11">IF(E12&lt;&gt;"", IFERROR(1-T12/N12, "n.a."), "")</f>
        <v>5.0000000000000155E-2</v>
      </c>
      <c r="X12" s="1134">
        <f ca="1">IF(E12&lt;&gt;"", Z11, "")</f>
        <v>529815385.19305032</v>
      </c>
      <c r="Y12" s="1134">
        <f t="shared" ref="Y12:Y75" ca="1" si="12">IF(E12&lt;&gt;"", P12-S12, "")</f>
        <v>6702550.5649185181</v>
      </c>
      <c r="Z12" s="1134">
        <f t="shared" ref="Z12:Z75" ca="1" si="13">IF(E12&lt;&gt;"", X12-Y12, "")</f>
        <v>523112834.62813181</v>
      </c>
      <c r="AA12" s="1132">
        <f t="shared" ref="AA12:AA75" ca="1" si="14">IF(E12&lt;&gt;"", X12/$A$19, "")</f>
        <v>0.91221657230208386</v>
      </c>
      <c r="AB12" s="1105"/>
    </row>
    <row r="13" spans="1:28">
      <c r="A13" s="1197">
        <f>'AMORT. PROFILE 0% CPR'!A13</f>
        <v>10194839630.92</v>
      </c>
      <c r="B13" s="1136"/>
      <c r="C13" s="1137"/>
      <c r="D13" s="1125">
        <f t="shared" ca="1" si="0"/>
        <v>46295</v>
      </c>
      <c r="E13" s="1126">
        <f t="shared" ca="1" si="1"/>
        <v>46322</v>
      </c>
      <c r="F13" s="1127">
        <f t="shared" ca="1" si="2"/>
        <v>92</v>
      </c>
      <c r="G13" s="1128">
        <f ca="1">IF(F13&lt;&gt;"",COUNTIF($F$11:F13,"&gt;0"),"")</f>
        <v>3</v>
      </c>
      <c r="H13" s="1129">
        <v>5.7983312736019704E-3</v>
      </c>
      <c r="I13" s="1128"/>
      <c r="J13" s="1130">
        <f t="shared" ca="1" si="3"/>
        <v>10462256692.562614</v>
      </c>
      <c r="K13" s="1131">
        <f t="shared" ca="1" si="4"/>
        <v>60663630.172937326</v>
      </c>
      <c r="L13" s="1130">
        <f t="shared" ca="1" si="5"/>
        <v>72024610.307850838</v>
      </c>
      <c r="M13" s="1130">
        <f t="shared" ca="1" si="6"/>
        <v>0</v>
      </c>
      <c r="N13" s="1130">
        <f t="shared" ref="N13:N76" ca="1" si="15">IF(E13&lt;&gt;"",J13-K13-L13-M13,"")</f>
        <v>10329568452.081825</v>
      </c>
      <c r="O13" s="1073"/>
      <c r="P13" s="1130">
        <f t="shared" ca="1" si="7"/>
        <v>132688240.48078918</v>
      </c>
      <c r="Q13" s="1130">
        <f t="shared" ca="1" si="8"/>
        <v>9813090029.4777336</v>
      </c>
      <c r="R13" s="1130">
        <f t="shared" ref="R13:R76" ca="1" si="16">IF(E13&lt;&gt;"", T12, "")</f>
        <v>9939143857.9344826</v>
      </c>
      <c r="S13" s="1130">
        <f t="shared" ref="S13:S76" ca="1" si="17">IF(E13&lt;&gt;"", MIN(P13,MAX(R13-Q13,0)), "")</f>
        <v>126053828.45674896</v>
      </c>
      <c r="T13" s="1130">
        <f t="shared" ca="1" si="9"/>
        <v>9813090029.4777336</v>
      </c>
      <c r="U13" s="1132">
        <f t="shared" ca="1" si="10"/>
        <v>0.84178669438431486</v>
      </c>
      <c r="V13" s="1133">
        <f t="shared" ca="1" si="11"/>
        <v>5.0000000000000044E-2</v>
      </c>
      <c r="X13" s="1134">
        <f t="shared" ref="X13:X76" ca="1" si="18">IF(E13&lt;&gt;"", Z12, "")</f>
        <v>523112834.62813181</v>
      </c>
      <c r="Y13" s="1134">
        <f t="shared" ca="1" si="12"/>
        <v>6634412.0240402222</v>
      </c>
      <c r="Z13" s="1134">
        <f t="shared" ca="1" si="13"/>
        <v>516478422.60409158</v>
      </c>
      <c r="AA13" s="1132">
        <f t="shared" ca="1" si="14"/>
        <v>0.90067636816138397</v>
      </c>
      <c r="AB13" s="1105"/>
    </row>
    <row r="14" spans="1:28">
      <c r="A14" s="1103" t="s">
        <v>625</v>
      </c>
      <c r="B14" s="1138"/>
      <c r="C14" s="1139"/>
      <c r="D14" s="1125">
        <f t="shared" ca="1" si="0"/>
        <v>46326</v>
      </c>
      <c r="E14" s="1126">
        <f t="shared" ca="1" si="1"/>
        <v>46353</v>
      </c>
      <c r="F14" s="1127">
        <f t="shared" ca="1" si="2"/>
        <v>123</v>
      </c>
      <c r="G14" s="1128">
        <f ca="1">IF(F14&lt;&gt;"",COUNTIF($F$11:F14,"&gt;0"),"")</f>
        <v>4</v>
      </c>
      <c r="H14" s="1129">
        <v>5.8450978549635232E-3</v>
      </c>
      <c r="I14" s="1128"/>
      <c r="J14" s="1130">
        <f t="shared" ca="1" si="3"/>
        <v>10329568452.081825</v>
      </c>
      <c r="K14" s="1131">
        <f t="shared" ca="1" si="4"/>
        <v>60377338.401962355</v>
      </c>
      <c r="L14" s="1130">
        <f t="shared" ca="1" si="5"/>
        <v>71107808.554251611</v>
      </c>
      <c r="M14" s="1130">
        <f t="shared" ca="1" si="6"/>
        <v>0</v>
      </c>
      <c r="N14" s="1130">
        <f t="shared" ca="1" si="15"/>
        <v>10198083305.125612</v>
      </c>
      <c r="O14" s="1073"/>
      <c r="P14" s="1130">
        <f t="shared" ca="1" si="7"/>
        <v>131485146.956213</v>
      </c>
      <c r="Q14" s="1130">
        <f t="shared" ca="1" si="8"/>
        <v>9688179139.8693314</v>
      </c>
      <c r="R14" s="1130">
        <f t="shared" ca="1" si="16"/>
        <v>9813090029.4777336</v>
      </c>
      <c r="S14" s="1130">
        <f t="shared" ca="1" si="17"/>
        <v>124910889.60840225</v>
      </c>
      <c r="T14" s="1130">
        <f t="shared" ca="1" si="9"/>
        <v>9688179139.8693314</v>
      </c>
      <c r="U14" s="1132">
        <f t="shared" ca="1" si="10"/>
        <v>0.83111068072682204</v>
      </c>
      <c r="V14" s="1133">
        <f t="shared" ca="1" si="11"/>
        <v>5.0000000000000044E-2</v>
      </c>
      <c r="X14" s="1134">
        <f t="shared" ca="1" si="18"/>
        <v>516478422.60409158</v>
      </c>
      <c r="Y14" s="1134">
        <f t="shared" ca="1" si="12"/>
        <v>6574257.3478107452</v>
      </c>
      <c r="Z14" s="1134">
        <f t="shared" ca="1" si="13"/>
        <v>509904165.25628084</v>
      </c>
      <c r="AA14" s="1132">
        <f t="shared" ca="1" si="14"/>
        <v>0.88925348244506131</v>
      </c>
      <c r="AB14" s="1105"/>
    </row>
    <row r="15" spans="1:28">
      <c r="A15" s="1198">
        <f>'11bis - Notes Calculation'!N17</f>
        <v>0.05</v>
      </c>
      <c r="B15" s="1136"/>
      <c r="C15" s="1140"/>
      <c r="D15" s="1125">
        <f t="shared" ca="1" si="0"/>
        <v>46356</v>
      </c>
      <c r="E15" s="1126">
        <f t="shared" ca="1" si="1"/>
        <v>46384</v>
      </c>
      <c r="F15" s="1127">
        <f t="shared" ca="1" si="2"/>
        <v>154</v>
      </c>
      <c r="G15" s="1128">
        <f ca="1">IF(F15&lt;&gt;"",COUNTIF($F$11:F15,"&gt;0"),"")</f>
        <v>5</v>
      </c>
      <c r="H15" s="1129">
        <v>5.8812501649786412E-3</v>
      </c>
      <c r="I15" s="1128"/>
      <c r="J15" s="1130">
        <f t="shared" ca="1" si="3"/>
        <v>10198083305.125612</v>
      </c>
      <c r="K15" s="1131">
        <f t="shared" ca="1" si="4"/>
        <v>59977479.120735936</v>
      </c>
      <c r="L15" s="1130">
        <f t="shared" ca="1" si="5"/>
        <v>70200123.865449309</v>
      </c>
      <c r="M15" s="1130">
        <f t="shared" ca="1" si="6"/>
        <v>0</v>
      </c>
      <c r="N15" s="1130">
        <f t="shared" ca="1" si="15"/>
        <v>10067905702.139427</v>
      </c>
      <c r="O15" s="1073"/>
      <c r="P15" s="1130">
        <f t="shared" ca="1" si="7"/>
        <v>130177602.98618507</v>
      </c>
      <c r="Q15" s="1130">
        <f t="shared" ca="1" si="8"/>
        <v>9564510417.0324554</v>
      </c>
      <c r="R15" s="1130">
        <f t="shared" ca="1" si="16"/>
        <v>9688179139.8693314</v>
      </c>
      <c r="S15" s="1130">
        <f t="shared" ca="1" si="17"/>
        <v>123668722.83687592</v>
      </c>
      <c r="T15" s="1130">
        <f t="shared" ca="1" si="9"/>
        <v>9564510417.0324554</v>
      </c>
      <c r="U15" s="1132">
        <f t="shared" ca="1" si="10"/>
        <v>0.82053146722926107</v>
      </c>
      <c r="V15" s="1133">
        <f t="shared" ca="1" si="11"/>
        <v>5.0000000000000044E-2</v>
      </c>
      <c r="X15" s="1134">
        <f t="shared" ca="1" si="18"/>
        <v>509904165.25628084</v>
      </c>
      <c r="Y15" s="1134">
        <f t="shared" ca="1" si="12"/>
        <v>6508880.1493091583</v>
      </c>
      <c r="Z15" s="1134">
        <f t="shared" ca="1" si="13"/>
        <v>503395285.10697168</v>
      </c>
      <c r="AA15" s="1132">
        <f t="shared" ca="1" si="14"/>
        <v>0.87793416882968467</v>
      </c>
      <c r="AB15" s="1105"/>
    </row>
    <row r="16" spans="1:28">
      <c r="C16" s="1139"/>
      <c r="D16" s="1125">
        <f t="shared" ca="1" si="0"/>
        <v>46387</v>
      </c>
      <c r="E16" s="1126">
        <f t="shared" ca="1" si="1"/>
        <v>46414</v>
      </c>
      <c r="F16" s="1127">
        <f t="shared" ca="1" si="2"/>
        <v>184</v>
      </c>
      <c r="G16" s="1128">
        <f ca="1">IF(F16&lt;&gt;"",COUNTIF($F$11:F16,"&gt;0"),"")</f>
        <v>6</v>
      </c>
      <c r="H16" s="1129">
        <v>5.9276766132720128E-3</v>
      </c>
      <c r="I16" s="1128"/>
      <c r="J16" s="1130">
        <f t="shared" ca="1" si="3"/>
        <v>10067905702.139427</v>
      </c>
      <c r="K16" s="1131">
        <f t="shared" ca="1" si="4"/>
        <v>59679289.175199829</v>
      </c>
      <c r="L16" s="1130">
        <f t="shared" ca="1" si="5"/>
        <v>69300789.114016905</v>
      </c>
      <c r="M16" s="1130">
        <f t="shared" ca="1" si="6"/>
        <v>0</v>
      </c>
      <c r="N16" s="1130">
        <f t="shared" ca="1" si="15"/>
        <v>9938925623.8502102</v>
      </c>
      <c r="O16" s="1073"/>
      <c r="P16" s="1130">
        <f t="shared" ca="1" si="7"/>
        <v>128980078.289217</v>
      </c>
      <c r="Q16" s="1130">
        <f t="shared" ca="1" si="8"/>
        <v>9441979342.6576996</v>
      </c>
      <c r="R16" s="1130">
        <f t="shared" ca="1" si="16"/>
        <v>9564510417.0324554</v>
      </c>
      <c r="S16" s="1130">
        <f t="shared" ca="1" si="17"/>
        <v>122531074.37475586</v>
      </c>
      <c r="T16" s="1130">
        <f t="shared" ca="1" si="9"/>
        <v>9441979342.6576996</v>
      </c>
      <c r="U16" s="1132">
        <f t="shared" ca="1" si="10"/>
        <v>0.81005745790978856</v>
      </c>
      <c r="V16" s="1133">
        <f t="shared" ca="1" si="11"/>
        <v>5.0000000000000044E-2</v>
      </c>
      <c r="X16" s="1134">
        <f t="shared" ca="1" si="18"/>
        <v>503395285.10697168</v>
      </c>
      <c r="Y16" s="1134">
        <f t="shared" ca="1" si="12"/>
        <v>6449003.9144611359</v>
      </c>
      <c r="Z16" s="1134">
        <f t="shared" ca="1" si="13"/>
        <v>496946281.19251055</v>
      </c>
      <c r="AA16" s="1132">
        <f t="shared" ca="1" si="14"/>
        <v>0.86672741926131491</v>
      </c>
      <c r="AB16" s="1105"/>
    </row>
    <row r="17" spans="1:28" ht="15.5">
      <c r="A17" s="1094" t="s">
        <v>626</v>
      </c>
      <c r="C17" s="1104"/>
      <c r="D17" s="1125">
        <f t="shared" ca="1" si="0"/>
        <v>46418</v>
      </c>
      <c r="E17" s="1126">
        <f t="shared" ca="1" si="1"/>
        <v>46444</v>
      </c>
      <c r="F17" s="1127">
        <f t="shared" ca="1" si="2"/>
        <v>214</v>
      </c>
      <c r="G17" s="1128">
        <f ca="1">IF(F17&lt;&gt;"",COUNTIF($F$11:F17,"&gt;0"),"")</f>
        <v>7</v>
      </c>
      <c r="H17" s="1129">
        <v>5.9647273934845015E-3</v>
      </c>
      <c r="I17" s="1128"/>
      <c r="J17" s="1130">
        <f t="shared" ca="1" si="3"/>
        <v>9938925623.8502102</v>
      </c>
      <c r="K17" s="1131">
        <f t="shared" ca="1" si="4"/>
        <v>59282981.93038439</v>
      </c>
      <c r="L17" s="1130">
        <f t="shared" ca="1" si="5"/>
        <v>68410425.88351582</v>
      </c>
      <c r="M17" s="1130">
        <f t="shared" ca="1" si="6"/>
        <v>0</v>
      </c>
      <c r="N17" s="1130">
        <f t="shared" ca="1" si="15"/>
        <v>9811232216.0363102</v>
      </c>
      <c r="O17" s="1073"/>
      <c r="P17" s="1130">
        <f t="shared" ca="1" si="7"/>
        <v>127693407.81389999</v>
      </c>
      <c r="Q17" s="1130">
        <f t="shared" ca="1" si="8"/>
        <v>9320670605.2344952</v>
      </c>
      <c r="R17" s="1130">
        <f t="shared" ca="1" si="16"/>
        <v>9441979342.6576996</v>
      </c>
      <c r="S17" s="1130">
        <f t="shared" ca="1" si="17"/>
        <v>121308737.42320442</v>
      </c>
      <c r="T17" s="1130">
        <f t="shared" ca="1" si="9"/>
        <v>9320670605.2344952</v>
      </c>
      <c r="U17" s="1132">
        <f t="shared" ca="1" si="10"/>
        <v>0.79967980068582722</v>
      </c>
      <c r="V17" s="1133">
        <f t="shared" ca="1" si="11"/>
        <v>4.9999999999999933E-2</v>
      </c>
      <c r="X17" s="1134">
        <f t="shared" ca="1" si="18"/>
        <v>496946281.19251055</v>
      </c>
      <c r="Y17" s="1134">
        <f t="shared" ca="1" si="12"/>
        <v>6384670.3906955719</v>
      </c>
      <c r="Z17" s="1134">
        <f t="shared" ca="1" si="13"/>
        <v>490561610.80181497</v>
      </c>
      <c r="AA17" s="1132">
        <f t="shared" ca="1" si="14"/>
        <v>0.85562376238379911</v>
      </c>
      <c r="AB17" s="1105"/>
    </row>
    <row r="18" spans="1:28">
      <c r="A18" s="1103" t="s">
        <v>607</v>
      </c>
      <c r="C18" s="1104"/>
      <c r="D18" s="1125">
        <f t="shared" ca="1" si="0"/>
        <v>46446</v>
      </c>
      <c r="E18" s="1126">
        <f t="shared" ca="1" si="1"/>
        <v>46476</v>
      </c>
      <c r="F18" s="1127">
        <f t="shared" ca="1" si="2"/>
        <v>246</v>
      </c>
      <c r="G18" s="1128">
        <f ca="1">IF(F18&lt;&gt;"",COUNTIF($F$11:F18,"&gt;0"),"")</f>
        <v>8</v>
      </c>
      <c r="H18" s="1129">
        <v>6.0052876992465311E-3</v>
      </c>
      <c r="I18" s="1128"/>
      <c r="J18" s="1130">
        <f t="shared" ca="1" si="3"/>
        <v>9811232216.0363102</v>
      </c>
      <c r="K18" s="1131">
        <f t="shared" ca="1" si="4"/>
        <v>58919272.141414136</v>
      </c>
      <c r="L18" s="1130">
        <f t="shared" ca="1" si="5"/>
        <v>67528746.334445387</v>
      </c>
      <c r="M18" s="1130">
        <f t="shared" ca="1" si="6"/>
        <v>0</v>
      </c>
      <c r="N18" s="1130">
        <f t="shared" ca="1" si="15"/>
        <v>9684784197.5604496</v>
      </c>
      <c r="O18" s="1073"/>
      <c r="P18" s="1130">
        <f t="shared" ca="1" si="7"/>
        <v>126448018.4758606</v>
      </c>
      <c r="Q18" s="1130">
        <f t="shared" ca="1" si="8"/>
        <v>9200544987.6824265</v>
      </c>
      <c r="R18" s="1130">
        <f t="shared" ca="1" si="16"/>
        <v>9320670605.2344952</v>
      </c>
      <c r="S18" s="1130">
        <f t="shared" ca="1" si="17"/>
        <v>120125617.55206871</v>
      </c>
      <c r="T18" s="1130">
        <f t="shared" ca="1" si="9"/>
        <v>9200544987.6824265</v>
      </c>
      <c r="U18" s="1132">
        <f t="shared" ca="1" si="10"/>
        <v>0.7894056681714966</v>
      </c>
      <c r="V18" s="1133">
        <f t="shared" ca="1" si="11"/>
        <v>5.0000000000000044E-2</v>
      </c>
      <c r="X18" s="1134">
        <f t="shared" ca="1" si="18"/>
        <v>490561610.80181497</v>
      </c>
      <c r="Y18" s="1134">
        <f t="shared" ca="1" si="12"/>
        <v>6322400.9237918854</v>
      </c>
      <c r="Z18" s="1134">
        <f t="shared" ca="1" si="13"/>
        <v>484239209.87802309</v>
      </c>
      <c r="AA18" s="1132">
        <f t="shared" ca="1" si="14"/>
        <v>0.84463087259265668</v>
      </c>
      <c r="AB18" s="1105"/>
    </row>
    <row r="19" spans="1:28">
      <c r="A19" s="1197">
        <f>'AMORT. PROFILE 0% CPR'!A19</f>
        <v>580800000</v>
      </c>
      <c r="C19" s="1104"/>
      <c r="D19" s="1125">
        <f t="shared" ca="1" si="0"/>
        <v>46477</v>
      </c>
      <c r="E19" s="1126">
        <f t="shared" ca="1" si="1"/>
        <v>46504</v>
      </c>
      <c r="F19" s="1127">
        <f t="shared" ca="1" si="2"/>
        <v>274</v>
      </c>
      <c r="G19" s="1128">
        <f ca="1">IF(F19&lt;&gt;"",COUNTIF($F$11:F19,"&gt;0"),"")</f>
        <v>9</v>
      </c>
      <c r="H19" s="1129">
        <v>6.0525303175296792E-3</v>
      </c>
      <c r="I19" s="1128"/>
      <c r="J19" s="1130">
        <f t="shared" ca="1" si="3"/>
        <v>9684784197.5604496</v>
      </c>
      <c r="K19" s="1131">
        <f t="shared" ca="1" si="4"/>
        <v>58617449.974466965</v>
      </c>
      <c r="L19" s="1130">
        <f t="shared" ca="1" si="5"/>
        <v>66655261.804097906</v>
      </c>
      <c r="M19" s="1130">
        <f t="shared" ca="1" si="6"/>
        <v>0</v>
      </c>
      <c r="N19" s="1130">
        <f t="shared" ca="1" si="15"/>
        <v>9559511485.7818851</v>
      </c>
      <c r="O19" s="1073"/>
      <c r="P19" s="1130">
        <f t="shared" ca="1" si="7"/>
        <v>125272711.77856445</v>
      </c>
      <c r="Q19" s="1130">
        <f t="shared" ca="1" si="8"/>
        <v>9081535911.4927902</v>
      </c>
      <c r="R19" s="1130">
        <f t="shared" ca="1" si="16"/>
        <v>9200544987.6824265</v>
      </c>
      <c r="S19" s="1130">
        <f t="shared" ca="1" si="17"/>
        <v>119009076.18963623</v>
      </c>
      <c r="T19" s="1130">
        <f t="shared" ca="1" si="9"/>
        <v>9081535911.4927902</v>
      </c>
      <c r="U19" s="1132">
        <f t="shared" ca="1" si="10"/>
        <v>0.77923173891205588</v>
      </c>
      <c r="V19" s="1133">
        <f t="shared" ca="1" si="11"/>
        <v>5.0000000000000044E-2</v>
      </c>
      <c r="X19" s="1134">
        <f t="shared" ca="1" si="18"/>
        <v>484239209.87802309</v>
      </c>
      <c r="Y19" s="1134">
        <f t="shared" ca="1" si="12"/>
        <v>6263635.5889282227</v>
      </c>
      <c r="Z19" s="1134">
        <f t="shared" ca="1" si="13"/>
        <v>477975574.28909487</v>
      </c>
      <c r="AA19" s="1132">
        <f t="shared" ca="1" si="14"/>
        <v>0.83374519607097641</v>
      </c>
      <c r="AB19" s="1105"/>
    </row>
    <row r="20" spans="1:28">
      <c r="A20" s="1103" t="s">
        <v>609</v>
      </c>
      <c r="C20" s="1104"/>
      <c r="D20" s="1125">
        <f t="shared" ca="1" si="0"/>
        <v>46507</v>
      </c>
      <c r="E20" s="1126">
        <f t="shared" ca="1" si="1"/>
        <v>46534</v>
      </c>
      <c r="F20" s="1127">
        <f t="shared" ca="1" si="2"/>
        <v>304</v>
      </c>
      <c r="G20" s="1128">
        <f ca="1">IF(F20&lt;&gt;"",COUNTIF($F$11:F20,"&gt;0"),"")</f>
        <v>10</v>
      </c>
      <c r="H20" s="1129">
        <v>6.088585956135875E-3</v>
      </c>
      <c r="I20" s="1128"/>
      <c r="J20" s="1130">
        <f t="shared" ca="1" si="3"/>
        <v>9559511485.7818851</v>
      </c>
      <c r="K20" s="1131">
        <f t="shared" ca="1" si="4"/>
        <v>58203907.379851177</v>
      </c>
      <c r="L20" s="1130">
        <f t="shared" ca="1" si="5"/>
        <v>65790689.142016672</v>
      </c>
      <c r="M20" s="1130">
        <f t="shared" ca="1" si="6"/>
        <v>0</v>
      </c>
      <c r="N20" s="1130">
        <f t="shared" ca="1" si="15"/>
        <v>9435516889.2600174</v>
      </c>
      <c r="O20" s="1073"/>
      <c r="P20" s="1130">
        <f t="shared" ca="1" si="7"/>
        <v>123994596.52186775</v>
      </c>
      <c r="Q20" s="1130">
        <f t="shared" ca="1" si="8"/>
        <v>8963741044.7970161</v>
      </c>
      <c r="R20" s="1130">
        <f t="shared" ca="1" si="16"/>
        <v>9081535911.4927902</v>
      </c>
      <c r="S20" s="1130">
        <f t="shared" ca="1" si="17"/>
        <v>117794866.69577408</v>
      </c>
      <c r="T20" s="1130">
        <f t="shared" ca="1" si="9"/>
        <v>8963741044.7970161</v>
      </c>
      <c r="U20" s="1132">
        <f t="shared" ca="1" si="10"/>
        <v>0.76915237410163206</v>
      </c>
      <c r="V20" s="1133">
        <f t="shared" ca="1" si="11"/>
        <v>5.0000000000000044E-2</v>
      </c>
      <c r="X20" s="1134">
        <f t="shared" ca="1" si="18"/>
        <v>477975574.28909487</v>
      </c>
      <c r="Y20" s="1134">
        <f t="shared" ca="1" si="12"/>
        <v>6199729.8260936737</v>
      </c>
      <c r="Z20" s="1134">
        <f t="shared" ca="1" si="13"/>
        <v>471775844.46300119</v>
      </c>
      <c r="AA20" s="1132">
        <f t="shared" ca="1" si="14"/>
        <v>0.82296069953356554</v>
      </c>
      <c r="AB20" s="1105"/>
    </row>
    <row r="21" spans="1:28">
      <c r="A21" s="1197">
        <f>'AMORT. PROFILE 0% CPR'!A21</f>
        <v>536570511.84000009</v>
      </c>
      <c r="C21" s="1104"/>
      <c r="D21" s="1125">
        <f t="shared" ca="1" si="0"/>
        <v>46538</v>
      </c>
      <c r="E21" s="1126">
        <f t="shared" ca="1" si="1"/>
        <v>46566</v>
      </c>
      <c r="F21" s="1127">
        <f t="shared" ca="1" si="2"/>
        <v>336</v>
      </c>
      <c r="G21" s="1128">
        <f ca="1">IF(F21&lt;&gt;"",COUNTIF($F$11:F21,"&gt;0"),"")</f>
        <v>11</v>
      </c>
      <c r="H21" s="1141">
        <v>6.133374550511099E-3</v>
      </c>
      <c r="I21" s="1128"/>
      <c r="J21" s="1130">
        <f t="shared" ca="1" si="3"/>
        <v>9435516889.2600174</v>
      </c>
      <c r="K21" s="1131">
        <f t="shared" ca="1" si="4"/>
        <v>57871559.159505039</v>
      </c>
      <c r="L21" s="1130">
        <f t="shared" ca="1" si="5"/>
        <v>64934404.418101154</v>
      </c>
      <c r="M21" s="1130">
        <f t="shared" ca="1" si="6"/>
        <v>0</v>
      </c>
      <c r="N21" s="1130">
        <f t="shared" ca="1" si="15"/>
        <v>9312710925.6824112</v>
      </c>
      <c r="O21" s="1073"/>
      <c r="P21" s="1130">
        <f t="shared" ca="1" si="7"/>
        <v>122805963.5776062</v>
      </c>
      <c r="Q21" s="1130">
        <f t="shared" ca="1" si="8"/>
        <v>8847075379.3982906</v>
      </c>
      <c r="R21" s="1130">
        <f t="shared" ca="1" si="16"/>
        <v>8963741044.7970161</v>
      </c>
      <c r="S21" s="1130">
        <f t="shared" ca="1" si="17"/>
        <v>116665665.39872551</v>
      </c>
      <c r="T21" s="1130">
        <f t="shared" ca="1" si="9"/>
        <v>8847075379.3982906</v>
      </c>
      <c r="U21" s="1132">
        <f t="shared" ca="1" si="10"/>
        <v>0.75917584565324681</v>
      </c>
      <c r="V21" s="1133">
        <f t="shared" ca="1" si="11"/>
        <v>5.0000000000000044E-2</v>
      </c>
      <c r="X21" s="1134">
        <f t="shared" ca="1" si="18"/>
        <v>471775844.46300119</v>
      </c>
      <c r="Y21" s="1134">
        <f t="shared" ca="1" si="12"/>
        <v>6140298.1788806915</v>
      </c>
      <c r="Z21" s="1134">
        <f t="shared" ca="1" si="13"/>
        <v>465635546.2841205</v>
      </c>
      <c r="AA21" s="1132">
        <f t="shared" ca="1" si="14"/>
        <v>0.81228623357954755</v>
      </c>
      <c r="AB21" s="1105"/>
    </row>
    <row r="22" spans="1:28">
      <c r="A22" s="1142"/>
      <c r="C22" s="1104"/>
      <c r="D22" s="1125">
        <f t="shared" ca="1" si="0"/>
        <v>46568</v>
      </c>
      <c r="E22" s="1126">
        <f t="shared" ca="1" si="1"/>
        <v>46595</v>
      </c>
      <c r="F22" s="1127">
        <f t="shared" ca="1" si="2"/>
        <v>365</v>
      </c>
      <c r="G22" s="1128">
        <f ca="1">IF(F22&lt;&gt;"",COUNTIF($F$11:F22,"&gt;0"),"")</f>
        <v>12</v>
      </c>
      <c r="H22" s="1129">
        <v>6.1692309126794949E-3</v>
      </c>
      <c r="I22" s="1128"/>
      <c r="J22" s="1130">
        <f t="shared" ca="1" si="3"/>
        <v>9312710925.6824112</v>
      </c>
      <c r="K22" s="1131">
        <f t="shared" ca="1" si="4"/>
        <v>57452264.123568006</v>
      </c>
      <c r="L22" s="1130">
        <f t="shared" ca="1" si="5"/>
        <v>64086952.296515793</v>
      </c>
      <c r="M22" s="1130">
        <f t="shared" ca="1" si="6"/>
        <v>0</v>
      </c>
      <c r="N22" s="1130">
        <f t="shared" ca="1" si="15"/>
        <v>9191171709.2623272</v>
      </c>
      <c r="O22" s="1073"/>
      <c r="P22" s="1130">
        <f t="shared" ca="1" si="7"/>
        <v>121539216.420084</v>
      </c>
      <c r="Q22" s="1130">
        <f t="shared" ca="1" si="8"/>
        <v>8731613123.7992096</v>
      </c>
      <c r="R22" s="1130">
        <f t="shared" ca="1" si="16"/>
        <v>8847075379.3982906</v>
      </c>
      <c r="S22" s="1130">
        <f t="shared" ca="1" si="17"/>
        <v>115462255.59908104</v>
      </c>
      <c r="T22" s="1130">
        <f t="shared" ca="1" si="9"/>
        <v>8731613123.7992096</v>
      </c>
      <c r="U22" s="1132">
        <f t="shared" ca="1" si="10"/>
        <v>0.74929495387545653</v>
      </c>
      <c r="V22" s="1133">
        <f t="shared" ca="1" si="11"/>
        <v>5.0000000000000155E-2</v>
      </c>
      <c r="X22" s="1134">
        <f t="shared" ca="1" si="18"/>
        <v>465635546.2841205</v>
      </c>
      <c r="Y22" s="1134">
        <f t="shared" ca="1" si="12"/>
        <v>6076960.8210029602</v>
      </c>
      <c r="Z22" s="1134">
        <f t="shared" ca="1" si="13"/>
        <v>459558585.46311754</v>
      </c>
      <c r="AA22" s="1132">
        <f t="shared" ca="1" si="14"/>
        <v>0.80171409484180522</v>
      </c>
      <c r="AB22" s="1105"/>
    </row>
    <row r="23" spans="1:28" ht="15.5">
      <c r="A23" s="1094" t="s">
        <v>627</v>
      </c>
      <c r="C23" s="1104"/>
      <c r="D23" s="1125">
        <f t="shared" ca="1" si="0"/>
        <v>46599</v>
      </c>
      <c r="E23" s="1126">
        <f t="shared" ca="1" si="1"/>
        <v>46626</v>
      </c>
      <c r="F23" s="1127">
        <f t="shared" ca="1" si="2"/>
        <v>396</v>
      </c>
      <c r="G23" s="1128">
        <f ca="1">IF(F23&lt;&gt;"",COUNTIF($F$11:F23,"&gt;0"),"")</f>
        <v>13</v>
      </c>
      <c r="H23" s="1129">
        <v>6.211379484955426E-3</v>
      </c>
      <c r="I23" s="1128"/>
      <c r="J23" s="1130">
        <f t="shared" ca="1" si="3"/>
        <v>9191171709.2623272</v>
      </c>
      <c r="K23" s="1131">
        <f t="shared" ca="1" si="4"/>
        <v>57089855.397614717</v>
      </c>
      <c r="L23" s="1130">
        <f t="shared" ca="1" si="5"/>
        <v>63247877.714365765</v>
      </c>
      <c r="M23" s="1130">
        <f t="shared" ca="1" si="6"/>
        <v>0</v>
      </c>
      <c r="N23" s="1130">
        <f t="shared" ca="1" si="15"/>
        <v>9070833976.1503468</v>
      </c>
      <c r="O23" s="1073"/>
      <c r="P23" s="1130">
        <f t="shared" ca="1" si="7"/>
        <v>120337733.11198044</v>
      </c>
      <c r="Q23" s="1130">
        <f t="shared" ca="1" si="8"/>
        <v>8617292277.3428288</v>
      </c>
      <c r="R23" s="1130">
        <f t="shared" ca="1" si="16"/>
        <v>8731613123.7992096</v>
      </c>
      <c r="S23" s="1130">
        <f t="shared" ca="1" si="17"/>
        <v>114320846.45638084</v>
      </c>
      <c r="T23" s="1130">
        <f t="shared" ca="1" si="9"/>
        <v>8617292277.3428288</v>
      </c>
      <c r="U23" s="1132">
        <f t="shared" ca="1" si="10"/>
        <v>0.73951598378948524</v>
      </c>
      <c r="V23" s="1133">
        <f t="shared" ca="1" si="11"/>
        <v>5.0000000000000044E-2</v>
      </c>
      <c r="X23" s="1134">
        <f t="shared" ca="1" si="18"/>
        <v>459558585.46311754</v>
      </c>
      <c r="Y23" s="1134">
        <f t="shared" ca="1" si="12"/>
        <v>6016886.6555995941</v>
      </c>
      <c r="Z23" s="1134">
        <f t="shared" ca="1" si="13"/>
        <v>453541698.80751795</v>
      </c>
      <c r="AA23" s="1132">
        <f t="shared" ca="1" si="14"/>
        <v>0.79125100802878368</v>
      </c>
      <c r="AB23" s="1105"/>
    </row>
    <row r="24" spans="1:28">
      <c r="A24" s="1103" t="s">
        <v>259</v>
      </c>
      <c r="C24" s="1104"/>
      <c r="D24" s="1125">
        <f t="shared" ca="1" si="0"/>
        <v>46630</v>
      </c>
      <c r="E24" s="1126">
        <f t="shared" ca="1" si="1"/>
        <v>46657</v>
      </c>
      <c r="F24" s="1127">
        <f t="shared" ca="1" si="2"/>
        <v>427</v>
      </c>
      <c r="G24" s="1128">
        <f ca="1">IF(F24&lt;&gt;"",COUNTIF($F$11:F24,"&gt;0"),"")</f>
        <v>14</v>
      </c>
      <c r="H24" s="1129">
        <v>6.2630015066440572E-3</v>
      </c>
      <c r="I24" s="1128"/>
      <c r="J24" s="1130">
        <f t="shared" ca="1" si="3"/>
        <v>9070833976.1503468</v>
      </c>
      <c r="K24" s="1131">
        <f t="shared" ca="1" si="4"/>
        <v>56810646.859147727</v>
      </c>
      <c r="L24" s="1130">
        <f t="shared" ca="1" si="5"/>
        <v>62416546.552429669</v>
      </c>
      <c r="M24" s="1130">
        <f t="shared" ca="1" si="6"/>
        <v>0</v>
      </c>
      <c r="N24" s="1130">
        <f t="shared" ca="1" si="15"/>
        <v>8951606782.7387695</v>
      </c>
      <c r="O24" s="1073"/>
      <c r="P24" s="1130">
        <f t="shared" ca="1" si="7"/>
        <v>119227193.41157722</v>
      </c>
      <c r="Q24" s="1130">
        <f t="shared" ca="1" si="8"/>
        <v>8504026443.6018305</v>
      </c>
      <c r="R24" s="1130">
        <f t="shared" ca="1" si="16"/>
        <v>8617292277.3428288</v>
      </c>
      <c r="S24" s="1130">
        <f t="shared" ca="1" si="17"/>
        <v>113265833.74099827</v>
      </c>
      <c r="T24" s="1130">
        <f t="shared" ca="1" si="9"/>
        <v>8504026443.6018305</v>
      </c>
      <c r="U24" s="1132">
        <f t="shared" ca="1" si="10"/>
        <v>0.72983368430642559</v>
      </c>
      <c r="V24" s="1133">
        <f t="shared" ca="1" si="11"/>
        <v>5.0000000000000044E-2</v>
      </c>
      <c r="X24" s="1134">
        <f t="shared" ca="1" si="18"/>
        <v>453541698.80751795</v>
      </c>
      <c r="Y24" s="1134">
        <f t="shared" ca="1" si="12"/>
        <v>5961359.6705789566</v>
      </c>
      <c r="Z24" s="1134">
        <f t="shared" ca="1" si="13"/>
        <v>447580339.13693899</v>
      </c>
      <c r="AA24" s="1132">
        <f t="shared" ca="1" si="14"/>
        <v>0.78089135469613968</v>
      </c>
      <c r="AB24" s="1105"/>
    </row>
    <row r="25" spans="1:28">
      <c r="A25" s="1198">
        <v>0.08</v>
      </c>
      <c r="C25" s="1104"/>
      <c r="D25" s="1125">
        <f t="shared" ca="1" si="0"/>
        <v>46660</v>
      </c>
      <c r="E25" s="1126">
        <f t="shared" ca="1" si="1"/>
        <v>46687</v>
      </c>
      <c r="F25" s="1127">
        <f t="shared" ca="1" si="2"/>
        <v>457</v>
      </c>
      <c r="G25" s="1128">
        <f ca="1">IF(F25&lt;&gt;"",COUNTIF($F$11:F25,"&gt;0"),"")</f>
        <v>15</v>
      </c>
      <c r="H25" s="1129">
        <v>6.292677908475707E-3</v>
      </c>
      <c r="I25" s="1128"/>
      <c r="J25" s="1130">
        <f t="shared" ca="1" si="3"/>
        <v>8951606782.7387695</v>
      </c>
      <c r="K25" s="1131">
        <f t="shared" ca="1" si="4"/>
        <v>56329578.247101553</v>
      </c>
      <c r="L25" s="1130">
        <f t="shared" ca="1" si="5"/>
        <v>61594302.94868993</v>
      </c>
      <c r="M25" s="1130">
        <f t="shared" ca="1" si="6"/>
        <v>0</v>
      </c>
      <c r="N25" s="1130">
        <f t="shared" ca="1" si="15"/>
        <v>8833682901.5429783</v>
      </c>
      <c r="O25" s="1073"/>
      <c r="P25" s="1130">
        <f t="shared" ca="1" si="7"/>
        <v>117923881.19579124</v>
      </c>
      <c r="Q25" s="1130">
        <f t="shared" ca="1" si="8"/>
        <v>8391998756.4658289</v>
      </c>
      <c r="R25" s="1130">
        <f t="shared" ca="1" si="16"/>
        <v>8504026443.6018305</v>
      </c>
      <c r="S25" s="1130">
        <f t="shared" ca="1" si="17"/>
        <v>112027687.13600159</v>
      </c>
      <c r="T25" s="1130">
        <f t="shared" ca="1" si="9"/>
        <v>8391998756.4658289</v>
      </c>
      <c r="U25" s="1132">
        <f t="shared" ca="1" si="10"/>
        <v>0.72024073815992196</v>
      </c>
      <c r="V25" s="1133">
        <f t="shared" ca="1" si="11"/>
        <v>5.0000000000000044E-2</v>
      </c>
      <c r="X25" s="1134">
        <f t="shared" ca="1" si="18"/>
        <v>447580339.13693899</v>
      </c>
      <c r="Y25" s="1134">
        <f t="shared" ca="1" si="12"/>
        <v>5896194.0597896576</v>
      </c>
      <c r="Z25" s="1134">
        <f t="shared" ca="1" si="13"/>
        <v>441684145.07714933</v>
      </c>
      <c r="AA25" s="1132">
        <f t="shared" ca="1" si="14"/>
        <v>0.7706273056765478</v>
      </c>
      <c r="AB25" s="1105"/>
    </row>
    <row r="26" spans="1:28">
      <c r="A26" s="1103" t="s">
        <v>628</v>
      </c>
      <c r="C26" s="1104"/>
      <c r="D26" s="1125">
        <f t="shared" ca="1" si="0"/>
        <v>46691</v>
      </c>
      <c r="E26" s="1126">
        <f t="shared" ca="1" si="1"/>
        <v>46720</v>
      </c>
      <c r="F26" s="1127">
        <f t="shared" ca="1" si="2"/>
        <v>490</v>
      </c>
      <c r="G26" s="1128">
        <f ca="1">IF(F26&lt;&gt;"",COUNTIF($F$11:F26,"&gt;0"),"")</f>
        <v>16</v>
      </c>
      <c r="H26" s="1129">
        <v>6.3358665088783829E-3</v>
      </c>
      <c r="I26" s="1128"/>
      <c r="J26" s="1130">
        <f t="shared" ca="1" si="3"/>
        <v>8833682901.5429783</v>
      </c>
      <c r="K26" s="1131">
        <f t="shared" ca="1" si="4"/>
        <v>55969035.645937771</v>
      </c>
      <c r="L26" s="1130">
        <f t="shared" ca="1" si="5"/>
        <v>60780249.409200408</v>
      </c>
      <c r="M26" s="1130">
        <f t="shared" ca="1" si="6"/>
        <v>0</v>
      </c>
      <c r="N26" s="1130">
        <f t="shared" ca="1" si="15"/>
        <v>8716933616.4878407</v>
      </c>
      <c r="O26" s="1073"/>
      <c r="P26" s="1130">
        <f t="shared" ca="1" si="7"/>
        <v>116749285.05513763</v>
      </c>
      <c r="Q26" s="1130">
        <f t="shared" ca="1" si="8"/>
        <v>8281086935.6634483</v>
      </c>
      <c r="R26" s="1130">
        <f t="shared" ca="1" si="16"/>
        <v>8391998756.4658289</v>
      </c>
      <c r="S26" s="1130">
        <f t="shared" ca="1" si="17"/>
        <v>110911820.80238056</v>
      </c>
      <c r="T26" s="1130">
        <f t="shared" ca="1" si="9"/>
        <v>8281086935.6634483</v>
      </c>
      <c r="U26" s="1132">
        <f t="shared" ca="1" si="10"/>
        <v>0.71075265570718116</v>
      </c>
      <c r="V26" s="1133">
        <f t="shared" ca="1" si="11"/>
        <v>5.0000000000000044E-2</v>
      </c>
      <c r="X26" s="1134">
        <f t="shared" ca="1" si="18"/>
        <v>441684145.07714933</v>
      </c>
      <c r="Y26" s="1134">
        <f t="shared" ca="1" si="12"/>
        <v>5837464.2527570724</v>
      </c>
      <c r="Z26" s="1134">
        <f t="shared" ca="1" si="13"/>
        <v>435846680.82439226</v>
      </c>
      <c r="AA26" s="1132">
        <f t="shared" ca="1" si="14"/>
        <v>0.76047545640005054</v>
      </c>
      <c r="AB26" s="1105"/>
    </row>
    <row r="27" spans="1:28">
      <c r="A27" s="1198">
        <v>0.1</v>
      </c>
      <c r="C27" s="1104"/>
      <c r="D27" s="1125">
        <f t="shared" ca="1" si="0"/>
        <v>46721</v>
      </c>
      <c r="E27" s="1126">
        <f t="shared" ca="1" si="1"/>
        <v>46748</v>
      </c>
      <c r="F27" s="1127">
        <f t="shared" ca="1" si="2"/>
        <v>518</v>
      </c>
      <c r="G27" s="1128">
        <f ca="1">IF(F27&lt;&gt;"",COUNTIF($F$11:F27,"&gt;0"),"")</f>
        <v>17</v>
      </c>
      <c r="H27" s="1129">
        <v>6.3739095470263527E-3</v>
      </c>
      <c r="I27" s="1128"/>
      <c r="J27" s="1130">
        <f t="shared" ca="1" si="3"/>
        <v>8716933616.4878407</v>
      </c>
      <c r="K27" s="1131">
        <f t="shared" ca="1" si="4"/>
        <v>55560946.398926802</v>
      </c>
      <c r="L27" s="1130">
        <f t="shared" ca="1" si="5"/>
        <v>59974658.453991026</v>
      </c>
      <c r="M27" s="1130">
        <f t="shared" ca="1" si="6"/>
        <v>0</v>
      </c>
      <c r="N27" s="1130">
        <f t="shared" ca="1" si="15"/>
        <v>8601398011.634922</v>
      </c>
      <c r="O27" s="1073"/>
      <c r="P27" s="1130">
        <f t="shared" ca="1" si="7"/>
        <v>115535604.85291862</v>
      </c>
      <c r="Q27" s="1130">
        <f t="shared" ca="1" si="8"/>
        <v>8171328111.0531759</v>
      </c>
      <c r="R27" s="1130">
        <f t="shared" ca="1" si="16"/>
        <v>8281086935.6634483</v>
      </c>
      <c r="S27" s="1130">
        <f t="shared" ca="1" si="17"/>
        <v>109758824.61027241</v>
      </c>
      <c r="T27" s="1130">
        <f t="shared" ca="1" si="9"/>
        <v>8171328111.0531759</v>
      </c>
      <c r="U27" s="1132">
        <f t="shared" ca="1" si="10"/>
        <v>0.70135908053250973</v>
      </c>
      <c r="V27" s="1133">
        <f t="shared" ca="1" si="11"/>
        <v>5.0000000000000044E-2</v>
      </c>
      <c r="X27" s="1134">
        <f t="shared" ca="1" si="18"/>
        <v>435846680.82439226</v>
      </c>
      <c r="Y27" s="1134">
        <f t="shared" ca="1" si="12"/>
        <v>5776780.2426462173</v>
      </c>
      <c r="Z27" s="1134">
        <f t="shared" ca="1" si="13"/>
        <v>430069900.58174604</v>
      </c>
      <c r="AA27" s="1132">
        <f t="shared" ca="1" si="14"/>
        <v>0.75042472593731446</v>
      </c>
      <c r="AB27" s="1105"/>
    </row>
    <row r="28" spans="1:28">
      <c r="C28" s="1104"/>
      <c r="D28" s="1125">
        <f t="shared" ca="1" si="0"/>
        <v>46752</v>
      </c>
      <c r="E28" s="1126">
        <f t="shared" ca="1" si="1"/>
        <v>46779</v>
      </c>
      <c r="F28" s="1127">
        <f t="shared" ca="1" si="2"/>
        <v>549</v>
      </c>
      <c r="G28" s="1128">
        <f ca="1">IF(F28&lt;&gt;"",COUNTIF($F$11:F28,"&gt;0"),"")</f>
        <v>18</v>
      </c>
      <c r="H28" s="1129">
        <v>6.4206566612116898E-3</v>
      </c>
      <c r="I28" s="1128"/>
      <c r="J28" s="1130">
        <f t="shared" ca="1" si="3"/>
        <v>8601398011.634922</v>
      </c>
      <c r="K28" s="1131">
        <f t="shared" ca="1" si="4"/>
        <v>55226623.439136744</v>
      </c>
      <c r="L28" s="1130">
        <f t="shared" ca="1" si="5"/>
        <v>59176960.698892429</v>
      </c>
      <c r="M28" s="1130">
        <f t="shared" ca="1" si="6"/>
        <v>0</v>
      </c>
      <c r="N28" s="1130">
        <f t="shared" ca="1" si="15"/>
        <v>8486994427.4968929</v>
      </c>
      <c r="O28" s="1073"/>
      <c r="P28" s="1130">
        <f t="shared" ca="1" si="7"/>
        <v>114403584.1380291</v>
      </c>
      <c r="Q28" s="1130">
        <f t="shared" ca="1" si="8"/>
        <v>8062644706.1220484</v>
      </c>
      <c r="R28" s="1130">
        <f t="shared" ca="1" si="16"/>
        <v>8171328111.0531759</v>
      </c>
      <c r="S28" s="1130">
        <f t="shared" ca="1" si="17"/>
        <v>108683404.93112755</v>
      </c>
      <c r="T28" s="1130">
        <f t="shared" ca="1" si="9"/>
        <v>8062644706.1220484</v>
      </c>
      <c r="U28" s="1132">
        <f t="shared" ca="1" si="10"/>
        <v>0.69206315731529711</v>
      </c>
      <c r="V28" s="1133">
        <f t="shared" ca="1" si="11"/>
        <v>4.9999999999999933E-2</v>
      </c>
      <c r="X28" s="1134">
        <f t="shared" ca="1" si="18"/>
        <v>430069900.58174604</v>
      </c>
      <c r="Y28" s="1134">
        <f t="shared" ca="1" si="12"/>
        <v>5720179.2069015503</v>
      </c>
      <c r="Z28" s="1134">
        <f t="shared" ca="1" si="13"/>
        <v>424349721.37484449</v>
      </c>
      <c r="AA28" s="1132">
        <f t="shared" ca="1" si="14"/>
        <v>0.7404784789630614</v>
      </c>
      <c r="AB28" s="1105"/>
    </row>
    <row r="29" spans="1:28" ht="15.5">
      <c r="A29" s="1094" t="s">
        <v>629</v>
      </c>
      <c r="C29" s="1104"/>
      <c r="D29" s="1125">
        <f t="shared" ca="1" si="0"/>
        <v>46783</v>
      </c>
      <c r="E29" s="1126">
        <f t="shared" ca="1" si="1"/>
        <v>46811</v>
      </c>
      <c r="F29" s="1127">
        <f t="shared" ca="1" si="2"/>
        <v>581</v>
      </c>
      <c r="G29" s="1128">
        <f ca="1">IF(F29&lt;&gt;"",COUNTIF($F$11:F29,"&gt;0"),"")</f>
        <v>19</v>
      </c>
      <c r="H29" s="1129">
        <v>6.457233226186688E-3</v>
      </c>
      <c r="I29" s="1128"/>
      <c r="J29" s="1130">
        <f t="shared" ca="1" si="3"/>
        <v>8486994427.4968929</v>
      </c>
      <c r="K29" s="1131">
        <f t="shared" ca="1" si="4"/>
        <v>54802502.407694206</v>
      </c>
      <c r="L29" s="1130">
        <f t="shared" ca="1" si="5"/>
        <v>58387723.284574285</v>
      </c>
      <c r="M29" s="1130">
        <f t="shared" ca="1" si="6"/>
        <v>0</v>
      </c>
      <c r="N29" s="1130">
        <f t="shared" ca="1" si="15"/>
        <v>8373804201.8046246</v>
      </c>
      <c r="O29" s="1073"/>
      <c r="P29" s="1130">
        <f t="shared" ca="1" si="7"/>
        <v>113190225.69226837</v>
      </c>
      <c r="Q29" s="1130">
        <f t="shared" ca="1" si="8"/>
        <v>7955113991.7143927</v>
      </c>
      <c r="R29" s="1130">
        <f t="shared" ca="1" si="16"/>
        <v>8062644706.1220484</v>
      </c>
      <c r="S29" s="1130">
        <f t="shared" ca="1" si="17"/>
        <v>107530714.40765572</v>
      </c>
      <c r="T29" s="1130">
        <f t="shared" ca="1" si="9"/>
        <v>7955113991.7143927</v>
      </c>
      <c r="U29" s="1132">
        <f t="shared" ca="1" si="10"/>
        <v>0.68285831578376321</v>
      </c>
      <c r="V29" s="1133">
        <f t="shared" ca="1" si="11"/>
        <v>5.0000000000000044E-2</v>
      </c>
      <c r="X29" s="1134">
        <f t="shared" ca="1" si="18"/>
        <v>424349721.37484449</v>
      </c>
      <c r="Y29" s="1134">
        <f t="shared" ca="1" si="12"/>
        <v>5659511.2846126556</v>
      </c>
      <c r="Z29" s="1134">
        <f t="shared" ca="1" si="13"/>
        <v>418690210.09023184</v>
      </c>
      <c r="AA29" s="1132">
        <f t="shared" ca="1" si="14"/>
        <v>0.73062968556274877</v>
      </c>
      <c r="AB29" s="1105"/>
    </row>
    <row r="30" spans="1:28">
      <c r="A30" s="1103" t="s">
        <v>630</v>
      </c>
      <c r="C30" s="1104"/>
      <c r="D30" s="1125">
        <f t="shared" ca="1" si="0"/>
        <v>46812</v>
      </c>
      <c r="E30" s="1126">
        <f t="shared" ca="1" si="1"/>
        <v>46839</v>
      </c>
      <c r="F30" s="1127">
        <f t="shared" ca="1" si="2"/>
        <v>609</v>
      </c>
      <c r="G30" s="1128">
        <f ca="1">IF(F30&lt;&gt;"",COUNTIF($F$11:F30,"&gt;0"),"")</f>
        <v>20</v>
      </c>
      <c r="H30" s="1129">
        <v>6.4969380648127462E-3</v>
      </c>
      <c r="I30" s="1128"/>
      <c r="J30" s="1130">
        <f t="shared" ca="1" si="3"/>
        <v>8373804201.8046246</v>
      </c>
      <c r="K30" s="1131">
        <f t="shared" ca="1" si="4"/>
        <v>54404087.265993379</v>
      </c>
      <c r="L30" s="1130">
        <f t="shared" ca="1" si="5"/>
        <v>57606709.630983494</v>
      </c>
      <c r="M30" s="1130">
        <f t="shared" ca="1" si="6"/>
        <v>0</v>
      </c>
      <c r="N30" s="1130">
        <f t="shared" ca="1" si="15"/>
        <v>8261793404.9076481</v>
      </c>
      <c r="O30" s="1073"/>
      <c r="P30" s="1130">
        <f t="shared" ca="1" si="7"/>
        <v>112010796.89697647</v>
      </c>
      <c r="Q30" s="1130">
        <f t="shared" ca="1" si="8"/>
        <v>7848703734.6622658</v>
      </c>
      <c r="R30" s="1130">
        <f t="shared" ca="1" si="16"/>
        <v>7955113991.7143927</v>
      </c>
      <c r="S30" s="1130">
        <f t="shared" ca="1" si="17"/>
        <v>106410257.05212688</v>
      </c>
      <c r="T30" s="1130">
        <f t="shared" ca="1" si="9"/>
        <v>7848703734.6622658</v>
      </c>
      <c r="U30" s="1132">
        <f t="shared" ca="1" si="10"/>
        <v>0.67375110032136265</v>
      </c>
      <c r="V30" s="1133">
        <f t="shared" ca="1" si="11"/>
        <v>4.9999999999999933E-2</v>
      </c>
      <c r="X30" s="1134">
        <f t="shared" ca="1" si="18"/>
        <v>418690210.09023184</v>
      </c>
      <c r="Y30" s="1134">
        <f t="shared" ca="1" si="12"/>
        <v>5600539.8448495865</v>
      </c>
      <c r="Z30" s="1134">
        <f t="shared" ca="1" si="13"/>
        <v>413089670.24538225</v>
      </c>
      <c r="AA30" s="1132">
        <f t="shared" ca="1" si="14"/>
        <v>0.72088534795150105</v>
      </c>
      <c r="AB30" s="1105"/>
    </row>
    <row r="31" spans="1:28">
      <c r="A31" s="1199">
        <f>'AMORT. PROFILE 0% CPR'!A31</f>
        <v>46230</v>
      </c>
      <c r="C31" s="1104"/>
      <c r="D31" s="1125">
        <f t="shared" ca="1" si="0"/>
        <v>46843</v>
      </c>
      <c r="E31" s="1126">
        <f t="shared" ca="1" si="1"/>
        <v>46870</v>
      </c>
      <c r="F31" s="1127">
        <f t="shared" ca="1" si="2"/>
        <v>640</v>
      </c>
      <c r="G31" s="1128">
        <f ca="1">IF(F31&lt;&gt;"",COUNTIF($F$11:F31,"&gt;0"),"")</f>
        <v>21</v>
      </c>
      <c r="H31" s="1129">
        <v>6.5436261874657333E-3</v>
      </c>
      <c r="I31" s="1128"/>
      <c r="J31" s="1130">
        <f t="shared" ca="1" si="3"/>
        <v>8261793404.9076481</v>
      </c>
      <c r="K31" s="1131">
        <f t="shared" ca="1" si="4"/>
        <v>54062087.679785371</v>
      </c>
      <c r="L31" s="1130">
        <f t="shared" ca="1" si="5"/>
        <v>56833472.150761716</v>
      </c>
      <c r="M31" s="1130">
        <f t="shared" ca="1" si="6"/>
        <v>0</v>
      </c>
      <c r="N31" s="1130">
        <f t="shared" ca="1" si="15"/>
        <v>8150897845.0771008</v>
      </c>
      <c r="O31" s="1073"/>
      <c r="P31" s="1130">
        <f t="shared" ca="1" si="7"/>
        <v>110895559.83054733</v>
      </c>
      <c r="Q31" s="1130">
        <f t="shared" ca="1" si="8"/>
        <v>7743352952.823245</v>
      </c>
      <c r="R31" s="1130">
        <f t="shared" ca="1" si="16"/>
        <v>7848703734.6622658</v>
      </c>
      <c r="S31" s="1130">
        <f t="shared" ca="1" si="17"/>
        <v>105350781.83902073</v>
      </c>
      <c r="T31" s="1130">
        <f t="shared" ca="1" si="9"/>
        <v>7743352952.823245</v>
      </c>
      <c r="U31" s="1132">
        <f t="shared" ca="1" si="10"/>
        <v>0.66473878096943095</v>
      </c>
      <c r="V31" s="1133">
        <f t="shared" ca="1" si="11"/>
        <v>5.0000000000000044E-2</v>
      </c>
      <c r="X31" s="1134">
        <f t="shared" ca="1" si="18"/>
        <v>413089670.24538225</v>
      </c>
      <c r="Y31" s="1134">
        <f t="shared" ca="1" si="12"/>
        <v>5544777.9915266037</v>
      </c>
      <c r="Z31" s="1134">
        <f t="shared" ca="1" si="13"/>
        <v>407544892.25385565</v>
      </c>
      <c r="AA31" s="1132">
        <f t="shared" ca="1" si="14"/>
        <v>0.7112425451883303</v>
      </c>
      <c r="AB31" s="1105"/>
    </row>
    <row r="32" spans="1:28">
      <c r="A32" s="1103" t="s">
        <v>631</v>
      </c>
      <c r="C32" s="1104"/>
      <c r="D32" s="1125">
        <f t="shared" ca="1" si="0"/>
        <v>46873</v>
      </c>
      <c r="E32" s="1126">
        <f t="shared" ca="1" si="1"/>
        <v>46902</v>
      </c>
      <c r="F32" s="1127">
        <f t="shared" ca="1" si="2"/>
        <v>672</v>
      </c>
      <c r="G32" s="1128">
        <f ca="1">IF(F32&lt;&gt;"",COUNTIF($F$11:F32,"&gt;0"),"")</f>
        <v>22</v>
      </c>
      <c r="H32" s="1129">
        <v>6.5780392457232386E-3</v>
      </c>
      <c r="I32" s="1128"/>
      <c r="J32" s="1130">
        <f t="shared" ca="1" si="3"/>
        <v>8150897845.0771008</v>
      </c>
      <c r="K32" s="1131">
        <f t="shared" ca="1" si="4"/>
        <v>53616925.912798144</v>
      </c>
      <c r="L32" s="1130">
        <f t="shared" ca="1" si="5"/>
        <v>56068671.33312165</v>
      </c>
      <c r="M32" s="1130">
        <f t="shared" ca="1" si="6"/>
        <v>0</v>
      </c>
      <c r="N32" s="1130">
        <f t="shared" ca="1" si="15"/>
        <v>8041212247.8311815</v>
      </c>
      <c r="O32" s="1073"/>
      <c r="P32" s="1130">
        <f t="shared" ca="1" si="7"/>
        <v>109685597.24591923</v>
      </c>
      <c r="Q32" s="1130">
        <f t="shared" ca="1" si="8"/>
        <v>7639151635.4396219</v>
      </c>
      <c r="R32" s="1130">
        <f t="shared" ca="1" si="16"/>
        <v>7743352952.823245</v>
      </c>
      <c r="S32" s="1130">
        <f t="shared" ca="1" si="17"/>
        <v>104201317.38362312</v>
      </c>
      <c r="T32" s="1130">
        <f t="shared" ca="1" si="9"/>
        <v>7639151635.4396219</v>
      </c>
      <c r="U32" s="1132">
        <f t="shared" ca="1" si="10"/>
        <v>0.65581619290121662</v>
      </c>
      <c r="V32" s="1133">
        <f t="shared" ca="1" si="11"/>
        <v>5.0000000000000044E-2</v>
      </c>
      <c r="X32" s="1134">
        <f t="shared" ca="1" si="18"/>
        <v>407544892.25385565</v>
      </c>
      <c r="Y32" s="1134">
        <f t="shared" ca="1" si="12"/>
        <v>5484279.8622961044</v>
      </c>
      <c r="Z32" s="1134">
        <f t="shared" ca="1" si="13"/>
        <v>402060612.39155954</v>
      </c>
      <c r="AA32" s="1132">
        <f t="shared" ca="1" si="14"/>
        <v>0.70169575112578453</v>
      </c>
      <c r="AB32" s="1105"/>
    </row>
    <row r="33" spans="1:28">
      <c r="A33" s="1143">
        <f>A31</f>
        <v>46230</v>
      </c>
      <c r="C33" s="1104"/>
      <c r="D33" s="1125">
        <f t="shared" ca="1" si="0"/>
        <v>46904</v>
      </c>
      <c r="E33" s="1126">
        <f t="shared" ca="1" si="1"/>
        <v>46931</v>
      </c>
      <c r="F33" s="1127">
        <f t="shared" ca="1" si="2"/>
        <v>701</v>
      </c>
      <c r="G33" s="1128">
        <f ca="1">IF(F33&lt;&gt;"",COUNTIF($F$11:F33,"&gt;0"),"")</f>
        <v>23</v>
      </c>
      <c r="H33" s="1129">
        <v>6.6273728883381152E-3</v>
      </c>
      <c r="I33" s="1128"/>
      <c r="J33" s="1130">
        <f t="shared" ca="1" si="3"/>
        <v>8041212247.8311815</v>
      </c>
      <c r="K33" s="1131">
        <f t="shared" ca="1" si="4"/>
        <v>53292112.040648766</v>
      </c>
      <c r="L33" s="1130">
        <f t="shared" ca="1" si="5"/>
        <v>55311415.424511105</v>
      </c>
      <c r="M33" s="1130">
        <f t="shared" ca="1" si="6"/>
        <v>0</v>
      </c>
      <c r="N33" s="1130">
        <f t="shared" ca="1" si="15"/>
        <v>7932608720.3660221</v>
      </c>
      <c r="O33" s="1073"/>
      <c r="P33" s="1130">
        <f t="shared" ca="1" si="7"/>
        <v>108603527.46515942</v>
      </c>
      <c r="Q33" s="1130">
        <f t="shared" ca="1" si="8"/>
        <v>7535978284.3477211</v>
      </c>
      <c r="R33" s="1130">
        <f t="shared" ca="1" si="16"/>
        <v>7639151635.4396219</v>
      </c>
      <c r="S33" s="1130">
        <f t="shared" ca="1" si="17"/>
        <v>103173351.09190083</v>
      </c>
      <c r="T33" s="1130">
        <f t="shared" ca="1" si="9"/>
        <v>7535978284.3477211</v>
      </c>
      <c r="U33" s="1132">
        <f t="shared" ca="1" si="10"/>
        <v>0.6469909576732521</v>
      </c>
      <c r="V33" s="1133">
        <f t="shared" ca="1" si="11"/>
        <v>4.9999999999999933E-2</v>
      </c>
      <c r="X33" s="1134">
        <f t="shared" ca="1" si="18"/>
        <v>402060612.39155954</v>
      </c>
      <c r="Y33" s="1134">
        <f t="shared" ca="1" si="12"/>
        <v>5430176.3732585907</v>
      </c>
      <c r="Z33" s="1134">
        <f t="shared" ca="1" si="13"/>
        <v>396630436.01830095</v>
      </c>
      <c r="AA33" s="1132">
        <f t="shared" ca="1" si="14"/>
        <v>0.69225312050888355</v>
      </c>
      <c r="AB33" s="1105"/>
    </row>
    <row r="34" spans="1:28">
      <c r="A34" s="1144">
        <f>'AMORT. PROFILE 0% CPR'!A34</f>
        <v>45715</v>
      </c>
      <c r="C34" s="1104"/>
      <c r="D34" s="1125">
        <f t="shared" ca="1" si="0"/>
        <v>46934</v>
      </c>
      <c r="E34" s="1126">
        <f t="shared" ca="1" si="1"/>
        <v>46961</v>
      </c>
      <c r="F34" s="1127">
        <f t="shared" ca="1" si="2"/>
        <v>731</v>
      </c>
      <c r="G34" s="1128">
        <f ca="1">IF(F34&lt;&gt;"",COUNTIF($F$11:F34,"&gt;0"),"")</f>
        <v>24</v>
      </c>
      <c r="H34" s="1129">
        <v>6.6642395070978582E-3</v>
      </c>
      <c r="I34" s="1128"/>
      <c r="J34" s="1130">
        <f t="shared" ca="1" si="3"/>
        <v>7932608720.3660221</v>
      </c>
      <c r="K34" s="1131">
        <f t="shared" ca="1" si="4"/>
        <v>52864804.428612232</v>
      </c>
      <c r="L34" s="1130">
        <f t="shared" ca="1" si="5"/>
        <v>54562361.886965044</v>
      </c>
      <c r="M34" s="1130">
        <f t="shared" ca="1" si="6"/>
        <v>0</v>
      </c>
      <c r="N34" s="1130">
        <f t="shared" ca="1" si="15"/>
        <v>7825181554.0504456</v>
      </c>
      <c r="O34" s="1073"/>
      <c r="P34" s="1130">
        <f t="shared" ca="1" si="7"/>
        <v>107427166.31557655</v>
      </c>
      <c r="Q34" s="1130">
        <f t="shared" ca="1" si="8"/>
        <v>7433922476.3479233</v>
      </c>
      <c r="R34" s="1130">
        <f t="shared" ca="1" si="16"/>
        <v>7535978284.3477211</v>
      </c>
      <c r="S34" s="1130">
        <f t="shared" ca="1" si="17"/>
        <v>102055807.99979782</v>
      </c>
      <c r="T34" s="1130">
        <f t="shared" ca="1" si="9"/>
        <v>7433922476.3479233</v>
      </c>
      <c r="U34" s="1132">
        <f t="shared" ca="1" si="10"/>
        <v>0.63825278510973993</v>
      </c>
      <c r="V34" s="1133">
        <f t="shared" ca="1" si="11"/>
        <v>5.0000000000000044E-2</v>
      </c>
      <c r="X34" s="1134">
        <f t="shared" ca="1" si="18"/>
        <v>396630436.01830095</v>
      </c>
      <c r="Y34" s="1134">
        <f t="shared" ca="1" si="12"/>
        <v>5371358.3157787323</v>
      </c>
      <c r="Z34" s="1134">
        <f t="shared" ca="1" si="13"/>
        <v>391259077.70252222</v>
      </c>
      <c r="AA34" s="1132">
        <f t="shared" ca="1" si="14"/>
        <v>0.68290364328219866</v>
      </c>
      <c r="AB34" s="1105"/>
    </row>
    <row r="35" spans="1:28">
      <c r="A35" s="1144">
        <f>'AMORT. PROFILE 0% CPR'!A35</f>
        <v>45743</v>
      </c>
      <c r="C35" s="1104"/>
      <c r="D35" s="1125">
        <f t="shared" ca="1" si="0"/>
        <v>46965</v>
      </c>
      <c r="E35" s="1126">
        <f t="shared" ca="1" si="1"/>
        <v>46993</v>
      </c>
      <c r="F35" s="1127">
        <f t="shared" ca="1" si="2"/>
        <v>763</v>
      </c>
      <c r="G35" s="1128">
        <f ca="1">IF(F35&lt;&gt;"",COUNTIF($F$11:F35,"&gt;0"),"")</f>
        <v>25</v>
      </c>
      <c r="H35" s="1129">
        <v>6.7086781094206106E-3</v>
      </c>
      <c r="I35" s="1128"/>
      <c r="J35" s="1130">
        <f t="shared" ca="1" si="3"/>
        <v>7825181554.0504456</v>
      </c>
      <c r="K35" s="1131">
        <f t="shared" ca="1" si="4"/>
        <v>52496624.193900175</v>
      </c>
      <c r="L35" s="1130">
        <f t="shared" ca="1" si="5"/>
        <v>53821044.503543355</v>
      </c>
      <c r="M35" s="1130">
        <f t="shared" ca="1" si="6"/>
        <v>0</v>
      </c>
      <c r="N35" s="1130">
        <f t="shared" ca="1" si="15"/>
        <v>7718863885.3530025</v>
      </c>
      <c r="O35" s="1073"/>
      <c r="P35" s="1130">
        <f t="shared" ca="1" si="7"/>
        <v>106317668.69744301</v>
      </c>
      <c r="Q35" s="1130">
        <f t="shared" ca="1" si="8"/>
        <v>7332920691.0853519</v>
      </c>
      <c r="R35" s="1130">
        <f t="shared" ca="1" si="16"/>
        <v>7433922476.3479233</v>
      </c>
      <c r="S35" s="1130">
        <f t="shared" ca="1" si="17"/>
        <v>101001785.26257133</v>
      </c>
      <c r="T35" s="1130">
        <f t="shared" ca="1" si="9"/>
        <v>7332920691.0853519</v>
      </c>
      <c r="U35" s="1132">
        <f t="shared" ca="1" si="10"/>
        <v>0.62960926183582244</v>
      </c>
      <c r="V35" s="1133">
        <f t="shared" ca="1" si="11"/>
        <v>5.0000000000000044E-2</v>
      </c>
      <c r="X35" s="1134">
        <f t="shared" ca="1" si="18"/>
        <v>391259077.70252222</v>
      </c>
      <c r="Y35" s="1134">
        <f t="shared" ca="1" si="12"/>
        <v>5315883.4348716736</v>
      </c>
      <c r="Z35" s="1134">
        <f t="shared" ca="1" si="13"/>
        <v>385943194.26765054</v>
      </c>
      <c r="AA35" s="1132">
        <f t="shared" ca="1" si="14"/>
        <v>0.67365543681563744</v>
      </c>
      <c r="AB35" s="1105"/>
    </row>
    <row r="36" spans="1:28">
      <c r="A36" s="1144">
        <f>'AMORT. PROFILE 0% CPR'!A36</f>
        <v>45775</v>
      </c>
      <c r="C36" s="1104"/>
      <c r="D36" s="1125">
        <f t="shared" ca="1" si="0"/>
        <v>46996</v>
      </c>
      <c r="E36" s="1126">
        <f t="shared" ca="1" si="1"/>
        <v>47023</v>
      </c>
      <c r="F36" s="1127">
        <f t="shared" ca="1" si="2"/>
        <v>793</v>
      </c>
      <c r="G36" s="1128">
        <f ca="1">IF(F36&lt;&gt;"",COUNTIF($F$11:F36,"&gt;0"),"")</f>
        <v>26</v>
      </c>
      <c r="H36" s="1129">
        <v>6.757731939292801E-3</v>
      </c>
      <c r="I36" s="1128"/>
      <c r="J36" s="1130">
        <f t="shared" ca="1" si="3"/>
        <v>7718863885.3530025</v>
      </c>
      <c r="K36" s="1131">
        <f t="shared" ca="1" si="4"/>
        <v>52162013.013103709</v>
      </c>
      <c r="L36" s="1130">
        <f t="shared" ca="1" si="5"/>
        <v>53087177.261181027</v>
      </c>
      <c r="M36" s="1130">
        <f t="shared" ca="1" si="6"/>
        <v>0</v>
      </c>
      <c r="N36" s="1130">
        <f t="shared" ca="1" si="15"/>
        <v>7613614695.0787182</v>
      </c>
      <c r="O36" s="1073"/>
      <c r="P36" s="1130">
        <f t="shared" ca="1" si="7"/>
        <v>105249190.27428436</v>
      </c>
      <c r="Q36" s="1130">
        <f t="shared" ca="1" si="8"/>
        <v>7232933960.3247824</v>
      </c>
      <c r="R36" s="1130">
        <f t="shared" ca="1" si="16"/>
        <v>7332920691.0853519</v>
      </c>
      <c r="S36" s="1130">
        <f t="shared" ca="1" si="17"/>
        <v>99986730.760569572</v>
      </c>
      <c r="T36" s="1130">
        <f t="shared" ca="1" si="9"/>
        <v>7232933960.3247824</v>
      </c>
      <c r="U36" s="1132">
        <f t="shared" ca="1" si="10"/>
        <v>0.62105500805316682</v>
      </c>
      <c r="V36" s="1133">
        <f t="shared" ca="1" si="11"/>
        <v>4.9999999999999933E-2</v>
      </c>
      <c r="X36" s="1134">
        <f t="shared" ca="1" si="18"/>
        <v>385943194.26765054</v>
      </c>
      <c r="Y36" s="1134">
        <f t="shared" ca="1" si="12"/>
        <v>5262459.5137147903</v>
      </c>
      <c r="Z36" s="1134">
        <f t="shared" ca="1" si="13"/>
        <v>380680734.75393575</v>
      </c>
      <c r="AA36" s="1132">
        <f t="shared" ca="1" si="14"/>
        <v>0.66450274495118899</v>
      </c>
      <c r="AB36" s="1105"/>
    </row>
    <row r="37" spans="1:28">
      <c r="A37" s="1144">
        <f>'AMORT. PROFILE 0% CPR'!A37</f>
        <v>45804</v>
      </c>
      <c r="C37" s="1104"/>
      <c r="D37" s="1125">
        <f t="shared" ca="1" si="0"/>
        <v>47026</v>
      </c>
      <c r="E37" s="1126">
        <f t="shared" ca="1" si="1"/>
        <v>47053</v>
      </c>
      <c r="F37" s="1127">
        <f t="shared" ca="1" si="2"/>
        <v>823</v>
      </c>
      <c r="G37" s="1128">
        <f ca="1">IF(F37&lt;&gt;"",COUNTIF($F$11:F37,"&gt;0"),"")</f>
        <v>27</v>
      </c>
      <c r="H37" s="1129">
        <v>6.7922906992823944E-3</v>
      </c>
      <c r="I37" s="1128"/>
      <c r="J37" s="1130">
        <f t="shared" ca="1" si="3"/>
        <v>7613614695.0787182</v>
      </c>
      <c r="K37" s="1131">
        <f t="shared" ca="1" si="4"/>
        <v>51713884.281302944</v>
      </c>
      <c r="L37" s="1130">
        <f t="shared" ca="1" si="5"/>
        <v>52361494.611208916</v>
      </c>
      <c r="M37" s="1130">
        <f t="shared" ca="1" si="6"/>
        <v>0</v>
      </c>
      <c r="N37" s="1130">
        <f t="shared" ca="1" si="15"/>
        <v>7509539316.1862059</v>
      </c>
      <c r="O37" s="1073"/>
      <c r="P37" s="1130">
        <f t="shared" ca="1" si="7"/>
        <v>104075378.89251232</v>
      </c>
      <c r="Q37" s="1130">
        <f t="shared" ca="1" si="8"/>
        <v>7134062350.376895</v>
      </c>
      <c r="R37" s="1130">
        <f t="shared" ca="1" si="16"/>
        <v>7232933960.3247824</v>
      </c>
      <c r="S37" s="1130">
        <f t="shared" ca="1" si="17"/>
        <v>98871609.947887421</v>
      </c>
      <c r="T37" s="1130">
        <f t="shared" ca="1" si="9"/>
        <v>7134062350.376895</v>
      </c>
      <c r="U37" s="1132">
        <f t="shared" ca="1" si="10"/>
        <v>0.612586723382748</v>
      </c>
      <c r="V37" s="1133">
        <f t="shared" ca="1" si="11"/>
        <v>5.0000000000000044E-2</v>
      </c>
      <c r="X37" s="1134">
        <f t="shared" ca="1" si="18"/>
        <v>380680734.75393575</v>
      </c>
      <c r="Y37" s="1134">
        <f t="shared" ca="1" si="12"/>
        <v>5203768.9446249008</v>
      </c>
      <c r="Z37" s="1134">
        <f t="shared" ca="1" si="13"/>
        <v>375476965.80931085</v>
      </c>
      <c r="AA37" s="1132">
        <f t="shared" ca="1" si="14"/>
        <v>0.65544203642206567</v>
      </c>
      <c r="AB37" s="1105"/>
    </row>
    <row r="38" spans="1:28">
      <c r="A38" s="1144">
        <f>'AMORT. PROFILE 0% CPR'!A38</f>
        <v>45835</v>
      </c>
      <c r="C38" s="1104"/>
      <c r="D38" s="1125">
        <f t="shared" ca="1" si="0"/>
        <v>47057</v>
      </c>
      <c r="E38" s="1126">
        <f t="shared" ca="1" si="1"/>
        <v>47084</v>
      </c>
      <c r="F38" s="1127">
        <f t="shared" ca="1" si="2"/>
        <v>854</v>
      </c>
      <c r="G38" s="1128">
        <f ca="1">IF(F38&lt;&gt;"",COUNTIF($F$11:F38,"&gt;0"),"")</f>
        <v>28</v>
      </c>
      <c r="H38" s="1129">
        <v>6.8390234381432852E-3</v>
      </c>
      <c r="I38" s="1128"/>
      <c r="J38" s="1130">
        <f t="shared" ca="1" si="3"/>
        <v>7509539316.1862059</v>
      </c>
      <c r="K38" s="1131">
        <f t="shared" ca="1" si="4"/>
        <v>51357915.393055961</v>
      </c>
      <c r="L38" s="1130">
        <f t="shared" ca="1" si="5"/>
        <v>51643301.730357915</v>
      </c>
      <c r="M38" s="1130">
        <f t="shared" ca="1" si="6"/>
        <v>0</v>
      </c>
      <c r="N38" s="1130">
        <f t="shared" ca="1" si="15"/>
        <v>7406538099.0627918</v>
      </c>
      <c r="O38" s="1073"/>
      <c r="P38" s="1130">
        <f t="shared" ca="1" si="7"/>
        <v>103001217.12341404</v>
      </c>
      <c r="Q38" s="1130">
        <f t="shared" ca="1" si="8"/>
        <v>7036211194.1096516</v>
      </c>
      <c r="R38" s="1130">
        <f t="shared" ca="1" si="16"/>
        <v>7134062350.376895</v>
      </c>
      <c r="S38" s="1130">
        <f t="shared" ca="1" si="17"/>
        <v>97851156.267243385</v>
      </c>
      <c r="T38" s="1130">
        <f t="shared" ca="1" si="9"/>
        <v>7036211194.1096516</v>
      </c>
      <c r="U38" s="1132">
        <f t="shared" ca="1" si="10"/>
        <v>0.60421288284918484</v>
      </c>
      <c r="V38" s="1133">
        <f t="shared" ca="1" si="11"/>
        <v>5.0000000000000044E-2</v>
      </c>
      <c r="X38" s="1134">
        <f t="shared" ca="1" si="18"/>
        <v>375476965.80931085</v>
      </c>
      <c r="Y38" s="1134">
        <f t="shared" ca="1" si="12"/>
        <v>5150060.8561706543</v>
      </c>
      <c r="Z38" s="1134">
        <f t="shared" ca="1" si="13"/>
        <v>370326904.9531402</v>
      </c>
      <c r="AA38" s="1132">
        <f t="shared" ca="1" si="14"/>
        <v>0.64648237914826245</v>
      </c>
      <c r="AB38" s="1105"/>
    </row>
    <row r="39" spans="1:28">
      <c r="A39" s="1144">
        <f>'AMORT. PROFILE 0% CPR'!A39</f>
        <v>45866</v>
      </c>
      <c r="C39" s="1104"/>
      <c r="D39" s="1125">
        <f t="shared" ca="1" si="0"/>
        <v>47087</v>
      </c>
      <c r="E39" s="1126">
        <f t="shared" ca="1" si="1"/>
        <v>47114</v>
      </c>
      <c r="F39" s="1127">
        <f t="shared" ca="1" si="2"/>
        <v>884</v>
      </c>
      <c r="G39" s="1128">
        <f ca="1">IF(F39&lt;&gt;"",COUNTIF($F$11:F39,"&gt;0"),"")</f>
        <v>29</v>
      </c>
      <c r="H39" s="1129">
        <v>6.8759064053799078E-3</v>
      </c>
      <c r="I39" s="1128"/>
      <c r="J39" s="1130">
        <f t="shared" ca="1" si="3"/>
        <v>7406538099.0627918</v>
      </c>
      <c r="K39" s="1131">
        <f t="shared" ca="1" si="4"/>
        <v>50926662.757036179</v>
      </c>
      <c r="L39" s="1130">
        <f t="shared" ca="1" si="5"/>
        <v>50933068.050076112</v>
      </c>
      <c r="M39" s="1130">
        <f t="shared" ca="1" si="6"/>
        <v>0</v>
      </c>
      <c r="N39" s="1130">
        <f t="shared" ca="1" si="15"/>
        <v>7304678368.2556791</v>
      </c>
      <c r="O39" s="1073"/>
      <c r="P39" s="1130">
        <f t="shared" ca="1" si="7"/>
        <v>101859730.80711269</v>
      </c>
      <c r="Q39" s="1130">
        <f t="shared" ca="1" si="8"/>
        <v>6939444449.8428946</v>
      </c>
      <c r="R39" s="1130">
        <f t="shared" ca="1" si="16"/>
        <v>7036211194.1096516</v>
      </c>
      <c r="S39" s="1130">
        <f t="shared" ca="1" si="17"/>
        <v>96766744.266757011</v>
      </c>
      <c r="T39" s="1130">
        <f t="shared" ca="1" si="9"/>
        <v>6939444449.8428946</v>
      </c>
      <c r="U39" s="1132">
        <f t="shared" ca="1" si="10"/>
        <v>0.59592546870635299</v>
      </c>
      <c r="V39" s="1133">
        <f t="shared" ca="1" si="11"/>
        <v>5.0000000000000044E-2</v>
      </c>
      <c r="X39" s="1134">
        <f t="shared" ca="1" si="18"/>
        <v>370326904.9531402</v>
      </c>
      <c r="Y39" s="1134">
        <f t="shared" ca="1" si="12"/>
        <v>5092986.5403556824</v>
      </c>
      <c r="Z39" s="1134">
        <f t="shared" ca="1" si="13"/>
        <v>365233918.41278452</v>
      </c>
      <c r="AA39" s="1132">
        <f t="shared" ca="1" si="14"/>
        <v>0.6376151944785472</v>
      </c>
      <c r="AB39" s="1105"/>
    </row>
    <row r="40" spans="1:28">
      <c r="A40" s="1144">
        <f>'AMORT. PROFILE 0% CPR'!A40</f>
        <v>45896</v>
      </c>
      <c r="C40" s="1104"/>
      <c r="D40" s="1125">
        <f t="shared" ca="1" si="0"/>
        <v>47118</v>
      </c>
      <c r="E40" s="1126">
        <f t="shared" ca="1" si="1"/>
        <v>47147</v>
      </c>
      <c r="F40" s="1127">
        <f t="shared" ca="1" si="2"/>
        <v>917</v>
      </c>
      <c r="G40" s="1128">
        <f ca="1">IF(F40&lt;&gt;"",COUNTIF($F$11:F40,"&gt;0"),"")</f>
        <v>30</v>
      </c>
      <c r="H40" s="1129">
        <v>6.9259289520733781E-3</v>
      </c>
      <c r="I40" s="1128"/>
      <c r="J40" s="1130">
        <f t="shared" ca="1" si="3"/>
        <v>7304678368.2556791</v>
      </c>
      <c r="K40" s="1131">
        <f t="shared" ca="1" si="4"/>
        <v>50591683.39628613</v>
      </c>
      <c r="L40" s="1130">
        <f t="shared" ca="1" si="5"/>
        <v>50230071.824818507</v>
      </c>
      <c r="M40" s="1130">
        <f t="shared" ca="1" si="6"/>
        <v>0</v>
      </c>
      <c r="N40" s="1130">
        <f t="shared" ca="1" si="15"/>
        <v>7203856613.0345745</v>
      </c>
      <c r="O40" s="1073"/>
      <c r="P40" s="1130">
        <f t="shared" ca="1" si="7"/>
        <v>100821755.22110462</v>
      </c>
      <c r="Q40" s="1130">
        <f t="shared" ca="1" si="8"/>
        <v>6843663782.3828459</v>
      </c>
      <c r="R40" s="1130">
        <f t="shared" ca="1" si="16"/>
        <v>6939444449.8428946</v>
      </c>
      <c r="S40" s="1130">
        <f t="shared" ca="1" si="17"/>
        <v>95780667.460048676</v>
      </c>
      <c r="T40" s="1130">
        <f t="shared" ca="1" si="9"/>
        <v>6843663782.3828459</v>
      </c>
      <c r="U40" s="1132">
        <f t="shared" ca="1" si="10"/>
        <v>0.58772989784562768</v>
      </c>
      <c r="V40" s="1133">
        <f t="shared" ca="1" si="11"/>
        <v>4.9999999999999933E-2</v>
      </c>
      <c r="X40" s="1134">
        <f t="shared" ca="1" si="18"/>
        <v>365233918.41278452</v>
      </c>
      <c r="Y40" s="1134">
        <f t="shared" ca="1" si="12"/>
        <v>5041087.7610559464</v>
      </c>
      <c r="Z40" s="1134">
        <f t="shared" ca="1" si="13"/>
        <v>360192830.65172857</v>
      </c>
      <c r="AA40" s="1132">
        <f t="shared" ca="1" si="14"/>
        <v>0.62884627825892647</v>
      </c>
      <c r="AB40" s="1105"/>
    </row>
    <row r="41" spans="1:28">
      <c r="A41" s="1144">
        <f>'AMORT. PROFILE 0% CPR'!A41</f>
        <v>45929</v>
      </c>
      <c r="C41" s="1104"/>
      <c r="D41" s="1125">
        <f t="shared" ca="1" si="0"/>
        <v>47149</v>
      </c>
      <c r="E41" s="1126">
        <f t="shared" ca="1" si="1"/>
        <v>47176</v>
      </c>
      <c r="F41" s="1127">
        <f t="shared" ca="1" si="2"/>
        <v>946</v>
      </c>
      <c r="G41" s="1128">
        <f ca="1">IF(F41&lt;&gt;"",COUNTIF($F$11:F41,"&gt;0"),"")</f>
        <v>31</v>
      </c>
      <c r="H41" s="1129">
        <v>6.968380032368336E-3</v>
      </c>
      <c r="I41" s="1128"/>
      <c r="J41" s="1130">
        <f t="shared" ca="1" si="3"/>
        <v>7203856613.0345745</v>
      </c>
      <c r="K41" s="1131">
        <f t="shared" ca="1" si="4"/>
        <v>50199210.578314722</v>
      </c>
      <c r="L41" s="1130">
        <f t="shared" ca="1" si="5"/>
        <v>49534661.046373673</v>
      </c>
      <c r="M41" s="1130">
        <f t="shared" ca="1" si="6"/>
        <v>0</v>
      </c>
      <c r="N41" s="1130">
        <f t="shared" ca="1" si="15"/>
        <v>7104122741.4098864</v>
      </c>
      <c r="O41" s="1073"/>
      <c r="P41" s="1130">
        <f t="shared" ca="1" si="7"/>
        <v>99733871.624688148</v>
      </c>
      <c r="Q41" s="1130">
        <f t="shared" ca="1" si="8"/>
        <v>6748916604.3393917</v>
      </c>
      <c r="R41" s="1130">
        <f t="shared" ca="1" si="16"/>
        <v>6843663782.3828459</v>
      </c>
      <c r="S41" s="1130">
        <f t="shared" ca="1" si="17"/>
        <v>94747178.04345417</v>
      </c>
      <c r="T41" s="1130">
        <f t="shared" ca="1" si="9"/>
        <v>6748916604.3393917</v>
      </c>
      <c r="U41" s="1132">
        <f t="shared" ca="1" si="10"/>
        <v>0.57961784185775167</v>
      </c>
      <c r="V41" s="1133">
        <f t="shared" ca="1" si="11"/>
        <v>5.0000000000000044E-2</v>
      </c>
      <c r="X41" s="1134">
        <f t="shared" ca="1" si="18"/>
        <v>360192830.65172857</v>
      </c>
      <c r="Y41" s="1134">
        <f t="shared" ca="1" si="12"/>
        <v>4986693.5812339783</v>
      </c>
      <c r="Z41" s="1134">
        <f t="shared" ca="1" si="13"/>
        <v>355206137.07049459</v>
      </c>
      <c r="AA41" s="1132">
        <f t="shared" ca="1" si="14"/>
        <v>0.62016671944168145</v>
      </c>
      <c r="AB41" s="1105"/>
    </row>
    <row r="42" spans="1:28">
      <c r="A42" s="1144">
        <f>'AMORT. PROFILE 0% CPR'!A42</f>
        <v>45957</v>
      </c>
      <c r="C42" s="1104"/>
      <c r="D42" s="1125">
        <f t="shared" ca="1" si="0"/>
        <v>47177</v>
      </c>
      <c r="E42" s="1126">
        <f t="shared" ca="1" si="1"/>
        <v>47204</v>
      </c>
      <c r="F42" s="1127">
        <f t="shared" ca="1" si="2"/>
        <v>974</v>
      </c>
      <c r="G42" s="1128">
        <f ca="1">IF(F42&lt;&gt;"",COUNTIF($F$11:F42,"&gt;0"),"")</f>
        <v>32</v>
      </c>
      <c r="H42" s="1129">
        <v>7.012340494481766E-3</v>
      </c>
      <c r="I42" s="1128"/>
      <c r="J42" s="1130">
        <f t="shared" ca="1" si="3"/>
        <v>7104122741.4098864</v>
      </c>
      <c r="K42" s="1131">
        <f t="shared" ca="1" si="4"/>
        <v>49816527.577357359</v>
      </c>
      <c r="L42" s="1130">
        <f t="shared" ca="1" si="5"/>
        <v>48846715.401766613</v>
      </c>
      <c r="M42" s="1130">
        <f t="shared" ca="1" si="6"/>
        <v>0</v>
      </c>
      <c r="N42" s="1130">
        <f t="shared" ca="1" si="15"/>
        <v>7005459498.4307623</v>
      </c>
      <c r="O42" s="1073"/>
      <c r="P42" s="1130">
        <f t="shared" ca="1" si="7"/>
        <v>98663242.979124069</v>
      </c>
      <c r="Q42" s="1130">
        <f t="shared" ca="1" si="8"/>
        <v>6655186523.5092239</v>
      </c>
      <c r="R42" s="1130">
        <f t="shared" ca="1" si="16"/>
        <v>6748916604.3393917</v>
      </c>
      <c r="S42" s="1130">
        <f t="shared" ca="1" si="17"/>
        <v>93730080.83016777</v>
      </c>
      <c r="T42" s="1130">
        <f t="shared" ca="1" si="9"/>
        <v>6655186523.5092239</v>
      </c>
      <c r="U42" s="1132">
        <f t="shared" ca="1" si="10"/>
        <v>0.57159331631033539</v>
      </c>
      <c r="V42" s="1133">
        <f t="shared" ca="1" si="11"/>
        <v>5.0000000000000044E-2</v>
      </c>
      <c r="X42" s="1134">
        <f t="shared" ca="1" si="18"/>
        <v>355206137.07049459</v>
      </c>
      <c r="Y42" s="1134">
        <f t="shared" ca="1" si="12"/>
        <v>4933162.1489562988</v>
      </c>
      <c r="Z42" s="1134">
        <f t="shared" ca="1" si="13"/>
        <v>350272974.92153829</v>
      </c>
      <c r="AA42" s="1132">
        <f t="shared" ca="1" si="14"/>
        <v>0.61158081451531443</v>
      </c>
      <c r="AB42" s="1105"/>
    </row>
    <row r="43" spans="1:28">
      <c r="A43" s="1144">
        <f>'AMORT. PROFILE 0% CPR'!A43</f>
        <v>45988</v>
      </c>
      <c r="C43" s="1104"/>
      <c r="D43" s="1125">
        <f t="shared" ca="1" si="0"/>
        <v>47208</v>
      </c>
      <c r="E43" s="1126">
        <f t="shared" ca="1" si="1"/>
        <v>47235</v>
      </c>
      <c r="F43" s="1127">
        <f t="shared" ca="1" si="2"/>
        <v>1005</v>
      </c>
      <c r="G43" s="1128">
        <f ca="1">IF(F43&lt;&gt;"",COUNTIF($F$11:F43,"&gt;0"),"")</f>
        <v>33</v>
      </c>
      <c r="H43" s="1129">
        <v>7.0620336687723436E-3</v>
      </c>
      <c r="I43" s="1128"/>
      <c r="J43" s="1130">
        <f t="shared" ca="1" si="3"/>
        <v>7005459498.4307623</v>
      </c>
      <c r="K43" s="1131">
        <f t="shared" ca="1" si="4"/>
        <v>49472790.84313906</v>
      </c>
      <c r="L43" s="1130">
        <f t="shared" ca="1" si="5"/>
        <v>48165913.520701416</v>
      </c>
      <c r="M43" s="1130">
        <f t="shared" ca="1" si="6"/>
        <v>0</v>
      </c>
      <c r="N43" s="1130">
        <f t="shared" ca="1" si="15"/>
        <v>6907820794.0669222</v>
      </c>
      <c r="O43" s="1073"/>
      <c r="P43" s="1130">
        <f t="shared" ca="1" si="7"/>
        <v>97638704.363840103</v>
      </c>
      <c r="Q43" s="1130">
        <f t="shared" ca="1" si="8"/>
        <v>6562429754.3635759</v>
      </c>
      <c r="R43" s="1130">
        <f t="shared" ca="1" si="16"/>
        <v>6655186523.5092239</v>
      </c>
      <c r="S43" s="1130">
        <f t="shared" ca="1" si="17"/>
        <v>92756769.145648003</v>
      </c>
      <c r="T43" s="1130">
        <f t="shared" ca="1" si="9"/>
        <v>6562429754.3635759</v>
      </c>
      <c r="U43" s="1132">
        <f t="shared" ca="1" si="10"/>
        <v>0.56365493288071888</v>
      </c>
      <c r="V43" s="1133">
        <f t="shared" ca="1" si="11"/>
        <v>5.0000000000000044E-2</v>
      </c>
      <c r="X43" s="1134">
        <f t="shared" ca="1" si="18"/>
        <v>350272974.92153829</v>
      </c>
      <c r="Y43" s="1134">
        <f t="shared" ca="1" si="12"/>
        <v>4881935.2181921005</v>
      </c>
      <c r="Z43" s="1134">
        <f t="shared" ca="1" si="13"/>
        <v>345391039.70334619</v>
      </c>
      <c r="AA43" s="1132">
        <f t="shared" ca="1" si="14"/>
        <v>0.60308707803295158</v>
      </c>
      <c r="AB43" s="1105"/>
    </row>
    <row r="44" spans="1:28">
      <c r="A44" s="1144">
        <f>'AMORT. PROFILE 0% CPR'!A44</f>
        <v>46020</v>
      </c>
      <c r="C44" s="1104"/>
      <c r="D44" s="1125">
        <f t="shared" ca="1" si="0"/>
        <v>47238</v>
      </c>
      <c r="E44" s="1126">
        <f t="shared" ca="1" si="1"/>
        <v>47266</v>
      </c>
      <c r="F44" s="1127">
        <f t="shared" ca="1" si="2"/>
        <v>1036</v>
      </c>
      <c r="G44" s="1128">
        <f ca="1">IF(F44&lt;&gt;"",COUNTIF($F$11:F44,"&gt;0"),"")</f>
        <v>34</v>
      </c>
      <c r="H44" s="1129">
        <v>7.1038307982606843E-3</v>
      </c>
      <c r="I44" s="1128"/>
      <c r="J44" s="1130">
        <f t="shared" ca="1" si="3"/>
        <v>6907820794.0669222</v>
      </c>
      <c r="K44" s="1131">
        <f t="shared" ca="1" si="4"/>
        <v>49071990.105758175</v>
      </c>
      <c r="L44" s="1130">
        <f t="shared" ca="1" si="5"/>
        <v>47492601.070018105</v>
      </c>
      <c r="M44" s="1130">
        <f t="shared" ca="1" si="6"/>
        <v>0</v>
      </c>
      <c r="N44" s="1130">
        <f t="shared" ca="1" si="15"/>
        <v>6811256202.8911467</v>
      </c>
      <c r="O44" s="1073"/>
      <c r="P44" s="1130">
        <f t="shared" ca="1" si="7"/>
        <v>96564591.175775528</v>
      </c>
      <c r="Q44" s="1130">
        <f t="shared" ca="1" si="8"/>
        <v>6470693392.7465887</v>
      </c>
      <c r="R44" s="1130">
        <f t="shared" ca="1" si="16"/>
        <v>6562429754.3635759</v>
      </c>
      <c r="S44" s="1130">
        <f t="shared" ca="1" si="17"/>
        <v>91736361.616987228</v>
      </c>
      <c r="T44" s="1130">
        <f t="shared" ca="1" si="9"/>
        <v>6470693392.7465887</v>
      </c>
      <c r="U44" s="1132">
        <f t="shared" ca="1" si="10"/>
        <v>0.55579898319360865</v>
      </c>
      <c r="V44" s="1133">
        <f t="shared" ca="1" si="11"/>
        <v>5.0000000000000044E-2</v>
      </c>
      <c r="X44" s="1134">
        <f t="shared" ca="1" si="18"/>
        <v>345391039.70334619</v>
      </c>
      <c r="Y44" s="1134">
        <f t="shared" ca="1" si="12"/>
        <v>4828229.5587882996</v>
      </c>
      <c r="Z44" s="1134">
        <f t="shared" ca="1" si="13"/>
        <v>340562810.14455789</v>
      </c>
      <c r="AA44" s="1132">
        <f t="shared" ca="1" si="14"/>
        <v>0.59468154218895697</v>
      </c>
      <c r="AB44" s="1105"/>
    </row>
    <row r="45" spans="1:28">
      <c r="A45" s="1144">
        <f>'AMORT. PROFILE 0% CPR'!A45</f>
        <v>46049</v>
      </c>
      <c r="C45" s="1104"/>
      <c r="D45" s="1125">
        <f t="shared" ca="1" si="0"/>
        <v>47269</v>
      </c>
      <c r="E45" s="1126">
        <f t="shared" ca="1" si="1"/>
        <v>47296</v>
      </c>
      <c r="F45" s="1127">
        <f t="shared" ca="1" si="2"/>
        <v>1066</v>
      </c>
      <c r="G45" s="1128">
        <f ca="1">IF(F45&lt;&gt;"",COUNTIF($F$11:F45,"&gt;0"),"")</f>
        <v>35</v>
      </c>
      <c r="H45" s="1129">
        <v>7.1527899564139772E-3</v>
      </c>
      <c r="I45" s="1128"/>
      <c r="J45" s="1130">
        <f t="shared" ca="1" si="3"/>
        <v>6811256202.8911467</v>
      </c>
      <c r="K45" s="1131">
        <f t="shared" ca="1" si="4"/>
        <v>48719484.958602197</v>
      </c>
      <c r="L45" s="1130">
        <f t="shared" ca="1" si="5"/>
        <v>46826391.772889085</v>
      </c>
      <c r="M45" s="1130">
        <f t="shared" ca="1" si="6"/>
        <v>0</v>
      </c>
      <c r="N45" s="1130">
        <f t="shared" ca="1" si="15"/>
        <v>6715710326.1596556</v>
      </c>
      <c r="O45" s="1073"/>
      <c r="P45" s="1130">
        <f t="shared" ca="1" si="7"/>
        <v>95545876.731491089</v>
      </c>
      <c r="Q45" s="1130">
        <f t="shared" ca="1" si="8"/>
        <v>6379924809.8516722</v>
      </c>
      <c r="R45" s="1130">
        <f t="shared" ca="1" si="16"/>
        <v>6470693392.7465887</v>
      </c>
      <c r="S45" s="1130">
        <f t="shared" ca="1" si="17"/>
        <v>90768582.894916534</v>
      </c>
      <c r="T45" s="1130">
        <f t="shared" ca="1" si="9"/>
        <v>6379924809.8516722</v>
      </c>
      <c r="U45" s="1132">
        <f t="shared" ca="1" si="10"/>
        <v>0.54802945598842978</v>
      </c>
      <c r="V45" s="1133">
        <f t="shared" ca="1" si="11"/>
        <v>5.0000000000000044E-2</v>
      </c>
      <c r="X45" s="1134">
        <f t="shared" ca="1" si="18"/>
        <v>340562810.14455789</v>
      </c>
      <c r="Y45" s="1134">
        <f t="shared" ca="1" si="12"/>
        <v>4777293.8365745544</v>
      </c>
      <c r="Z45" s="1134">
        <f t="shared" ca="1" si="13"/>
        <v>335785516.30798334</v>
      </c>
      <c r="AA45" s="1132">
        <f t="shared" ca="1" si="14"/>
        <v>0.58636847476680076</v>
      </c>
      <c r="AB45" s="1105"/>
    </row>
    <row r="46" spans="1:28">
      <c r="A46" s="1144">
        <f>'AMORT. PROFILE 0% CPR'!A46</f>
        <v>46080</v>
      </c>
      <c r="C46" s="1104"/>
      <c r="D46" s="1125">
        <f t="shared" ca="1" si="0"/>
        <v>47299</v>
      </c>
      <c r="E46" s="1126">
        <f t="shared" ca="1" si="1"/>
        <v>47326</v>
      </c>
      <c r="F46" s="1127">
        <f t="shared" ca="1" si="2"/>
        <v>1096</v>
      </c>
      <c r="G46" s="1128">
        <f ca="1">IF(F46&lt;&gt;"",COUNTIF($F$11:F46,"&gt;0"),"")</f>
        <v>36</v>
      </c>
      <c r="H46" s="1129">
        <v>7.1967674030143786E-3</v>
      </c>
      <c r="I46" s="1128"/>
      <c r="J46" s="1130">
        <f t="shared" ca="1" si="3"/>
        <v>6715710326.1596556</v>
      </c>
      <c r="K46" s="1131">
        <f t="shared" ca="1" si="4"/>
        <v>48331405.163392872</v>
      </c>
      <c r="L46" s="1130">
        <f t="shared" ca="1" si="5"/>
        <v>46167482.776836246</v>
      </c>
      <c r="M46" s="1130">
        <f t="shared" ca="1" si="6"/>
        <v>0</v>
      </c>
      <c r="N46" s="1130">
        <f t="shared" ca="1" si="15"/>
        <v>6621211438.2194262</v>
      </c>
      <c r="O46" s="1073"/>
      <c r="P46" s="1130">
        <f t="shared" ca="1" si="7"/>
        <v>94498887.940229416</v>
      </c>
      <c r="Q46" s="1130">
        <f t="shared" ca="1" si="8"/>
        <v>6290150866.3084545</v>
      </c>
      <c r="R46" s="1130">
        <f t="shared" ca="1" si="16"/>
        <v>6379924809.8516722</v>
      </c>
      <c r="S46" s="1130">
        <f t="shared" ca="1" si="17"/>
        <v>89773943.543217659</v>
      </c>
      <c r="T46" s="1130">
        <f t="shared" ca="1" si="9"/>
        <v>6290150866.3084545</v>
      </c>
      <c r="U46" s="1132">
        <f t="shared" ca="1" si="10"/>
        <v>0.54034189391656551</v>
      </c>
      <c r="V46" s="1133">
        <f t="shared" ca="1" si="11"/>
        <v>5.0000000000000044E-2</v>
      </c>
      <c r="X46" s="1134">
        <f t="shared" ca="1" si="18"/>
        <v>335785516.30798334</v>
      </c>
      <c r="Y46" s="1134">
        <f t="shared" ca="1" si="12"/>
        <v>4724944.3970117569</v>
      </c>
      <c r="Z46" s="1134">
        <f t="shared" ca="1" si="13"/>
        <v>331060571.91097158</v>
      </c>
      <c r="AA46" s="1132">
        <f t="shared" ca="1" si="14"/>
        <v>0.57814310659088042</v>
      </c>
      <c r="AB46" s="1105"/>
    </row>
    <row r="47" spans="1:28">
      <c r="A47" s="1144">
        <f>'AMORT. PROFILE 0% CPR'!A47</f>
        <v>46108</v>
      </c>
      <c r="C47" s="1104"/>
      <c r="D47" s="1125">
        <f t="shared" ca="1" si="0"/>
        <v>47330</v>
      </c>
      <c r="E47" s="1126">
        <f t="shared" ca="1" si="1"/>
        <v>47357</v>
      </c>
      <c r="F47" s="1127">
        <f t="shared" ca="1" si="2"/>
        <v>1127</v>
      </c>
      <c r="G47" s="1128">
        <f ca="1">IF(F47&lt;&gt;"",COUNTIF($F$11:F47,"&gt;0"),"")</f>
        <v>37</v>
      </c>
      <c r="H47" s="1129">
        <v>7.241597406579146E-3</v>
      </c>
      <c r="I47" s="1128"/>
      <c r="J47" s="1130">
        <f t="shared" ca="1" si="3"/>
        <v>6621211438.2194262</v>
      </c>
      <c r="K47" s="1131">
        <f t="shared" ca="1" si="4"/>
        <v>47948147.579421975</v>
      </c>
      <c r="L47" s="1130">
        <f t="shared" ca="1" si="5"/>
        <v>45515790.140945919</v>
      </c>
      <c r="M47" s="1130">
        <f t="shared" ca="1" si="6"/>
        <v>0</v>
      </c>
      <c r="N47" s="1130">
        <f t="shared" ca="1" si="15"/>
        <v>6527747500.4990578</v>
      </c>
      <c r="O47" s="1073"/>
      <c r="P47" s="1130">
        <f t="shared" ca="1" si="7"/>
        <v>93463937.720368385</v>
      </c>
      <c r="Q47" s="1130">
        <f t="shared" ca="1" si="8"/>
        <v>6201360125.4741049</v>
      </c>
      <c r="R47" s="1130">
        <f t="shared" ca="1" si="16"/>
        <v>6290150866.3084545</v>
      </c>
      <c r="S47" s="1130">
        <f t="shared" ca="1" si="17"/>
        <v>88790740.834349632</v>
      </c>
      <c r="T47" s="1130">
        <f t="shared" ca="1" si="9"/>
        <v>6201360125.4741049</v>
      </c>
      <c r="U47" s="1132">
        <f t="shared" ca="1" si="10"/>
        <v>0.53273857191446361</v>
      </c>
      <c r="V47" s="1133">
        <f t="shared" ca="1" si="11"/>
        <v>5.0000000000000044E-2</v>
      </c>
      <c r="X47" s="1134">
        <f t="shared" ca="1" si="18"/>
        <v>331060571.91097158</v>
      </c>
      <c r="Y47" s="1134">
        <f t="shared" ca="1" si="12"/>
        <v>4673196.8860187531</v>
      </c>
      <c r="Z47" s="1134">
        <f t="shared" ca="1" si="13"/>
        <v>326387375.02495283</v>
      </c>
      <c r="AA47" s="1132">
        <f t="shared" ca="1" si="14"/>
        <v>0.57000787174754064</v>
      </c>
      <c r="AB47" s="1105"/>
    </row>
    <row r="48" spans="1:28">
      <c r="A48" s="1144">
        <f>'AMORT. PROFILE 0% CPR'!A48</f>
        <v>46139</v>
      </c>
      <c r="C48" s="1104"/>
      <c r="D48" s="1125">
        <f t="shared" ca="1" si="0"/>
        <v>47361</v>
      </c>
      <c r="E48" s="1126">
        <f t="shared" ca="1" si="1"/>
        <v>47388</v>
      </c>
      <c r="F48" s="1127">
        <f t="shared" ca="1" si="2"/>
        <v>1158</v>
      </c>
      <c r="G48" s="1128">
        <f ca="1">IF(F48&lt;&gt;"",COUNTIF($F$11:F48,"&gt;0"),"")</f>
        <v>38</v>
      </c>
      <c r="H48" s="1129">
        <v>7.301176100127843E-3</v>
      </c>
      <c r="I48" s="1128"/>
      <c r="J48" s="1130">
        <f t="shared" ca="1" si="3"/>
        <v>6527747500.4990578</v>
      </c>
      <c r="K48" s="1131">
        <f t="shared" ca="1" si="4"/>
        <v>47660234.038312986</v>
      </c>
      <c r="L48" s="1130">
        <f t="shared" ca="1" si="5"/>
        <v>44870603.697745055</v>
      </c>
      <c r="M48" s="1130">
        <f t="shared" ca="1" si="6"/>
        <v>0</v>
      </c>
      <c r="N48" s="1130">
        <f t="shared" ca="1" si="15"/>
        <v>6435216662.7629995</v>
      </c>
      <c r="O48" s="1073"/>
      <c r="P48" s="1130">
        <f t="shared" ca="1" si="7"/>
        <v>92530837.736058235</v>
      </c>
      <c r="Q48" s="1130">
        <f t="shared" ca="1" si="8"/>
        <v>6113455829.6248493</v>
      </c>
      <c r="R48" s="1130">
        <f t="shared" ca="1" si="16"/>
        <v>6201360125.4741049</v>
      </c>
      <c r="S48" s="1130">
        <f t="shared" ca="1" si="17"/>
        <v>87904295.849255562</v>
      </c>
      <c r="T48" s="1130">
        <f t="shared" ca="1" si="9"/>
        <v>6113455829.6248493</v>
      </c>
      <c r="U48" s="1132">
        <f t="shared" ca="1" si="10"/>
        <v>0.52521852136612446</v>
      </c>
      <c r="V48" s="1133">
        <f t="shared" ca="1" si="11"/>
        <v>5.0000000000000044E-2</v>
      </c>
      <c r="X48" s="1134">
        <f t="shared" ca="1" si="18"/>
        <v>326387375.02495283</v>
      </c>
      <c r="Y48" s="1134">
        <f t="shared" ca="1" si="12"/>
        <v>4626541.8868026733</v>
      </c>
      <c r="Z48" s="1134">
        <f t="shared" ca="1" si="13"/>
        <v>321760833.13815016</v>
      </c>
      <c r="AA48" s="1132">
        <f t="shared" ca="1" si="14"/>
        <v>0.56196173385838988</v>
      </c>
      <c r="AB48" s="1105"/>
    </row>
    <row r="49" spans="1:28">
      <c r="A49" s="1144">
        <f>'AMORT. PROFILE 0% CPR'!A49</f>
        <v>46169</v>
      </c>
      <c r="C49" s="1104"/>
      <c r="D49" s="1125">
        <f t="shared" ca="1" si="0"/>
        <v>47391</v>
      </c>
      <c r="E49" s="1126">
        <f t="shared" ca="1" si="1"/>
        <v>47420</v>
      </c>
      <c r="F49" s="1127">
        <f t="shared" ca="1" si="2"/>
        <v>1190</v>
      </c>
      <c r="G49" s="1128">
        <f ca="1">IF(F49&lt;&gt;"",COUNTIF($F$11:F49,"&gt;0"),"")</f>
        <v>39</v>
      </c>
      <c r="H49" s="1129">
        <v>7.3377156243270942E-3</v>
      </c>
      <c r="I49" s="1128"/>
      <c r="J49" s="1130">
        <f t="shared" ca="1" si="3"/>
        <v>6435216662.7629995</v>
      </c>
      <c r="K49" s="1131">
        <f t="shared" ca="1" si="4"/>
        <v>47219789.852286123</v>
      </c>
      <c r="L49" s="1130">
        <f t="shared" ca="1" si="5"/>
        <v>44232934.576413952</v>
      </c>
      <c r="M49" s="1130">
        <f t="shared" ca="1" si="6"/>
        <v>0</v>
      </c>
      <c r="N49" s="1130">
        <f t="shared" ca="1" si="15"/>
        <v>6343763938.3342991</v>
      </c>
      <c r="O49" s="1073"/>
      <c r="P49" s="1130">
        <f t="shared" ca="1" si="7"/>
        <v>91452724.428700447</v>
      </c>
      <c r="Q49" s="1130">
        <f t="shared" ca="1" si="8"/>
        <v>6026575741.4175835</v>
      </c>
      <c r="R49" s="1130">
        <f t="shared" ca="1" si="16"/>
        <v>6113455829.6248493</v>
      </c>
      <c r="S49" s="1130">
        <f t="shared" ca="1" si="17"/>
        <v>86880088.207265854</v>
      </c>
      <c r="T49" s="1130">
        <f t="shared" ca="1" si="9"/>
        <v>6026575741.4175835</v>
      </c>
      <c r="U49" s="1132">
        <f t="shared" ca="1" si="10"/>
        <v>0.51777354746466986</v>
      </c>
      <c r="V49" s="1133">
        <f t="shared" ca="1" si="11"/>
        <v>5.0000000000000155E-2</v>
      </c>
      <c r="X49" s="1134">
        <f t="shared" ca="1" si="18"/>
        <v>321760833.13815016</v>
      </c>
      <c r="Y49" s="1134">
        <f t="shared" ca="1" si="12"/>
        <v>4572636.2214345932</v>
      </c>
      <c r="Z49" s="1134">
        <f t="shared" ca="1" si="13"/>
        <v>317188196.91671556</v>
      </c>
      <c r="AA49" s="1132">
        <f t="shared" ca="1" si="14"/>
        <v>0.55399592482463866</v>
      </c>
      <c r="AB49" s="1105"/>
    </row>
    <row r="50" spans="1:28">
      <c r="A50" s="1144">
        <f>'AMORT. PROFILE 0% CPR'!A50</f>
        <v>46202</v>
      </c>
      <c r="C50" s="1104"/>
      <c r="D50" s="1125">
        <f t="shared" ca="1" si="0"/>
        <v>47422</v>
      </c>
      <c r="E50" s="1126">
        <f t="shared" ca="1" si="1"/>
        <v>47449</v>
      </c>
      <c r="F50" s="1127">
        <f t="shared" ca="1" si="2"/>
        <v>1219</v>
      </c>
      <c r="G50" s="1128">
        <f ca="1">IF(F50&lt;&gt;"",COUNTIF($F$11:F50,"&gt;0"),"")</f>
        <v>40</v>
      </c>
      <c r="H50" s="1129">
        <v>7.3869780053145723E-3</v>
      </c>
      <c r="I50" s="1128"/>
      <c r="J50" s="1130">
        <f t="shared" ca="1" si="3"/>
        <v>6343763938.3342991</v>
      </c>
      <c r="K50" s="1131">
        <f t="shared" ca="1" si="4"/>
        <v>46861244.683383219</v>
      </c>
      <c r="L50" s="1130">
        <f t="shared" ca="1" si="5"/>
        <v>43602163.624008223</v>
      </c>
      <c r="M50" s="1130">
        <f t="shared" ca="1" si="6"/>
        <v>0</v>
      </c>
      <c r="N50" s="1130">
        <f t="shared" ca="1" si="15"/>
        <v>6253300530.0269079</v>
      </c>
      <c r="O50" s="1073"/>
      <c r="P50" s="1130">
        <f t="shared" ca="1" si="7"/>
        <v>90463408.307391167</v>
      </c>
      <c r="Q50" s="1130">
        <f t="shared" ca="1" si="8"/>
        <v>5940635503.5255623</v>
      </c>
      <c r="R50" s="1130">
        <f t="shared" ca="1" si="16"/>
        <v>6026575741.4175835</v>
      </c>
      <c r="S50" s="1130">
        <f t="shared" ca="1" si="17"/>
        <v>85940237.892021179</v>
      </c>
      <c r="T50" s="1130">
        <f t="shared" ca="1" si="9"/>
        <v>5940635503.5255623</v>
      </c>
      <c r="U50" s="1132">
        <f t="shared" ca="1" si="10"/>
        <v>0.51041531789226768</v>
      </c>
      <c r="V50" s="1133">
        <f t="shared" ca="1" si="11"/>
        <v>5.0000000000000044E-2</v>
      </c>
      <c r="X50" s="1134">
        <f t="shared" ca="1" si="18"/>
        <v>317188196.91671556</v>
      </c>
      <c r="Y50" s="1134">
        <f t="shared" ca="1" si="12"/>
        <v>4523170.4153699875</v>
      </c>
      <c r="Z50" s="1134">
        <f t="shared" ca="1" si="13"/>
        <v>312665026.50134557</v>
      </c>
      <c r="AA50" s="1132">
        <f t="shared" ca="1" si="14"/>
        <v>0.54612292857561218</v>
      </c>
      <c r="AB50" s="1105"/>
    </row>
    <row r="51" spans="1:28">
      <c r="A51" s="1144">
        <f>'AMORT. PROFILE 0% CPR'!A51</f>
        <v>46230</v>
      </c>
      <c r="C51" s="1104"/>
      <c r="D51" s="1125">
        <f t="shared" ca="1" si="0"/>
        <v>47452</v>
      </c>
      <c r="E51" s="1126">
        <f t="shared" ca="1" si="1"/>
        <v>47479</v>
      </c>
      <c r="F51" s="1127">
        <f t="shared" ca="1" si="2"/>
        <v>1249</v>
      </c>
      <c r="G51" s="1128">
        <f ca="1">IF(F51&lt;&gt;"",COUNTIF($F$11:F51,"&gt;0"),"")</f>
        <v>41</v>
      </c>
      <c r="H51" s="1129">
        <v>7.4268595772451918E-3</v>
      </c>
      <c r="I51" s="1128"/>
      <c r="J51" s="1130">
        <f t="shared" ca="1" si="3"/>
        <v>6253300530.0269079</v>
      </c>
      <c r="K51" s="1131">
        <f t="shared" ca="1" si="4"/>
        <v>46442384.930822775</v>
      </c>
      <c r="L51" s="1130">
        <f t="shared" ca="1" si="5"/>
        <v>42978660.716222093</v>
      </c>
      <c r="M51" s="1130">
        <f t="shared" ca="1" si="6"/>
        <v>0</v>
      </c>
      <c r="N51" s="1130">
        <f t="shared" ca="1" si="15"/>
        <v>6163879484.3798637</v>
      </c>
      <c r="O51" s="1073"/>
      <c r="P51" s="1130">
        <f t="shared" ca="1" si="7"/>
        <v>89421045.647044182</v>
      </c>
      <c r="Q51" s="1130">
        <f t="shared" ca="1" si="8"/>
        <v>5855685510.1608706</v>
      </c>
      <c r="R51" s="1130">
        <f t="shared" ca="1" si="16"/>
        <v>5940635503.5255623</v>
      </c>
      <c r="S51" s="1130">
        <f t="shared" ca="1" si="17"/>
        <v>84949993.364691734</v>
      </c>
      <c r="T51" s="1130">
        <f t="shared" ca="1" si="9"/>
        <v>5855685510.1608706</v>
      </c>
      <c r="U51" s="1132">
        <f t="shared" ca="1" si="10"/>
        <v>0.50313668808231948</v>
      </c>
      <c r="V51" s="1133">
        <f t="shared" ca="1" si="11"/>
        <v>5.0000000000000044E-2</v>
      </c>
      <c r="X51" s="1134">
        <f t="shared" ca="1" si="18"/>
        <v>312665026.50134557</v>
      </c>
      <c r="Y51" s="1134">
        <f t="shared" ca="1" si="12"/>
        <v>4471052.2823524475</v>
      </c>
      <c r="Z51" s="1134">
        <f t="shared" ca="1" si="13"/>
        <v>308193974.21899313</v>
      </c>
      <c r="AA51" s="1132">
        <f t="shared" ca="1" si="14"/>
        <v>0.53833510072545721</v>
      </c>
      <c r="AB51" s="1105"/>
    </row>
    <row r="52" spans="1:28">
      <c r="A52" s="1144">
        <f>'AMORT. PROFILE 0% CPR'!A52</f>
        <v>46261</v>
      </c>
      <c r="C52" s="1104"/>
      <c r="D52" s="1125">
        <f t="shared" ca="1" si="0"/>
        <v>47483</v>
      </c>
      <c r="E52" s="1126">
        <f t="shared" ca="1" si="1"/>
        <v>47511</v>
      </c>
      <c r="F52" s="1127">
        <f t="shared" ca="1" si="2"/>
        <v>1281</v>
      </c>
      <c r="G52" s="1128">
        <f ca="1">IF(F52&lt;&gt;"",COUNTIF($F$11:F52,"&gt;0"),"")</f>
        <v>42</v>
      </c>
      <c r="H52" s="1129">
        <v>7.4774122960432118E-3</v>
      </c>
      <c r="I52" s="1128"/>
      <c r="J52" s="1130">
        <f t="shared" ca="1" si="3"/>
        <v>6163879484.3798637</v>
      </c>
      <c r="K52" s="1131">
        <f t="shared" ca="1" si="4"/>
        <v>46089868.247830488</v>
      </c>
      <c r="L52" s="1130">
        <f t="shared" ca="1" si="5"/>
        <v>42361916.141535223</v>
      </c>
      <c r="M52" s="1130">
        <f t="shared" ca="1" si="6"/>
        <v>0</v>
      </c>
      <c r="N52" s="1130">
        <f t="shared" ca="1" si="15"/>
        <v>6075427699.9904985</v>
      </c>
      <c r="O52" s="1073"/>
      <c r="P52" s="1130">
        <f t="shared" ca="1" si="7"/>
        <v>88451784.389365196</v>
      </c>
      <c r="Q52" s="1130">
        <f t="shared" ca="1" si="8"/>
        <v>5771656314.9909735</v>
      </c>
      <c r="R52" s="1130">
        <f t="shared" ca="1" si="16"/>
        <v>5855685510.1608706</v>
      </c>
      <c r="S52" s="1130">
        <f t="shared" ca="1" si="17"/>
        <v>84029195.169897079</v>
      </c>
      <c r="T52" s="1130">
        <f t="shared" ca="1" si="9"/>
        <v>5771656314.9909735</v>
      </c>
      <c r="U52" s="1132">
        <f t="shared" ca="1" si="10"/>
        <v>0.49594192612650506</v>
      </c>
      <c r="V52" s="1133">
        <f t="shared" ca="1" si="11"/>
        <v>5.0000000000000044E-2</v>
      </c>
      <c r="X52" s="1134">
        <f t="shared" ca="1" si="18"/>
        <v>308193974.21899313</v>
      </c>
      <c r="Y52" s="1134">
        <f t="shared" ca="1" si="12"/>
        <v>4422589.2194681168</v>
      </c>
      <c r="Z52" s="1134">
        <f t="shared" ca="1" si="13"/>
        <v>303771384.99952501</v>
      </c>
      <c r="AA52" s="1132">
        <f t="shared" ca="1" si="14"/>
        <v>0.53063700795281188</v>
      </c>
      <c r="AB52" s="1105"/>
    </row>
    <row r="53" spans="1:28">
      <c r="A53" s="1144">
        <f>'AMORT. PROFILE 0% CPR'!A53</f>
        <v>46293</v>
      </c>
      <c r="C53" s="1104"/>
      <c r="D53" s="1125">
        <f t="shared" ca="1" si="0"/>
        <v>47514</v>
      </c>
      <c r="E53" s="1126">
        <f t="shared" ca="1" si="1"/>
        <v>47541</v>
      </c>
      <c r="F53" s="1127">
        <f t="shared" ca="1" si="2"/>
        <v>1311</v>
      </c>
      <c r="G53" s="1128">
        <f ca="1">IF(F53&lt;&gt;"",COUNTIF($F$11:F53,"&gt;0"),"")</f>
        <v>43</v>
      </c>
      <c r="H53" s="1129">
        <v>7.5155713887695976E-3</v>
      </c>
      <c r="I53" s="1128"/>
      <c r="J53" s="1130">
        <f t="shared" ca="1" si="3"/>
        <v>6075427699.9904985</v>
      </c>
      <c r="K53" s="1131">
        <f t="shared" ca="1" si="4"/>
        <v>45660310.596586876</v>
      </c>
      <c r="L53" s="1130">
        <f t="shared" ca="1" si="5"/>
        <v>41752416.563805543</v>
      </c>
      <c r="M53" s="1130">
        <f t="shared" ca="1" si="6"/>
        <v>0</v>
      </c>
      <c r="N53" s="1130">
        <f t="shared" ca="1" si="15"/>
        <v>5988014972.8301058</v>
      </c>
      <c r="O53" s="1073"/>
      <c r="P53" s="1130">
        <f t="shared" ca="1" si="7"/>
        <v>87412727.160392761</v>
      </c>
      <c r="Q53" s="1130">
        <f t="shared" ca="1" si="8"/>
        <v>5688614224.1886005</v>
      </c>
      <c r="R53" s="1130">
        <f t="shared" ca="1" si="16"/>
        <v>5771656314.9909735</v>
      </c>
      <c r="S53" s="1130">
        <f t="shared" ca="1" si="17"/>
        <v>83042090.802372932</v>
      </c>
      <c r="T53" s="1130">
        <f t="shared" ca="1" si="9"/>
        <v>5688614224.1886005</v>
      </c>
      <c r="U53" s="1132">
        <f t="shared" ca="1" si="10"/>
        <v>0.4888251503312363</v>
      </c>
      <c r="V53" s="1133">
        <f t="shared" ca="1" si="11"/>
        <v>5.0000000000000044E-2</v>
      </c>
      <c r="X53" s="1134">
        <f t="shared" ca="1" si="18"/>
        <v>303771384.99952501</v>
      </c>
      <c r="Y53" s="1134">
        <f t="shared" ca="1" si="12"/>
        <v>4370636.3580198288</v>
      </c>
      <c r="Z53" s="1134">
        <f t="shared" ca="1" si="13"/>
        <v>299400748.64150518</v>
      </c>
      <c r="AA53" s="1132">
        <f t="shared" ca="1" si="14"/>
        <v>0.52302235709284606</v>
      </c>
      <c r="AB53" s="1105"/>
    </row>
    <row r="54" spans="1:28">
      <c r="A54" s="1144">
        <f>'AMORT. PROFILE 0% CPR'!A54</f>
        <v>46322</v>
      </c>
      <c r="C54" s="1104"/>
      <c r="D54" s="1125">
        <f t="shared" ca="1" si="0"/>
        <v>47542</v>
      </c>
      <c r="E54" s="1126">
        <f t="shared" ca="1" si="1"/>
        <v>47569</v>
      </c>
      <c r="F54" s="1127">
        <f t="shared" ca="1" si="2"/>
        <v>1339</v>
      </c>
      <c r="G54" s="1128">
        <f ca="1">IF(F54&lt;&gt;"",COUNTIF($F$11:F54,"&gt;0"),"")</f>
        <v>44</v>
      </c>
      <c r="H54" s="1129">
        <v>7.5564666893313251E-3</v>
      </c>
      <c r="I54" s="1128"/>
      <c r="J54" s="1130">
        <f t="shared" ca="1" si="3"/>
        <v>5988014972.8301058</v>
      </c>
      <c r="K54" s="1131">
        <f t="shared" ca="1" si="4"/>
        <v>45248235.677407913</v>
      </c>
      <c r="L54" s="1130">
        <f t="shared" ca="1" si="5"/>
        <v>41149990.758775763</v>
      </c>
      <c r="M54" s="1130">
        <f t="shared" ca="1" si="6"/>
        <v>0</v>
      </c>
      <c r="N54" s="1130">
        <f t="shared" ca="1" si="15"/>
        <v>5901616746.3939219</v>
      </c>
      <c r="O54" s="1073"/>
      <c r="P54" s="1130">
        <f t="shared" ca="1" si="7"/>
        <v>86398226.436183929</v>
      </c>
      <c r="Q54" s="1130">
        <f t="shared" ca="1" si="8"/>
        <v>5606535909.0742254</v>
      </c>
      <c r="R54" s="1130">
        <f t="shared" ca="1" si="16"/>
        <v>5688614224.1886005</v>
      </c>
      <c r="S54" s="1130">
        <f t="shared" ca="1" si="17"/>
        <v>82078315.114375114</v>
      </c>
      <c r="T54" s="1130">
        <f t="shared" ca="1" si="9"/>
        <v>5606535909.0742254</v>
      </c>
      <c r="U54" s="1132">
        <f t="shared" ca="1" si="10"/>
        <v>0.48179197643714011</v>
      </c>
      <c r="V54" s="1133">
        <f t="shared" ca="1" si="11"/>
        <v>5.0000000000000044E-2</v>
      </c>
      <c r="X54" s="1134">
        <f t="shared" ca="1" si="18"/>
        <v>299400748.64150518</v>
      </c>
      <c r="Y54" s="1134">
        <f t="shared" ca="1" si="12"/>
        <v>4319911.321808815</v>
      </c>
      <c r="Z54" s="1134">
        <f t="shared" ca="1" si="13"/>
        <v>295080837.31969637</v>
      </c>
      <c r="AA54" s="1132">
        <f t="shared" ca="1" si="14"/>
        <v>0.51549715675190289</v>
      </c>
      <c r="AB54" s="1105"/>
    </row>
    <row r="55" spans="1:28">
      <c r="A55" s="1144">
        <f>'AMORT. PROFILE 0% CPR'!A55</f>
        <v>46353</v>
      </c>
      <c r="C55" s="1104"/>
      <c r="D55" s="1125">
        <f t="shared" ca="1" si="0"/>
        <v>47573</v>
      </c>
      <c r="E55" s="1126">
        <f t="shared" ca="1" si="1"/>
        <v>47602</v>
      </c>
      <c r="F55" s="1127">
        <f t="shared" ca="1" si="2"/>
        <v>1372</v>
      </c>
      <c r="G55" s="1128">
        <f ca="1">IF(F55&lt;&gt;"",COUNTIF($F$11:F55,"&gt;0"),"")</f>
        <v>45</v>
      </c>
      <c r="H55" s="1129">
        <v>7.6021845839023836E-3</v>
      </c>
      <c r="I55" s="1128"/>
      <c r="J55" s="1130">
        <f t="shared" ca="1" si="3"/>
        <v>5901616746.3939219</v>
      </c>
      <c r="K55" s="1131">
        <f t="shared" ca="1" si="4"/>
        <v>44865179.849536017</v>
      </c>
      <c r="L55" s="1130">
        <f t="shared" ca="1" si="5"/>
        <v>40554388.805645354</v>
      </c>
      <c r="M55" s="1130">
        <f t="shared" ca="1" si="6"/>
        <v>0</v>
      </c>
      <c r="N55" s="1130">
        <f t="shared" ca="1" si="15"/>
        <v>5816197177.7387409</v>
      </c>
      <c r="O55" s="1073"/>
      <c r="P55" s="1130">
        <f t="shared" ca="1" si="7"/>
        <v>85419568.655180931</v>
      </c>
      <c r="Q55" s="1130">
        <f t="shared" ca="1" si="8"/>
        <v>5525387318.8518038</v>
      </c>
      <c r="R55" s="1130">
        <f t="shared" ca="1" si="16"/>
        <v>5606535909.0742254</v>
      </c>
      <c r="S55" s="1130">
        <f t="shared" ca="1" si="17"/>
        <v>81148590.222421646</v>
      </c>
      <c r="T55" s="1130">
        <f t="shared" ca="1" si="9"/>
        <v>5525387318.8518038</v>
      </c>
      <c r="U55" s="1132">
        <f t="shared" ca="1" si="10"/>
        <v>0.47484042864305048</v>
      </c>
      <c r="V55" s="1133">
        <f t="shared" ca="1" si="11"/>
        <v>5.0000000000000044E-2</v>
      </c>
      <c r="X55" s="1134">
        <f t="shared" ca="1" si="18"/>
        <v>295080837.31969637</v>
      </c>
      <c r="Y55" s="1134">
        <f t="shared" ca="1" si="12"/>
        <v>4270978.432759285</v>
      </c>
      <c r="Z55" s="1134">
        <f t="shared" ca="1" si="13"/>
        <v>290809858.88693708</v>
      </c>
      <c r="AA55" s="1132">
        <f t="shared" ca="1" si="14"/>
        <v>0.50805929290581331</v>
      </c>
      <c r="AB55" s="1105"/>
    </row>
    <row r="56" spans="1:28">
      <c r="A56" s="1144">
        <f>'AMORT. PROFILE 0% CPR'!A56</f>
        <v>46384</v>
      </c>
      <c r="C56" s="1104"/>
      <c r="D56" s="1125">
        <f t="shared" ca="1" si="0"/>
        <v>47603</v>
      </c>
      <c r="E56" s="1126">
        <f t="shared" ca="1" si="1"/>
        <v>47630</v>
      </c>
      <c r="F56" s="1127">
        <f t="shared" ca="1" si="2"/>
        <v>1400</v>
      </c>
      <c r="G56" s="1128">
        <f ca="1">IF(F56&lt;&gt;"",COUNTIF($F$11:F56,"&gt;0"),"")</f>
        <v>46</v>
      </c>
      <c r="H56" s="1129">
        <v>7.6384267972855018E-3</v>
      </c>
      <c r="I56" s="1128"/>
      <c r="J56" s="1130">
        <f t="shared" ca="1" si="3"/>
        <v>5816197177.7387409</v>
      </c>
      <c r="K56" s="1131">
        <f t="shared" ca="1" si="4"/>
        <v>44426596.380735904</v>
      </c>
      <c r="L56" s="1130">
        <f t="shared" ca="1" si="5"/>
        <v>39965947.94808501</v>
      </c>
      <c r="M56" s="1130">
        <f t="shared" ca="1" si="6"/>
        <v>0</v>
      </c>
      <c r="N56" s="1130">
        <f t="shared" ca="1" si="15"/>
        <v>5731804633.4099197</v>
      </c>
      <c r="O56" s="1073"/>
      <c r="P56" s="1130">
        <f t="shared" ca="1" si="7"/>
        <v>84392544.328821182</v>
      </c>
      <c r="Q56" s="1130">
        <f t="shared" ca="1" si="8"/>
        <v>5445214401.7394238</v>
      </c>
      <c r="R56" s="1130">
        <f t="shared" ca="1" si="16"/>
        <v>5525387318.8518038</v>
      </c>
      <c r="S56" s="1130">
        <f t="shared" ca="1" si="17"/>
        <v>80172917.112380028</v>
      </c>
      <c r="T56" s="1130">
        <f t="shared" ca="1" si="9"/>
        <v>5445214401.7394238</v>
      </c>
      <c r="U56" s="1132">
        <f t="shared" ca="1" si="10"/>
        <v>0.46796762304795408</v>
      </c>
      <c r="V56" s="1133">
        <f t="shared" ca="1" si="11"/>
        <v>5.0000000000000044E-2</v>
      </c>
      <c r="X56" s="1134">
        <f t="shared" ca="1" si="18"/>
        <v>290809858.88693708</v>
      </c>
      <c r="Y56" s="1134">
        <f t="shared" ca="1" si="12"/>
        <v>4219627.2164411545</v>
      </c>
      <c r="Z56" s="1134">
        <f t="shared" ca="1" si="13"/>
        <v>286590231.67049593</v>
      </c>
      <c r="AA56" s="1132">
        <f t="shared" ca="1" si="14"/>
        <v>0.50070567990175119</v>
      </c>
      <c r="AB56" s="1105"/>
    </row>
    <row r="57" spans="1:28">
      <c r="A57" s="1144">
        <f>'AMORT. PROFILE 0% CPR'!A57</f>
        <v>46414</v>
      </c>
      <c r="C57" s="1104"/>
      <c r="D57" s="1125">
        <f t="shared" ca="1" si="0"/>
        <v>47634</v>
      </c>
      <c r="E57" s="1126">
        <f t="shared" ca="1" si="1"/>
        <v>47661</v>
      </c>
      <c r="F57" s="1127">
        <f t="shared" ca="1" si="2"/>
        <v>1431</v>
      </c>
      <c r="G57" s="1128">
        <f ca="1">IF(F57&lt;&gt;"",COUNTIF($F$11:F57,"&gt;0"),"")</f>
        <v>47</v>
      </c>
      <c r="H57" s="1129">
        <v>7.6781378872437739E-3</v>
      </c>
      <c r="I57" s="1128"/>
      <c r="J57" s="1130">
        <f t="shared" ca="1" si="3"/>
        <v>5731804633.4099197</v>
      </c>
      <c r="K57" s="1131">
        <f t="shared" ca="1" si="4"/>
        <v>44009586.318064116</v>
      </c>
      <c r="L57" s="1130">
        <f t="shared" ca="1" si="5"/>
        <v>39384469.217410326</v>
      </c>
      <c r="M57" s="1130">
        <f t="shared" ca="1" si="6"/>
        <v>0</v>
      </c>
      <c r="N57" s="1130">
        <f t="shared" ca="1" si="15"/>
        <v>5648410577.8744459</v>
      </c>
      <c r="O57" s="1073"/>
      <c r="P57" s="1130">
        <f t="shared" ca="1" si="7"/>
        <v>83394055.535473824</v>
      </c>
      <c r="Q57" s="1130">
        <f t="shared" ca="1" si="8"/>
        <v>5365990048.9807234</v>
      </c>
      <c r="R57" s="1130">
        <f t="shared" ca="1" si="16"/>
        <v>5445214401.7394238</v>
      </c>
      <c r="S57" s="1130">
        <f t="shared" ca="1" si="17"/>
        <v>79224352.758700371</v>
      </c>
      <c r="T57" s="1130">
        <f t="shared" ca="1" si="9"/>
        <v>5365990048.9807234</v>
      </c>
      <c r="U57" s="1132">
        <f t="shared" ca="1" si="10"/>
        <v>0.46117745119413778</v>
      </c>
      <c r="V57" s="1133">
        <f t="shared" ca="1" si="11"/>
        <v>5.0000000000000044E-2</v>
      </c>
      <c r="X57" s="1134">
        <f t="shared" ca="1" si="18"/>
        <v>286590231.67049593</v>
      </c>
      <c r="Y57" s="1134">
        <f t="shared" ca="1" si="12"/>
        <v>4169702.7767734528</v>
      </c>
      <c r="Z57" s="1134">
        <f t="shared" ca="1" si="13"/>
        <v>282420528.89372247</v>
      </c>
      <c r="AA57" s="1132">
        <f t="shared" ca="1" si="14"/>
        <v>0.49344048152633596</v>
      </c>
      <c r="AB57" s="1105"/>
    </row>
    <row r="58" spans="1:28">
      <c r="A58" s="1144">
        <f>'AMORT. PROFILE 0% CPR'!A58</f>
        <v>46444</v>
      </c>
      <c r="C58" s="1104"/>
      <c r="D58" s="1125">
        <f t="shared" ca="1" si="0"/>
        <v>47664</v>
      </c>
      <c r="E58" s="1126">
        <f t="shared" ca="1" si="1"/>
        <v>47693</v>
      </c>
      <c r="F58" s="1127">
        <f t="shared" ca="1" si="2"/>
        <v>1463</v>
      </c>
      <c r="G58" s="1128">
        <f ca="1">IF(F58&lt;&gt;"",COUNTIF($F$11:F58,"&gt;0"),"")</f>
        <v>48</v>
      </c>
      <c r="H58" s="1129">
        <v>7.7188372572796829E-3</v>
      </c>
      <c r="I58" s="1128"/>
      <c r="J58" s="1130">
        <f t="shared" ca="1" si="3"/>
        <v>5648410577.8744459</v>
      </c>
      <c r="K58" s="1131">
        <f t="shared" ca="1" si="4"/>
        <v>43599162.012909934</v>
      </c>
      <c r="L58" s="1130">
        <f t="shared" ca="1" si="5"/>
        <v>38809858.80288589</v>
      </c>
      <c r="M58" s="1130">
        <f t="shared" ca="1" si="6"/>
        <v>0</v>
      </c>
      <c r="N58" s="1130">
        <f t="shared" ca="1" si="15"/>
        <v>5566001557.05865</v>
      </c>
      <c r="O58" s="1073"/>
      <c r="P58" s="1130">
        <f t="shared" ca="1" si="7"/>
        <v>82409020.815795898</v>
      </c>
      <c r="Q58" s="1130">
        <f t="shared" ca="1" si="8"/>
        <v>5287701479.2057171</v>
      </c>
      <c r="R58" s="1130">
        <f t="shared" ca="1" si="16"/>
        <v>5365990048.9807234</v>
      </c>
      <c r="S58" s="1130">
        <f t="shared" ca="1" si="17"/>
        <v>78288569.775006294</v>
      </c>
      <c r="T58" s="1130">
        <f t="shared" ca="1" si="9"/>
        <v>5287701479.2057171</v>
      </c>
      <c r="U58" s="1132">
        <f t="shared" ca="1" si="10"/>
        <v>0.45446761713028688</v>
      </c>
      <c r="V58" s="1133">
        <f t="shared" ca="1" si="11"/>
        <v>5.0000000000000044E-2</v>
      </c>
      <c r="X58" s="1134">
        <f t="shared" ca="1" si="18"/>
        <v>282420528.89372247</v>
      </c>
      <c r="Y58" s="1134">
        <f t="shared" ca="1" si="12"/>
        <v>4120451.0407896042</v>
      </c>
      <c r="Z58" s="1134">
        <f t="shared" ca="1" si="13"/>
        <v>278300077.85293287</v>
      </c>
      <c r="AA58" s="1132">
        <f t="shared" ca="1" si="14"/>
        <v>0.48626124120819986</v>
      </c>
      <c r="AB58" s="1105"/>
    </row>
    <row r="59" spans="1:28">
      <c r="A59" s="1144">
        <f>'AMORT. PROFILE 0% CPR'!A59</f>
        <v>46476</v>
      </c>
      <c r="C59" s="1104"/>
      <c r="D59" s="1125">
        <f t="shared" ca="1" si="0"/>
        <v>47695</v>
      </c>
      <c r="E59" s="1126">
        <f t="shared" ca="1" si="1"/>
        <v>47722</v>
      </c>
      <c r="F59" s="1127">
        <f t="shared" ca="1" si="2"/>
        <v>1492</v>
      </c>
      <c r="G59" s="1128">
        <f ca="1">IF(F59&lt;&gt;"",COUNTIF($F$11:F59,"&gt;0"),"")</f>
        <v>49</v>
      </c>
      <c r="H59" s="1129">
        <v>7.7639577829733165E-3</v>
      </c>
      <c r="I59" s="1128"/>
      <c r="J59" s="1130">
        <f t="shared" ca="1" si="3"/>
        <v>5566001557.05865</v>
      </c>
      <c r="K59" s="1131">
        <f t="shared" ca="1" si="4"/>
        <v>43214201.108967103</v>
      </c>
      <c r="L59" s="1130">
        <f t="shared" ca="1" si="5"/>
        <v>38241892.827329665</v>
      </c>
      <c r="M59" s="1130">
        <f t="shared" ca="1" si="6"/>
        <v>0</v>
      </c>
      <c r="N59" s="1130">
        <f t="shared" ca="1" si="15"/>
        <v>5484545463.1223536</v>
      </c>
      <c r="O59" s="1073"/>
      <c r="P59" s="1130">
        <f t="shared" ca="1" si="7"/>
        <v>81456093.936296463</v>
      </c>
      <c r="Q59" s="1130">
        <f t="shared" ca="1" si="8"/>
        <v>5210318189.9662352</v>
      </c>
      <c r="R59" s="1130">
        <f t="shared" ca="1" si="16"/>
        <v>5287701479.2057171</v>
      </c>
      <c r="S59" s="1130">
        <f t="shared" ca="1" si="17"/>
        <v>77383289.239481926</v>
      </c>
      <c r="T59" s="1130">
        <f t="shared" ca="1" si="9"/>
        <v>5210318189.9662352</v>
      </c>
      <c r="U59" s="1132">
        <f t="shared" ca="1" si="10"/>
        <v>0.44783703834996585</v>
      </c>
      <c r="V59" s="1133">
        <f t="shared" ca="1" si="11"/>
        <v>5.0000000000000155E-2</v>
      </c>
      <c r="X59" s="1134">
        <f t="shared" ca="1" si="18"/>
        <v>278300077.85293287</v>
      </c>
      <c r="Y59" s="1134">
        <f t="shared" ca="1" si="12"/>
        <v>4072804.696814537</v>
      </c>
      <c r="Z59" s="1134">
        <f t="shared" ca="1" si="13"/>
        <v>274227273.15611833</v>
      </c>
      <c r="AA59" s="1132">
        <f t="shared" ca="1" si="14"/>
        <v>0.47916680071097256</v>
      </c>
      <c r="AB59" s="1105"/>
    </row>
    <row r="60" spans="1:28">
      <c r="A60" s="1144">
        <f>'AMORT. PROFILE 0% CPR'!A60</f>
        <v>46504</v>
      </c>
      <c r="C60" s="1104"/>
      <c r="D60" s="1125">
        <f t="shared" ca="1" si="0"/>
        <v>47726</v>
      </c>
      <c r="E60" s="1126">
        <f t="shared" ca="1" si="1"/>
        <v>47753</v>
      </c>
      <c r="F60" s="1127">
        <f t="shared" ca="1" si="2"/>
        <v>1523</v>
      </c>
      <c r="G60" s="1128">
        <f ca="1">IF(F60&lt;&gt;"",COUNTIF($F$11:F60,"&gt;0"),"")</f>
        <v>50</v>
      </c>
      <c r="H60" s="1129">
        <v>7.8246363860947302E-3</v>
      </c>
      <c r="I60" s="1128"/>
      <c r="J60" s="1130">
        <f t="shared" ca="1" si="3"/>
        <v>5484545463.1223536</v>
      </c>
      <c r="K60" s="1131">
        <f t="shared" ca="1" si="4"/>
        <v>42914573.991937943</v>
      </c>
      <c r="L60" s="1130">
        <f t="shared" ca="1" si="5"/>
        <v>37679934.398312174</v>
      </c>
      <c r="M60" s="1130">
        <f t="shared" ca="1" si="6"/>
        <v>0</v>
      </c>
      <c r="N60" s="1130">
        <f t="shared" ca="1" si="15"/>
        <v>5403950954.7321033</v>
      </c>
      <c r="O60" s="1073"/>
      <c r="P60" s="1130">
        <f t="shared" ca="1" si="7"/>
        <v>80594508.390250206</v>
      </c>
      <c r="Q60" s="1130">
        <f t="shared" ca="1" si="8"/>
        <v>5133753406.9954977</v>
      </c>
      <c r="R60" s="1130">
        <f t="shared" ca="1" si="16"/>
        <v>5210318189.9662352</v>
      </c>
      <c r="S60" s="1130">
        <f t="shared" ca="1" si="17"/>
        <v>76564782.970737457</v>
      </c>
      <c r="T60" s="1130">
        <f t="shared" ca="1" si="9"/>
        <v>5133753406.9954977</v>
      </c>
      <c r="U60" s="1132">
        <f t="shared" ca="1" si="10"/>
        <v>0.44128313147623782</v>
      </c>
      <c r="V60" s="1133">
        <f t="shared" ca="1" si="11"/>
        <v>5.0000000000000044E-2</v>
      </c>
      <c r="X60" s="1134">
        <f t="shared" ca="1" si="18"/>
        <v>274227273.15611833</v>
      </c>
      <c r="Y60" s="1134">
        <f t="shared" ca="1" si="12"/>
        <v>4029725.4195127487</v>
      </c>
      <c r="Z60" s="1134">
        <f t="shared" ca="1" si="13"/>
        <v>270197547.73660558</v>
      </c>
      <c r="AA60" s="1132">
        <f t="shared" ca="1" si="14"/>
        <v>0.47215439592995578</v>
      </c>
      <c r="AB60" s="1105"/>
    </row>
    <row r="61" spans="1:28">
      <c r="A61" s="1144">
        <f>'AMORT. PROFILE 0% CPR'!A61</f>
        <v>46534</v>
      </c>
      <c r="C61" s="1104"/>
      <c r="D61" s="1125">
        <f t="shared" ca="1" si="0"/>
        <v>47756</v>
      </c>
      <c r="E61" s="1126">
        <f t="shared" ca="1" si="1"/>
        <v>47784</v>
      </c>
      <c r="F61" s="1127">
        <f t="shared" ca="1" si="2"/>
        <v>1554</v>
      </c>
      <c r="G61" s="1128">
        <f ca="1">IF(F61&lt;&gt;"",COUNTIF($F$11:F61,"&gt;0"),"")</f>
        <v>51</v>
      </c>
      <c r="H61" s="1129">
        <v>7.86624215048249E-3</v>
      </c>
      <c r="I61" s="1128"/>
      <c r="J61" s="1130">
        <f t="shared" ca="1" si="3"/>
        <v>5403950954.7321033</v>
      </c>
      <c r="K61" s="1131">
        <f t="shared" ca="1" si="4"/>
        <v>42508786.779253766</v>
      </c>
      <c r="L61" s="1130">
        <f t="shared" ca="1" si="5"/>
        <v>37124677.010404684</v>
      </c>
      <c r="M61" s="1130">
        <f t="shared" ca="1" si="6"/>
        <v>0</v>
      </c>
      <c r="N61" s="1130">
        <f t="shared" ca="1" si="15"/>
        <v>5324317490.9424448</v>
      </c>
      <c r="O61" s="1073"/>
      <c r="P61" s="1130">
        <f t="shared" ca="1" si="7"/>
        <v>79633463.789658546</v>
      </c>
      <c r="Q61" s="1130">
        <f t="shared" ca="1" si="8"/>
        <v>5058101616.3953228</v>
      </c>
      <c r="R61" s="1130">
        <f t="shared" ca="1" si="16"/>
        <v>5133753406.9954977</v>
      </c>
      <c r="S61" s="1130">
        <f t="shared" ca="1" si="17"/>
        <v>75651790.600174904</v>
      </c>
      <c r="T61" s="1130">
        <f t="shared" ca="1" si="9"/>
        <v>5058101616.3953228</v>
      </c>
      <c r="U61" s="1132">
        <f t="shared" ca="1" si="10"/>
        <v>0.43479854724197925</v>
      </c>
      <c r="V61" s="1133">
        <f t="shared" ca="1" si="11"/>
        <v>4.9999999999999933E-2</v>
      </c>
      <c r="X61" s="1134">
        <f t="shared" ca="1" si="18"/>
        <v>270197547.73660558</v>
      </c>
      <c r="Y61" s="1134">
        <f t="shared" ca="1" si="12"/>
        <v>3981673.1894836426</v>
      </c>
      <c r="Z61" s="1134">
        <f t="shared" ca="1" si="13"/>
        <v>266215874.54712194</v>
      </c>
      <c r="AA61" s="1132">
        <f t="shared" ca="1" si="14"/>
        <v>0.46521616345834294</v>
      </c>
      <c r="AB61" s="1105"/>
    </row>
    <row r="62" spans="1:28">
      <c r="A62" s="1144">
        <f>'AMORT. PROFILE 0% CPR'!A62</f>
        <v>46566</v>
      </c>
      <c r="C62" s="1104"/>
      <c r="D62" s="1125">
        <f t="shared" ca="1" si="0"/>
        <v>47787</v>
      </c>
      <c r="E62" s="1126">
        <f t="shared" ca="1" si="1"/>
        <v>47814</v>
      </c>
      <c r="F62" s="1127">
        <f t="shared" ca="1" si="2"/>
        <v>1584</v>
      </c>
      <c r="G62" s="1128">
        <f ca="1">IF(F62&lt;&gt;"",COUNTIF($F$11:F62,"&gt;0"),"")</f>
        <v>52</v>
      </c>
      <c r="H62" s="1129">
        <v>7.9181245132533048E-3</v>
      </c>
      <c r="I62" s="1128"/>
      <c r="J62" s="1130">
        <f t="shared" ca="1" si="3"/>
        <v>5324317490.9424448</v>
      </c>
      <c r="K62" s="1131">
        <f t="shared" ca="1" si="4"/>
        <v>42158608.841374703</v>
      </c>
      <c r="L62" s="1130">
        <f t="shared" ca="1" si="5"/>
        <v>36575689.203138135</v>
      </c>
      <c r="M62" s="1130">
        <f t="shared" ca="1" si="6"/>
        <v>0</v>
      </c>
      <c r="N62" s="1130">
        <f t="shared" ca="1" si="15"/>
        <v>5245583192.8979321</v>
      </c>
      <c r="O62" s="1073"/>
      <c r="P62" s="1130">
        <f t="shared" ca="1" si="7"/>
        <v>78734298.044512749</v>
      </c>
      <c r="Q62" s="1130">
        <f t="shared" ca="1" si="8"/>
        <v>4983304033.2530355</v>
      </c>
      <c r="R62" s="1130">
        <f t="shared" ca="1" si="16"/>
        <v>5058101616.3953228</v>
      </c>
      <c r="S62" s="1130">
        <f t="shared" ca="1" si="17"/>
        <v>74797583.142287254</v>
      </c>
      <c r="T62" s="1130">
        <f t="shared" ca="1" si="9"/>
        <v>4983304033.2530355</v>
      </c>
      <c r="U62" s="1132">
        <f t="shared" ca="1" si="10"/>
        <v>0.42839128806112564</v>
      </c>
      <c r="V62" s="1133">
        <f t="shared" ca="1" si="11"/>
        <v>4.9999999999999933E-2</v>
      </c>
      <c r="X62" s="1134">
        <f t="shared" ca="1" si="18"/>
        <v>266215874.54712194</v>
      </c>
      <c r="Y62" s="1134">
        <f t="shared" ca="1" si="12"/>
        <v>3936714.9022254944</v>
      </c>
      <c r="Z62" s="1134">
        <f t="shared" ca="1" si="13"/>
        <v>262279159.64489645</v>
      </c>
      <c r="AA62" s="1132">
        <f t="shared" ca="1" si="14"/>
        <v>0.45836066554256533</v>
      </c>
      <c r="AB62" s="1105"/>
    </row>
    <row r="63" spans="1:28">
      <c r="A63" s="1144">
        <f>'AMORT. PROFILE 0% CPR'!A63</f>
        <v>46595</v>
      </c>
      <c r="C63" s="1104"/>
      <c r="D63" s="1125">
        <f t="shared" ca="1" si="0"/>
        <v>47817</v>
      </c>
      <c r="E63" s="1126">
        <f t="shared" ca="1" si="1"/>
        <v>47844</v>
      </c>
      <c r="F63" s="1127">
        <f t="shared" ca="1" si="2"/>
        <v>1614</v>
      </c>
      <c r="G63" s="1128">
        <f ca="1">IF(F63&lt;&gt;"",COUNTIF($F$11:F63,"&gt;0"),"")</f>
        <v>53</v>
      </c>
      <c r="H63" s="1129">
        <v>7.9633707574121373E-3</v>
      </c>
      <c r="I63" s="1128"/>
      <c r="J63" s="1130">
        <f t="shared" ca="1" si="3"/>
        <v>5245583192.8979321</v>
      </c>
      <c r="K63" s="1131">
        <f t="shared" ca="1" si="4"/>
        <v>41772523.80389598</v>
      </c>
      <c r="L63" s="1130">
        <f t="shared" ca="1" si="5"/>
        <v>36033176.198033921</v>
      </c>
      <c r="M63" s="1130">
        <f t="shared" ca="1" si="6"/>
        <v>0</v>
      </c>
      <c r="N63" s="1130">
        <f t="shared" ca="1" si="15"/>
        <v>5167777492.8960018</v>
      </c>
      <c r="O63" s="1073"/>
      <c r="P63" s="1130">
        <f t="shared" ca="1" si="7"/>
        <v>77805700.001930237</v>
      </c>
      <c r="Q63" s="1130">
        <f t="shared" ca="1" si="8"/>
        <v>4909388618.2512016</v>
      </c>
      <c r="R63" s="1130">
        <f t="shared" ca="1" si="16"/>
        <v>4983304033.2530355</v>
      </c>
      <c r="S63" s="1130">
        <f t="shared" ca="1" si="17"/>
        <v>73915415.001833916</v>
      </c>
      <c r="T63" s="1130">
        <f t="shared" ca="1" si="9"/>
        <v>4909388618.2512016</v>
      </c>
      <c r="U63" s="1132">
        <f t="shared" ca="1" si="10"/>
        <v>0.42205637519928818</v>
      </c>
      <c r="V63" s="1133">
        <f t="shared" ca="1" si="11"/>
        <v>5.0000000000000044E-2</v>
      </c>
      <c r="X63" s="1134">
        <f t="shared" ca="1" si="18"/>
        <v>262279159.64489645</v>
      </c>
      <c r="Y63" s="1134">
        <f t="shared" ca="1" si="12"/>
        <v>3890285.0000963211</v>
      </c>
      <c r="Z63" s="1134">
        <f t="shared" ca="1" si="13"/>
        <v>258388874.64480013</v>
      </c>
      <c r="AA63" s="1132">
        <f t="shared" ca="1" si="14"/>
        <v>0.45158257514617156</v>
      </c>
      <c r="AB63" s="1105"/>
    </row>
    <row r="64" spans="1:28">
      <c r="A64" s="1144">
        <f>'AMORT. PROFILE 0% CPR'!A64</f>
        <v>46626</v>
      </c>
      <c r="C64" s="1104"/>
      <c r="D64" s="1125">
        <f t="shared" ca="1" si="0"/>
        <v>47848</v>
      </c>
      <c r="E64" s="1126">
        <f t="shared" ca="1" si="1"/>
        <v>47875</v>
      </c>
      <c r="F64" s="1127">
        <f t="shared" ca="1" si="2"/>
        <v>1645</v>
      </c>
      <c r="G64" s="1128">
        <f ca="1">IF(F64&lt;&gt;"",COUNTIF($F$11:F64,"&gt;0"),"")</f>
        <v>54</v>
      </c>
      <c r="H64" s="1129">
        <v>8.0161210986723595E-3</v>
      </c>
      <c r="I64" s="1128"/>
      <c r="J64" s="1130">
        <f t="shared" ca="1" si="3"/>
        <v>5167777492.8960018</v>
      </c>
      <c r="K64" s="1131">
        <f t="shared" ca="1" si="4"/>
        <v>41425530.194047786</v>
      </c>
      <c r="L64" s="1130">
        <f t="shared" ca="1" si="5"/>
        <v>35496822.477082044</v>
      </c>
      <c r="M64" s="1130">
        <f t="shared" ca="1" si="6"/>
        <v>0</v>
      </c>
      <c r="N64" s="1130">
        <f t="shared" ca="1" si="15"/>
        <v>5090855140.2248716</v>
      </c>
      <c r="O64" s="1073"/>
      <c r="P64" s="1130">
        <f t="shared" ca="1" si="7"/>
        <v>76922352.67113018</v>
      </c>
      <c r="Q64" s="1130">
        <f t="shared" ca="1" si="8"/>
        <v>4836312383.2136278</v>
      </c>
      <c r="R64" s="1130">
        <f t="shared" ca="1" si="16"/>
        <v>4909388618.2512016</v>
      </c>
      <c r="S64" s="1130">
        <f t="shared" ca="1" si="17"/>
        <v>73076235.037573814</v>
      </c>
      <c r="T64" s="1130">
        <f t="shared" ca="1" si="9"/>
        <v>4836312383.2136278</v>
      </c>
      <c r="U64" s="1132">
        <f t="shared" ca="1" si="10"/>
        <v>0.41579617676089181</v>
      </c>
      <c r="V64" s="1133">
        <f t="shared" ca="1" si="11"/>
        <v>5.0000000000000044E-2</v>
      </c>
      <c r="X64" s="1134">
        <f t="shared" ca="1" si="18"/>
        <v>258388874.64480013</v>
      </c>
      <c r="Y64" s="1134">
        <f t="shared" ca="1" si="12"/>
        <v>3846117.633556366</v>
      </c>
      <c r="Z64" s="1134">
        <f t="shared" ca="1" si="13"/>
        <v>254542757.01124376</v>
      </c>
      <c r="AA64" s="1132">
        <f t="shared" ca="1" si="14"/>
        <v>0.44488442604132256</v>
      </c>
      <c r="AB64" s="1105"/>
    </row>
    <row r="65" spans="1:29">
      <c r="A65" s="1144">
        <f>'AMORT. PROFILE 0% CPR'!A65</f>
        <v>46657</v>
      </c>
      <c r="C65" s="1104"/>
      <c r="D65" s="1125">
        <f t="shared" ca="1" si="0"/>
        <v>47879</v>
      </c>
      <c r="E65" s="1126">
        <f t="shared" ca="1" si="1"/>
        <v>47906</v>
      </c>
      <c r="F65" s="1127">
        <f t="shared" ca="1" si="2"/>
        <v>1676</v>
      </c>
      <c r="G65" s="1128">
        <f ca="1">IF(F65&lt;&gt;"",COUNTIF($F$11:F65,"&gt;0"),"")</f>
        <v>55</v>
      </c>
      <c r="H65" s="1129">
        <v>8.0604177340755125E-3</v>
      </c>
      <c r="I65" s="1128"/>
      <c r="J65" s="1130">
        <f t="shared" ca="1" si="3"/>
        <v>5090855140.2248716</v>
      </c>
      <c r="K65" s="1131">
        <f t="shared" ca="1" si="4"/>
        <v>41034419.053878032</v>
      </c>
      <c r="L65" s="1130">
        <f t="shared" ca="1" si="5"/>
        <v>34966890.877702877</v>
      </c>
      <c r="M65" s="1130">
        <f t="shared" ca="1" si="6"/>
        <v>0</v>
      </c>
      <c r="N65" s="1130">
        <f t="shared" ca="1" si="15"/>
        <v>5014853830.2932911</v>
      </c>
      <c r="O65" s="1073"/>
      <c r="P65" s="1130">
        <f t="shared" ca="1" si="7"/>
        <v>76001309.931580544</v>
      </c>
      <c r="Q65" s="1130">
        <f t="shared" ca="1" si="8"/>
        <v>4764111138.7786264</v>
      </c>
      <c r="R65" s="1130">
        <f t="shared" ca="1" si="16"/>
        <v>4836312383.2136278</v>
      </c>
      <c r="S65" s="1130">
        <f t="shared" ca="1" si="17"/>
        <v>72201244.435001373</v>
      </c>
      <c r="T65" s="1130">
        <f t="shared" ca="1" si="9"/>
        <v>4764111138.7786264</v>
      </c>
      <c r="U65" s="1132">
        <f t="shared" ca="1" si="10"/>
        <v>0.40960705190168945</v>
      </c>
      <c r="V65" s="1133">
        <f t="shared" ca="1" si="11"/>
        <v>5.0000000000000044E-2</v>
      </c>
      <c r="X65" s="1134">
        <f t="shared" ca="1" si="18"/>
        <v>254542757.01124376</v>
      </c>
      <c r="Y65" s="1134">
        <f t="shared" ca="1" si="12"/>
        <v>3800065.4965791702</v>
      </c>
      <c r="Z65" s="1134">
        <f t="shared" ca="1" si="13"/>
        <v>250742691.51466459</v>
      </c>
      <c r="AA65" s="1132">
        <f t="shared" ca="1" si="14"/>
        <v>0.43826232267776127</v>
      </c>
      <c r="AB65" s="1105"/>
    </row>
    <row r="66" spans="1:29">
      <c r="A66" s="1144">
        <f>'AMORT. PROFILE 0% CPR'!A66</f>
        <v>46687</v>
      </c>
      <c r="C66" s="1104"/>
      <c r="D66" s="1125">
        <f t="shared" ca="1" si="0"/>
        <v>47907</v>
      </c>
      <c r="E66" s="1126">
        <f t="shared" ca="1" si="1"/>
        <v>47934</v>
      </c>
      <c r="F66" s="1127">
        <f t="shared" ca="1" si="2"/>
        <v>1704</v>
      </c>
      <c r="G66" s="1128">
        <f ca="1">IF(F66&lt;&gt;"",COUNTIF($F$11:F66,"&gt;0"),"")</f>
        <v>56</v>
      </c>
      <c r="H66" s="1129">
        <v>8.1077891435882166E-3</v>
      </c>
      <c r="I66" s="1128"/>
      <c r="J66" s="1130">
        <f t="shared" ca="1" si="3"/>
        <v>5014853830.2932911</v>
      </c>
      <c r="K66" s="1131">
        <f t="shared" ca="1" si="4"/>
        <v>40659377.441933729</v>
      </c>
      <c r="L66" s="1130">
        <f t="shared" ca="1" si="5"/>
        <v>34443225.659107275</v>
      </c>
      <c r="M66" s="1130">
        <f t="shared" ca="1" si="6"/>
        <v>0</v>
      </c>
      <c r="N66" s="1130">
        <f t="shared" ca="1" si="15"/>
        <v>4939751227.1922503</v>
      </c>
      <c r="O66" s="1073"/>
      <c r="P66" s="1130">
        <f t="shared" ca="1" si="7"/>
        <v>75102603.10104084</v>
      </c>
      <c r="Q66" s="1130">
        <f t="shared" ca="1" si="8"/>
        <v>4692763665.8326378</v>
      </c>
      <c r="R66" s="1130">
        <f t="shared" ca="1" si="16"/>
        <v>4764111138.7786264</v>
      </c>
      <c r="S66" s="1130">
        <f t="shared" ca="1" si="17"/>
        <v>71347472.945988655</v>
      </c>
      <c r="T66" s="1130">
        <f t="shared" ca="1" si="9"/>
        <v>4692763665.8326378</v>
      </c>
      <c r="U66" s="1132">
        <f t="shared" ca="1" si="10"/>
        <v>0.40349203357092506</v>
      </c>
      <c r="V66" s="1133">
        <f t="shared" ca="1" si="11"/>
        <v>5.0000000000000044E-2</v>
      </c>
      <c r="X66" s="1134">
        <f t="shared" ca="1" si="18"/>
        <v>250742691.51466459</v>
      </c>
      <c r="Y66" s="1134">
        <f t="shared" ca="1" si="12"/>
        <v>3755130.1550521851</v>
      </c>
      <c r="Z66" s="1134">
        <f t="shared" ca="1" si="13"/>
        <v>246987561.35961241</v>
      </c>
      <c r="AA66" s="1132">
        <f t="shared" ca="1" si="14"/>
        <v>0.43171951018365118</v>
      </c>
      <c r="AB66" s="1105"/>
    </row>
    <row r="67" spans="1:29">
      <c r="A67" s="1144">
        <f>'AMORT. PROFILE 0% CPR'!A67</f>
        <v>46720</v>
      </c>
      <c r="C67" s="1104"/>
      <c r="D67" s="1125">
        <f t="shared" ca="1" si="0"/>
        <v>47938</v>
      </c>
      <c r="E67" s="1126">
        <f t="shared" ca="1" si="1"/>
        <v>47966</v>
      </c>
      <c r="F67" s="1127">
        <f t="shared" ca="1" si="2"/>
        <v>1736</v>
      </c>
      <c r="G67" s="1128">
        <f ca="1">IF(F67&lt;&gt;"",COUNTIF($F$11:F67,"&gt;0"),"")</f>
        <v>57</v>
      </c>
      <c r="H67" s="1129">
        <v>8.1599804012892924E-3</v>
      </c>
      <c r="I67" s="1128"/>
      <c r="J67" s="1130">
        <f t="shared" ca="1" si="3"/>
        <v>4939751227.1922503</v>
      </c>
      <c r="K67" s="1131">
        <f t="shared" ca="1" si="4"/>
        <v>40308273.20113349</v>
      </c>
      <c r="L67" s="1130">
        <f t="shared" ca="1" si="5"/>
        <v>33925617.678960077</v>
      </c>
      <c r="M67" s="1130">
        <f t="shared" ca="1" si="6"/>
        <v>0</v>
      </c>
      <c r="N67" s="1130">
        <f t="shared" ca="1" si="15"/>
        <v>4865517336.3121567</v>
      </c>
      <c r="O67" s="1073"/>
      <c r="P67" s="1130">
        <f t="shared" ca="1" si="7"/>
        <v>74233890.880093575</v>
      </c>
      <c r="Q67" s="1130">
        <f t="shared" ca="1" si="8"/>
        <v>4622241469.4965487</v>
      </c>
      <c r="R67" s="1130">
        <f t="shared" ca="1" si="16"/>
        <v>4692763665.8326378</v>
      </c>
      <c r="S67" s="1130">
        <f t="shared" ca="1" si="17"/>
        <v>70522196.336089134</v>
      </c>
      <c r="T67" s="1130">
        <f t="shared" ca="1" si="9"/>
        <v>4622241469.4965487</v>
      </c>
      <c r="U67" s="1132">
        <f t="shared" ca="1" si="10"/>
        <v>0.39744932463519189</v>
      </c>
      <c r="V67" s="1133">
        <f t="shared" ca="1" si="11"/>
        <v>5.0000000000000044E-2</v>
      </c>
      <c r="X67" s="1134">
        <f t="shared" ca="1" si="18"/>
        <v>246987561.35961241</v>
      </c>
      <c r="Y67" s="1134">
        <f t="shared" ca="1" si="12"/>
        <v>3711694.5440044403</v>
      </c>
      <c r="Z67" s="1134">
        <f t="shared" ca="1" si="13"/>
        <v>243275866.81560796</v>
      </c>
      <c r="AA67" s="1132">
        <f t="shared" ca="1" si="14"/>
        <v>0.42525406570181201</v>
      </c>
      <c r="AB67" s="1105"/>
    </row>
    <row r="68" spans="1:29">
      <c r="A68" s="1144">
        <f>'AMORT. PROFILE 0% CPR'!A68</f>
        <v>46748</v>
      </c>
      <c r="C68" s="1104"/>
      <c r="D68" s="1125">
        <f t="shared" ca="1" si="0"/>
        <v>47968</v>
      </c>
      <c r="E68" s="1126">
        <f t="shared" ca="1" si="1"/>
        <v>47995</v>
      </c>
      <c r="F68" s="1127">
        <f t="shared" ca="1" si="2"/>
        <v>1765</v>
      </c>
      <c r="G68" s="1128">
        <f ca="1">IF(F68&lt;&gt;"",COUNTIF($F$11:F68,"&gt;0"),"")</f>
        <v>58</v>
      </c>
      <c r="H68" s="1129">
        <v>8.1913894371840826E-3</v>
      </c>
      <c r="I68" s="1128"/>
      <c r="J68" s="1130">
        <f t="shared" ca="1" si="3"/>
        <v>4865517336.3121567</v>
      </c>
      <c r="K68" s="1131">
        <f t="shared" ca="1" si="4"/>
        <v>39855347.315103434</v>
      </c>
      <c r="L68" s="1130">
        <f t="shared" ca="1" si="5"/>
        <v>33414730.046656016</v>
      </c>
      <c r="M68" s="1130">
        <f t="shared" ca="1" si="6"/>
        <v>0</v>
      </c>
      <c r="N68" s="1130">
        <f t="shared" ca="1" si="15"/>
        <v>4792247258.9503975</v>
      </c>
      <c r="O68" s="1073"/>
      <c r="P68" s="1130">
        <f t="shared" ca="1" si="7"/>
        <v>73270077.361759186</v>
      </c>
      <c r="Q68" s="1130">
        <f t="shared" ca="1" si="8"/>
        <v>4552634896.0028772</v>
      </c>
      <c r="R68" s="1130">
        <f t="shared" ca="1" si="16"/>
        <v>4622241469.4965487</v>
      </c>
      <c r="S68" s="1130">
        <f t="shared" ca="1" si="17"/>
        <v>69606573.493671417</v>
      </c>
      <c r="T68" s="1130">
        <f t="shared" ca="1" si="9"/>
        <v>4552634896.0028772</v>
      </c>
      <c r="U68" s="1132">
        <f t="shared" ca="1" si="10"/>
        <v>0.39147651174677728</v>
      </c>
      <c r="V68" s="1133">
        <f t="shared" ca="1" si="11"/>
        <v>5.0000000000000044E-2</v>
      </c>
      <c r="X68" s="1134">
        <f t="shared" ca="1" si="18"/>
        <v>243275866.81560796</v>
      </c>
      <c r="Y68" s="1134">
        <f t="shared" ca="1" si="12"/>
        <v>3663503.8680877686</v>
      </c>
      <c r="Z68" s="1134">
        <f t="shared" ca="1" si="13"/>
        <v>239612362.9475202</v>
      </c>
      <c r="AA68" s="1132">
        <f t="shared" ca="1" si="14"/>
        <v>0.41886340705166658</v>
      </c>
      <c r="AB68" s="1105"/>
    </row>
    <row r="69" spans="1:29">
      <c r="A69" s="1144">
        <f>'AMORT. PROFILE 0% CPR'!A69</f>
        <v>46779</v>
      </c>
      <c r="C69" s="1104"/>
      <c r="D69" s="1125">
        <f t="shared" ca="1" si="0"/>
        <v>47999</v>
      </c>
      <c r="E69" s="1126">
        <f t="shared" ca="1" si="1"/>
        <v>48026</v>
      </c>
      <c r="F69" s="1127">
        <f t="shared" ca="1" si="2"/>
        <v>1796</v>
      </c>
      <c r="G69" s="1128">
        <f ca="1">IF(F69&lt;&gt;"",COUNTIF($F$11:F69,"&gt;0"),"")</f>
        <v>59</v>
      </c>
      <c r="H69" s="1129">
        <v>8.2464933015456848E-3</v>
      </c>
      <c r="I69" s="1128"/>
      <c r="J69" s="1130">
        <f t="shared" ca="1" si="3"/>
        <v>4792247258.9503975</v>
      </c>
      <c r="K69" s="1131">
        <f t="shared" ca="1" si="4"/>
        <v>39519234.920285121</v>
      </c>
      <c r="L69" s="1130">
        <f t="shared" ca="1" si="5"/>
        <v>32909707.366625935</v>
      </c>
      <c r="M69" s="1130">
        <f t="shared" ca="1" si="6"/>
        <v>0</v>
      </c>
      <c r="N69" s="1130">
        <f t="shared" ca="1" si="15"/>
        <v>4719818316.6634865</v>
      </c>
      <c r="O69" s="1073"/>
      <c r="P69" s="1130">
        <f t="shared" ca="1" si="7"/>
        <v>72428942.286911011</v>
      </c>
      <c r="Q69" s="1130">
        <f t="shared" ca="1" si="8"/>
        <v>4483827400.8303118</v>
      </c>
      <c r="R69" s="1130">
        <f t="shared" ca="1" si="16"/>
        <v>4552634896.0028772</v>
      </c>
      <c r="S69" s="1130">
        <f t="shared" ca="1" si="17"/>
        <v>68807495.17256546</v>
      </c>
      <c r="T69" s="1130">
        <f t="shared" ca="1" si="9"/>
        <v>4483827400.8303118</v>
      </c>
      <c r="U69" s="1132">
        <f t="shared" ca="1" si="10"/>
        <v>0.38558124669717436</v>
      </c>
      <c r="V69" s="1133">
        <f t="shared" ca="1" si="11"/>
        <v>5.0000000000000044E-2</v>
      </c>
      <c r="X69" s="1134">
        <f t="shared" ca="1" si="18"/>
        <v>239612362.9475202</v>
      </c>
      <c r="Y69" s="1134">
        <f t="shared" ca="1" si="12"/>
        <v>3621447.1143455505</v>
      </c>
      <c r="Z69" s="1134">
        <f t="shared" ca="1" si="13"/>
        <v>235990915.83317465</v>
      </c>
      <c r="AA69" s="1132">
        <f t="shared" ca="1" si="14"/>
        <v>0.41255572132837498</v>
      </c>
      <c r="AB69" s="1105"/>
    </row>
    <row r="70" spans="1:29">
      <c r="A70" s="1144">
        <f>'AMORT. PROFILE 0% CPR'!A70</f>
        <v>46811</v>
      </c>
      <c r="C70" s="1104"/>
      <c r="D70" s="1125">
        <f t="shared" ca="1" si="0"/>
        <v>48029</v>
      </c>
      <c r="E70" s="1126">
        <f t="shared" ca="1" si="1"/>
        <v>48057</v>
      </c>
      <c r="F70" s="1127">
        <f t="shared" ca="1" si="2"/>
        <v>1827</v>
      </c>
      <c r="G70" s="1128">
        <f ca="1">IF(F70&lt;&gt;"",COUNTIF($F$11:F70,"&gt;0"),"")</f>
        <v>60</v>
      </c>
      <c r="H70" s="1129">
        <v>8.287265658053232E-3</v>
      </c>
      <c r="I70" s="1128"/>
      <c r="J70" s="1130">
        <f t="shared" ca="1" si="3"/>
        <v>4719818316.6634865</v>
      </c>
      <c r="K70" s="1131">
        <f t="shared" ca="1" si="4"/>
        <v>39114388.247935928</v>
      </c>
      <c r="L70" s="1130">
        <f t="shared" ca="1" si="5"/>
        <v>32410984.970133483</v>
      </c>
      <c r="M70" s="1130">
        <f t="shared" ca="1" si="6"/>
        <v>0</v>
      </c>
      <c r="N70" s="1130">
        <f t="shared" ca="1" si="15"/>
        <v>4648292943.4454165</v>
      </c>
      <c r="O70" s="1073"/>
      <c r="P70" s="1130">
        <f t="shared" ca="1" si="7"/>
        <v>71525373.21807003</v>
      </c>
      <c r="Q70" s="1130">
        <f t="shared" ca="1" si="8"/>
        <v>4415878296.2731457</v>
      </c>
      <c r="R70" s="1130">
        <f t="shared" ca="1" si="16"/>
        <v>4483827400.8303118</v>
      </c>
      <c r="S70" s="1130">
        <f t="shared" ca="1" si="17"/>
        <v>67949104.5571661</v>
      </c>
      <c r="T70" s="1130">
        <f t="shared" ca="1" si="9"/>
        <v>4415878296.2731457</v>
      </c>
      <c r="U70" s="1132">
        <f t="shared" ca="1" si="10"/>
        <v>0.37975365885479301</v>
      </c>
      <c r="V70" s="1133">
        <f t="shared" ca="1" si="11"/>
        <v>5.0000000000000044E-2</v>
      </c>
      <c r="X70" s="1134">
        <f t="shared" ca="1" si="18"/>
        <v>235990915.83317465</v>
      </c>
      <c r="Y70" s="1134">
        <f t="shared" ca="1" si="12"/>
        <v>3576268.6609039307</v>
      </c>
      <c r="Z70" s="1134">
        <f t="shared" ca="1" si="13"/>
        <v>232414647.17227072</v>
      </c>
      <c r="AA70" s="1132">
        <f t="shared" ca="1" si="14"/>
        <v>0.40632044737116846</v>
      </c>
      <c r="AB70" s="1105"/>
    </row>
    <row r="71" spans="1:29">
      <c r="A71" s="1144">
        <f>'AMORT. PROFILE 0% CPR'!A71</f>
        <v>46839</v>
      </c>
      <c r="C71" s="1104"/>
      <c r="D71" s="1125">
        <f t="shared" ca="1" si="0"/>
        <v>48060</v>
      </c>
      <c r="E71" s="1126">
        <f t="shared" ca="1" si="1"/>
        <v>48087</v>
      </c>
      <c r="F71" s="1127">
        <f t="shared" ca="1" si="2"/>
        <v>1857</v>
      </c>
      <c r="G71" s="1128">
        <f ca="1">IF(F71&lt;&gt;"",COUNTIF($F$11:F71,"&gt;0"),"")</f>
        <v>61</v>
      </c>
      <c r="H71" s="1129">
        <v>8.3338356636277009E-3</v>
      </c>
      <c r="I71" s="1128"/>
      <c r="J71" s="1130">
        <f t="shared" ca="1" si="3"/>
        <v>4648292943.4454165</v>
      </c>
      <c r="K71" s="1131">
        <f t="shared" ca="1" si="4"/>
        <v>38738109.507074393</v>
      </c>
      <c r="L71" s="1130">
        <f t="shared" ca="1" si="5"/>
        <v>31918321.416316271</v>
      </c>
      <c r="M71" s="1130">
        <f t="shared" ca="1" si="6"/>
        <v>0</v>
      </c>
      <c r="N71" s="1130">
        <f t="shared" ca="1" si="15"/>
        <v>4577636512.5220261</v>
      </c>
      <c r="O71" s="1073"/>
      <c r="P71" s="1130">
        <f t="shared" ca="1" si="7"/>
        <v>70656430.923390388</v>
      </c>
      <c r="Q71" s="1130">
        <f t="shared" ca="1" si="8"/>
        <v>4348754686.8959246</v>
      </c>
      <c r="R71" s="1130">
        <f t="shared" ca="1" si="16"/>
        <v>4415878296.2731457</v>
      </c>
      <c r="S71" s="1130">
        <f t="shared" ca="1" si="17"/>
        <v>67123609.377221107</v>
      </c>
      <c r="T71" s="1130">
        <f t="shared" ca="1" si="9"/>
        <v>4348754686.8959246</v>
      </c>
      <c r="U71" s="1132">
        <f t="shared" ca="1" si="10"/>
        <v>0.37399877162012551</v>
      </c>
      <c r="V71" s="1133">
        <f t="shared" ca="1" si="11"/>
        <v>5.0000000000000044E-2</v>
      </c>
      <c r="X71" s="1134">
        <f t="shared" ca="1" si="18"/>
        <v>232414647.17227072</v>
      </c>
      <c r="Y71" s="1134">
        <f t="shared" ca="1" si="12"/>
        <v>3532821.546169281</v>
      </c>
      <c r="Z71" s="1134">
        <f t="shared" ca="1" si="13"/>
        <v>228881825.62610143</v>
      </c>
      <c r="AA71" s="1132">
        <f t="shared" ca="1" si="14"/>
        <v>0.40016296000735319</v>
      </c>
      <c r="AB71" s="1105"/>
      <c r="AC71" s="1078"/>
    </row>
    <row r="72" spans="1:29">
      <c r="A72" s="1144">
        <f>'AMORT. PROFILE 0% CPR'!A72</f>
        <v>46870</v>
      </c>
      <c r="C72" s="1104"/>
      <c r="D72" s="1125">
        <f t="shared" ca="1" si="0"/>
        <v>48091</v>
      </c>
      <c r="E72" s="1126">
        <f t="shared" ca="1" si="1"/>
        <v>48120</v>
      </c>
      <c r="F72" s="1127">
        <f t="shared" ca="1" si="2"/>
        <v>1890</v>
      </c>
      <c r="G72" s="1128">
        <f ca="1">IF(F72&lt;&gt;"",COUNTIF($F$11:F72,"&gt;0"),"")</f>
        <v>62</v>
      </c>
      <c r="H72" s="1129">
        <v>8.3879594483353744E-3</v>
      </c>
      <c r="I72" s="1128"/>
      <c r="J72" s="1130">
        <f t="shared" ca="1" si="3"/>
        <v>4577636512.5220261</v>
      </c>
      <c r="K72" s="1131">
        <f t="shared" ca="1" si="4"/>
        <v>38397029.436254121</v>
      </c>
      <c r="L72" s="1130">
        <f t="shared" ca="1" si="5"/>
        <v>31431431.022369951</v>
      </c>
      <c r="M72" s="1130">
        <f t="shared" ca="1" si="6"/>
        <v>0</v>
      </c>
      <c r="N72" s="1130">
        <f t="shared" ca="1" si="15"/>
        <v>4507808052.0634012</v>
      </c>
      <c r="O72" s="1073"/>
      <c r="P72" s="1130">
        <f t="shared" ca="1" si="7"/>
        <v>69828460.45862484</v>
      </c>
      <c r="Q72" s="1130">
        <f t="shared" ca="1" si="8"/>
        <v>4282417649.4602308</v>
      </c>
      <c r="R72" s="1130">
        <f t="shared" ca="1" si="16"/>
        <v>4348754686.8959246</v>
      </c>
      <c r="S72" s="1130">
        <f t="shared" ca="1" si="17"/>
        <v>66337037.435693741</v>
      </c>
      <c r="T72" s="1130">
        <f t="shared" ca="1" si="9"/>
        <v>4282417649.4602308</v>
      </c>
      <c r="U72" s="1132">
        <f t="shared" ca="1" si="10"/>
        <v>0.36831379894436655</v>
      </c>
      <c r="V72" s="1133">
        <f t="shared" ca="1" si="11"/>
        <v>5.0000000000000044E-2</v>
      </c>
      <c r="X72" s="1134">
        <f t="shared" ca="1" si="18"/>
        <v>228881825.62610143</v>
      </c>
      <c r="Y72" s="1134">
        <f t="shared" ca="1" si="12"/>
        <v>3491423.0229310989</v>
      </c>
      <c r="Z72" s="1134">
        <f t="shared" ca="1" si="13"/>
        <v>225390402.60317034</v>
      </c>
      <c r="AA72" s="1132">
        <f t="shared" ca="1" si="14"/>
        <v>0.3940802782818551</v>
      </c>
      <c r="AB72" s="1105"/>
      <c r="AC72" s="1078"/>
    </row>
    <row r="73" spans="1:29">
      <c r="A73" s="1144">
        <f>'AMORT. PROFILE 0% CPR'!A73</f>
        <v>46902</v>
      </c>
      <c r="C73" s="1104"/>
      <c r="D73" s="1125">
        <f t="shared" ca="1" si="0"/>
        <v>48121</v>
      </c>
      <c r="E73" s="1126">
        <f t="shared" ca="1" si="1"/>
        <v>48148</v>
      </c>
      <c r="F73" s="1127">
        <f t="shared" ca="1" si="2"/>
        <v>1918</v>
      </c>
      <c r="G73" s="1128">
        <f ca="1">IF(F73&lt;&gt;"",COUNTIF($F$11:F73,"&gt;0"),"")</f>
        <v>63</v>
      </c>
      <c r="H73" s="1129">
        <v>8.4259318894268839E-3</v>
      </c>
      <c r="I73" s="1128"/>
      <c r="J73" s="1130">
        <f t="shared" ca="1" si="3"/>
        <v>4507808052.0634012</v>
      </c>
      <c r="K73" s="1131">
        <f t="shared" ca="1" si="4"/>
        <v>37982483.617296293</v>
      </c>
      <c r="L73" s="1130">
        <f t="shared" ca="1" si="5"/>
        <v>30950782.517676786</v>
      </c>
      <c r="M73" s="1130">
        <f t="shared" ca="1" si="6"/>
        <v>0</v>
      </c>
      <c r="N73" s="1130">
        <f t="shared" ca="1" si="15"/>
        <v>4438874785.9284286</v>
      </c>
      <c r="O73" s="1073"/>
      <c r="P73" s="1130">
        <f t="shared" ca="1" si="7"/>
        <v>68933266.134972572</v>
      </c>
      <c r="Q73" s="1130">
        <f t="shared" ca="1" si="8"/>
        <v>4216931046.6320071</v>
      </c>
      <c r="R73" s="1130">
        <f t="shared" ca="1" si="16"/>
        <v>4282417649.4602308</v>
      </c>
      <c r="S73" s="1130">
        <f t="shared" ca="1" si="17"/>
        <v>65486602.828223705</v>
      </c>
      <c r="T73" s="1130">
        <f t="shared" ca="1" si="9"/>
        <v>4216931046.6320071</v>
      </c>
      <c r="U73" s="1132">
        <f t="shared" ca="1" si="10"/>
        <v>0.36269544425945449</v>
      </c>
      <c r="V73" s="1133">
        <f t="shared" ca="1" si="11"/>
        <v>5.0000000000000044E-2</v>
      </c>
      <c r="X73" s="1134">
        <f t="shared" ca="1" si="18"/>
        <v>225390402.60317034</v>
      </c>
      <c r="Y73" s="1134">
        <f t="shared" ca="1" si="12"/>
        <v>3446663.306748867</v>
      </c>
      <c r="Z73" s="1134">
        <f t="shared" ca="1" si="13"/>
        <v>221943739.29642147</v>
      </c>
      <c r="AA73" s="1132">
        <f t="shared" ca="1" si="14"/>
        <v>0.38806887500545856</v>
      </c>
      <c r="AB73" s="1105"/>
      <c r="AC73" s="1078"/>
    </row>
    <row r="74" spans="1:29">
      <c r="A74" s="1144">
        <f>'AMORT. PROFILE 0% CPR'!A74</f>
        <v>46931</v>
      </c>
      <c r="C74" s="1104"/>
      <c r="D74" s="1125">
        <f t="shared" ca="1" si="0"/>
        <v>48152</v>
      </c>
      <c r="E74" s="1126">
        <f t="shared" ca="1" si="1"/>
        <v>48179</v>
      </c>
      <c r="F74" s="1127">
        <f t="shared" ca="1" si="2"/>
        <v>1949</v>
      </c>
      <c r="G74" s="1128">
        <f ca="1">IF(F74&lt;&gt;"",COUNTIF($F$11:F74,"&gt;0"),"")</f>
        <v>64</v>
      </c>
      <c r="H74" s="1129">
        <v>8.4724727099141466E-3</v>
      </c>
      <c r="I74" s="1128"/>
      <c r="J74" s="1130">
        <f t="shared" ca="1" si="3"/>
        <v>4438874785.9284286</v>
      </c>
      <c r="K74" s="1131">
        <f t="shared" ca="1" si="4"/>
        <v>37608245.486504614</v>
      </c>
      <c r="L74" s="1130">
        <f t="shared" ca="1" si="5"/>
        <v>30476053.575151544</v>
      </c>
      <c r="M74" s="1130">
        <f t="shared" ca="1" si="6"/>
        <v>0</v>
      </c>
      <c r="N74" s="1130">
        <f t="shared" ca="1" si="15"/>
        <v>4370790486.8667727</v>
      </c>
      <c r="O74" s="1073"/>
      <c r="P74" s="1130">
        <f t="shared" ca="1" si="7"/>
        <v>68084299.061655998</v>
      </c>
      <c r="Q74" s="1130">
        <f t="shared" ca="1" si="8"/>
        <v>4152250962.5234337</v>
      </c>
      <c r="R74" s="1130">
        <f t="shared" ca="1" si="16"/>
        <v>4216931046.6320071</v>
      </c>
      <c r="S74" s="1130">
        <f t="shared" ca="1" si="17"/>
        <v>64680084.108573437</v>
      </c>
      <c r="T74" s="1130">
        <f t="shared" ca="1" si="9"/>
        <v>4152250962.5234337</v>
      </c>
      <c r="U74" s="1132">
        <f t="shared" ca="1" si="10"/>
        <v>0.35714911635544472</v>
      </c>
      <c r="V74" s="1133">
        <f t="shared" ca="1" si="11"/>
        <v>5.0000000000000044E-2</v>
      </c>
      <c r="X74" s="1134">
        <f t="shared" ca="1" si="18"/>
        <v>221943739.29642147</v>
      </c>
      <c r="Y74" s="1134">
        <f t="shared" ca="1" si="12"/>
        <v>3404214.9530825615</v>
      </c>
      <c r="Z74" s="1134">
        <f t="shared" ca="1" si="13"/>
        <v>218539524.34333891</v>
      </c>
      <c r="AA74" s="1132">
        <f t="shared" ca="1" si="14"/>
        <v>0.38213453735609759</v>
      </c>
      <c r="AB74" s="1105"/>
      <c r="AC74" s="1078"/>
    </row>
    <row r="75" spans="1:29">
      <c r="A75" s="1144">
        <f>'AMORT. PROFILE 0% CPR'!A75</f>
        <v>46961</v>
      </c>
      <c r="C75" s="1104"/>
      <c r="D75" s="1125">
        <f t="shared" ca="1" si="0"/>
        <v>48182</v>
      </c>
      <c r="E75" s="1126">
        <f t="shared" ca="1" si="1"/>
        <v>48211</v>
      </c>
      <c r="F75" s="1127">
        <f t="shared" ca="1" si="2"/>
        <v>1981</v>
      </c>
      <c r="G75" s="1128">
        <f ca="1">IF(F75&lt;&gt;"",COUNTIF($F$11:F75,"&gt;0"),"")</f>
        <v>65</v>
      </c>
      <c r="H75" s="1129">
        <v>8.5119458346093087E-3</v>
      </c>
      <c r="I75" s="1128"/>
      <c r="J75" s="1130">
        <f t="shared" ca="1" si="3"/>
        <v>4370790486.8667727</v>
      </c>
      <c r="K75" s="1131">
        <f t="shared" ca="1" si="4"/>
        <v>37203931.878635615</v>
      </c>
      <c r="L75" s="1130">
        <f t="shared" ca="1" si="5"/>
        <v>30007411.459591784</v>
      </c>
      <c r="M75" s="1130">
        <f t="shared" ca="1" si="6"/>
        <v>0</v>
      </c>
      <c r="N75" s="1130">
        <f t="shared" ca="1" si="15"/>
        <v>4303579143.5285454</v>
      </c>
      <c r="O75" s="1073"/>
      <c r="P75" s="1130">
        <f t="shared" ca="1" si="7"/>
        <v>67211343.338227272</v>
      </c>
      <c r="Q75" s="1130">
        <f t="shared" ca="1" si="8"/>
        <v>4088400186.352118</v>
      </c>
      <c r="R75" s="1130">
        <f t="shared" ca="1" si="16"/>
        <v>4152250962.5234337</v>
      </c>
      <c r="S75" s="1130">
        <f t="shared" ca="1" si="17"/>
        <v>63850776.17131567</v>
      </c>
      <c r="T75" s="1130">
        <f t="shared" ca="1" si="9"/>
        <v>4088400186.352118</v>
      </c>
      <c r="U75" s="1132">
        <f t="shared" ca="1" si="10"/>
        <v>0.35167109581640299</v>
      </c>
      <c r="V75" s="1133">
        <f t="shared" ca="1" si="11"/>
        <v>5.0000000000000044E-2</v>
      </c>
      <c r="X75" s="1134">
        <f t="shared" ca="1" si="18"/>
        <v>218539524.34333891</v>
      </c>
      <c r="Y75" s="1134">
        <f t="shared" ca="1" si="12"/>
        <v>3360567.166911602</v>
      </c>
      <c r="Z75" s="1134">
        <f t="shared" ca="1" si="13"/>
        <v>215178957.1764273</v>
      </c>
      <c r="AA75" s="1132">
        <f t="shared" ca="1" si="14"/>
        <v>0.3762732857151152</v>
      </c>
      <c r="AB75" s="1105"/>
      <c r="AC75" s="1078"/>
    </row>
    <row r="76" spans="1:29">
      <c r="A76" s="1144">
        <f>'AMORT. PROFILE 0% CPR'!A76</f>
        <v>46993</v>
      </c>
      <c r="C76" s="1104"/>
      <c r="D76" s="1125">
        <f t="shared" ref="D76:D139" ca="1" si="19">IF(E76&lt;&gt;"",EOMONTH(E76,-1),"")</f>
        <v>48213</v>
      </c>
      <c r="E76" s="1126">
        <f t="shared" ref="E76:E139" ca="1" si="20">IF(INDIRECT("A"&amp;(IFERROR(MATCH(E75,A:A),999)+1))&gt;0,INDIRECT("A"&amp;(IFERROR(MATCH(E75,A:A),999)+1)),"")</f>
        <v>48240</v>
      </c>
      <c r="F76" s="1127">
        <f t="shared" ref="F76:F139" ca="1" si="21">IF(E76&lt;&gt;"",E76-$A$31,"")</f>
        <v>2010</v>
      </c>
      <c r="G76" s="1128">
        <f ca="1">IF(F76&lt;&gt;"",COUNTIF($F$11:F76,"&gt;0"),"")</f>
        <v>66</v>
      </c>
      <c r="H76" s="1129">
        <v>8.5598230167749263E-3</v>
      </c>
      <c r="I76" s="1128"/>
      <c r="J76" s="1130">
        <f t="shared" ref="J76:J139" ca="1" si="22">IF(G76=1,$A$7,N75)</f>
        <v>4303579143.5285454</v>
      </c>
      <c r="K76" s="1131">
        <f t="shared" ref="K76:K139" ca="1" si="23">H76*J76</f>
        <v>36837875.80728817</v>
      </c>
      <c r="L76" s="1130">
        <f t="shared" ref="L76:L139" ca="1" si="24">IF(E76&lt;&gt;"",(1-(1-$A$25)^(1/12))*(J76-K76),"")</f>
        <v>29544549.113657314</v>
      </c>
      <c r="M76" s="1130">
        <f t="shared" ref="M76:M139" ca="1" si="25">IF(J76-K76-L76&lt;$A$27*$A$5,J76-K76-L76,0)</f>
        <v>0</v>
      </c>
      <c r="N76" s="1130">
        <f t="shared" ca="1" si="15"/>
        <v>4237196718.6075997</v>
      </c>
      <c r="O76" s="1073"/>
      <c r="P76" s="1130">
        <f t="shared" ref="P76:P139" ca="1" si="26">IF(G76&lt;&gt; "", R76+X76-N76, "")</f>
        <v>66382424.920945644</v>
      </c>
      <c r="Q76" s="1130">
        <f t="shared" ref="Q76:Q139" ca="1" si="27">IF(E76&lt;&gt;"", N76*(1-$A$15), "")</f>
        <v>4025336882.6772194</v>
      </c>
      <c r="R76" s="1130">
        <f t="shared" ca="1" si="16"/>
        <v>4088400186.352118</v>
      </c>
      <c r="S76" s="1130">
        <f t="shared" ca="1" si="17"/>
        <v>63063303.674898624</v>
      </c>
      <c r="T76" s="1130">
        <f t="shared" ref="T76:T139" ca="1" si="28">IF(E76&lt;&gt;"", R76-S76, "")</f>
        <v>4025336882.6772194</v>
      </c>
      <c r="U76" s="1132">
        <f t="shared" ref="U76:U139" ca="1" si="29">IF(E76&lt;&gt;"", R76/$A$11, "")</f>
        <v>0.34626331275426164</v>
      </c>
      <c r="V76" s="1133">
        <f t="shared" ref="V76:V139" ca="1" si="30">IF(E76&lt;&gt;"", IFERROR(1-T76/N76, "n.a."), "")</f>
        <v>5.0000000000000044E-2</v>
      </c>
      <c r="X76" s="1134">
        <f t="shared" ca="1" si="18"/>
        <v>215178957.1764273</v>
      </c>
      <c r="Y76" s="1134">
        <f t="shared" ref="Y76:Y139" ca="1" si="31">IF(E76&lt;&gt;"", P76-S76, "")</f>
        <v>3319121.24604702</v>
      </c>
      <c r="Z76" s="1134">
        <f t="shared" ref="Z76:Z139" ca="1" si="32">IF(E76&lt;&gt;"", X76-Y76, "")</f>
        <v>211859835.93038028</v>
      </c>
      <c r="AA76" s="1132">
        <f t="shared" ref="AA76:AA139" ca="1" si="33">IF(E76&lt;&gt;"", X76/$A$19, "")</f>
        <v>0.3704871852211214</v>
      </c>
      <c r="AB76" s="1105"/>
      <c r="AC76" s="1078"/>
    </row>
    <row r="77" spans="1:29">
      <c r="A77" s="1144">
        <f>'AMORT. PROFILE 0% CPR'!A77</f>
        <v>47023</v>
      </c>
      <c r="C77" s="1104"/>
      <c r="D77" s="1125">
        <f t="shared" ca="1" si="19"/>
        <v>48244</v>
      </c>
      <c r="E77" s="1126">
        <f t="shared" ca="1" si="20"/>
        <v>48271</v>
      </c>
      <c r="F77" s="1127">
        <f t="shared" ca="1" si="21"/>
        <v>2041</v>
      </c>
      <c r="G77" s="1128">
        <f ca="1">IF(F77&lt;&gt;"",COUNTIF($F$11:F77,"&gt;0"),"")</f>
        <v>67</v>
      </c>
      <c r="H77" s="1129">
        <v>8.6017040674281117E-3</v>
      </c>
      <c r="I77" s="1128"/>
      <c r="J77" s="1130">
        <f t="shared" ca="1" si="22"/>
        <v>4237196718.6075997</v>
      </c>
      <c r="K77" s="1131">
        <f t="shared" ca="1" si="23"/>
        <v>36447112.248940036</v>
      </c>
      <c r="L77" s="1130">
        <f t="shared" ca="1" si="24"/>
        <v>29087597.600105528</v>
      </c>
      <c r="M77" s="1130">
        <f t="shared" ca="1" si="25"/>
        <v>0</v>
      </c>
      <c r="N77" s="1130">
        <f t="shared" ref="N77:N140" ca="1" si="34">IF(E77&lt;&gt;"",J77-K77-L77-M77,"")</f>
        <v>4171662008.758554</v>
      </c>
      <c r="O77" s="1073"/>
      <c r="P77" s="1130">
        <f t="shared" ca="1" si="26"/>
        <v>65534709.849045753</v>
      </c>
      <c r="Q77" s="1130">
        <f t="shared" ca="1" si="27"/>
        <v>3963078908.3206263</v>
      </c>
      <c r="R77" s="1130">
        <f t="shared" ref="R77:R140" ca="1" si="35">IF(E77&lt;&gt;"", T76, "")</f>
        <v>4025336882.6772194</v>
      </c>
      <c r="S77" s="1130">
        <f t="shared" ref="S77:S140" ca="1" si="36">IF(E77&lt;&gt;"", MIN(P77,MAX(R77-Q77,0)), "")</f>
        <v>62257974.356593132</v>
      </c>
      <c r="T77" s="1130">
        <f t="shared" ca="1" si="28"/>
        <v>3963078908.3206263</v>
      </c>
      <c r="U77" s="1132">
        <f t="shared" ca="1" si="29"/>
        <v>0.3409222239546395</v>
      </c>
      <c r="V77" s="1133">
        <f t="shared" ca="1" si="30"/>
        <v>5.0000000000000044E-2</v>
      </c>
      <c r="X77" s="1134">
        <f t="shared" ref="X77:X140" ca="1" si="37">IF(E77&lt;&gt;"", Z76, "")</f>
        <v>211859835.93038028</v>
      </c>
      <c r="Y77" s="1134">
        <f t="shared" ca="1" si="31"/>
        <v>3276735.4924526215</v>
      </c>
      <c r="Z77" s="1134">
        <f t="shared" ca="1" si="32"/>
        <v>208583100.43792766</v>
      </c>
      <c r="AA77" s="1132">
        <f t="shared" ca="1" si="33"/>
        <v>0.36477244478371262</v>
      </c>
      <c r="AB77" s="1105"/>
      <c r="AC77" s="1078"/>
    </row>
    <row r="78" spans="1:29">
      <c r="A78" s="1144">
        <f>'AMORT. PROFILE 0% CPR'!A78</f>
        <v>47053</v>
      </c>
      <c r="C78" s="1104"/>
      <c r="D78" s="1125">
        <f t="shared" ca="1" si="19"/>
        <v>48273</v>
      </c>
      <c r="E78" s="1126">
        <f t="shared" ca="1" si="20"/>
        <v>48303</v>
      </c>
      <c r="F78" s="1127">
        <f t="shared" ca="1" si="21"/>
        <v>2073</v>
      </c>
      <c r="G78" s="1128">
        <f ca="1">IF(F78&lt;&gt;"",COUNTIF($F$11:F78,"&gt;0"),"")</f>
        <v>68</v>
      </c>
      <c r="H78" s="1129">
        <v>8.6433014396991997E-3</v>
      </c>
      <c r="I78" s="1128"/>
      <c r="J78" s="1130">
        <f t="shared" ca="1" si="22"/>
        <v>4171662008.758554</v>
      </c>
      <c r="K78" s="1131">
        <f t="shared" ca="1" si="23"/>
        <v>36056932.246241264</v>
      </c>
      <c r="L78" s="1130">
        <f t="shared" ca="1" si="24"/>
        <v>28636511.949308749</v>
      </c>
      <c r="M78" s="1130">
        <f t="shared" ca="1" si="25"/>
        <v>0</v>
      </c>
      <c r="N78" s="1130">
        <f t="shared" ca="1" si="34"/>
        <v>4106968564.563004</v>
      </c>
      <c r="O78" s="1073"/>
      <c r="P78" s="1130">
        <f t="shared" ca="1" si="26"/>
        <v>64693444.195549965</v>
      </c>
      <c r="Q78" s="1130">
        <f t="shared" ca="1" si="27"/>
        <v>3901620136.3348536</v>
      </c>
      <c r="R78" s="1130">
        <f t="shared" ca="1" si="35"/>
        <v>3963078908.3206263</v>
      </c>
      <c r="S78" s="1130">
        <f t="shared" ca="1" si="36"/>
        <v>61458771.98577261</v>
      </c>
      <c r="T78" s="1130">
        <f t="shared" ca="1" si="28"/>
        <v>3901620136.3348536</v>
      </c>
      <c r="U78" s="1132">
        <f t="shared" ca="1" si="29"/>
        <v>0.33564934178472677</v>
      </c>
      <c r="V78" s="1133">
        <f t="shared" ca="1" si="30"/>
        <v>5.0000000000000044E-2</v>
      </c>
      <c r="X78" s="1134">
        <f t="shared" ca="1" si="37"/>
        <v>208583100.43792766</v>
      </c>
      <c r="Y78" s="1134">
        <f t="shared" ca="1" si="31"/>
        <v>3234672.2097773552</v>
      </c>
      <c r="Z78" s="1134">
        <f t="shared" ca="1" si="32"/>
        <v>205348428.22815031</v>
      </c>
      <c r="AA78" s="1132">
        <f t="shared" ca="1" si="33"/>
        <v>0.3591306825721895</v>
      </c>
      <c r="AB78" s="1105"/>
      <c r="AC78" s="1078"/>
    </row>
    <row r="79" spans="1:29">
      <c r="A79" s="1144">
        <f>'AMORT. PROFILE 0% CPR'!A79</f>
        <v>47084</v>
      </c>
      <c r="C79" s="1104"/>
      <c r="D79" s="1125">
        <f t="shared" ca="1" si="19"/>
        <v>48304</v>
      </c>
      <c r="E79" s="1126">
        <f t="shared" ca="1" si="20"/>
        <v>48331</v>
      </c>
      <c r="F79" s="1127">
        <f t="shared" ca="1" si="21"/>
        <v>2101</v>
      </c>
      <c r="G79" s="1128">
        <f ca="1">IF(F79&lt;&gt;"",COUNTIF($F$11:F79,"&gt;0"),"")</f>
        <v>69</v>
      </c>
      <c r="H79" s="1129">
        <v>8.6963022323994707E-3</v>
      </c>
      <c r="I79" s="1128"/>
      <c r="J79" s="1130">
        <f t="shared" ca="1" si="22"/>
        <v>4106968564.563004</v>
      </c>
      <c r="K79" s="1131">
        <f t="shared" ca="1" si="23"/>
        <v>35715439.8964037</v>
      </c>
      <c r="L79" s="1130">
        <f t="shared" ca="1" si="24"/>
        <v>28190914.411851138</v>
      </c>
      <c r="M79" s="1130">
        <f t="shared" ca="1" si="25"/>
        <v>0</v>
      </c>
      <c r="N79" s="1130">
        <f t="shared" ca="1" si="34"/>
        <v>4043062210.2547493</v>
      </c>
      <c r="O79" s="1073"/>
      <c r="P79" s="1130">
        <f t="shared" ca="1" si="26"/>
        <v>63906354.308254719</v>
      </c>
      <c r="Q79" s="1130">
        <f t="shared" ca="1" si="27"/>
        <v>3840909099.7420115</v>
      </c>
      <c r="R79" s="1130">
        <f t="shared" ca="1" si="35"/>
        <v>3901620136.3348536</v>
      </c>
      <c r="S79" s="1130">
        <f t="shared" ca="1" si="36"/>
        <v>60711036.592842102</v>
      </c>
      <c r="T79" s="1130">
        <f t="shared" ca="1" si="28"/>
        <v>3840909099.7420115</v>
      </c>
      <c r="U79" s="1132">
        <f t="shared" ca="1" si="29"/>
        <v>0.33044414732831268</v>
      </c>
      <c r="V79" s="1133">
        <f t="shared" ca="1" si="30"/>
        <v>5.0000000000000044E-2</v>
      </c>
      <c r="X79" s="1134">
        <f t="shared" ca="1" si="37"/>
        <v>205348428.22815031</v>
      </c>
      <c r="Y79" s="1134">
        <f t="shared" ca="1" si="31"/>
        <v>3195317.7154126167</v>
      </c>
      <c r="Z79" s="1134">
        <f t="shared" ca="1" si="32"/>
        <v>202153110.51273769</v>
      </c>
      <c r="AA79" s="1132">
        <f t="shared" ca="1" si="33"/>
        <v>0.35356134336802741</v>
      </c>
      <c r="AB79" s="1105"/>
      <c r="AC79" s="1078"/>
    </row>
    <row r="80" spans="1:29">
      <c r="A80" s="1144">
        <f>'AMORT. PROFILE 0% CPR'!A80</f>
        <v>47114</v>
      </c>
      <c r="C80" s="1104"/>
      <c r="D80" s="1125">
        <f t="shared" ca="1" si="19"/>
        <v>48334</v>
      </c>
      <c r="E80" s="1126">
        <f t="shared" ca="1" si="20"/>
        <v>48361</v>
      </c>
      <c r="F80" s="1127">
        <f t="shared" ca="1" si="21"/>
        <v>2131</v>
      </c>
      <c r="G80" s="1128">
        <f ca="1">IF(F80&lt;&gt;"",COUNTIF($F$11:F80,"&gt;0"),"")</f>
        <v>70</v>
      </c>
      <c r="H80" s="1129">
        <v>8.7352661988350285E-3</v>
      </c>
      <c r="I80" s="1128"/>
      <c r="J80" s="1130">
        <f t="shared" ca="1" si="22"/>
        <v>4043062210.2547493</v>
      </c>
      <c r="K80" s="1131">
        <f t="shared" ca="1" si="23"/>
        <v>35317224.665025555</v>
      </c>
      <c r="L80" s="1130">
        <f t="shared" ca="1" si="24"/>
        <v>27751159.756871589</v>
      </c>
      <c r="M80" s="1130">
        <f t="shared" ca="1" si="25"/>
        <v>0</v>
      </c>
      <c r="N80" s="1130">
        <f t="shared" ca="1" si="34"/>
        <v>3979993825.8328519</v>
      </c>
      <c r="O80" s="1073"/>
      <c r="P80" s="1130">
        <f t="shared" ca="1" si="26"/>
        <v>63068384.421897411</v>
      </c>
      <c r="Q80" s="1130">
        <f t="shared" ca="1" si="27"/>
        <v>3780994134.5412092</v>
      </c>
      <c r="R80" s="1130">
        <f t="shared" ca="1" si="35"/>
        <v>3840909099.7420115</v>
      </c>
      <c r="S80" s="1130">
        <f t="shared" ca="1" si="36"/>
        <v>59914965.200802326</v>
      </c>
      <c r="T80" s="1130">
        <f t="shared" ca="1" si="28"/>
        <v>3780994134.5412092</v>
      </c>
      <c r="U80" s="1132">
        <f t="shared" ca="1" si="29"/>
        <v>0.32530228163679886</v>
      </c>
      <c r="V80" s="1133">
        <f t="shared" ca="1" si="30"/>
        <v>5.0000000000000044E-2</v>
      </c>
      <c r="X80" s="1134">
        <f t="shared" ca="1" si="37"/>
        <v>202153110.51273769</v>
      </c>
      <c r="Y80" s="1134">
        <f t="shared" ca="1" si="31"/>
        <v>3153419.2210950851</v>
      </c>
      <c r="Z80" s="1134">
        <f t="shared" ca="1" si="32"/>
        <v>198999691.29164261</v>
      </c>
      <c r="AA80" s="1132">
        <f t="shared" ca="1" si="33"/>
        <v>0.34805976327950705</v>
      </c>
      <c r="AB80" s="1105"/>
      <c r="AC80" s="1078"/>
    </row>
    <row r="81" spans="1:29">
      <c r="A81" s="1144">
        <f>'AMORT. PROFILE 0% CPR'!A81</f>
        <v>47147</v>
      </c>
      <c r="C81" s="1104"/>
      <c r="D81" s="1125">
        <f t="shared" ca="1" si="19"/>
        <v>48365</v>
      </c>
      <c r="E81" s="1126">
        <f t="shared" ca="1" si="20"/>
        <v>48393</v>
      </c>
      <c r="F81" s="1127">
        <f t="shared" ca="1" si="21"/>
        <v>2163</v>
      </c>
      <c r="G81" s="1128">
        <f ca="1">IF(F81&lt;&gt;"",COUNTIF($F$11:F81,"&gt;0"),"")</f>
        <v>71</v>
      </c>
      <c r="H81" s="1129">
        <v>8.7880372559361441E-3</v>
      </c>
      <c r="I81" s="1128"/>
      <c r="J81" s="1130">
        <f t="shared" ca="1" si="22"/>
        <v>3979993825.8328519</v>
      </c>
      <c r="K81" s="1131">
        <f t="shared" ca="1" si="23"/>
        <v>34976334.019814931</v>
      </c>
      <c r="L81" s="1130">
        <f t="shared" ca="1" si="24"/>
        <v>27316810.588647541</v>
      </c>
      <c r="M81" s="1130">
        <f t="shared" ca="1" si="25"/>
        <v>0</v>
      </c>
      <c r="N81" s="1130">
        <f t="shared" ca="1" si="34"/>
        <v>3917700681.2243896</v>
      </c>
      <c r="O81" s="1073"/>
      <c r="P81" s="1130">
        <f t="shared" ca="1" si="26"/>
        <v>62293144.608462334</v>
      </c>
      <c r="Q81" s="1130">
        <f t="shared" ca="1" si="27"/>
        <v>3721815647.1631699</v>
      </c>
      <c r="R81" s="1130">
        <f t="shared" ca="1" si="35"/>
        <v>3780994134.5412092</v>
      </c>
      <c r="S81" s="1130">
        <f t="shared" ca="1" si="36"/>
        <v>59178487.37803936</v>
      </c>
      <c r="T81" s="1130">
        <f t="shared" ca="1" si="28"/>
        <v>3721815647.1631699</v>
      </c>
      <c r="U81" s="1132">
        <f t="shared" ca="1" si="29"/>
        <v>0.32022783848340075</v>
      </c>
      <c r="V81" s="1133">
        <f t="shared" ca="1" si="30"/>
        <v>5.0000000000000044E-2</v>
      </c>
      <c r="X81" s="1134">
        <f t="shared" ca="1" si="37"/>
        <v>198999691.29164261</v>
      </c>
      <c r="Y81" s="1134">
        <f t="shared" ca="1" si="31"/>
        <v>3114657.2304229736</v>
      </c>
      <c r="Z81" s="1134">
        <f t="shared" ca="1" si="32"/>
        <v>195885034.06121963</v>
      </c>
      <c r="AA81" s="1132">
        <f t="shared" ca="1" si="33"/>
        <v>0.34263032247183645</v>
      </c>
      <c r="AB81" s="1105"/>
      <c r="AC81" s="1078"/>
    </row>
    <row r="82" spans="1:29">
      <c r="A82" s="1144">
        <f>'AMORT. PROFILE 0% CPR'!A82</f>
        <v>47176</v>
      </c>
      <c r="C82" s="1104"/>
      <c r="D82" s="1125">
        <f t="shared" ca="1" si="19"/>
        <v>48395</v>
      </c>
      <c r="E82" s="1126">
        <f t="shared" ca="1" si="20"/>
        <v>48422</v>
      </c>
      <c r="F82" s="1127">
        <f t="shared" ca="1" si="21"/>
        <v>2192</v>
      </c>
      <c r="G82" s="1128">
        <f ca="1">IF(F82&lt;&gt;"",COUNTIF($F$11:F82,"&gt;0"),"")</f>
        <v>72</v>
      </c>
      <c r="H82" s="1129">
        <v>8.840598743222336E-3</v>
      </c>
      <c r="I82" s="1128"/>
      <c r="J82" s="1130">
        <f t="shared" ca="1" si="22"/>
        <v>3917700681.2243896</v>
      </c>
      <c r="K82" s="1131">
        <f t="shared" ca="1" si="23"/>
        <v>34634819.718753628</v>
      </c>
      <c r="L82" s="1130">
        <f t="shared" ca="1" si="24"/>
        <v>26887833.795952141</v>
      </c>
      <c r="M82" s="1130">
        <f t="shared" ca="1" si="25"/>
        <v>0</v>
      </c>
      <c r="N82" s="1130">
        <f t="shared" ca="1" si="34"/>
        <v>3856178027.7096834</v>
      </c>
      <c r="O82" s="1073"/>
      <c r="P82" s="1130">
        <f t="shared" ca="1" si="26"/>
        <v>61522653.514706135</v>
      </c>
      <c r="Q82" s="1130">
        <f t="shared" ca="1" si="27"/>
        <v>3663369126.3241992</v>
      </c>
      <c r="R82" s="1130">
        <f t="shared" ca="1" si="35"/>
        <v>3721815647.1631699</v>
      </c>
      <c r="S82" s="1130">
        <f t="shared" ca="1" si="36"/>
        <v>58446520.838970661</v>
      </c>
      <c r="T82" s="1130">
        <f t="shared" ca="1" si="28"/>
        <v>3663369126.3241992</v>
      </c>
      <c r="U82" s="1132">
        <f t="shared" ca="1" si="29"/>
        <v>0.3152157706452986</v>
      </c>
      <c r="V82" s="1133">
        <f t="shared" ca="1" si="30"/>
        <v>5.0000000000000044E-2</v>
      </c>
      <c r="X82" s="1134">
        <f t="shared" ca="1" si="37"/>
        <v>195885034.06121963</v>
      </c>
      <c r="Y82" s="1134">
        <f t="shared" ca="1" si="31"/>
        <v>3076132.6757354736</v>
      </c>
      <c r="Z82" s="1134">
        <f t="shared" ca="1" si="32"/>
        <v>192808901.38548416</v>
      </c>
      <c r="AA82" s="1132">
        <f t="shared" ca="1" si="33"/>
        <v>0.33726762062882171</v>
      </c>
      <c r="AB82" s="1105"/>
      <c r="AC82" s="1078"/>
    </row>
    <row r="83" spans="1:29">
      <c r="A83" s="1144">
        <f>'AMORT. PROFILE 0% CPR'!A83</f>
        <v>47204</v>
      </c>
      <c r="C83" s="1104"/>
      <c r="D83" s="1125">
        <f t="shared" ca="1" si="19"/>
        <v>48426</v>
      </c>
      <c r="E83" s="1126">
        <f t="shared" ca="1" si="20"/>
        <v>48453</v>
      </c>
      <c r="F83" s="1127">
        <f t="shared" ca="1" si="21"/>
        <v>2223</v>
      </c>
      <c r="G83" s="1128">
        <f ca="1">IF(F83&lt;&gt;"",COUNTIF($F$11:F83,"&gt;0"),"")</f>
        <v>73</v>
      </c>
      <c r="H83" s="1129">
        <v>8.8999626012095639E-3</v>
      </c>
      <c r="I83" s="1128"/>
      <c r="J83" s="1130">
        <f t="shared" ca="1" si="22"/>
        <v>3856178027.7096834</v>
      </c>
      <c r="K83" s="1131">
        <f t="shared" ca="1" si="23"/>
        <v>34319840.23022224</v>
      </c>
      <c r="L83" s="1130">
        <f t="shared" ca="1" si="24"/>
        <v>26464008.441206686</v>
      </c>
      <c r="M83" s="1130">
        <f t="shared" ca="1" si="25"/>
        <v>0</v>
      </c>
      <c r="N83" s="1130">
        <f t="shared" ca="1" si="34"/>
        <v>3795394179.0382547</v>
      </c>
      <c r="O83" s="1073"/>
      <c r="P83" s="1130">
        <f t="shared" ca="1" si="26"/>
        <v>60783848.67142868</v>
      </c>
      <c r="Q83" s="1130">
        <f t="shared" ca="1" si="27"/>
        <v>3605624470.0863419</v>
      </c>
      <c r="R83" s="1130">
        <f t="shared" ca="1" si="35"/>
        <v>3663369126.3241992</v>
      </c>
      <c r="S83" s="1130">
        <f t="shared" ca="1" si="36"/>
        <v>57744656.237857342</v>
      </c>
      <c r="T83" s="1130">
        <f t="shared" ca="1" si="28"/>
        <v>3605624470.0863419</v>
      </c>
      <c r="U83" s="1132">
        <f t="shared" ca="1" si="29"/>
        <v>0.310265696043448</v>
      </c>
      <c r="V83" s="1133">
        <f t="shared" ca="1" si="30"/>
        <v>5.0000000000000044E-2</v>
      </c>
      <c r="X83" s="1134">
        <f t="shared" ca="1" si="37"/>
        <v>192808901.38548416</v>
      </c>
      <c r="Y83" s="1134">
        <f t="shared" ca="1" si="31"/>
        <v>3039192.4335713387</v>
      </c>
      <c r="Z83" s="1134">
        <f t="shared" ca="1" si="32"/>
        <v>189769708.95191282</v>
      </c>
      <c r="AA83" s="1132">
        <f t="shared" ca="1" si="33"/>
        <v>0.33197124894194929</v>
      </c>
      <c r="AB83" s="1105"/>
      <c r="AC83" s="1078"/>
    </row>
    <row r="84" spans="1:29">
      <c r="A84" s="1144">
        <f>'AMORT. PROFILE 0% CPR'!A84</f>
        <v>47235</v>
      </c>
      <c r="C84" s="1104"/>
      <c r="D84" s="1125">
        <f t="shared" ca="1" si="19"/>
        <v>48457</v>
      </c>
      <c r="E84" s="1126">
        <f t="shared" ca="1" si="20"/>
        <v>48484</v>
      </c>
      <c r="F84" s="1127">
        <f t="shared" ca="1" si="21"/>
        <v>2254</v>
      </c>
      <c r="G84" s="1128">
        <f ca="1">IF(F84&lt;&gt;"",COUNTIF($F$11:F84,"&gt;0"),"")</f>
        <v>74</v>
      </c>
      <c r="H84" s="1129">
        <v>8.9664940180044853E-3</v>
      </c>
      <c r="I84" s="1073"/>
      <c r="J84" s="1130">
        <f t="shared" ca="1" si="22"/>
        <v>3795394179.0382547</v>
      </c>
      <c r="K84" s="1131">
        <f t="shared" ca="1" si="23"/>
        <v>34031379.202315554</v>
      </c>
      <c r="L84" s="1130">
        <f t="shared" ca="1" si="24"/>
        <v>26045115.229915645</v>
      </c>
      <c r="M84" s="1130">
        <f t="shared" ca="1" si="25"/>
        <v>0</v>
      </c>
      <c r="N84" s="1130">
        <f t="shared" ca="1" si="34"/>
        <v>3735317684.6060238</v>
      </c>
      <c r="O84" s="1073"/>
      <c r="P84" s="1130">
        <f t="shared" ca="1" si="26"/>
        <v>60076494.432230949</v>
      </c>
      <c r="Q84" s="1130">
        <f t="shared" ca="1" si="27"/>
        <v>3548551800.3757224</v>
      </c>
      <c r="R84" s="1130">
        <f t="shared" ca="1" si="35"/>
        <v>3605624470.0863419</v>
      </c>
      <c r="S84" s="1130">
        <f t="shared" ca="1" si="36"/>
        <v>57072669.71061945</v>
      </c>
      <c r="T84" s="1130">
        <f t="shared" ca="1" si="28"/>
        <v>3548551800.3757224</v>
      </c>
      <c r="U84" s="1132">
        <f t="shared" ca="1" si="29"/>
        <v>0.30537506522175806</v>
      </c>
      <c r="V84" s="1133">
        <f t="shared" ca="1" si="30"/>
        <v>5.0000000000000044E-2</v>
      </c>
      <c r="X84" s="1134">
        <f t="shared" ca="1" si="37"/>
        <v>189769708.95191282</v>
      </c>
      <c r="Y84" s="1134">
        <f t="shared" ca="1" si="31"/>
        <v>3003824.7216114998</v>
      </c>
      <c r="Z84" s="1134">
        <f t="shared" ca="1" si="32"/>
        <v>186765884.23030132</v>
      </c>
      <c r="AA84" s="1132">
        <f t="shared" ca="1" si="33"/>
        <v>0.32673847960040087</v>
      </c>
      <c r="AB84" s="1105"/>
      <c r="AC84" s="1078"/>
    </row>
    <row r="85" spans="1:29">
      <c r="A85" s="1144">
        <f>'AMORT. PROFILE 0% CPR'!A85</f>
        <v>47266</v>
      </c>
      <c r="C85" s="1104"/>
      <c r="D85" s="1125">
        <f t="shared" ca="1" si="19"/>
        <v>48487</v>
      </c>
      <c r="E85" s="1126">
        <f t="shared" ca="1" si="20"/>
        <v>48514</v>
      </c>
      <c r="F85" s="1127">
        <f t="shared" ca="1" si="21"/>
        <v>2284</v>
      </c>
      <c r="G85" s="1128">
        <f ca="1">IF(F85&lt;&gt;"",COUNTIF($F$11:F85,"&gt;0"),"")</f>
        <v>75</v>
      </c>
      <c r="H85" s="1129">
        <v>9.022483991741834E-3</v>
      </c>
      <c r="I85" s="1073"/>
      <c r="J85" s="1130">
        <f t="shared" ca="1" si="22"/>
        <v>3735317684.6060238</v>
      </c>
      <c r="K85" s="1131">
        <f t="shared" ca="1" si="23"/>
        <v>33701844.013428025</v>
      </c>
      <c r="L85" s="1130">
        <f t="shared" ca="1" si="24"/>
        <v>25631404.42323732</v>
      </c>
      <c r="M85" s="1130">
        <f t="shared" ca="1" si="25"/>
        <v>0</v>
      </c>
      <c r="N85" s="1130">
        <f t="shared" ca="1" si="34"/>
        <v>3675984436.1693583</v>
      </c>
      <c r="O85" s="1073"/>
      <c r="P85" s="1130">
        <f t="shared" ca="1" si="26"/>
        <v>59333248.436665535</v>
      </c>
      <c r="Q85" s="1130">
        <f t="shared" ca="1" si="27"/>
        <v>3492185214.3608904</v>
      </c>
      <c r="R85" s="1130">
        <f t="shared" ca="1" si="35"/>
        <v>3548551800.3757224</v>
      </c>
      <c r="S85" s="1130">
        <f t="shared" ca="1" si="36"/>
        <v>56366586.01483202</v>
      </c>
      <c r="T85" s="1130">
        <f t="shared" ca="1" si="28"/>
        <v>3492185214.3608904</v>
      </c>
      <c r="U85" s="1132">
        <f t="shared" ca="1" si="29"/>
        <v>0.30054134768410146</v>
      </c>
      <c r="V85" s="1133">
        <f t="shared" ca="1" si="30"/>
        <v>4.9999999999999933E-2</v>
      </c>
      <c r="X85" s="1134">
        <f t="shared" ca="1" si="37"/>
        <v>186765884.23030132</v>
      </c>
      <c r="Y85" s="1134">
        <f t="shared" ca="1" si="31"/>
        <v>2966662.4218335152</v>
      </c>
      <c r="Z85" s="1134">
        <f t="shared" ca="1" si="32"/>
        <v>183799221.80846781</v>
      </c>
      <c r="AA85" s="1132">
        <f t="shared" ca="1" si="33"/>
        <v>0.3215666050797199</v>
      </c>
      <c r="AB85" s="1105"/>
      <c r="AC85" s="1078"/>
    </row>
    <row r="86" spans="1:29">
      <c r="A86" s="1144">
        <f>'AMORT. PROFILE 0% CPR'!A86</f>
        <v>47296</v>
      </c>
      <c r="C86" s="1104"/>
      <c r="D86" s="1125">
        <f t="shared" ca="1" si="19"/>
        <v>48518</v>
      </c>
      <c r="E86" s="1126">
        <f t="shared" ca="1" si="20"/>
        <v>48547</v>
      </c>
      <c r="F86" s="1127">
        <f t="shared" ca="1" si="21"/>
        <v>2317</v>
      </c>
      <c r="G86" s="1128">
        <f ca="1">IF(F86&lt;&gt;"",COUNTIF($F$11:F86,"&gt;0"),"")</f>
        <v>76</v>
      </c>
      <c r="H86" s="1129">
        <v>9.0906429830009908E-3</v>
      </c>
      <c r="I86" s="1073"/>
      <c r="J86" s="1130">
        <f t="shared" ca="1" si="22"/>
        <v>3675984436.1693583</v>
      </c>
      <c r="K86" s="1131">
        <f t="shared" ca="1" si="23"/>
        <v>33417062.120283831</v>
      </c>
      <c r="L86" s="1130">
        <f t="shared" ca="1" si="24"/>
        <v>25222530.247275647</v>
      </c>
      <c r="M86" s="1130">
        <f t="shared" ca="1" si="25"/>
        <v>0</v>
      </c>
      <c r="N86" s="1130">
        <f t="shared" ca="1" si="34"/>
        <v>3617344843.8017988</v>
      </c>
      <c r="O86" s="1073"/>
      <c r="P86" s="1130">
        <f t="shared" ca="1" si="26"/>
        <v>58639592.367559433</v>
      </c>
      <c r="Q86" s="1130">
        <f t="shared" ca="1" si="27"/>
        <v>3436477601.6117086</v>
      </c>
      <c r="R86" s="1130">
        <f t="shared" ca="1" si="35"/>
        <v>3492185214.3608904</v>
      </c>
      <c r="S86" s="1130">
        <f t="shared" ca="1" si="36"/>
        <v>55707612.749181747</v>
      </c>
      <c r="T86" s="1130">
        <f t="shared" ca="1" si="28"/>
        <v>3436477601.6117086</v>
      </c>
      <c r="U86" s="1132">
        <f t="shared" ca="1" si="29"/>
        <v>0.29576743125896832</v>
      </c>
      <c r="V86" s="1133">
        <f t="shared" ca="1" si="30"/>
        <v>5.0000000000000044E-2</v>
      </c>
      <c r="X86" s="1134">
        <f t="shared" ca="1" si="37"/>
        <v>183799221.80846781</v>
      </c>
      <c r="Y86" s="1134">
        <f t="shared" ca="1" si="31"/>
        <v>2931979.6183776855</v>
      </c>
      <c r="Z86" s="1134">
        <f t="shared" ca="1" si="32"/>
        <v>180867242.19009012</v>
      </c>
      <c r="AA86" s="1132">
        <f t="shared" ca="1" si="33"/>
        <v>0.31645871523496522</v>
      </c>
      <c r="AB86" s="1105"/>
      <c r="AC86" s="1078"/>
    </row>
    <row r="87" spans="1:29">
      <c r="A87" s="1144">
        <f>'AMORT. PROFILE 0% CPR'!A87</f>
        <v>47326</v>
      </c>
      <c r="C87" s="1104"/>
      <c r="D87" s="1125">
        <f t="shared" ca="1" si="19"/>
        <v>48548</v>
      </c>
      <c r="E87" s="1126">
        <f t="shared" ca="1" si="20"/>
        <v>48575</v>
      </c>
      <c r="F87" s="1127">
        <f t="shared" ca="1" si="21"/>
        <v>2345</v>
      </c>
      <c r="G87" s="1128">
        <f ca="1">IF(F87&lt;&gt;"",COUNTIF($F$11:F87,"&gt;0"),"")</f>
        <v>77</v>
      </c>
      <c r="H87" s="1129">
        <v>9.1467158097798887E-3</v>
      </c>
      <c r="I87" s="1073"/>
      <c r="J87" s="1130">
        <f t="shared" ca="1" si="22"/>
        <v>3617344843.8017988</v>
      </c>
      <c r="K87" s="1131">
        <f t="shared" ca="1" si="23"/>
        <v>33086825.272227675</v>
      </c>
      <c r="L87" s="1130">
        <f t="shared" ca="1" si="24"/>
        <v>24818773.958849061</v>
      </c>
      <c r="M87" s="1130">
        <f t="shared" ca="1" si="25"/>
        <v>0</v>
      </c>
      <c r="N87" s="1130">
        <f t="shared" ca="1" si="34"/>
        <v>3559439244.5707221</v>
      </c>
      <c r="O87" s="1073"/>
      <c r="P87" s="1130">
        <f t="shared" ca="1" si="26"/>
        <v>57905599.231076717</v>
      </c>
      <c r="Q87" s="1130">
        <f t="shared" ca="1" si="27"/>
        <v>3381467282.342186</v>
      </c>
      <c r="R87" s="1130">
        <f t="shared" ca="1" si="35"/>
        <v>3436477601.6117086</v>
      </c>
      <c r="S87" s="1130">
        <f t="shared" ca="1" si="36"/>
        <v>55010319.269522667</v>
      </c>
      <c r="T87" s="1130">
        <f t="shared" ca="1" si="28"/>
        <v>3381467282.342186</v>
      </c>
      <c r="U87" s="1132">
        <f t="shared" ca="1" si="29"/>
        <v>0.29104932597158589</v>
      </c>
      <c r="V87" s="1133">
        <f t="shared" ca="1" si="30"/>
        <v>5.0000000000000044E-2</v>
      </c>
      <c r="X87" s="1134">
        <f t="shared" ca="1" si="37"/>
        <v>180867242.19009012</v>
      </c>
      <c r="Y87" s="1134">
        <f t="shared" ca="1" si="31"/>
        <v>2895279.9615540504</v>
      </c>
      <c r="Z87" s="1134">
        <f t="shared" ca="1" si="32"/>
        <v>177971962.22853607</v>
      </c>
      <c r="AA87" s="1132">
        <f t="shared" ca="1" si="33"/>
        <v>0.31141054096089898</v>
      </c>
      <c r="AB87" s="1105"/>
      <c r="AC87" s="1078"/>
    </row>
    <row r="88" spans="1:29">
      <c r="A88" s="1144">
        <f>'AMORT. PROFILE 0% CPR'!A88</f>
        <v>47357</v>
      </c>
      <c r="C88" s="1104"/>
      <c r="D88" s="1125">
        <f t="shared" ca="1" si="19"/>
        <v>48579</v>
      </c>
      <c r="E88" s="1126">
        <f t="shared" ca="1" si="20"/>
        <v>48606</v>
      </c>
      <c r="F88" s="1127">
        <f t="shared" ca="1" si="21"/>
        <v>2376</v>
      </c>
      <c r="G88" s="1128">
        <f ca="1">IF(F88&lt;&gt;"",COUNTIF($F$11:F88,"&gt;0"),"")</f>
        <v>78</v>
      </c>
      <c r="H88" s="1129">
        <v>9.2122950644957374E-3</v>
      </c>
      <c r="I88" s="1073"/>
      <c r="J88" s="1130">
        <f t="shared" ca="1" si="22"/>
        <v>3559439244.5707221</v>
      </c>
      <c r="K88" s="1131">
        <f t="shared" ca="1" si="23"/>
        <v>32790604.585131299</v>
      </c>
      <c r="L88" s="1130">
        <f t="shared" ca="1" si="24"/>
        <v>24419864.578831997</v>
      </c>
      <c r="M88" s="1130">
        <f t="shared" ca="1" si="25"/>
        <v>0</v>
      </c>
      <c r="N88" s="1130">
        <f t="shared" ca="1" si="34"/>
        <v>3502228775.4067588</v>
      </c>
      <c r="O88" s="1073"/>
      <c r="P88" s="1130">
        <f t="shared" ca="1" si="26"/>
        <v>57210469.163963318</v>
      </c>
      <c r="Q88" s="1130">
        <f t="shared" ca="1" si="27"/>
        <v>3327117336.6364207</v>
      </c>
      <c r="R88" s="1130">
        <f t="shared" ca="1" si="35"/>
        <v>3381467282.342186</v>
      </c>
      <c r="S88" s="1130">
        <f t="shared" ca="1" si="36"/>
        <v>54349945.705765247</v>
      </c>
      <c r="T88" s="1130">
        <f t="shared" ca="1" si="28"/>
        <v>3327117336.6364207</v>
      </c>
      <c r="U88" s="1132">
        <f t="shared" ca="1" si="29"/>
        <v>0.28639027731741529</v>
      </c>
      <c r="V88" s="1133">
        <f t="shared" ca="1" si="30"/>
        <v>5.0000000000000044E-2</v>
      </c>
      <c r="X88" s="1134">
        <f t="shared" ca="1" si="37"/>
        <v>177971962.22853607</v>
      </c>
      <c r="Y88" s="1134">
        <f t="shared" ca="1" si="31"/>
        <v>2860523.4581980705</v>
      </c>
      <c r="Z88" s="1134">
        <f t="shared" ca="1" si="32"/>
        <v>175111438.770338</v>
      </c>
      <c r="AA88" s="1132">
        <f t="shared" ca="1" si="33"/>
        <v>0.30642555480119849</v>
      </c>
      <c r="AB88" s="1105"/>
    </row>
    <row r="89" spans="1:29">
      <c r="A89" s="1144">
        <f>'AMORT. PROFILE 0% CPR'!A89</f>
        <v>47388</v>
      </c>
      <c r="C89" s="1104"/>
      <c r="D89" s="1125">
        <f t="shared" ca="1" si="19"/>
        <v>48610</v>
      </c>
      <c r="E89" s="1126">
        <f t="shared" ca="1" si="20"/>
        <v>48638</v>
      </c>
      <c r="F89" s="1127">
        <f t="shared" ca="1" si="21"/>
        <v>2408</v>
      </c>
      <c r="G89" s="1128">
        <f ca="1">IF(F89&lt;&gt;"",COUNTIF($F$11:F89,"&gt;0"),"")</f>
        <v>79</v>
      </c>
      <c r="H89" s="1129">
        <v>9.2730509460333659E-3</v>
      </c>
      <c r="I89" s="1073"/>
      <c r="J89" s="1130">
        <f t="shared" ca="1" si="22"/>
        <v>3502228775.4067588</v>
      </c>
      <c r="K89" s="1131">
        <f t="shared" ca="1" si="23"/>
        <v>32476345.85901092</v>
      </c>
      <c r="L89" s="1130">
        <f t="shared" ca="1" si="24"/>
        <v>24025893.44766013</v>
      </c>
      <c r="M89" s="1130">
        <f t="shared" ca="1" si="25"/>
        <v>0</v>
      </c>
      <c r="N89" s="1130">
        <f t="shared" ca="1" si="34"/>
        <v>3445726536.1000881</v>
      </c>
      <c r="O89" s="1073"/>
      <c r="P89" s="1130">
        <f t="shared" ca="1" si="26"/>
        <v>56502239.306670666</v>
      </c>
      <c r="Q89" s="1130">
        <f t="shared" ca="1" si="27"/>
        <v>3273440209.2950835</v>
      </c>
      <c r="R89" s="1130">
        <f t="shared" ca="1" si="35"/>
        <v>3327117336.6364207</v>
      </c>
      <c r="S89" s="1130">
        <f t="shared" ca="1" si="36"/>
        <v>53677127.341337204</v>
      </c>
      <c r="T89" s="1130">
        <f t="shared" ca="1" si="28"/>
        <v>3273440209.2950835</v>
      </c>
      <c r="U89" s="1132">
        <f t="shared" ca="1" si="29"/>
        <v>0.28178715839796231</v>
      </c>
      <c r="V89" s="1133">
        <f t="shared" ca="1" si="30"/>
        <v>5.0000000000000044E-2</v>
      </c>
      <c r="X89" s="1134">
        <f t="shared" ca="1" si="37"/>
        <v>175111438.770338</v>
      </c>
      <c r="Y89" s="1134">
        <f t="shared" ca="1" si="31"/>
        <v>2825111.9653334618</v>
      </c>
      <c r="Z89" s="1134">
        <f t="shared" ca="1" si="32"/>
        <v>172286326.80500454</v>
      </c>
      <c r="AA89" s="1132">
        <f t="shared" ca="1" si="33"/>
        <v>0.30150041110595388</v>
      </c>
      <c r="AB89" s="1105"/>
    </row>
    <row r="90" spans="1:29">
      <c r="A90" s="1144">
        <f>'AMORT. PROFILE 0% CPR'!A90</f>
        <v>47420</v>
      </c>
      <c r="C90" s="1104"/>
      <c r="D90" s="1125">
        <f t="shared" ca="1" si="19"/>
        <v>48638</v>
      </c>
      <c r="E90" s="1126">
        <f t="shared" ca="1" si="20"/>
        <v>48666</v>
      </c>
      <c r="F90" s="1127">
        <f t="shared" ca="1" si="21"/>
        <v>2436</v>
      </c>
      <c r="G90" s="1128">
        <f ca="1">IF(F90&lt;&gt;"",COUNTIF($F$11:F90,"&gt;0"),"")</f>
        <v>80</v>
      </c>
      <c r="H90" s="1129">
        <v>9.3325615661931996E-3</v>
      </c>
      <c r="I90" s="1073"/>
      <c r="J90" s="1130">
        <f t="shared" ca="1" si="22"/>
        <v>3445726536.1000881</v>
      </c>
      <c r="K90" s="1131">
        <f t="shared" ca="1" si="23"/>
        <v>32157455.038419709</v>
      </c>
      <c r="L90" s="1130">
        <f t="shared" ca="1" si="24"/>
        <v>23636858.445403427</v>
      </c>
      <c r="M90" s="1130">
        <f t="shared" ca="1" si="25"/>
        <v>0</v>
      </c>
      <c r="N90" s="1130">
        <f t="shared" ca="1" si="34"/>
        <v>3389932222.6162648</v>
      </c>
      <c r="O90" s="1073"/>
      <c r="P90" s="1130">
        <f t="shared" ca="1" si="26"/>
        <v>55794313.483823299</v>
      </c>
      <c r="Q90" s="1130">
        <f t="shared" ca="1" si="27"/>
        <v>3220435611.4854512</v>
      </c>
      <c r="R90" s="1130">
        <f t="shared" ca="1" si="35"/>
        <v>3273440209.2950835</v>
      </c>
      <c r="S90" s="1130">
        <f t="shared" ca="1" si="36"/>
        <v>53004597.809632301</v>
      </c>
      <c r="T90" s="1130">
        <f t="shared" ca="1" si="28"/>
        <v>3220435611.4854512</v>
      </c>
      <c r="U90" s="1132">
        <f t="shared" ca="1" si="29"/>
        <v>0.27724102321423227</v>
      </c>
      <c r="V90" s="1133">
        <f t="shared" ca="1" si="30"/>
        <v>5.0000000000000155E-2</v>
      </c>
      <c r="X90" s="1134">
        <f t="shared" ca="1" si="37"/>
        <v>172286326.80500454</v>
      </c>
      <c r="Y90" s="1134">
        <f t="shared" ca="1" si="31"/>
        <v>2789715.6741909981</v>
      </c>
      <c r="Z90" s="1134">
        <f t="shared" ca="1" si="32"/>
        <v>169496611.13081354</v>
      </c>
      <c r="AA90" s="1132">
        <f t="shared" ca="1" si="33"/>
        <v>0.29663623761192243</v>
      </c>
      <c r="AB90" s="1105"/>
    </row>
    <row r="91" spans="1:29">
      <c r="A91" s="1144">
        <f>'AMORT. PROFILE 0% CPR'!A91</f>
        <v>47449</v>
      </c>
      <c r="C91" s="1104"/>
      <c r="D91" s="1125">
        <f t="shared" ca="1" si="19"/>
        <v>48669</v>
      </c>
      <c r="E91" s="1126">
        <f t="shared" ca="1" si="20"/>
        <v>48696</v>
      </c>
      <c r="F91" s="1127">
        <f t="shared" ca="1" si="21"/>
        <v>2466</v>
      </c>
      <c r="G91" s="1128">
        <f ca="1">IF(F91&lt;&gt;"",COUNTIF($F$11:F91,"&gt;0"),"")</f>
        <v>81</v>
      </c>
      <c r="H91" s="1129">
        <v>9.3924952872224948E-3</v>
      </c>
      <c r="I91" s="1073"/>
      <c r="J91" s="1130">
        <f t="shared" ca="1" si="22"/>
        <v>3389932222.6162648</v>
      </c>
      <c r="K91" s="1131">
        <f t="shared" ca="1" si="23"/>
        <v>31839922.424926944</v>
      </c>
      <c r="L91" s="1130">
        <f t="shared" ca="1" si="24"/>
        <v>23252715.987670939</v>
      </c>
      <c r="M91" s="1130">
        <f t="shared" ca="1" si="25"/>
        <v>0</v>
      </c>
      <c r="N91" s="1130">
        <f t="shared" ca="1" si="34"/>
        <v>3334839584.2036672</v>
      </c>
      <c r="O91" s="1073"/>
      <c r="P91" s="1130">
        <f t="shared" ca="1" si="26"/>
        <v>55092638.412597656</v>
      </c>
      <c r="Q91" s="1130">
        <f t="shared" ca="1" si="27"/>
        <v>3168097604.9934835</v>
      </c>
      <c r="R91" s="1130">
        <f t="shared" ca="1" si="35"/>
        <v>3220435611.4854512</v>
      </c>
      <c r="S91" s="1130">
        <f t="shared" ca="1" si="36"/>
        <v>52338006.491967678</v>
      </c>
      <c r="T91" s="1130">
        <f t="shared" ca="1" si="28"/>
        <v>3168097604.9934835</v>
      </c>
      <c r="U91" s="1132">
        <f t="shared" ca="1" si="29"/>
        <v>0.27275184730380203</v>
      </c>
      <c r="V91" s="1133">
        <f t="shared" ca="1" si="30"/>
        <v>5.0000000000000044E-2</v>
      </c>
      <c r="X91" s="1134">
        <f t="shared" ca="1" si="37"/>
        <v>169496611.13081354</v>
      </c>
      <c r="Y91" s="1134">
        <f t="shared" ca="1" si="31"/>
        <v>2754631.9206299782</v>
      </c>
      <c r="Z91" s="1134">
        <f t="shared" ca="1" si="32"/>
        <v>166741979.21018356</v>
      </c>
      <c r="AA91" s="1132">
        <f t="shared" ca="1" si="33"/>
        <v>0.29183300814534013</v>
      </c>
      <c r="AB91" s="1105"/>
    </row>
    <row r="92" spans="1:29">
      <c r="A92" s="1144">
        <f>'AMORT. PROFILE 0% CPR'!A92</f>
        <v>47479</v>
      </c>
      <c r="C92" s="1104"/>
      <c r="D92" s="1125">
        <f t="shared" ca="1" si="19"/>
        <v>48699</v>
      </c>
      <c r="E92" s="1126">
        <f t="shared" ca="1" si="20"/>
        <v>48726</v>
      </c>
      <c r="F92" s="1127">
        <f t="shared" ca="1" si="21"/>
        <v>2496</v>
      </c>
      <c r="G92" s="1128">
        <f ca="1">IF(F92&lt;&gt;"",COUNTIF($F$11:F92,"&gt;0"),"")</f>
        <v>82</v>
      </c>
      <c r="H92" s="1129">
        <v>9.4410513236365939E-3</v>
      </c>
      <c r="I92" s="1073"/>
      <c r="J92" s="1130">
        <f t="shared" ca="1" si="22"/>
        <v>3334839584.2036672</v>
      </c>
      <c r="K92" s="1131">
        <f t="shared" ca="1" si="23"/>
        <v>31484391.670561742</v>
      </c>
      <c r="L92" s="1130">
        <f t="shared" ca="1" si="24"/>
        <v>22873695.310278919</v>
      </c>
      <c r="M92" s="1130">
        <f t="shared" ca="1" si="25"/>
        <v>0</v>
      </c>
      <c r="N92" s="1130">
        <f t="shared" ca="1" si="34"/>
        <v>3280481497.2228265</v>
      </c>
      <c r="O92" s="1073"/>
      <c r="P92" s="1130">
        <f t="shared" ca="1" si="26"/>
        <v>54358086.980840683</v>
      </c>
      <c r="Q92" s="1130">
        <f t="shared" ca="1" si="27"/>
        <v>3116457422.3616848</v>
      </c>
      <c r="R92" s="1130">
        <f t="shared" ca="1" si="35"/>
        <v>3168097604.9934835</v>
      </c>
      <c r="S92" s="1130">
        <f t="shared" ca="1" si="36"/>
        <v>51640182.631798744</v>
      </c>
      <c r="T92" s="1130">
        <f t="shared" ca="1" si="28"/>
        <v>3116457422.3616848</v>
      </c>
      <c r="U92" s="1132">
        <f t="shared" ca="1" si="29"/>
        <v>0.26831912773506705</v>
      </c>
      <c r="V92" s="1133">
        <f t="shared" ca="1" si="30"/>
        <v>5.0000000000000155E-2</v>
      </c>
      <c r="X92" s="1134">
        <f t="shared" ca="1" si="37"/>
        <v>166741979.21018356</v>
      </c>
      <c r="Y92" s="1134">
        <f t="shared" ca="1" si="31"/>
        <v>2717904.3490419388</v>
      </c>
      <c r="Z92" s="1134">
        <f t="shared" ca="1" si="32"/>
        <v>164024074.86114162</v>
      </c>
      <c r="AA92" s="1132">
        <f t="shared" ca="1" si="33"/>
        <v>0.28709018459053642</v>
      </c>
      <c r="AB92" s="1105"/>
    </row>
    <row r="93" spans="1:29">
      <c r="A93" s="1144">
        <f>'AMORT. PROFILE 0% CPR'!A93</f>
        <v>47511</v>
      </c>
      <c r="C93" s="1104"/>
      <c r="D93" s="1125">
        <f t="shared" ca="1" si="19"/>
        <v>48730</v>
      </c>
      <c r="E93" s="1126">
        <f t="shared" ca="1" si="20"/>
        <v>48757</v>
      </c>
      <c r="F93" s="1127">
        <f t="shared" ca="1" si="21"/>
        <v>2527</v>
      </c>
      <c r="G93" s="1128">
        <f ca="1">IF(F93&lt;&gt;"",COUNTIF($F$11:F93,"&gt;0"),"")</f>
        <v>83</v>
      </c>
      <c r="H93" s="1129">
        <v>9.4894260607976642E-3</v>
      </c>
      <c r="I93" s="1073"/>
      <c r="J93" s="1130">
        <f t="shared" ca="1" si="22"/>
        <v>3280481497.2228265</v>
      </c>
      <c r="K93" s="1131">
        <f t="shared" ca="1" si="23"/>
        <v>31129886.611710832</v>
      </c>
      <c r="L93" s="1130">
        <f t="shared" ca="1" si="24"/>
        <v>22499753.845752347</v>
      </c>
      <c r="M93" s="1130">
        <f t="shared" ca="1" si="25"/>
        <v>0</v>
      </c>
      <c r="N93" s="1130">
        <f t="shared" ca="1" si="34"/>
        <v>3226851856.7653632</v>
      </c>
      <c r="O93" s="1073"/>
      <c r="P93" s="1130">
        <f t="shared" ca="1" si="26"/>
        <v>53629640.457463264</v>
      </c>
      <c r="Q93" s="1130">
        <f t="shared" ca="1" si="27"/>
        <v>3065509263.9270949</v>
      </c>
      <c r="R93" s="1130">
        <f t="shared" ca="1" si="35"/>
        <v>3116457422.3616848</v>
      </c>
      <c r="S93" s="1130">
        <f t="shared" ca="1" si="36"/>
        <v>50948158.434589863</v>
      </c>
      <c r="T93" s="1130">
        <f t="shared" ca="1" si="28"/>
        <v>3065509263.9270949</v>
      </c>
      <c r="U93" s="1132">
        <f t="shared" ca="1" si="29"/>
        <v>0.26394550971963587</v>
      </c>
      <c r="V93" s="1133">
        <f t="shared" ca="1" si="30"/>
        <v>5.0000000000000044E-2</v>
      </c>
      <c r="X93" s="1134">
        <f t="shared" ca="1" si="37"/>
        <v>164024074.86114162</v>
      </c>
      <c r="Y93" s="1134">
        <f t="shared" ca="1" si="31"/>
        <v>2681482.0228734016</v>
      </c>
      <c r="Z93" s="1134">
        <f t="shared" ca="1" si="32"/>
        <v>161342592.83826822</v>
      </c>
      <c r="AA93" s="1132">
        <f t="shared" ca="1" si="33"/>
        <v>0.28241059721270939</v>
      </c>
      <c r="AB93" s="1105"/>
    </row>
    <row r="94" spans="1:29">
      <c r="A94" s="1144">
        <f>'AMORT. PROFILE 0% CPR'!A94</f>
        <v>47541</v>
      </c>
      <c r="C94" s="1104"/>
      <c r="D94" s="1125">
        <f t="shared" ca="1" si="19"/>
        <v>48760</v>
      </c>
      <c r="E94" s="1126">
        <f t="shared" ca="1" si="20"/>
        <v>48787</v>
      </c>
      <c r="F94" s="1127">
        <f t="shared" ca="1" si="21"/>
        <v>2557</v>
      </c>
      <c r="G94" s="1128">
        <f ca="1">IF(F94&lt;&gt;"",COUNTIF($F$11:F94,"&gt;0"),"")</f>
        <v>84</v>
      </c>
      <c r="H94" s="1129">
        <v>9.5446780838907511E-3</v>
      </c>
      <c r="I94" s="1073"/>
      <c r="J94" s="1130">
        <f t="shared" ca="1" si="22"/>
        <v>3226851856.7653632</v>
      </c>
      <c r="K94" s="1131">
        <f t="shared" ca="1" si="23"/>
        <v>30799262.19723054</v>
      </c>
      <c r="L94" s="1130">
        <f t="shared" ca="1" si="24"/>
        <v>22130691.064958867</v>
      </c>
      <c r="M94" s="1130">
        <f t="shared" ca="1" si="25"/>
        <v>0</v>
      </c>
      <c r="N94" s="1130">
        <f t="shared" ca="1" si="34"/>
        <v>3173921903.5031738</v>
      </c>
      <c r="O94" s="1073"/>
      <c r="P94" s="1130">
        <f t="shared" ca="1" si="26"/>
        <v>52929953.262189388</v>
      </c>
      <c r="Q94" s="1130">
        <f t="shared" ca="1" si="27"/>
        <v>3015225808.3280149</v>
      </c>
      <c r="R94" s="1130">
        <f t="shared" ca="1" si="35"/>
        <v>3065509263.9270949</v>
      </c>
      <c r="S94" s="1130">
        <f t="shared" ca="1" si="36"/>
        <v>50283455.599080086</v>
      </c>
      <c r="T94" s="1130">
        <f t="shared" ca="1" si="28"/>
        <v>3015225808.3280149</v>
      </c>
      <c r="U94" s="1132">
        <f t="shared" ca="1" si="29"/>
        <v>0.25963050206036103</v>
      </c>
      <c r="V94" s="1133">
        <f t="shared" ca="1" si="30"/>
        <v>5.0000000000000044E-2</v>
      </c>
      <c r="X94" s="1134">
        <f t="shared" ca="1" si="37"/>
        <v>161342592.83826822</v>
      </c>
      <c r="Y94" s="1134">
        <f t="shared" ca="1" si="31"/>
        <v>2646497.6631093025</v>
      </c>
      <c r="Z94" s="1134">
        <f t="shared" ca="1" si="32"/>
        <v>158696095.17515892</v>
      </c>
      <c r="AA94" s="1132">
        <f t="shared" ca="1" si="33"/>
        <v>0.27779372045156375</v>
      </c>
      <c r="AB94" s="1105"/>
    </row>
    <row r="95" spans="1:29">
      <c r="A95" s="1144">
        <f>'AMORT. PROFILE 0% CPR'!A95</f>
        <v>47569</v>
      </c>
      <c r="C95" s="1104"/>
      <c r="D95" s="1125">
        <f t="shared" ca="1" si="19"/>
        <v>48791</v>
      </c>
      <c r="E95" s="1126">
        <f t="shared" ca="1" si="20"/>
        <v>48820</v>
      </c>
      <c r="F95" s="1127">
        <f t="shared" ca="1" si="21"/>
        <v>2590</v>
      </c>
      <c r="G95" s="1128">
        <f ca="1">IF(F95&lt;&gt;"",COUNTIF($F$11:F95,"&gt;0"),"")</f>
        <v>85</v>
      </c>
      <c r="H95" s="1129">
        <v>9.5921706937073109E-3</v>
      </c>
      <c r="I95" s="1073"/>
      <c r="J95" s="1130">
        <f t="shared" ca="1" si="22"/>
        <v>3173921903.5031738</v>
      </c>
      <c r="K95" s="1131">
        <f t="shared" ca="1" si="23"/>
        <v>30444800.666898869</v>
      </c>
      <c r="L95" s="1130">
        <f t="shared" ca="1" si="24"/>
        <v>21766638.243336491</v>
      </c>
      <c r="M95" s="1130">
        <f t="shared" ca="1" si="25"/>
        <v>0</v>
      </c>
      <c r="N95" s="1130">
        <f t="shared" ca="1" si="34"/>
        <v>3121710464.5929384</v>
      </c>
      <c r="O95" s="1073"/>
      <c r="P95" s="1130">
        <f t="shared" ca="1" si="26"/>
        <v>52211438.910235405</v>
      </c>
      <c r="Q95" s="1130">
        <f t="shared" ca="1" si="27"/>
        <v>2965624941.3632913</v>
      </c>
      <c r="R95" s="1130">
        <f t="shared" ca="1" si="35"/>
        <v>3015225808.3280149</v>
      </c>
      <c r="S95" s="1130">
        <f t="shared" ca="1" si="36"/>
        <v>49600866.964723587</v>
      </c>
      <c r="T95" s="1130">
        <f t="shared" ca="1" si="28"/>
        <v>2965624941.3632913</v>
      </c>
      <c r="U95" s="1132">
        <f t="shared" ca="1" si="29"/>
        <v>0.25537179079951344</v>
      </c>
      <c r="V95" s="1133">
        <f t="shared" ca="1" si="30"/>
        <v>5.0000000000000044E-2</v>
      </c>
      <c r="X95" s="1134">
        <f t="shared" ca="1" si="37"/>
        <v>158696095.17515892</v>
      </c>
      <c r="Y95" s="1134">
        <f t="shared" ca="1" si="31"/>
        <v>2610571.9455118179</v>
      </c>
      <c r="Z95" s="1134">
        <f t="shared" ca="1" si="32"/>
        <v>156085523.2296471</v>
      </c>
      <c r="AA95" s="1132">
        <f t="shared" ca="1" si="33"/>
        <v>0.27323707846962625</v>
      </c>
      <c r="AB95" s="1105"/>
    </row>
    <row r="96" spans="1:29">
      <c r="A96" s="1144">
        <f>'AMORT. PROFILE 0% CPR'!A96</f>
        <v>47602</v>
      </c>
      <c r="C96" s="1104"/>
      <c r="D96" s="1125">
        <f t="shared" ca="1" si="19"/>
        <v>48822</v>
      </c>
      <c r="E96" s="1126">
        <f t="shared" ca="1" si="20"/>
        <v>48849</v>
      </c>
      <c r="F96" s="1127">
        <f t="shared" ca="1" si="21"/>
        <v>2619</v>
      </c>
      <c r="G96" s="1128">
        <f ca="1">IF(F96&lt;&gt;"",COUNTIF($F$11:F96,"&gt;0"),"")</f>
        <v>86</v>
      </c>
      <c r="H96" s="1129">
        <v>9.661662876957966E-3</v>
      </c>
      <c r="I96" s="1073"/>
      <c r="J96" s="1130">
        <f t="shared" ca="1" si="22"/>
        <v>3121710464.5929384</v>
      </c>
      <c r="K96" s="1131">
        <f t="shared" ca="1" si="23"/>
        <v>30160914.108368799</v>
      </c>
      <c r="L96" s="1130">
        <f t="shared" ca="1" si="24"/>
        <v>21407072.00190223</v>
      </c>
      <c r="M96" s="1130">
        <f t="shared" ca="1" si="25"/>
        <v>0</v>
      </c>
      <c r="N96" s="1130">
        <f t="shared" ca="1" si="34"/>
        <v>3070142478.4826674</v>
      </c>
      <c r="O96" s="1073"/>
      <c r="P96" s="1130">
        <f t="shared" ca="1" si="26"/>
        <v>51567986.110270977</v>
      </c>
      <c r="Q96" s="1130">
        <f t="shared" ca="1" si="27"/>
        <v>2916635354.5585341</v>
      </c>
      <c r="R96" s="1130">
        <f t="shared" ca="1" si="35"/>
        <v>2965624941.3632913</v>
      </c>
      <c r="S96" s="1130">
        <f t="shared" ca="1" si="36"/>
        <v>48989586.804757118</v>
      </c>
      <c r="T96" s="1130">
        <f t="shared" ca="1" si="28"/>
        <v>2916635354.5585341</v>
      </c>
      <c r="U96" s="1132">
        <f t="shared" ca="1" si="29"/>
        <v>0.25117089075846022</v>
      </c>
      <c r="V96" s="1133">
        <f t="shared" ca="1" si="30"/>
        <v>4.9999999999999933E-2</v>
      </c>
      <c r="X96" s="1134">
        <f t="shared" ca="1" si="37"/>
        <v>156085523.2296471</v>
      </c>
      <c r="Y96" s="1134">
        <f t="shared" ca="1" si="31"/>
        <v>2578399.3055138588</v>
      </c>
      <c r="Z96" s="1134">
        <f t="shared" ca="1" si="32"/>
        <v>153507123.92413324</v>
      </c>
      <c r="AA96" s="1132">
        <f t="shared" ca="1" si="33"/>
        <v>0.26874229206206457</v>
      </c>
      <c r="AB96" s="1105"/>
    </row>
    <row r="97" spans="1:28">
      <c r="A97" s="1144">
        <f>'AMORT. PROFILE 0% CPR'!A97</f>
        <v>47630</v>
      </c>
      <c r="C97" s="1104"/>
      <c r="D97" s="1125">
        <f t="shared" ca="1" si="19"/>
        <v>48852</v>
      </c>
      <c r="E97" s="1126">
        <f t="shared" ca="1" si="20"/>
        <v>48879</v>
      </c>
      <c r="F97" s="1127">
        <f t="shared" ca="1" si="21"/>
        <v>2649</v>
      </c>
      <c r="G97" s="1128">
        <f ca="1">IF(F97&lt;&gt;"",COUNTIF($F$11:F97,"&gt;0"),"")</f>
        <v>87</v>
      </c>
      <c r="H97" s="1129">
        <v>9.7202625010779555E-3</v>
      </c>
      <c r="I97" s="1073"/>
      <c r="J97" s="1130">
        <f t="shared" ca="1" si="22"/>
        <v>3070142478.4826674</v>
      </c>
      <c r="K97" s="1131">
        <f t="shared" ca="1" si="23"/>
        <v>29842590.806561608</v>
      </c>
      <c r="L97" s="1130">
        <f t="shared" ca="1" si="24"/>
        <v>21052199.727045104</v>
      </c>
      <c r="M97" s="1130">
        <f t="shared" ca="1" si="25"/>
        <v>0</v>
      </c>
      <c r="N97" s="1130">
        <f t="shared" ca="1" si="34"/>
        <v>3019247687.9490609</v>
      </c>
      <c r="O97" s="1073"/>
      <c r="P97" s="1130">
        <f t="shared" ca="1" si="26"/>
        <v>50894790.533606529</v>
      </c>
      <c r="Q97" s="1130">
        <f t="shared" ca="1" si="27"/>
        <v>2868285303.5516076</v>
      </c>
      <c r="R97" s="1130">
        <f t="shared" ca="1" si="35"/>
        <v>2916635354.5585341</v>
      </c>
      <c r="S97" s="1130">
        <f t="shared" ca="1" si="36"/>
        <v>48350051.006926537</v>
      </c>
      <c r="T97" s="1130">
        <f t="shared" ca="1" si="28"/>
        <v>2868285303.5516076</v>
      </c>
      <c r="U97" s="1132">
        <f t="shared" ca="1" si="29"/>
        <v>0.24702176253121266</v>
      </c>
      <c r="V97" s="1133">
        <f t="shared" ca="1" si="30"/>
        <v>5.0000000000000044E-2</v>
      </c>
      <c r="X97" s="1134">
        <f t="shared" ca="1" si="37"/>
        <v>153507123.92413324</v>
      </c>
      <c r="Y97" s="1134">
        <f t="shared" ca="1" si="31"/>
        <v>2544739.5266799927</v>
      </c>
      <c r="Z97" s="1134">
        <f t="shared" ca="1" si="32"/>
        <v>150962384.39745325</v>
      </c>
      <c r="AA97" s="1132">
        <f t="shared" ca="1" si="33"/>
        <v>0.26430289931841122</v>
      </c>
      <c r="AB97" s="1105"/>
    </row>
    <row r="98" spans="1:28">
      <c r="A98" s="1144">
        <f>'AMORT. PROFILE 0% CPR'!A98</f>
        <v>47661</v>
      </c>
      <c r="C98" s="1104"/>
      <c r="D98" s="1125">
        <f t="shared" ca="1" si="19"/>
        <v>48883</v>
      </c>
      <c r="E98" s="1126">
        <f t="shared" ca="1" si="20"/>
        <v>48911</v>
      </c>
      <c r="F98" s="1127">
        <f t="shared" ca="1" si="21"/>
        <v>2681</v>
      </c>
      <c r="G98" s="1128">
        <f ca="1">IF(F98&lt;&gt;"",COUNTIF($F$11:F98,"&gt;0"),"")</f>
        <v>88</v>
      </c>
      <c r="H98" s="1129">
        <v>9.7800217095957136E-3</v>
      </c>
      <c r="I98" s="1073"/>
      <c r="J98" s="1130">
        <f t="shared" ca="1" si="22"/>
        <v>3019247687.9490609</v>
      </c>
      <c r="K98" s="1131">
        <f t="shared" ca="1" si="23"/>
        <v>29528307.93478848</v>
      </c>
      <c r="L98" s="1130">
        <f t="shared" ca="1" si="24"/>
        <v>20701960.938460935</v>
      </c>
      <c r="M98" s="1130">
        <f t="shared" ca="1" si="25"/>
        <v>0</v>
      </c>
      <c r="N98" s="1130">
        <f t="shared" ca="1" si="34"/>
        <v>2969017419.0758114</v>
      </c>
      <c r="O98" s="1073"/>
      <c r="P98" s="1130">
        <f t="shared" ca="1" si="26"/>
        <v>50230268.873249531</v>
      </c>
      <c r="Q98" s="1130">
        <f t="shared" ca="1" si="27"/>
        <v>2820566548.1220207</v>
      </c>
      <c r="R98" s="1130">
        <f t="shared" ca="1" si="35"/>
        <v>2868285303.5516076</v>
      </c>
      <c r="S98" s="1130">
        <f t="shared" ca="1" si="36"/>
        <v>47718755.429586887</v>
      </c>
      <c r="T98" s="1130">
        <f t="shared" ca="1" si="28"/>
        <v>2820566548.1220207</v>
      </c>
      <c r="U98" s="1132">
        <f t="shared" ca="1" si="29"/>
        <v>0.24292679920316482</v>
      </c>
      <c r="V98" s="1133">
        <f t="shared" ca="1" si="30"/>
        <v>5.0000000000000044E-2</v>
      </c>
      <c r="X98" s="1134">
        <f t="shared" ca="1" si="37"/>
        <v>150962384.39745325</v>
      </c>
      <c r="Y98" s="1134">
        <f t="shared" ca="1" si="31"/>
        <v>2511513.4436626434</v>
      </c>
      <c r="Z98" s="1134">
        <f t="shared" ca="1" si="32"/>
        <v>148450870.95379061</v>
      </c>
      <c r="AA98" s="1132">
        <f t="shared" ca="1" si="33"/>
        <v>0.25992146073941674</v>
      </c>
      <c r="AB98" s="1105"/>
    </row>
    <row r="99" spans="1:28">
      <c r="A99" s="1144">
        <f>'AMORT. PROFILE 0% CPR'!A99</f>
        <v>47693</v>
      </c>
      <c r="C99" s="1104"/>
      <c r="D99" s="1125">
        <f t="shared" ca="1" si="19"/>
        <v>48913</v>
      </c>
      <c r="E99" s="1126">
        <f t="shared" ca="1" si="20"/>
        <v>48940</v>
      </c>
      <c r="F99" s="1127">
        <f t="shared" ca="1" si="21"/>
        <v>2710</v>
      </c>
      <c r="G99" s="1128">
        <f ca="1">IF(F99&lt;&gt;"",COUNTIF($F$11:F99,"&gt;0"),"")</f>
        <v>89</v>
      </c>
      <c r="H99" s="1129">
        <v>9.8395058437742034E-3</v>
      </c>
      <c r="I99" s="1073"/>
      <c r="J99" s="1130">
        <f t="shared" ca="1" si="22"/>
        <v>2969017419.0758114</v>
      </c>
      <c r="K99" s="1131">
        <f t="shared" ca="1" si="23"/>
        <v>29213664.245263848</v>
      </c>
      <c r="L99" s="1130">
        <f t="shared" ca="1" si="24"/>
        <v>20356326.050558046</v>
      </c>
      <c r="M99" s="1130">
        <f t="shared" ca="1" si="25"/>
        <v>0</v>
      </c>
      <c r="N99" s="1130">
        <f t="shared" ca="1" si="34"/>
        <v>2919447428.7799892</v>
      </c>
      <c r="O99" s="1073"/>
      <c r="P99" s="1130">
        <f t="shared" ca="1" si="26"/>
        <v>49569990.295822144</v>
      </c>
      <c r="Q99" s="1130">
        <f t="shared" ca="1" si="27"/>
        <v>2773475057.3409896</v>
      </c>
      <c r="R99" s="1130">
        <f t="shared" ca="1" si="35"/>
        <v>2820566548.1220207</v>
      </c>
      <c r="S99" s="1130">
        <f t="shared" ca="1" si="36"/>
        <v>47091490.781031132</v>
      </c>
      <c r="T99" s="1130">
        <f t="shared" ca="1" si="28"/>
        <v>2773475057.3409896</v>
      </c>
      <c r="U99" s="1132">
        <f t="shared" ca="1" si="29"/>
        <v>0.23888530287638227</v>
      </c>
      <c r="V99" s="1133">
        <f t="shared" ca="1" si="30"/>
        <v>5.0000000000000044E-2</v>
      </c>
      <c r="X99" s="1134">
        <f t="shared" ca="1" si="37"/>
        <v>148450870.95379061</v>
      </c>
      <c r="Y99" s="1134">
        <f t="shared" ca="1" si="31"/>
        <v>2478499.5147910118</v>
      </c>
      <c r="Z99" s="1134">
        <f t="shared" ca="1" si="32"/>
        <v>145972371.43899959</v>
      </c>
      <c r="AA99" s="1132">
        <f t="shared" ca="1" si="33"/>
        <v>0.25559722960363396</v>
      </c>
      <c r="AB99" s="1105"/>
    </row>
    <row r="100" spans="1:28">
      <c r="A100" s="1144">
        <f>'AMORT. PROFILE 0% CPR'!A100</f>
        <v>47722</v>
      </c>
      <c r="C100" s="1104"/>
      <c r="D100" s="1125">
        <f t="shared" ca="1" si="19"/>
        <v>48944</v>
      </c>
      <c r="E100" s="1126">
        <f t="shared" ca="1" si="20"/>
        <v>48971</v>
      </c>
      <c r="F100" s="1127">
        <f t="shared" ca="1" si="21"/>
        <v>2741</v>
      </c>
      <c r="G100" s="1128">
        <f ca="1">IF(F100&lt;&gt;"",COUNTIF($F$11:F100,"&gt;0"),"")</f>
        <v>90</v>
      </c>
      <c r="H100" s="1129">
        <v>9.8993835338828818E-3</v>
      </c>
      <c r="I100" s="1073"/>
      <c r="J100" s="1130">
        <f t="shared" ca="1" si="22"/>
        <v>2919447428.7799892</v>
      </c>
      <c r="K100" s="1131">
        <f t="shared" ca="1" si="23"/>
        <v>28900729.804501344</v>
      </c>
      <c r="L100" s="1130">
        <f t="shared" ca="1" si="24"/>
        <v>20015251.348674096</v>
      </c>
      <c r="M100" s="1130">
        <f t="shared" ca="1" si="25"/>
        <v>0</v>
      </c>
      <c r="N100" s="1130">
        <f t="shared" ca="1" si="34"/>
        <v>2870531447.6268134</v>
      </c>
      <c r="O100" s="1073"/>
      <c r="P100" s="1130">
        <f t="shared" ca="1" si="26"/>
        <v>48915981.153175831</v>
      </c>
      <c r="Q100" s="1130">
        <f t="shared" ca="1" si="27"/>
        <v>2727004875.2454724</v>
      </c>
      <c r="R100" s="1130">
        <f t="shared" ca="1" si="35"/>
        <v>2773475057.3409896</v>
      </c>
      <c r="S100" s="1130">
        <f t="shared" ca="1" si="36"/>
        <v>46470182.095517159</v>
      </c>
      <c r="T100" s="1130">
        <f t="shared" ca="1" si="28"/>
        <v>2727004875.2454724</v>
      </c>
      <c r="U100" s="1132">
        <f t="shared" ca="1" si="29"/>
        <v>0.23489693215504012</v>
      </c>
      <c r="V100" s="1133">
        <f t="shared" ca="1" si="30"/>
        <v>5.0000000000000155E-2</v>
      </c>
      <c r="X100" s="1134">
        <f t="shared" ca="1" si="37"/>
        <v>145972371.43899959</v>
      </c>
      <c r="Y100" s="1134">
        <f t="shared" ca="1" si="31"/>
        <v>2445799.0576586723</v>
      </c>
      <c r="Z100" s="1134">
        <f t="shared" ca="1" si="32"/>
        <v>143526572.38134092</v>
      </c>
      <c r="AA100" s="1132">
        <f t="shared" ca="1" si="33"/>
        <v>0.25132984063188635</v>
      </c>
      <c r="AB100" s="1105"/>
    </row>
    <row r="101" spans="1:28">
      <c r="A101" s="1144">
        <f>'AMORT. PROFILE 0% CPR'!A101</f>
        <v>47753</v>
      </c>
      <c r="C101" s="1104"/>
      <c r="D101" s="1125">
        <f t="shared" ca="1" si="19"/>
        <v>48975</v>
      </c>
      <c r="E101" s="1126">
        <f t="shared" ca="1" si="20"/>
        <v>49002</v>
      </c>
      <c r="F101" s="1127">
        <f t="shared" ca="1" si="21"/>
        <v>2772</v>
      </c>
      <c r="G101" s="1128">
        <f ca="1">IF(F101&lt;&gt;"",COUNTIF($F$11:F101,"&gt;0"),"")</f>
        <v>91</v>
      </c>
      <c r="H101" s="1129">
        <v>9.9561697940096401E-3</v>
      </c>
      <c r="I101" s="1073"/>
      <c r="J101" s="1130">
        <f t="shared" ca="1" si="22"/>
        <v>2870531447.6268134</v>
      </c>
      <c r="K101" s="1131">
        <f t="shared" ca="1" si="23"/>
        <v>28579498.491616845</v>
      </c>
      <c r="L101" s="1130">
        <f t="shared" ca="1" si="24"/>
        <v>19678762.70705343</v>
      </c>
      <c r="M101" s="1130">
        <f t="shared" ca="1" si="25"/>
        <v>0</v>
      </c>
      <c r="N101" s="1130">
        <f t="shared" ca="1" si="34"/>
        <v>2822273186.428143</v>
      </c>
      <c r="O101" s="1073"/>
      <c r="P101" s="1130">
        <f t="shared" ca="1" si="26"/>
        <v>48258261.198670387</v>
      </c>
      <c r="Q101" s="1130">
        <f t="shared" ca="1" si="27"/>
        <v>2681159527.1067357</v>
      </c>
      <c r="R101" s="1130">
        <f t="shared" ca="1" si="35"/>
        <v>2727004875.2454724</v>
      </c>
      <c r="S101" s="1130">
        <f t="shared" ca="1" si="36"/>
        <v>45845348.138736725</v>
      </c>
      <c r="T101" s="1130">
        <f t="shared" ca="1" si="28"/>
        <v>2681159527.1067357</v>
      </c>
      <c r="U101" s="1132">
        <f t="shared" ca="1" si="29"/>
        <v>0.23096118260429843</v>
      </c>
      <c r="V101" s="1133">
        <f t="shared" ca="1" si="30"/>
        <v>5.0000000000000044E-2</v>
      </c>
      <c r="X101" s="1134">
        <f t="shared" ca="1" si="37"/>
        <v>143526572.38134092</v>
      </c>
      <c r="Y101" s="1134">
        <f t="shared" ca="1" si="31"/>
        <v>2412913.0599336624</v>
      </c>
      <c r="Z101" s="1134">
        <f t="shared" ca="1" si="32"/>
        <v>141113659.32140726</v>
      </c>
      <c r="AA101" s="1132">
        <f t="shared" ca="1" si="33"/>
        <v>0.24711875410010489</v>
      </c>
      <c r="AB101" s="1105"/>
    </row>
    <row r="102" spans="1:28">
      <c r="A102" s="1144">
        <f>'AMORT. PROFILE 0% CPR'!A102</f>
        <v>47784</v>
      </c>
      <c r="C102" s="1104"/>
      <c r="D102" s="1125">
        <f t="shared" ca="1" si="19"/>
        <v>49003</v>
      </c>
      <c r="E102" s="1126">
        <f t="shared" ca="1" si="20"/>
        <v>49030</v>
      </c>
      <c r="F102" s="1127">
        <f t="shared" ca="1" si="21"/>
        <v>2800</v>
      </c>
      <c r="G102" s="1128">
        <f ca="1">IF(F102&lt;&gt;"",COUNTIF($F$11:F102,"&gt;0"),"")</f>
        <v>92</v>
      </c>
      <c r="H102" s="1129">
        <v>1.0011079015101747E-2</v>
      </c>
      <c r="I102" s="1073"/>
      <c r="J102" s="1130">
        <f t="shared" ca="1" si="22"/>
        <v>2822273186.428143</v>
      </c>
      <c r="K102" s="1131">
        <f t="shared" ca="1" si="23"/>
        <v>28253999.871535122</v>
      </c>
      <c r="L102" s="1130">
        <f t="shared" ca="1" si="24"/>
        <v>19346857.918527849</v>
      </c>
      <c r="M102" s="1130">
        <f t="shared" ca="1" si="25"/>
        <v>0</v>
      </c>
      <c r="N102" s="1130">
        <f t="shared" ca="1" si="34"/>
        <v>2774672328.6380796</v>
      </c>
      <c r="O102" s="1073"/>
      <c r="P102" s="1130">
        <f t="shared" ca="1" si="26"/>
        <v>47600857.790063381</v>
      </c>
      <c r="Q102" s="1130">
        <f t="shared" ca="1" si="27"/>
        <v>2635938712.2061753</v>
      </c>
      <c r="R102" s="1130">
        <f t="shared" ca="1" si="35"/>
        <v>2681159527.1067357</v>
      </c>
      <c r="S102" s="1130">
        <f t="shared" ca="1" si="36"/>
        <v>45220814.900560379</v>
      </c>
      <c r="T102" s="1130">
        <f t="shared" ca="1" si="28"/>
        <v>2635938712.2061753</v>
      </c>
      <c r="U102" s="1132">
        <f t="shared" ca="1" si="29"/>
        <v>0.22707835279378139</v>
      </c>
      <c r="V102" s="1133">
        <f t="shared" ca="1" si="30"/>
        <v>5.0000000000000155E-2</v>
      </c>
      <c r="X102" s="1134">
        <f t="shared" ca="1" si="37"/>
        <v>141113659.32140726</v>
      </c>
      <c r="Y102" s="1134">
        <f t="shared" ca="1" si="31"/>
        <v>2380042.8895030022</v>
      </c>
      <c r="Z102" s="1134">
        <f t="shared" ca="1" si="32"/>
        <v>138733616.43190426</v>
      </c>
      <c r="AA102" s="1132">
        <f t="shared" ca="1" si="33"/>
        <v>0.24296428946523288</v>
      </c>
      <c r="AB102" s="1105"/>
    </row>
    <row r="103" spans="1:28">
      <c r="A103" s="1144">
        <f>'AMORT. PROFILE 0% CPR'!A103</f>
        <v>47814</v>
      </c>
      <c r="C103" s="1104"/>
      <c r="D103" s="1125">
        <f t="shared" ca="1" si="19"/>
        <v>49034</v>
      </c>
      <c r="E103" s="1126">
        <f t="shared" ca="1" si="20"/>
        <v>49061</v>
      </c>
      <c r="F103" s="1127">
        <f t="shared" ca="1" si="21"/>
        <v>2831</v>
      </c>
      <c r="G103" s="1128">
        <f ca="1">IF(F103&lt;&gt;"",COUNTIF($F$11:F103,"&gt;0"),"")</f>
        <v>93</v>
      </c>
      <c r="H103" s="1129">
        <v>1.0084905084903981E-2</v>
      </c>
      <c r="I103" s="1073"/>
      <c r="J103" s="1130">
        <f t="shared" ca="1" si="22"/>
        <v>2774672328.6380796</v>
      </c>
      <c r="K103" s="1131">
        <f t="shared" ca="1" si="23"/>
        <v>27982307.07602454</v>
      </c>
      <c r="L103" s="1130">
        <f t="shared" ca="1" si="24"/>
        <v>19019132.67062765</v>
      </c>
      <c r="M103" s="1130">
        <f t="shared" ca="1" si="25"/>
        <v>0</v>
      </c>
      <c r="N103" s="1130">
        <f t="shared" ca="1" si="34"/>
        <v>2727670888.8914275</v>
      </c>
      <c r="O103" s="1073"/>
      <c r="P103" s="1130">
        <f t="shared" ca="1" si="26"/>
        <v>47001439.746652126</v>
      </c>
      <c r="Q103" s="1130">
        <f t="shared" ca="1" si="27"/>
        <v>2591287344.446856</v>
      </c>
      <c r="R103" s="1130">
        <f t="shared" ca="1" si="35"/>
        <v>2635938712.2061753</v>
      </c>
      <c r="S103" s="1130">
        <f t="shared" ca="1" si="36"/>
        <v>44651367.759319305</v>
      </c>
      <c r="T103" s="1130">
        <f t="shared" ca="1" si="28"/>
        <v>2591287344.446856</v>
      </c>
      <c r="U103" s="1132">
        <f t="shared" ca="1" si="29"/>
        <v>0.223248417254402</v>
      </c>
      <c r="V103" s="1133">
        <f t="shared" ca="1" si="30"/>
        <v>5.0000000000000044E-2</v>
      </c>
      <c r="X103" s="1134">
        <f t="shared" ca="1" si="37"/>
        <v>138733616.43190426</v>
      </c>
      <c r="Y103" s="1134">
        <f t="shared" ca="1" si="31"/>
        <v>2350071.9873328209</v>
      </c>
      <c r="Z103" s="1134">
        <f t="shared" ca="1" si="32"/>
        <v>136383544.44457144</v>
      </c>
      <c r="AA103" s="1132">
        <f t="shared" ca="1" si="33"/>
        <v>0.23886641947641918</v>
      </c>
      <c r="AB103" s="1105"/>
    </row>
    <row r="104" spans="1:28">
      <c r="A104" s="1144">
        <f>'AMORT. PROFILE 0% CPR'!A104</f>
        <v>47844</v>
      </c>
      <c r="C104" s="1104"/>
      <c r="D104" s="1125">
        <f t="shared" ca="1" si="19"/>
        <v>49064</v>
      </c>
      <c r="E104" s="1126">
        <f t="shared" ca="1" si="20"/>
        <v>49094</v>
      </c>
      <c r="F104" s="1127">
        <f t="shared" ca="1" si="21"/>
        <v>2864</v>
      </c>
      <c r="G104" s="1128">
        <f ca="1">IF(F104&lt;&gt;"",COUNTIF($F$11:F104,"&gt;0"),"")</f>
        <v>94</v>
      </c>
      <c r="H104" s="1129">
        <v>1.0142221653639991E-2</v>
      </c>
      <c r="I104" s="1073"/>
      <c r="J104" s="1130">
        <f t="shared" ca="1" si="22"/>
        <v>2727670888.8914275</v>
      </c>
      <c r="K104" s="1131">
        <f t="shared" ca="1" si="23"/>
        <v>27664642.753318079</v>
      </c>
      <c r="L104" s="1130">
        <f t="shared" ca="1" si="24"/>
        <v>18695876.34705865</v>
      </c>
      <c r="M104" s="1130">
        <f t="shared" ca="1" si="25"/>
        <v>0</v>
      </c>
      <c r="N104" s="1130">
        <f t="shared" ca="1" si="34"/>
        <v>2681310369.7910504</v>
      </c>
      <c r="O104" s="1073"/>
      <c r="P104" s="1130">
        <f t="shared" ca="1" si="26"/>
        <v>46360519.100377083</v>
      </c>
      <c r="Q104" s="1130">
        <f t="shared" ca="1" si="27"/>
        <v>2547244851.3014979</v>
      </c>
      <c r="R104" s="1130">
        <f t="shared" ca="1" si="35"/>
        <v>2591287344.446856</v>
      </c>
      <c r="S104" s="1130">
        <f t="shared" ca="1" si="36"/>
        <v>44042493.145358086</v>
      </c>
      <c r="T104" s="1130">
        <f t="shared" ca="1" si="28"/>
        <v>2547244851.3014979</v>
      </c>
      <c r="U104" s="1132">
        <f t="shared" ca="1" si="29"/>
        <v>0.21946671051958602</v>
      </c>
      <c r="V104" s="1133">
        <f t="shared" ca="1" si="30"/>
        <v>5.0000000000000044E-2</v>
      </c>
      <c r="X104" s="1134">
        <f t="shared" ca="1" si="37"/>
        <v>136383544.44457144</v>
      </c>
      <c r="Y104" s="1134">
        <f t="shared" ca="1" si="31"/>
        <v>2318025.9550189972</v>
      </c>
      <c r="Z104" s="1134">
        <f t="shared" ca="1" si="32"/>
        <v>134065518.48955244</v>
      </c>
      <c r="AA104" s="1132">
        <f t="shared" ca="1" si="33"/>
        <v>0.23482015228059819</v>
      </c>
      <c r="AB104" s="1105"/>
    </row>
    <row r="105" spans="1:28">
      <c r="A105" s="1144">
        <f>'AMORT. PROFILE 0% CPR'!A105</f>
        <v>47875</v>
      </c>
      <c r="C105" s="1104"/>
      <c r="D105" s="1125">
        <f t="shared" ca="1" si="19"/>
        <v>49095</v>
      </c>
      <c r="E105" s="1126">
        <f t="shared" ca="1" si="20"/>
        <v>49122</v>
      </c>
      <c r="F105" s="1127">
        <f t="shared" ca="1" si="21"/>
        <v>2892</v>
      </c>
      <c r="G105" s="1128">
        <f ca="1">IF(F105&lt;&gt;"",COUNTIF($F$11:F105,"&gt;0"),"")</f>
        <v>95</v>
      </c>
      <c r="H105" s="1129">
        <v>1.0206235338456701E-2</v>
      </c>
      <c r="I105" s="1073"/>
      <c r="J105" s="1130">
        <f t="shared" ca="1" si="22"/>
        <v>2681310369.7910504</v>
      </c>
      <c r="K105" s="1131">
        <f t="shared" ca="1" si="23"/>
        <v>27366084.649531823</v>
      </c>
      <c r="L105" s="1130">
        <f t="shared" ca="1" si="24"/>
        <v>18376925.70450845</v>
      </c>
      <c r="M105" s="1130">
        <f t="shared" ca="1" si="25"/>
        <v>0</v>
      </c>
      <c r="N105" s="1130">
        <f t="shared" ca="1" si="34"/>
        <v>2635567359.4370103</v>
      </c>
      <c r="O105" s="1073"/>
      <c r="P105" s="1130">
        <f t="shared" ca="1" si="26"/>
        <v>45743010.354040146</v>
      </c>
      <c r="Q105" s="1130">
        <f t="shared" ca="1" si="27"/>
        <v>2503788991.4651599</v>
      </c>
      <c r="R105" s="1130">
        <f t="shared" ca="1" si="35"/>
        <v>2547244851.3014979</v>
      </c>
      <c r="S105" s="1130">
        <f t="shared" ca="1" si="36"/>
        <v>43455859.836338043</v>
      </c>
      <c r="T105" s="1130">
        <f t="shared" ca="1" si="28"/>
        <v>2503788991.4651599</v>
      </c>
      <c r="U105" s="1132">
        <f t="shared" ca="1" si="29"/>
        <v>0.21573657186305795</v>
      </c>
      <c r="V105" s="1133">
        <f t="shared" ca="1" si="30"/>
        <v>4.9999999999999933E-2</v>
      </c>
      <c r="X105" s="1134">
        <f t="shared" ca="1" si="37"/>
        <v>134065518.48955244</v>
      </c>
      <c r="Y105" s="1134">
        <f t="shared" ca="1" si="31"/>
        <v>2287150.5177021027</v>
      </c>
      <c r="Z105" s="1134">
        <f t="shared" ca="1" si="32"/>
        <v>131778367.97185034</v>
      </c>
      <c r="AA105" s="1132">
        <f t="shared" ca="1" si="33"/>
        <v>0.2308290607602487</v>
      </c>
      <c r="AB105" s="1105"/>
    </row>
    <row r="106" spans="1:28">
      <c r="A106" s="1144">
        <f>'AMORT. PROFILE 0% CPR'!A106</f>
        <v>47906</v>
      </c>
      <c r="C106" s="1104"/>
      <c r="D106" s="1125">
        <f t="shared" ca="1" si="19"/>
        <v>49125</v>
      </c>
      <c r="E106" s="1126">
        <f t="shared" ca="1" si="20"/>
        <v>49152</v>
      </c>
      <c r="F106" s="1127">
        <f t="shared" ca="1" si="21"/>
        <v>2922</v>
      </c>
      <c r="G106" s="1128">
        <f ca="1">IF(F106&lt;&gt;"",COUNTIF($F$11:F106,"&gt;0"),"")</f>
        <v>96</v>
      </c>
      <c r="H106" s="1129">
        <v>1.0266860205826534E-2</v>
      </c>
      <c r="I106" s="1073"/>
      <c r="J106" s="1130">
        <f t="shared" ca="1" si="22"/>
        <v>2635567359.4370103</v>
      </c>
      <c r="K106" s="1131">
        <f t="shared" ca="1" si="23"/>
        <v>27059001.642379157</v>
      </c>
      <c r="L106" s="1130">
        <f t="shared" ca="1" si="24"/>
        <v>18062309.958486989</v>
      </c>
      <c r="M106" s="1130">
        <f t="shared" ca="1" si="25"/>
        <v>0</v>
      </c>
      <c r="N106" s="1130">
        <f t="shared" ca="1" si="34"/>
        <v>2590446047.836144</v>
      </c>
      <c r="O106" s="1073"/>
      <c r="P106" s="1130">
        <f t="shared" ca="1" si="26"/>
        <v>45121311.600866318</v>
      </c>
      <c r="Q106" s="1130">
        <f t="shared" ca="1" si="27"/>
        <v>2460923745.4443369</v>
      </c>
      <c r="R106" s="1130">
        <f t="shared" ca="1" si="35"/>
        <v>2503788991.4651599</v>
      </c>
      <c r="S106" s="1130">
        <f t="shared" ca="1" si="36"/>
        <v>42865246.020823002</v>
      </c>
      <c r="T106" s="1130">
        <f t="shared" ca="1" si="28"/>
        <v>2460923745.4443369</v>
      </c>
      <c r="U106" s="1132">
        <f t="shared" ca="1" si="29"/>
        <v>0.2120561175778474</v>
      </c>
      <c r="V106" s="1133">
        <f t="shared" ca="1" si="30"/>
        <v>4.9999999999999933E-2</v>
      </c>
      <c r="X106" s="1134">
        <f t="shared" ca="1" si="37"/>
        <v>131778367.97185034</v>
      </c>
      <c r="Y106" s="1134">
        <f t="shared" ca="1" si="31"/>
        <v>2256065.5800433159</v>
      </c>
      <c r="Z106" s="1134">
        <f t="shared" ca="1" si="32"/>
        <v>129522302.39180702</v>
      </c>
      <c r="AA106" s="1132">
        <f t="shared" ca="1" si="33"/>
        <v>0.22689112942811696</v>
      </c>
      <c r="AB106" s="1105"/>
    </row>
    <row r="107" spans="1:28">
      <c r="A107" s="1144">
        <f>'AMORT. PROFILE 0% CPR'!A107</f>
        <v>47934</v>
      </c>
      <c r="C107" s="1104"/>
      <c r="D107" s="1125">
        <f t="shared" ca="1" si="19"/>
        <v>49156</v>
      </c>
      <c r="E107" s="1126">
        <f t="shared" ca="1" si="20"/>
        <v>49184</v>
      </c>
      <c r="F107" s="1127">
        <f t="shared" ca="1" si="21"/>
        <v>2954</v>
      </c>
      <c r="G107" s="1128">
        <f ca="1">IF(F107&lt;&gt;"",COUNTIF($F$11:F107,"&gt;0"),"")</f>
        <v>97</v>
      </c>
      <c r="H107" s="1129">
        <v>1.0335059755144243E-2</v>
      </c>
      <c r="I107" s="1073"/>
      <c r="J107" s="1130">
        <f t="shared" ca="1" si="22"/>
        <v>2590446047.836144</v>
      </c>
      <c r="K107" s="1131">
        <f t="shared" ca="1" si="23"/>
        <v>26772414.696863789</v>
      </c>
      <c r="L107" s="1130">
        <f t="shared" ca="1" si="24"/>
        <v>17751857.169938892</v>
      </c>
      <c r="M107" s="1130">
        <f t="shared" ca="1" si="25"/>
        <v>0</v>
      </c>
      <c r="N107" s="1130">
        <f t="shared" ca="1" si="34"/>
        <v>2545921775.9693413</v>
      </c>
      <c r="O107" s="1073"/>
      <c r="P107" s="1130">
        <f t="shared" ca="1" si="26"/>
        <v>44524271.866802692</v>
      </c>
      <c r="Q107" s="1130">
        <f t="shared" ca="1" si="27"/>
        <v>2418625687.1708741</v>
      </c>
      <c r="R107" s="1130">
        <f t="shared" ca="1" si="35"/>
        <v>2460923745.4443369</v>
      </c>
      <c r="S107" s="1130">
        <f t="shared" ca="1" si="36"/>
        <v>42298058.273462772</v>
      </c>
      <c r="T107" s="1130">
        <f t="shared" ca="1" si="28"/>
        <v>2418625687.1708741</v>
      </c>
      <c r="U107" s="1132">
        <f t="shared" ca="1" si="29"/>
        <v>0.20842568478930965</v>
      </c>
      <c r="V107" s="1133">
        <f t="shared" ca="1" si="30"/>
        <v>5.0000000000000044E-2</v>
      </c>
      <c r="X107" s="1134">
        <f t="shared" ca="1" si="37"/>
        <v>129522302.39180702</v>
      </c>
      <c r="Y107" s="1134">
        <f t="shared" ca="1" si="31"/>
        <v>2226213.59333992</v>
      </c>
      <c r="Z107" s="1134">
        <f t="shared" ca="1" si="32"/>
        <v>127296088.7984671</v>
      </c>
      <c r="AA107" s="1132">
        <f t="shared" ca="1" si="33"/>
        <v>0.22300671899415808</v>
      </c>
      <c r="AB107" s="1105"/>
    </row>
    <row r="108" spans="1:28">
      <c r="A108" s="1144">
        <f>'AMORT. PROFILE 0% CPR'!A108</f>
        <v>47966</v>
      </c>
      <c r="C108" s="1104"/>
      <c r="D108" s="1125">
        <f t="shared" ca="1" si="19"/>
        <v>49187</v>
      </c>
      <c r="E108" s="1126">
        <f t="shared" ca="1" si="20"/>
        <v>49214</v>
      </c>
      <c r="F108" s="1127">
        <f t="shared" ca="1" si="21"/>
        <v>2984</v>
      </c>
      <c r="G108" s="1128">
        <f ca="1">IF(F108&lt;&gt;"",COUNTIF($F$11:F108,"&gt;0"),"")</f>
        <v>98</v>
      </c>
      <c r="H108" s="1129">
        <v>1.0408245221072806E-2</v>
      </c>
      <c r="I108" s="1073"/>
      <c r="J108" s="1130">
        <f t="shared" ca="1" si="22"/>
        <v>2545921775.9693413</v>
      </c>
      <c r="K108" s="1131">
        <f t="shared" ca="1" si="23"/>
        <v>26498578.157958087</v>
      </c>
      <c r="L108" s="1130">
        <f t="shared" ca="1" si="24"/>
        <v>17445450.224259712</v>
      </c>
      <c r="M108" s="1130">
        <f t="shared" ca="1" si="25"/>
        <v>0</v>
      </c>
      <c r="N108" s="1130">
        <f t="shared" ca="1" si="34"/>
        <v>2501977747.5871234</v>
      </c>
      <c r="O108" s="1073"/>
      <c r="P108" s="1130">
        <f t="shared" ca="1" si="26"/>
        <v>43944028.382217884</v>
      </c>
      <c r="Q108" s="1130">
        <f t="shared" ca="1" si="27"/>
        <v>2376878860.207767</v>
      </c>
      <c r="R108" s="1130">
        <f t="shared" ca="1" si="35"/>
        <v>2418625687.1708741</v>
      </c>
      <c r="S108" s="1130">
        <f t="shared" ca="1" si="36"/>
        <v>41746826.963107109</v>
      </c>
      <c r="T108" s="1130">
        <f t="shared" ca="1" si="28"/>
        <v>2376878860.207767</v>
      </c>
      <c r="U108" s="1132">
        <f t="shared" ca="1" si="29"/>
        <v>0.20484328944803798</v>
      </c>
      <c r="V108" s="1133">
        <f t="shared" ca="1" si="30"/>
        <v>5.0000000000000044E-2</v>
      </c>
      <c r="X108" s="1134">
        <f t="shared" ca="1" si="37"/>
        <v>127296088.7984671</v>
      </c>
      <c r="Y108" s="1134">
        <f t="shared" ca="1" si="31"/>
        <v>2197201.419110775</v>
      </c>
      <c r="Z108" s="1134">
        <f t="shared" ca="1" si="32"/>
        <v>125098887.37935632</v>
      </c>
      <c r="AA108" s="1132">
        <f t="shared" ca="1" si="33"/>
        <v>0.21917370660893096</v>
      </c>
      <c r="AB108" s="1105"/>
    </row>
    <row r="109" spans="1:28">
      <c r="A109" s="1144">
        <f>'AMORT. PROFILE 0% CPR'!A109</f>
        <v>47995</v>
      </c>
      <c r="C109" s="1104"/>
      <c r="D109" s="1125">
        <f t="shared" ca="1" si="19"/>
        <v>49217</v>
      </c>
      <c r="E109" s="1126">
        <f t="shared" ca="1" si="20"/>
        <v>49244</v>
      </c>
      <c r="F109" s="1127">
        <f t="shared" ca="1" si="21"/>
        <v>3014</v>
      </c>
      <c r="G109" s="1128">
        <f ca="1">IF(F109&lt;&gt;"",COUNTIF($F$11:F109,"&gt;0"),"")</f>
        <v>99</v>
      </c>
      <c r="H109" s="1129">
        <v>1.0460068996684183E-2</v>
      </c>
      <c r="I109" s="1073"/>
      <c r="J109" s="1130">
        <f t="shared" ca="1" si="22"/>
        <v>2501977747.5871234</v>
      </c>
      <c r="K109" s="1131">
        <f t="shared" ca="1" si="23"/>
        <v>26170859.867929794</v>
      </c>
      <c r="L109" s="1130">
        <f t="shared" ca="1" si="24"/>
        <v>17143434.204346836</v>
      </c>
      <c r="M109" s="1130">
        <f t="shared" ca="1" si="25"/>
        <v>0</v>
      </c>
      <c r="N109" s="1130">
        <f t="shared" ca="1" si="34"/>
        <v>2458663453.5148468</v>
      </c>
      <c r="O109" s="1073"/>
      <c r="P109" s="1130">
        <f t="shared" ca="1" si="26"/>
        <v>43314294.072276592</v>
      </c>
      <c r="Q109" s="1130">
        <f t="shared" ca="1" si="27"/>
        <v>2335730280.8391042</v>
      </c>
      <c r="R109" s="1130">
        <f t="shared" ca="1" si="35"/>
        <v>2376878860.207767</v>
      </c>
      <c r="S109" s="1130">
        <f t="shared" ca="1" si="36"/>
        <v>41148579.368662834</v>
      </c>
      <c r="T109" s="1130">
        <f t="shared" ca="1" si="28"/>
        <v>2335730280.8391042</v>
      </c>
      <c r="U109" s="1132">
        <f t="shared" ca="1" si="29"/>
        <v>0.20130758013820102</v>
      </c>
      <c r="V109" s="1133">
        <f t="shared" ca="1" si="30"/>
        <v>5.0000000000000155E-2</v>
      </c>
      <c r="X109" s="1134">
        <f t="shared" ca="1" si="37"/>
        <v>125098887.37935632</v>
      </c>
      <c r="Y109" s="1134">
        <f t="shared" ca="1" si="31"/>
        <v>2165714.7036137581</v>
      </c>
      <c r="Z109" s="1134">
        <f t="shared" ca="1" si="32"/>
        <v>122933172.67574257</v>
      </c>
      <c r="AA109" s="1132">
        <f t="shared" ca="1" si="33"/>
        <v>0.21539064631431873</v>
      </c>
      <c r="AB109" s="1105"/>
    </row>
    <row r="110" spans="1:28">
      <c r="A110" s="1144">
        <f>'AMORT. PROFILE 0% CPR'!A110</f>
        <v>48026</v>
      </c>
      <c r="C110" s="1104"/>
      <c r="D110" s="1125">
        <f t="shared" ca="1" si="19"/>
        <v>49248</v>
      </c>
      <c r="E110" s="1126">
        <f t="shared" ca="1" si="20"/>
        <v>49275</v>
      </c>
      <c r="F110" s="1127">
        <f t="shared" ca="1" si="21"/>
        <v>3045</v>
      </c>
      <c r="G110" s="1128">
        <f ca="1">IF(F110&lt;&gt;"",COUNTIF($F$11:F110,"&gt;0"),"")</f>
        <v>100</v>
      </c>
      <c r="H110" s="1129">
        <v>1.0528787347237506E-2</v>
      </c>
      <c r="I110" s="1073"/>
      <c r="J110" s="1130">
        <f t="shared" ca="1" si="22"/>
        <v>2458663453.5148468</v>
      </c>
      <c r="K110" s="1131">
        <f t="shared" ca="1" si="23"/>
        <v>25886744.660482388</v>
      </c>
      <c r="L110" s="1130">
        <f t="shared" ca="1" si="24"/>
        <v>16845476.781322595</v>
      </c>
      <c r="M110" s="1130">
        <f t="shared" ca="1" si="25"/>
        <v>0</v>
      </c>
      <c r="N110" s="1130">
        <f t="shared" ca="1" si="34"/>
        <v>2415931232.0730419</v>
      </c>
      <c r="O110" s="1073"/>
      <c r="P110" s="1130">
        <f t="shared" ca="1" si="26"/>
        <v>42732221.441804886</v>
      </c>
      <c r="Q110" s="1130">
        <f t="shared" ca="1" si="27"/>
        <v>2295134670.4693899</v>
      </c>
      <c r="R110" s="1130">
        <f t="shared" ca="1" si="35"/>
        <v>2335730280.8391042</v>
      </c>
      <c r="S110" s="1130">
        <f t="shared" ca="1" si="36"/>
        <v>40595610.36971426</v>
      </c>
      <c r="T110" s="1130">
        <f t="shared" ca="1" si="28"/>
        <v>2295134670.4693899</v>
      </c>
      <c r="U110" s="1132">
        <f t="shared" ca="1" si="29"/>
        <v>0.19782253886095807</v>
      </c>
      <c r="V110" s="1133">
        <f t="shared" ca="1" si="30"/>
        <v>4.9999999999999933E-2</v>
      </c>
      <c r="X110" s="1134">
        <f t="shared" ca="1" si="37"/>
        <v>122933172.67574257</v>
      </c>
      <c r="Y110" s="1134">
        <f t="shared" ca="1" si="31"/>
        <v>2136611.0720906258</v>
      </c>
      <c r="Z110" s="1134">
        <f t="shared" ca="1" si="32"/>
        <v>120796561.60365194</v>
      </c>
      <c r="AA110" s="1132">
        <f t="shared" ca="1" si="33"/>
        <v>0.21166179868412976</v>
      </c>
      <c r="AB110" s="1105"/>
    </row>
    <row r="111" spans="1:28">
      <c r="A111" s="1144">
        <f>'AMORT. PROFILE 0% CPR'!A111</f>
        <v>48057</v>
      </c>
      <c r="C111" s="1104"/>
      <c r="D111" s="1125">
        <f t="shared" ca="1" si="19"/>
        <v>49278</v>
      </c>
      <c r="E111" s="1126">
        <f t="shared" ca="1" si="20"/>
        <v>49305</v>
      </c>
      <c r="F111" s="1127">
        <f t="shared" ca="1" si="21"/>
        <v>3075</v>
      </c>
      <c r="G111" s="1128">
        <f ca="1">IF(F111&lt;&gt;"",COUNTIF($F$11:F111,"&gt;0"),"")</f>
        <v>101</v>
      </c>
      <c r="H111" s="1129">
        <v>1.0586099687577125E-2</v>
      </c>
      <c r="I111" s="1073"/>
      <c r="J111" s="1130">
        <f t="shared" ca="1" si="22"/>
        <v>2415931232.0730419</v>
      </c>
      <c r="K111" s="1131">
        <f t="shared" ca="1" si="23"/>
        <v>25575288.86105625</v>
      </c>
      <c r="L111" s="1130">
        <f t="shared" ca="1" si="24"/>
        <v>16551739.168629346</v>
      </c>
      <c r="M111" s="1130">
        <f t="shared" ca="1" si="25"/>
        <v>0</v>
      </c>
      <c r="N111" s="1130">
        <f t="shared" ca="1" si="34"/>
        <v>2373804204.0433564</v>
      </c>
      <c r="O111" s="1073"/>
      <c r="P111" s="1130">
        <f t="shared" ca="1" si="26"/>
        <v>42127028.029685497</v>
      </c>
      <c r="Q111" s="1130">
        <f t="shared" ca="1" si="27"/>
        <v>2255113993.8411884</v>
      </c>
      <c r="R111" s="1130">
        <f t="shared" ca="1" si="35"/>
        <v>2295134670.4693899</v>
      </c>
      <c r="S111" s="1130">
        <f t="shared" ca="1" si="36"/>
        <v>40020676.628201485</v>
      </c>
      <c r="T111" s="1130">
        <f t="shared" ca="1" si="28"/>
        <v>2255113993.8411884</v>
      </c>
      <c r="U111" s="1132">
        <f t="shared" ca="1" si="29"/>
        <v>0.19438433078709516</v>
      </c>
      <c r="V111" s="1133">
        <f t="shared" ca="1" si="30"/>
        <v>5.0000000000000044E-2</v>
      </c>
      <c r="X111" s="1134">
        <f t="shared" ca="1" si="37"/>
        <v>120796561.60365194</v>
      </c>
      <c r="Y111" s="1134">
        <f t="shared" ca="1" si="31"/>
        <v>2106351.4014840126</v>
      </c>
      <c r="Z111" s="1134">
        <f t="shared" ca="1" si="32"/>
        <v>118690210.20216793</v>
      </c>
      <c r="AA111" s="1132">
        <f t="shared" ca="1" si="33"/>
        <v>0.20798306061234839</v>
      </c>
      <c r="AB111" s="1105"/>
    </row>
    <row r="112" spans="1:28">
      <c r="A112" s="1144">
        <f>'AMORT. PROFILE 0% CPR'!A112</f>
        <v>48087</v>
      </c>
      <c r="C112" s="1104"/>
      <c r="D112" s="1125">
        <f t="shared" ca="1" si="19"/>
        <v>49309</v>
      </c>
      <c r="E112" s="1126">
        <f t="shared" ca="1" si="20"/>
        <v>49338</v>
      </c>
      <c r="F112" s="1127">
        <f t="shared" ca="1" si="21"/>
        <v>3108</v>
      </c>
      <c r="G112" s="1128">
        <f ca="1">IF(F112&lt;&gt;"",COUNTIF($F$11:F112,"&gt;0"),"")</f>
        <v>102</v>
      </c>
      <c r="H112" s="1129">
        <v>1.0648424617451045E-2</v>
      </c>
      <c r="I112" s="1073"/>
      <c r="J112" s="1130">
        <f t="shared" ca="1" si="22"/>
        <v>2373804204.0433564</v>
      </c>
      <c r="K112" s="1131">
        <f t="shared" ca="1" si="23"/>
        <v>25277275.12334406</v>
      </c>
      <c r="L112" s="1130">
        <f t="shared" ca="1" si="24"/>
        <v>16262099.06870712</v>
      </c>
      <c r="M112" s="1130">
        <f t="shared" ca="1" si="25"/>
        <v>0</v>
      </c>
      <c r="N112" s="1130">
        <f t="shared" ca="1" si="34"/>
        <v>2332264829.8513055</v>
      </c>
      <c r="O112" s="1073"/>
      <c r="P112" s="1130">
        <f t="shared" ca="1" si="26"/>
        <v>41539374.192050934</v>
      </c>
      <c r="Q112" s="1130">
        <f t="shared" ca="1" si="27"/>
        <v>2215651588.3587403</v>
      </c>
      <c r="R112" s="1130">
        <f t="shared" ca="1" si="35"/>
        <v>2255113993.8411884</v>
      </c>
      <c r="S112" s="1130">
        <f t="shared" ca="1" si="36"/>
        <v>39462405.482448101</v>
      </c>
      <c r="T112" s="1130">
        <f t="shared" ca="1" si="28"/>
        <v>2215651588.3587403</v>
      </c>
      <c r="U112" s="1132">
        <f t="shared" ca="1" si="29"/>
        <v>0.19099481620038522</v>
      </c>
      <c r="V112" s="1133">
        <f t="shared" ca="1" si="30"/>
        <v>4.9999999999999933E-2</v>
      </c>
      <c r="X112" s="1134">
        <f t="shared" ca="1" si="37"/>
        <v>118690210.20216793</v>
      </c>
      <c r="Y112" s="1134">
        <f t="shared" ca="1" si="31"/>
        <v>2076968.7096028328</v>
      </c>
      <c r="Z112" s="1134">
        <f t="shared" ca="1" si="32"/>
        <v>116613241.4925651</v>
      </c>
      <c r="AA112" s="1132">
        <f t="shared" ca="1" si="33"/>
        <v>0.20435642252439382</v>
      </c>
      <c r="AB112" s="1105"/>
    </row>
    <row r="113" spans="1:28">
      <c r="A113" s="1144">
        <f>'AMORT. PROFILE 0% CPR'!A113</f>
        <v>48120</v>
      </c>
      <c r="C113" s="1104"/>
      <c r="D113" s="1125">
        <f t="shared" ca="1" si="19"/>
        <v>49340</v>
      </c>
      <c r="E113" s="1126">
        <f t="shared" ca="1" si="20"/>
        <v>49367</v>
      </c>
      <c r="F113" s="1127">
        <f t="shared" ca="1" si="21"/>
        <v>3137</v>
      </c>
      <c r="G113" s="1128">
        <f ca="1">IF(F113&lt;&gt;"",COUNTIF($F$11:F113,"&gt;0"),"")</f>
        <v>103</v>
      </c>
      <c r="H113" s="1129">
        <v>1.0696179559403711E-2</v>
      </c>
      <c r="I113" s="1073"/>
      <c r="J113" s="1130">
        <f t="shared" ca="1" si="22"/>
        <v>2332264829.8513055</v>
      </c>
      <c r="K113" s="1131">
        <f t="shared" ca="1" si="23"/>
        <v>24946323.400171708</v>
      </c>
      <c r="L113" s="1130">
        <f t="shared" ca="1" si="24"/>
        <v>15976756.184023991</v>
      </c>
      <c r="M113" s="1130">
        <f t="shared" ca="1" si="25"/>
        <v>0</v>
      </c>
      <c r="N113" s="1130">
        <f t="shared" ca="1" si="34"/>
        <v>2291341750.2671099</v>
      </c>
      <c r="O113" s="1073"/>
      <c r="P113" s="1130">
        <f t="shared" ca="1" si="26"/>
        <v>40923079.584195614</v>
      </c>
      <c r="Q113" s="1130">
        <f t="shared" ca="1" si="27"/>
        <v>2176774662.7537541</v>
      </c>
      <c r="R113" s="1130">
        <f t="shared" ca="1" si="35"/>
        <v>2215651588.3587403</v>
      </c>
      <c r="S113" s="1130">
        <f t="shared" ca="1" si="36"/>
        <v>38876925.604986191</v>
      </c>
      <c r="T113" s="1130">
        <f t="shared" ca="1" si="28"/>
        <v>2176774662.7537541</v>
      </c>
      <c r="U113" s="1132">
        <f t="shared" ca="1" si="29"/>
        <v>0.18765258387752731</v>
      </c>
      <c r="V113" s="1133">
        <f t="shared" ca="1" si="30"/>
        <v>5.0000000000000155E-2</v>
      </c>
      <c r="X113" s="1134">
        <f t="shared" ca="1" si="37"/>
        <v>116613241.4925651</v>
      </c>
      <c r="Y113" s="1134">
        <f t="shared" ca="1" si="31"/>
        <v>2046153.9792094231</v>
      </c>
      <c r="Z113" s="1134">
        <f t="shared" ca="1" si="32"/>
        <v>114567087.51335567</v>
      </c>
      <c r="AA113" s="1132">
        <f t="shared" ca="1" si="33"/>
        <v>0.20078037447066993</v>
      </c>
      <c r="AB113" s="1105"/>
    </row>
    <row r="114" spans="1:28">
      <c r="A114" s="1144">
        <f>'AMORT. PROFILE 0% CPR'!A114</f>
        <v>48148</v>
      </c>
      <c r="C114" s="1104"/>
      <c r="D114" s="1125">
        <f t="shared" ca="1" si="19"/>
        <v>49368</v>
      </c>
      <c r="E114" s="1126">
        <f t="shared" ca="1" si="20"/>
        <v>49395</v>
      </c>
      <c r="F114" s="1127">
        <f t="shared" ca="1" si="21"/>
        <v>3165</v>
      </c>
      <c r="G114" s="1128">
        <f ca="1">IF(F114&lt;&gt;"",COUNTIF($F$11:F114,"&gt;0"),"")</f>
        <v>104</v>
      </c>
      <c r="H114" s="1129">
        <v>1.0740697734351535E-2</v>
      </c>
      <c r="I114" s="1073"/>
      <c r="J114" s="1130">
        <f t="shared" ca="1" si="22"/>
        <v>2291341750.2671099</v>
      </c>
      <c r="K114" s="1131">
        <f t="shared" ca="1" si="23"/>
        <v>24610609.145719029</v>
      </c>
      <c r="L114" s="1130">
        <f t="shared" ca="1" si="24"/>
        <v>15695713.736606278</v>
      </c>
      <c r="M114" s="1130">
        <f t="shared" ca="1" si="25"/>
        <v>0</v>
      </c>
      <c r="N114" s="1130">
        <f t="shared" ca="1" si="34"/>
        <v>2251035427.3847847</v>
      </c>
      <c r="O114" s="1073"/>
      <c r="P114" s="1130">
        <f t="shared" ca="1" si="26"/>
        <v>40306322.882325172</v>
      </c>
      <c r="Q114" s="1130">
        <f t="shared" ca="1" si="27"/>
        <v>2138483656.0155454</v>
      </c>
      <c r="R114" s="1130">
        <f t="shared" ca="1" si="35"/>
        <v>2176774662.7537541</v>
      </c>
      <c r="S114" s="1130">
        <f t="shared" ca="1" si="36"/>
        <v>38291006.738208771</v>
      </c>
      <c r="T114" s="1130">
        <f t="shared" ca="1" si="28"/>
        <v>2138483656.0155454</v>
      </c>
      <c r="U114" s="1132">
        <f t="shared" ca="1" si="29"/>
        <v>0.18435993823715649</v>
      </c>
      <c r="V114" s="1133">
        <f t="shared" ca="1" si="30"/>
        <v>5.0000000000000044E-2</v>
      </c>
      <c r="X114" s="1134">
        <f t="shared" ca="1" si="37"/>
        <v>114567087.51335567</v>
      </c>
      <c r="Y114" s="1134">
        <f t="shared" ca="1" si="31"/>
        <v>2015316.1441164017</v>
      </c>
      <c r="Z114" s="1134">
        <f t="shared" ca="1" si="32"/>
        <v>112551771.36923927</v>
      </c>
      <c r="AA114" s="1132">
        <f t="shared" ca="1" si="33"/>
        <v>0.19725738208222396</v>
      </c>
      <c r="AB114" s="1105"/>
    </row>
    <row r="115" spans="1:28">
      <c r="A115" s="1144">
        <f>'AMORT. PROFILE 0% CPR'!A115</f>
        <v>48179</v>
      </c>
      <c r="C115" s="1104"/>
      <c r="D115" s="1125">
        <f t="shared" ca="1" si="19"/>
        <v>49399</v>
      </c>
      <c r="E115" s="1126">
        <f t="shared" ca="1" si="20"/>
        <v>49426</v>
      </c>
      <c r="F115" s="1127">
        <f t="shared" ca="1" si="21"/>
        <v>3196</v>
      </c>
      <c r="G115" s="1128">
        <f ca="1">IF(F115&lt;&gt;"",COUNTIF($F$11:F115,"&gt;0"),"")</f>
        <v>105</v>
      </c>
      <c r="H115" s="1129">
        <v>1.078737950997598E-2</v>
      </c>
      <c r="I115" s="1073"/>
      <c r="J115" s="1130">
        <f t="shared" ca="1" si="22"/>
        <v>2251035427.3847847</v>
      </c>
      <c r="K115" s="1131">
        <f t="shared" ca="1" si="23"/>
        <v>24282773.445600647</v>
      </c>
      <c r="L115" s="1130">
        <f t="shared" ca="1" si="24"/>
        <v>15418887.394456115</v>
      </c>
      <c r="M115" s="1130">
        <f t="shared" ca="1" si="25"/>
        <v>0</v>
      </c>
      <c r="N115" s="1130">
        <f t="shared" ca="1" si="34"/>
        <v>2211333766.5447283</v>
      </c>
      <c r="O115" s="1073"/>
      <c r="P115" s="1130">
        <f t="shared" ca="1" si="26"/>
        <v>39701660.840056419</v>
      </c>
      <c r="Q115" s="1130">
        <f t="shared" ca="1" si="27"/>
        <v>2100767078.2174919</v>
      </c>
      <c r="R115" s="1130">
        <f t="shared" ca="1" si="35"/>
        <v>2138483656.0155454</v>
      </c>
      <c r="S115" s="1130">
        <f t="shared" ca="1" si="36"/>
        <v>37716577.798053503</v>
      </c>
      <c r="T115" s="1130">
        <f t="shared" ca="1" si="28"/>
        <v>2100767078.2174919</v>
      </c>
      <c r="U115" s="1132">
        <f t="shared" ca="1" si="29"/>
        <v>0.18111691645907119</v>
      </c>
      <c r="V115" s="1133">
        <f t="shared" ca="1" si="30"/>
        <v>5.0000000000000044E-2</v>
      </c>
      <c r="X115" s="1134">
        <f t="shared" ca="1" si="37"/>
        <v>112551771.36923927</v>
      </c>
      <c r="Y115" s="1134">
        <f t="shared" ca="1" si="31"/>
        <v>1985083.0420029163</v>
      </c>
      <c r="Z115" s="1134">
        <f t="shared" ca="1" si="32"/>
        <v>110566688.32723635</v>
      </c>
      <c r="AA115" s="1132">
        <f t="shared" ca="1" si="33"/>
        <v>0.19378748513987479</v>
      </c>
      <c r="AB115" s="1105"/>
    </row>
    <row r="116" spans="1:28">
      <c r="A116" s="1144">
        <f>'AMORT. PROFILE 0% CPR'!A116</f>
        <v>48211</v>
      </c>
      <c r="C116" s="1104"/>
      <c r="D116" s="1125">
        <f t="shared" ca="1" si="19"/>
        <v>49429</v>
      </c>
      <c r="E116" s="1126">
        <f t="shared" ca="1" si="20"/>
        <v>49457</v>
      </c>
      <c r="F116" s="1127">
        <f t="shared" ca="1" si="21"/>
        <v>3227</v>
      </c>
      <c r="G116" s="1128">
        <f ca="1">IF(F116&lt;&gt;"",COUNTIF($F$11:F116,"&gt;0"),"")</f>
        <v>106</v>
      </c>
      <c r="H116" s="1129">
        <v>1.0813178622296924E-2</v>
      </c>
      <c r="I116" s="1073"/>
      <c r="J116" s="1130">
        <f t="shared" ca="1" si="22"/>
        <v>2211333766.5447283</v>
      </c>
      <c r="K116" s="1131">
        <f t="shared" ca="1" si="23"/>
        <v>23911547.011164792</v>
      </c>
      <c r="L116" s="1130">
        <f t="shared" ca="1" si="24"/>
        <v>15146548.417694366</v>
      </c>
      <c r="M116" s="1130">
        <f t="shared" ca="1" si="25"/>
        <v>0</v>
      </c>
      <c r="N116" s="1130">
        <f t="shared" ca="1" si="34"/>
        <v>2172275671.115869</v>
      </c>
      <c r="O116" s="1073"/>
      <c r="P116" s="1130">
        <f t="shared" ca="1" si="26"/>
        <v>39058095.428859234</v>
      </c>
      <c r="Q116" s="1130">
        <f t="shared" ca="1" si="27"/>
        <v>2063661887.5600755</v>
      </c>
      <c r="R116" s="1130">
        <f t="shared" ca="1" si="35"/>
        <v>2100767078.2174919</v>
      </c>
      <c r="S116" s="1130">
        <f t="shared" ca="1" si="36"/>
        <v>37105190.657416344</v>
      </c>
      <c r="T116" s="1130">
        <f t="shared" ca="1" si="28"/>
        <v>2063661887.5600755</v>
      </c>
      <c r="U116" s="1132">
        <f t="shared" ca="1" si="29"/>
        <v>0.17792254541444982</v>
      </c>
      <c r="V116" s="1133">
        <f t="shared" ca="1" si="30"/>
        <v>5.0000000000000044E-2</v>
      </c>
      <c r="X116" s="1134">
        <f t="shared" ca="1" si="37"/>
        <v>110566688.32723635</v>
      </c>
      <c r="Y116" s="1134">
        <f t="shared" ca="1" si="31"/>
        <v>1952904.7714428902</v>
      </c>
      <c r="Z116" s="1134">
        <f t="shared" ca="1" si="32"/>
        <v>108613783.55579346</v>
      </c>
      <c r="AA116" s="1132">
        <f t="shared" ca="1" si="33"/>
        <v>0.19036964243670171</v>
      </c>
      <c r="AB116" s="1105"/>
    </row>
    <row r="117" spans="1:28">
      <c r="A117" s="1144">
        <f>'AMORT. PROFILE 0% CPR'!A117</f>
        <v>48240</v>
      </c>
      <c r="C117" s="1104"/>
      <c r="D117" s="1125">
        <f t="shared" ca="1" si="19"/>
        <v>49460</v>
      </c>
      <c r="E117" s="1126">
        <f t="shared" ca="1" si="20"/>
        <v>49487</v>
      </c>
      <c r="F117" s="1127">
        <f t="shared" ca="1" si="21"/>
        <v>3257</v>
      </c>
      <c r="G117" s="1128">
        <f ca="1">IF(F117&lt;&gt;"",COUNTIF($F$11:F117,"&gt;0"),"")</f>
        <v>107</v>
      </c>
      <c r="H117" s="1129">
        <v>1.0863511821642956E-2</v>
      </c>
      <c r="I117" s="1073"/>
      <c r="J117" s="1130">
        <f t="shared" ca="1" si="22"/>
        <v>2172275671.115869</v>
      </c>
      <c r="K117" s="1131">
        <f t="shared" ca="1" si="23"/>
        <v>23598542.433034629</v>
      </c>
      <c r="L117" s="1130">
        <f t="shared" ca="1" si="24"/>
        <v>14878262.583675696</v>
      </c>
      <c r="M117" s="1130">
        <f t="shared" ca="1" si="25"/>
        <v>0</v>
      </c>
      <c r="N117" s="1130">
        <f t="shared" ca="1" si="34"/>
        <v>2133798866.099159</v>
      </c>
      <c r="O117" s="1073"/>
      <c r="P117" s="1130">
        <f t="shared" ca="1" si="26"/>
        <v>38476805.016710043</v>
      </c>
      <c r="Q117" s="1130">
        <f t="shared" ca="1" si="27"/>
        <v>2027108922.7942009</v>
      </c>
      <c r="R117" s="1130">
        <f t="shared" ca="1" si="35"/>
        <v>2063661887.5600755</v>
      </c>
      <c r="S117" s="1130">
        <f t="shared" ca="1" si="36"/>
        <v>36552964.765874624</v>
      </c>
      <c r="T117" s="1130">
        <f t="shared" ca="1" si="28"/>
        <v>2027108922.7942009</v>
      </c>
      <c r="U117" s="1132">
        <f t="shared" ca="1" si="29"/>
        <v>0.17477995524426412</v>
      </c>
      <c r="V117" s="1133">
        <f t="shared" ca="1" si="30"/>
        <v>5.0000000000000044E-2</v>
      </c>
      <c r="X117" s="1134">
        <f t="shared" ca="1" si="37"/>
        <v>108613783.55579346</v>
      </c>
      <c r="Y117" s="1134">
        <f t="shared" ca="1" si="31"/>
        <v>1923840.2508354187</v>
      </c>
      <c r="Z117" s="1134">
        <f t="shared" ca="1" si="32"/>
        <v>106689943.30495805</v>
      </c>
      <c r="AA117" s="1132">
        <f t="shared" ca="1" si="33"/>
        <v>0.18700720309193089</v>
      </c>
      <c r="AB117" s="1105"/>
    </row>
    <row r="118" spans="1:28">
      <c r="A118" s="1144">
        <f>'AMORT. PROFILE 0% CPR'!A118</f>
        <v>48271</v>
      </c>
      <c r="C118" s="1104"/>
      <c r="D118" s="1125">
        <f t="shared" ca="1" si="19"/>
        <v>49490</v>
      </c>
      <c r="E118" s="1126">
        <f t="shared" ca="1" si="20"/>
        <v>49517</v>
      </c>
      <c r="F118" s="1127">
        <f t="shared" ca="1" si="21"/>
        <v>3287</v>
      </c>
      <c r="G118" s="1128">
        <f ca="1">IF(F118&lt;&gt;"",COUNTIF($F$11:F118,"&gt;0"),"")</f>
        <v>108</v>
      </c>
      <c r="H118" s="1129">
        <v>1.0910962812219724E-2</v>
      </c>
      <c r="I118" s="1073"/>
      <c r="J118" s="1130">
        <f t="shared" ca="1" si="22"/>
        <v>2133798866.099159</v>
      </c>
      <c r="K118" s="1131">
        <f t="shared" ca="1" si="23"/>
        <v>23281800.076764539</v>
      </c>
      <c r="L118" s="1130">
        <f t="shared" ca="1" si="24"/>
        <v>14614027.708694926</v>
      </c>
      <c r="M118" s="1130">
        <f t="shared" ca="1" si="25"/>
        <v>0</v>
      </c>
      <c r="N118" s="1130">
        <f t="shared" ca="1" si="34"/>
        <v>2095903038.3136995</v>
      </c>
      <c r="O118" s="1073"/>
      <c r="P118" s="1130">
        <f t="shared" ca="1" si="26"/>
        <v>37895827.785459518</v>
      </c>
      <c r="Q118" s="1130">
        <f t="shared" ca="1" si="27"/>
        <v>1991107886.3980143</v>
      </c>
      <c r="R118" s="1130">
        <f t="shared" ca="1" si="35"/>
        <v>2027108922.7942009</v>
      </c>
      <c r="S118" s="1130">
        <f t="shared" ca="1" si="36"/>
        <v>36001036.39618659</v>
      </c>
      <c r="T118" s="1130">
        <f t="shared" ca="1" si="28"/>
        <v>1991107886.3980143</v>
      </c>
      <c r="U118" s="1132">
        <f t="shared" ca="1" si="29"/>
        <v>0.17168413534065663</v>
      </c>
      <c r="V118" s="1133">
        <f t="shared" ca="1" si="30"/>
        <v>5.0000000000000044E-2</v>
      </c>
      <c r="X118" s="1134">
        <f t="shared" ca="1" si="37"/>
        <v>106689943.30495805</v>
      </c>
      <c r="Y118" s="1134">
        <f t="shared" ca="1" si="31"/>
        <v>1894791.3892729282</v>
      </c>
      <c r="Z118" s="1134">
        <f t="shared" ca="1" si="32"/>
        <v>104795151.91568512</v>
      </c>
      <c r="AA118" s="1132">
        <f t="shared" ca="1" si="33"/>
        <v>0.18369480596583684</v>
      </c>
      <c r="AB118" s="1105"/>
    </row>
    <row r="119" spans="1:28">
      <c r="A119" s="1144">
        <f>'AMORT. PROFILE 0% CPR'!A119</f>
        <v>48303</v>
      </c>
      <c r="C119" s="1104"/>
      <c r="D119" s="1125">
        <f t="shared" ca="1" si="19"/>
        <v>49521</v>
      </c>
      <c r="E119" s="1126">
        <f t="shared" ca="1" si="20"/>
        <v>49548</v>
      </c>
      <c r="F119" s="1127">
        <f t="shared" ca="1" si="21"/>
        <v>3318</v>
      </c>
      <c r="G119" s="1128">
        <f ca="1">IF(F119&lt;&gt;"",COUNTIF($F$11:F119,"&gt;0"),"")</f>
        <v>109</v>
      </c>
      <c r="H119" s="1129">
        <v>1.0970113584381817E-2</v>
      </c>
      <c r="I119" s="1073"/>
      <c r="J119" s="1130">
        <f t="shared" ca="1" si="22"/>
        <v>2095903038.3136995</v>
      </c>
      <c r="K119" s="1131">
        <f t="shared" ca="1" si="23"/>
        <v>22992294.392152239</v>
      </c>
      <c r="L119" s="1130">
        <f t="shared" ca="1" si="24"/>
        <v>14353627.145225586</v>
      </c>
      <c r="M119" s="1130">
        <f t="shared" ca="1" si="25"/>
        <v>0</v>
      </c>
      <c r="N119" s="1130">
        <f t="shared" ca="1" si="34"/>
        <v>2058557116.7763216</v>
      </c>
      <c r="O119" s="1073"/>
      <c r="P119" s="1130">
        <f t="shared" ca="1" si="26"/>
        <v>37345921.537377834</v>
      </c>
      <c r="Q119" s="1130">
        <f t="shared" ca="1" si="27"/>
        <v>1955629260.9375055</v>
      </c>
      <c r="R119" s="1130">
        <f t="shared" ca="1" si="35"/>
        <v>1991107886.3980143</v>
      </c>
      <c r="S119" s="1130">
        <f t="shared" ca="1" si="36"/>
        <v>35478625.460508823</v>
      </c>
      <c r="T119" s="1130">
        <f t="shared" ca="1" si="28"/>
        <v>1955629260.9375055</v>
      </c>
      <c r="U119" s="1132">
        <f t="shared" ca="1" si="29"/>
        <v>0.16863506050528612</v>
      </c>
      <c r="V119" s="1133">
        <f t="shared" ca="1" si="30"/>
        <v>5.0000000000000044E-2</v>
      </c>
      <c r="X119" s="1134">
        <f t="shared" ca="1" si="37"/>
        <v>104795151.91568512</v>
      </c>
      <c r="Y119" s="1134">
        <f t="shared" ca="1" si="31"/>
        <v>1867296.0768690109</v>
      </c>
      <c r="Z119" s="1134">
        <f t="shared" ca="1" si="32"/>
        <v>102927855.83881611</v>
      </c>
      <c r="AA119" s="1132">
        <f t="shared" ca="1" si="33"/>
        <v>0.18043242409725399</v>
      </c>
      <c r="AB119" s="1105"/>
    </row>
    <row r="120" spans="1:28">
      <c r="A120" s="1144">
        <f>'AMORT. PROFILE 0% CPR'!A120</f>
        <v>48331</v>
      </c>
      <c r="C120" s="1104"/>
      <c r="D120" s="1125">
        <f t="shared" ca="1" si="19"/>
        <v>49552</v>
      </c>
      <c r="E120" s="1126">
        <f t="shared" ca="1" si="20"/>
        <v>49579</v>
      </c>
      <c r="F120" s="1127">
        <f t="shared" ca="1" si="21"/>
        <v>3349</v>
      </c>
      <c r="G120" s="1128">
        <f ca="1">IF(F120&lt;&gt;"",COUNTIF($F$11:F120,"&gt;0"),"")</f>
        <v>110</v>
      </c>
      <c r="H120" s="1129">
        <v>1.1052340116553533E-2</v>
      </c>
      <c r="I120" s="1073"/>
      <c r="J120" s="1130">
        <f t="shared" ca="1" si="22"/>
        <v>2058557116.7763216</v>
      </c>
      <c r="K120" s="1131">
        <f t="shared" ca="1" si="23"/>
        <v>22751873.403963715</v>
      </c>
      <c r="L120" s="1130">
        <f t="shared" ca="1" si="24"/>
        <v>14096694.461808426</v>
      </c>
      <c r="M120" s="1130">
        <f t="shared" ca="1" si="25"/>
        <v>0</v>
      </c>
      <c r="N120" s="1130">
        <f t="shared" ca="1" si="34"/>
        <v>2021708548.9105494</v>
      </c>
      <c r="O120" s="1073"/>
      <c r="P120" s="1130">
        <f t="shared" ca="1" si="26"/>
        <v>36848567.865772247</v>
      </c>
      <c r="Q120" s="1130">
        <f t="shared" ca="1" si="27"/>
        <v>1920623121.4650218</v>
      </c>
      <c r="R120" s="1130">
        <f t="shared" ca="1" si="35"/>
        <v>1955629260.9375055</v>
      </c>
      <c r="S120" s="1130">
        <f t="shared" ca="1" si="36"/>
        <v>35006139.472483635</v>
      </c>
      <c r="T120" s="1130">
        <f t="shared" ca="1" si="28"/>
        <v>1920623121.4650218</v>
      </c>
      <c r="U120" s="1132">
        <f t="shared" ca="1" si="29"/>
        <v>0.1656302307860886</v>
      </c>
      <c r="V120" s="1133">
        <f t="shared" ca="1" si="30"/>
        <v>5.0000000000000044E-2</v>
      </c>
      <c r="X120" s="1134">
        <f t="shared" ca="1" si="37"/>
        <v>102927855.83881611</v>
      </c>
      <c r="Y120" s="1134">
        <f t="shared" ca="1" si="31"/>
        <v>1842428.3932886124</v>
      </c>
      <c r="Z120" s="1134">
        <f t="shared" ca="1" si="32"/>
        <v>101085427.44552749</v>
      </c>
      <c r="AA120" s="1132">
        <f t="shared" ca="1" si="33"/>
        <v>0.17721738264258971</v>
      </c>
      <c r="AB120" s="1105"/>
    </row>
    <row r="121" spans="1:28">
      <c r="A121" s="1144">
        <f>'AMORT. PROFILE 0% CPR'!A121</f>
        <v>48361</v>
      </c>
      <c r="C121" s="1104"/>
      <c r="D121" s="1125">
        <f t="shared" ca="1" si="19"/>
        <v>49582</v>
      </c>
      <c r="E121" s="1126">
        <f t="shared" ca="1" si="20"/>
        <v>49611</v>
      </c>
      <c r="F121" s="1127">
        <f t="shared" ca="1" si="21"/>
        <v>3381</v>
      </c>
      <c r="G121" s="1128">
        <f ca="1">IF(F121&lt;&gt;"",COUNTIF($F$11:F121,"&gt;0"),"")</f>
        <v>111</v>
      </c>
      <c r="H121" s="1129">
        <v>1.1111771663004718E-2</v>
      </c>
      <c r="I121" s="1073"/>
      <c r="J121" s="1130">
        <f t="shared" ca="1" si="22"/>
        <v>2021708548.9105494</v>
      </c>
      <c r="K121" s="1131">
        <f t="shared" ca="1" si="23"/>
        <v>22464763.764638633</v>
      </c>
      <c r="L121" s="1130">
        <f t="shared" ca="1" si="24"/>
        <v>13843528.935599921</v>
      </c>
      <c r="M121" s="1130">
        <f t="shared" ca="1" si="25"/>
        <v>0</v>
      </c>
      <c r="N121" s="1130">
        <f t="shared" ca="1" si="34"/>
        <v>1985400256.2103109</v>
      </c>
      <c r="O121" s="1073"/>
      <c r="P121" s="1130">
        <f t="shared" ca="1" si="26"/>
        <v>36308292.700238466</v>
      </c>
      <c r="Q121" s="1130">
        <f t="shared" ca="1" si="27"/>
        <v>1886130243.3997953</v>
      </c>
      <c r="R121" s="1130">
        <f t="shared" ca="1" si="35"/>
        <v>1920623121.4650218</v>
      </c>
      <c r="S121" s="1130">
        <f t="shared" ca="1" si="36"/>
        <v>34492878.065226555</v>
      </c>
      <c r="T121" s="1130">
        <f t="shared" ca="1" si="28"/>
        <v>1886130243.3997953</v>
      </c>
      <c r="U121" s="1132">
        <f t="shared" ca="1" si="29"/>
        <v>0.16266541783530572</v>
      </c>
      <c r="V121" s="1133">
        <f t="shared" ca="1" si="30"/>
        <v>5.0000000000000044E-2</v>
      </c>
      <c r="X121" s="1134">
        <f t="shared" ca="1" si="37"/>
        <v>101085427.44552749</v>
      </c>
      <c r="Y121" s="1134">
        <f t="shared" ca="1" si="31"/>
        <v>1815414.6350119114</v>
      </c>
      <c r="Z121" s="1134">
        <f t="shared" ca="1" si="32"/>
        <v>99270012.810515583</v>
      </c>
      <c r="AA121" s="1132">
        <f t="shared" ca="1" si="33"/>
        <v>0.17404515744753357</v>
      </c>
      <c r="AB121" s="1105"/>
    </row>
    <row r="122" spans="1:28">
      <c r="A122" s="1144">
        <f>'AMORT. PROFILE 0% CPR'!A122</f>
        <v>48393</v>
      </c>
      <c r="C122" s="1104"/>
      <c r="D122" s="1125">
        <f t="shared" ca="1" si="19"/>
        <v>49613</v>
      </c>
      <c r="E122" s="1126">
        <f t="shared" ca="1" si="20"/>
        <v>49640</v>
      </c>
      <c r="F122" s="1127">
        <f t="shared" ca="1" si="21"/>
        <v>3410</v>
      </c>
      <c r="G122" s="1128">
        <f ca="1">IF(F122&lt;&gt;"",COUNTIF($F$11:F122,"&gt;0"),"")</f>
        <v>112</v>
      </c>
      <c r="H122" s="1129">
        <v>1.1196095104483026E-2</v>
      </c>
      <c r="I122" s="1073"/>
      <c r="J122" s="1130">
        <f t="shared" ca="1" si="22"/>
        <v>1985400256.2103109</v>
      </c>
      <c r="K122" s="1131">
        <f t="shared" ca="1" si="23"/>
        <v>22228730.088995609</v>
      </c>
      <c r="L122" s="1130">
        <f t="shared" ca="1" si="24"/>
        <v>13593750.811846495</v>
      </c>
      <c r="M122" s="1130">
        <f t="shared" ca="1" si="25"/>
        <v>0</v>
      </c>
      <c r="N122" s="1130">
        <f t="shared" ca="1" si="34"/>
        <v>1949577775.3094687</v>
      </c>
      <c r="O122" s="1073"/>
      <c r="P122" s="1130">
        <f t="shared" ca="1" si="26"/>
        <v>35822480.90084219</v>
      </c>
      <c r="Q122" s="1130">
        <f t="shared" ca="1" si="27"/>
        <v>1852098886.5439951</v>
      </c>
      <c r="R122" s="1130">
        <f t="shared" ca="1" si="35"/>
        <v>1886130243.3997953</v>
      </c>
      <c r="S122" s="1130">
        <f t="shared" ca="1" si="36"/>
        <v>34031356.855800152</v>
      </c>
      <c r="T122" s="1130">
        <f t="shared" ca="1" si="28"/>
        <v>1852098886.5439951</v>
      </c>
      <c r="U122" s="1132">
        <f t="shared" ca="1" si="29"/>
        <v>0.15974407508975838</v>
      </c>
      <c r="V122" s="1133">
        <f t="shared" ca="1" si="30"/>
        <v>5.0000000000000044E-2</v>
      </c>
      <c r="X122" s="1134">
        <f t="shared" ca="1" si="37"/>
        <v>99270012.810515583</v>
      </c>
      <c r="Y122" s="1134">
        <f t="shared" ca="1" si="31"/>
        <v>1791124.045042038</v>
      </c>
      <c r="Z122" s="1134">
        <f t="shared" ca="1" si="32"/>
        <v>97478888.765473545</v>
      </c>
      <c r="AA122" s="1132">
        <f t="shared" ca="1" si="33"/>
        <v>0.17091944354427613</v>
      </c>
      <c r="AB122" s="1105"/>
    </row>
    <row r="123" spans="1:28">
      <c r="A123" s="1144">
        <f>'AMORT. PROFILE 0% CPR'!A123</f>
        <v>48422</v>
      </c>
      <c r="C123" s="1104"/>
      <c r="D123" s="1125">
        <f t="shared" ca="1" si="19"/>
        <v>49643</v>
      </c>
      <c r="E123" s="1126">
        <f t="shared" ca="1" si="20"/>
        <v>49670</v>
      </c>
      <c r="F123" s="1127">
        <f t="shared" ca="1" si="21"/>
        <v>3440</v>
      </c>
      <c r="G123" s="1128">
        <f ca="1">IF(F123&lt;&gt;"",COUNTIF($F$11:F123,"&gt;0"),"")</f>
        <v>113</v>
      </c>
      <c r="H123" s="1129">
        <v>1.1262061112173481E-2</v>
      </c>
      <c r="I123" s="1073"/>
      <c r="J123" s="1130">
        <f t="shared" ca="1" si="22"/>
        <v>1949577775.3094687</v>
      </c>
      <c r="K123" s="1131">
        <f t="shared" ca="1" si="23"/>
        <v>21956264.048470456</v>
      </c>
      <c r="L123" s="1130">
        <f t="shared" ca="1" si="24"/>
        <v>13347588.906511929</v>
      </c>
      <c r="M123" s="1130">
        <f t="shared" ca="1" si="25"/>
        <v>0</v>
      </c>
      <c r="N123" s="1130">
        <f t="shared" ca="1" si="34"/>
        <v>1914273922.3544862</v>
      </c>
      <c r="O123" s="1073"/>
      <c r="P123" s="1130">
        <f t="shared" ca="1" si="26"/>
        <v>35303852.954982519</v>
      </c>
      <c r="Q123" s="1130">
        <f t="shared" ca="1" si="27"/>
        <v>1818560226.2367618</v>
      </c>
      <c r="R123" s="1130">
        <f t="shared" ca="1" si="35"/>
        <v>1852098886.5439951</v>
      </c>
      <c r="S123" s="1130">
        <f t="shared" ca="1" si="36"/>
        <v>33538660.307233334</v>
      </c>
      <c r="T123" s="1130">
        <f t="shared" ca="1" si="28"/>
        <v>1818560226.2367618</v>
      </c>
      <c r="U123" s="1132">
        <f t="shared" ca="1" si="29"/>
        <v>0.15686182046073541</v>
      </c>
      <c r="V123" s="1133">
        <f t="shared" ca="1" si="30"/>
        <v>5.0000000000000044E-2</v>
      </c>
      <c r="X123" s="1134">
        <f t="shared" ca="1" si="37"/>
        <v>97478888.765473545</v>
      </c>
      <c r="Y123" s="1134">
        <f t="shared" ca="1" si="31"/>
        <v>1765192.6477491856</v>
      </c>
      <c r="Z123" s="1134">
        <f t="shared" ca="1" si="32"/>
        <v>95713696.117724359</v>
      </c>
      <c r="AA123" s="1132">
        <f t="shared" ca="1" si="33"/>
        <v>0.16783555228215141</v>
      </c>
      <c r="AB123" s="1105"/>
    </row>
    <row r="124" spans="1:28">
      <c r="A124" s="1144">
        <f>'AMORT. PROFILE 0% CPR'!A124</f>
        <v>48453</v>
      </c>
      <c r="C124" s="1104"/>
      <c r="D124" s="1125">
        <f t="shared" ca="1" si="19"/>
        <v>49674</v>
      </c>
      <c r="E124" s="1126">
        <f t="shared" ca="1" si="20"/>
        <v>49702</v>
      </c>
      <c r="F124" s="1127">
        <f t="shared" ca="1" si="21"/>
        <v>3472</v>
      </c>
      <c r="G124" s="1128">
        <f ca="1">IF(F124&lt;&gt;"",COUNTIF($F$11:F124,"&gt;0"),"")</f>
        <v>114</v>
      </c>
      <c r="H124" s="1129">
        <v>1.1334964767391655E-2</v>
      </c>
      <c r="I124" s="1073"/>
      <c r="J124" s="1130">
        <f t="shared" ca="1" si="22"/>
        <v>1914273922.3544862</v>
      </c>
      <c r="K124" s="1131">
        <f t="shared" ca="1" si="23"/>
        <v>21698227.465024728</v>
      </c>
      <c r="L124" s="1130">
        <f t="shared" ca="1" si="24"/>
        <v>13104918.264434289</v>
      </c>
      <c r="M124" s="1130">
        <f t="shared" ca="1" si="25"/>
        <v>0</v>
      </c>
      <c r="N124" s="1130">
        <f t="shared" ca="1" si="34"/>
        <v>1879470776.6250272</v>
      </c>
      <c r="O124" s="1073"/>
      <c r="P124" s="1130">
        <f t="shared" ca="1" si="26"/>
        <v>34803145.729459047</v>
      </c>
      <c r="Q124" s="1130">
        <f t="shared" ca="1" si="27"/>
        <v>1785497237.7937758</v>
      </c>
      <c r="R124" s="1130">
        <f t="shared" ca="1" si="35"/>
        <v>1818560226.2367618</v>
      </c>
      <c r="S124" s="1130">
        <f t="shared" ca="1" si="36"/>
        <v>33062988.442986012</v>
      </c>
      <c r="T124" s="1130">
        <f t="shared" ca="1" si="28"/>
        <v>1785497237.7937758</v>
      </c>
      <c r="U124" s="1132">
        <f t="shared" ca="1" si="29"/>
        <v>0.15402129431505876</v>
      </c>
      <c r="V124" s="1133">
        <f t="shared" ca="1" si="30"/>
        <v>5.0000000000000044E-2</v>
      </c>
      <c r="X124" s="1134">
        <f t="shared" ca="1" si="37"/>
        <v>95713696.117724359</v>
      </c>
      <c r="Y124" s="1134">
        <f t="shared" ca="1" si="31"/>
        <v>1740157.2864730358</v>
      </c>
      <c r="Z124" s="1134">
        <f t="shared" ca="1" si="32"/>
        <v>93973538.831251323</v>
      </c>
      <c r="AA124" s="1132">
        <f t="shared" ca="1" si="33"/>
        <v>0.16479630874263837</v>
      </c>
      <c r="AB124" s="1105"/>
    </row>
    <row r="125" spans="1:28">
      <c r="A125" s="1144">
        <f>'AMORT. PROFILE 0% CPR'!A125</f>
        <v>48484</v>
      </c>
      <c r="C125" s="1104"/>
      <c r="D125" s="1125">
        <f t="shared" ca="1" si="19"/>
        <v>49705</v>
      </c>
      <c r="E125" s="1126">
        <f t="shared" ca="1" si="20"/>
        <v>49732</v>
      </c>
      <c r="F125" s="1127">
        <f t="shared" ca="1" si="21"/>
        <v>3502</v>
      </c>
      <c r="G125" s="1128">
        <f ca="1">IF(F125&lt;&gt;"",COUNTIF($F$11:F125,"&gt;0"),"")</f>
        <v>115</v>
      </c>
      <c r="H125" s="1129">
        <v>1.1393319989222802E-2</v>
      </c>
      <c r="I125" s="1073"/>
      <c r="J125" s="1130">
        <f t="shared" ca="1" si="22"/>
        <v>1879470776.6250272</v>
      </c>
      <c r="K125" s="1131">
        <f t="shared" ca="1" si="23"/>
        <v>21413411.968482025</v>
      </c>
      <c r="L125" s="1130">
        <f t="shared" ca="1" si="24"/>
        <v>12865900.13821158</v>
      </c>
      <c r="M125" s="1130">
        <f t="shared" ca="1" si="25"/>
        <v>0</v>
      </c>
      <c r="N125" s="1130">
        <f t="shared" ca="1" si="34"/>
        <v>1845191464.5183337</v>
      </c>
      <c r="O125" s="1073"/>
      <c r="P125" s="1130">
        <f t="shared" ca="1" si="26"/>
        <v>34279312.106693506</v>
      </c>
      <c r="Q125" s="1130">
        <f t="shared" ca="1" si="27"/>
        <v>1752931891.2924168</v>
      </c>
      <c r="R125" s="1130">
        <f t="shared" ca="1" si="35"/>
        <v>1785497237.7937758</v>
      </c>
      <c r="S125" s="1130">
        <f t="shared" ca="1" si="36"/>
        <v>32565346.501358986</v>
      </c>
      <c r="T125" s="1130">
        <f t="shared" ca="1" si="28"/>
        <v>1752931891.2924168</v>
      </c>
      <c r="U125" s="1132">
        <f t="shared" ca="1" si="29"/>
        <v>0.15122105476266817</v>
      </c>
      <c r="V125" s="1133">
        <f t="shared" ca="1" si="30"/>
        <v>5.0000000000000044E-2</v>
      </c>
      <c r="X125" s="1134">
        <f t="shared" ca="1" si="37"/>
        <v>93973538.831251323</v>
      </c>
      <c r="Y125" s="1134">
        <f t="shared" ca="1" si="31"/>
        <v>1713965.6053345203</v>
      </c>
      <c r="Z125" s="1134">
        <f t="shared" ca="1" si="32"/>
        <v>92259573.225916803</v>
      </c>
      <c r="AA125" s="1132">
        <f t="shared" ca="1" si="33"/>
        <v>0.16180017016400022</v>
      </c>
      <c r="AB125" s="1105"/>
    </row>
    <row r="126" spans="1:28">
      <c r="A126" s="1144">
        <f>'AMORT. PROFILE 0% CPR'!A126</f>
        <v>48514</v>
      </c>
      <c r="C126" s="1104"/>
      <c r="D126" s="1125">
        <f t="shared" ca="1" si="19"/>
        <v>49734</v>
      </c>
      <c r="E126" s="1126">
        <f t="shared" ca="1" si="20"/>
        <v>49761</v>
      </c>
      <c r="F126" s="1127">
        <f t="shared" ca="1" si="21"/>
        <v>3531</v>
      </c>
      <c r="G126" s="1128">
        <f ca="1">IF(F126&lt;&gt;"",COUNTIF($F$11:F126,"&gt;0"),"")</f>
        <v>116</v>
      </c>
      <c r="H126" s="1129">
        <v>1.1436699626936178E-2</v>
      </c>
      <c r="I126" s="1073"/>
      <c r="J126" s="1130">
        <f t="shared" ca="1" si="22"/>
        <v>1845191464.5183337</v>
      </c>
      <c r="K126" s="1131">
        <f t="shared" ca="1" si="23"/>
        <v>21102900.533882648</v>
      </c>
      <c r="L126" s="1130">
        <f t="shared" ca="1" si="24"/>
        <v>12630687.164933566</v>
      </c>
      <c r="M126" s="1130">
        <f t="shared" ca="1" si="25"/>
        <v>0</v>
      </c>
      <c r="N126" s="1130">
        <f t="shared" ca="1" si="34"/>
        <v>1811457876.8195174</v>
      </c>
      <c r="O126" s="1073"/>
      <c r="P126" s="1130">
        <f t="shared" ca="1" si="26"/>
        <v>33733587.698816299</v>
      </c>
      <c r="Q126" s="1130">
        <f t="shared" ca="1" si="27"/>
        <v>1720884982.9785414</v>
      </c>
      <c r="R126" s="1130">
        <f t="shared" ca="1" si="35"/>
        <v>1752931891.2924168</v>
      </c>
      <c r="S126" s="1130">
        <f t="shared" ca="1" si="36"/>
        <v>32046908.313875437</v>
      </c>
      <c r="T126" s="1130">
        <f t="shared" ca="1" si="28"/>
        <v>1720884982.9785414</v>
      </c>
      <c r="U126" s="1132">
        <f t="shared" ca="1" si="29"/>
        <v>0.14846296253916397</v>
      </c>
      <c r="V126" s="1133">
        <f t="shared" ca="1" si="30"/>
        <v>5.0000000000000044E-2</v>
      </c>
      <c r="X126" s="1134">
        <f t="shared" ca="1" si="37"/>
        <v>92259573.225916803</v>
      </c>
      <c r="Y126" s="1134">
        <f t="shared" ca="1" si="31"/>
        <v>1686679.3849408627</v>
      </c>
      <c r="Z126" s="1134">
        <f t="shared" ca="1" si="32"/>
        <v>90572893.84097594</v>
      </c>
      <c r="AA126" s="1132">
        <f t="shared" ca="1" si="33"/>
        <v>0.15884912745509092</v>
      </c>
      <c r="AB126" s="1105"/>
    </row>
    <row r="127" spans="1:28">
      <c r="A127" s="1144">
        <f>'AMORT. PROFILE 0% CPR'!A127</f>
        <v>48547</v>
      </c>
      <c r="C127" s="1104"/>
      <c r="D127" s="1125">
        <f t="shared" ca="1" si="19"/>
        <v>49765</v>
      </c>
      <c r="E127" s="1126">
        <f t="shared" ca="1" si="20"/>
        <v>49793</v>
      </c>
      <c r="F127" s="1127">
        <f t="shared" ca="1" si="21"/>
        <v>3563</v>
      </c>
      <c r="G127" s="1128">
        <f ca="1">IF(F127&lt;&gt;"",COUNTIF($F$11:F127,"&gt;0"),"")</f>
        <v>117</v>
      </c>
      <c r="H127" s="1129">
        <v>1.149743588772667E-2</v>
      </c>
      <c r="I127" s="1073"/>
      <c r="J127" s="1130">
        <f t="shared" ca="1" si="22"/>
        <v>1811457876.8195174</v>
      </c>
      <c r="K127" s="1131">
        <f t="shared" ca="1" si="23"/>
        <v>20827120.802049875</v>
      </c>
      <c r="L127" s="1130">
        <f t="shared" ca="1" si="24"/>
        <v>12399012.500666007</v>
      </c>
      <c r="M127" s="1130">
        <f t="shared" ca="1" si="25"/>
        <v>0</v>
      </c>
      <c r="N127" s="1130">
        <f t="shared" ca="1" si="34"/>
        <v>1778231743.5168016</v>
      </c>
      <c r="O127" s="1073"/>
      <c r="P127" s="1130">
        <f t="shared" ca="1" si="26"/>
        <v>33226133.302715778</v>
      </c>
      <c r="Q127" s="1130">
        <f t="shared" ca="1" si="27"/>
        <v>1689320156.3409615</v>
      </c>
      <c r="R127" s="1130">
        <f t="shared" ca="1" si="35"/>
        <v>1720884982.9785414</v>
      </c>
      <c r="S127" s="1130">
        <f t="shared" ca="1" si="36"/>
        <v>31564826.637579918</v>
      </c>
      <c r="T127" s="1130">
        <f t="shared" ca="1" si="28"/>
        <v>1689320156.3409615</v>
      </c>
      <c r="U127" s="1132">
        <f t="shared" ca="1" si="29"/>
        <v>0.14574877896355964</v>
      </c>
      <c r="V127" s="1133">
        <f t="shared" ca="1" si="30"/>
        <v>5.0000000000000044E-2</v>
      </c>
      <c r="X127" s="1134">
        <f t="shared" ca="1" si="37"/>
        <v>90572893.84097594</v>
      </c>
      <c r="Y127" s="1134">
        <f t="shared" ca="1" si="31"/>
        <v>1661306.6651358604</v>
      </c>
      <c r="Z127" s="1134">
        <f t="shared" ca="1" si="32"/>
        <v>88911587.17584008</v>
      </c>
      <c r="AA127" s="1132">
        <f t="shared" ca="1" si="33"/>
        <v>0.15594506515319548</v>
      </c>
      <c r="AB127" s="1105"/>
    </row>
    <row r="128" spans="1:28">
      <c r="A128" s="1144">
        <f>'AMORT. PROFILE 0% CPR'!A128</f>
        <v>48575</v>
      </c>
      <c r="C128" s="1104"/>
      <c r="D128" s="1125">
        <f t="shared" ca="1" si="19"/>
        <v>49795</v>
      </c>
      <c r="E128" s="1126">
        <f t="shared" ca="1" si="20"/>
        <v>49822</v>
      </c>
      <c r="F128" s="1127">
        <f t="shared" ca="1" si="21"/>
        <v>3592</v>
      </c>
      <c r="G128" s="1128">
        <f ca="1">IF(F128&lt;&gt;"",COUNTIF($F$11:F128,"&gt;0"),"")</f>
        <v>118</v>
      </c>
      <c r="H128" s="1129">
        <v>1.1555022241423348E-2</v>
      </c>
      <c r="I128" s="1073"/>
      <c r="J128" s="1130">
        <f t="shared" ca="1" si="22"/>
        <v>1778231743.5168016</v>
      </c>
      <c r="K128" s="1131">
        <f t="shared" ca="1" si="23"/>
        <v>20547507.346741661</v>
      </c>
      <c r="L128" s="1130">
        <f t="shared" ca="1" si="24"/>
        <v>12170878.190971697</v>
      </c>
      <c r="M128" s="1130">
        <f t="shared" ca="1" si="25"/>
        <v>0</v>
      </c>
      <c r="N128" s="1130">
        <f t="shared" ca="1" si="34"/>
        <v>1745513357.9790883</v>
      </c>
      <c r="O128" s="1073"/>
      <c r="P128" s="1130">
        <f t="shared" ca="1" si="26"/>
        <v>32718385.537713289</v>
      </c>
      <c r="Q128" s="1130">
        <f t="shared" ca="1" si="27"/>
        <v>1658237690.0801339</v>
      </c>
      <c r="R128" s="1130">
        <f t="shared" ca="1" si="35"/>
        <v>1689320156.3409615</v>
      </c>
      <c r="S128" s="1130">
        <f t="shared" ca="1" si="36"/>
        <v>31082466.260827541</v>
      </c>
      <c r="T128" s="1130">
        <f t="shared" ca="1" si="28"/>
        <v>1658237690.0801339</v>
      </c>
      <c r="U128" s="1132">
        <f t="shared" ca="1" si="29"/>
        <v>0.14307542485440761</v>
      </c>
      <c r="V128" s="1133">
        <f t="shared" ca="1" si="30"/>
        <v>4.9999999999999933E-2</v>
      </c>
      <c r="X128" s="1134">
        <f t="shared" ca="1" si="37"/>
        <v>88911587.17584008</v>
      </c>
      <c r="Y128" s="1134">
        <f t="shared" ca="1" si="31"/>
        <v>1635919.2768857479</v>
      </c>
      <c r="Z128" s="1134">
        <f t="shared" ca="1" si="32"/>
        <v>87275667.898954332</v>
      </c>
      <c r="AA128" s="1132">
        <f t="shared" ca="1" si="33"/>
        <v>0.1530846886636365</v>
      </c>
      <c r="AB128" s="1105"/>
    </row>
    <row r="129" spans="1:28">
      <c r="A129" s="1144">
        <f>'AMORT. PROFILE 0% CPR'!A129</f>
        <v>48606</v>
      </c>
      <c r="C129" s="1104"/>
      <c r="D129" s="1125">
        <f t="shared" ca="1" si="19"/>
        <v>49826</v>
      </c>
      <c r="E129" s="1126">
        <f t="shared" ca="1" si="20"/>
        <v>49853</v>
      </c>
      <c r="F129" s="1127">
        <f t="shared" ca="1" si="21"/>
        <v>3623</v>
      </c>
      <c r="G129" s="1128">
        <f ca="1">IF(F129&lt;&gt;"",COUNTIF($F$11:F129,"&gt;0"),"")</f>
        <v>119</v>
      </c>
      <c r="H129" s="1129">
        <v>1.1605834995699654E-2</v>
      </c>
      <c r="I129" s="1073"/>
      <c r="J129" s="1130">
        <f t="shared" ca="1" si="22"/>
        <v>1745513357.9790883</v>
      </c>
      <c r="K129" s="1131">
        <f t="shared" ca="1" si="23"/>
        <v>20258140.01549492</v>
      </c>
      <c r="L129" s="1130">
        <f t="shared" ca="1" si="24"/>
        <v>11946327.260650035</v>
      </c>
      <c r="M129" s="1130">
        <f t="shared" ca="1" si="25"/>
        <v>0</v>
      </c>
      <c r="N129" s="1130">
        <f t="shared" ca="1" si="34"/>
        <v>1713308890.7029436</v>
      </c>
      <c r="O129" s="1073"/>
      <c r="P129" s="1130">
        <f t="shared" ca="1" si="26"/>
        <v>32204467.276144743</v>
      </c>
      <c r="Q129" s="1130">
        <f t="shared" ca="1" si="27"/>
        <v>1627643446.1677964</v>
      </c>
      <c r="R129" s="1130">
        <f t="shared" ca="1" si="35"/>
        <v>1658237690.0801339</v>
      </c>
      <c r="S129" s="1130">
        <f t="shared" ca="1" si="36"/>
        <v>30594243.912337542</v>
      </c>
      <c r="T129" s="1130">
        <f t="shared" ca="1" si="28"/>
        <v>1627643446.1677964</v>
      </c>
      <c r="U129" s="1132">
        <f t="shared" ca="1" si="29"/>
        <v>0.14044292381598802</v>
      </c>
      <c r="V129" s="1133">
        <f t="shared" ca="1" si="30"/>
        <v>5.0000000000000044E-2</v>
      </c>
      <c r="X129" s="1134">
        <f t="shared" ca="1" si="37"/>
        <v>87275667.898954332</v>
      </c>
      <c r="Y129" s="1134">
        <f t="shared" ca="1" si="31"/>
        <v>1610223.3638072014</v>
      </c>
      <c r="Z129" s="1134">
        <f t="shared" ca="1" si="32"/>
        <v>85665444.53514713</v>
      </c>
      <c r="AA129" s="1132">
        <f t="shared" ca="1" si="33"/>
        <v>0.15026802324200125</v>
      </c>
      <c r="AB129" s="1105"/>
    </row>
    <row r="130" spans="1:28">
      <c r="A130" s="1144">
        <f>'AMORT. PROFILE 0% CPR'!A130</f>
        <v>48638</v>
      </c>
      <c r="C130" s="1104"/>
      <c r="D130" s="1125">
        <f t="shared" ca="1" si="19"/>
        <v>49856</v>
      </c>
      <c r="E130" s="1126">
        <f t="shared" ca="1" si="20"/>
        <v>49884</v>
      </c>
      <c r="F130" s="1127">
        <f t="shared" ca="1" si="21"/>
        <v>3654</v>
      </c>
      <c r="G130" s="1128">
        <f ca="1">IF(F130&lt;&gt;"",COUNTIF($F$11:F130,"&gt;0"),"")</f>
        <v>120</v>
      </c>
      <c r="H130" s="1129">
        <v>1.1655534415548082E-2</v>
      </c>
      <c r="I130" s="1073"/>
      <c r="J130" s="1130">
        <f t="shared" ca="1" si="22"/>
        <v>1713308890.7029436</v>
      </c>
      <c r="K130" s="1131">
        <f t="shared" ca="1" si="23"/>
        <v>19969530.740052667</v>
      </c>
      <c r="L130" s="1130">
        <f t="shared" ca="1" si="24"/>
        <v>11725329.647942698</v>
      </c>
      <c r="M130" s="1130">
        <f t="shared" ca="1" si="25"/>
        <v>0</v>
      </c>
      <c r="N130" s="1130">
        <f t="shared" ca="1" si="34"/>
        <v>1681614030.3149481</v>
      </c>
      <c r="O130" s="1073"/>
      <c r="P130" s="1130">
        <f t="shared" ca="1" si="26"/>
        <v>31694860.387995481</v>
      </c>
      <c r="Q130" s="1130">
        <f t="shared" ca="1" si="27"/>
        <v>1597533328.7992005</v>
      </c>
      <c r="R130" s="1130">
        <f t="shared" ca="1" si="35"/>
        <v>1627643446.1677964</v>
      </c>
      <c r="S130" s="1130">
        <f t="shared" ca="1" si="36"/>
        <v>30110117.368595839</v>
      </c>
      <c r="T130" s="1130">
        <f t="shared" ca="1" si="28"/>
        <v>1597533328.7992005</v>
      </c>
      <c r="U130" s="1132">
        <f t="shared" ca="1" si="29"/>
        <v>0.13785177232263335</v>
      </c>
      <c r="V130" s="1133">
        <f t="shared" ca="1" si="30"/>
        <v>5.0000000000000044E-2</v>
      </c>
      <c r="X130" s="1134">
        <f t="shared" ca="1" si="37"/>
        <v>85665444.53514713</v>
      </c>
      <c r="Y130" s="1134">
        <f t="shared" ca="1" si="31"/>
        <v>1584743.0193996429</v>
      </c>
      <c r="Z130" s="1134">
        <f t="shared" ca="1" si="32"/>
        <v>84080701.515747488</v>
      </c>
      <c r="AA130" s="1132">
        <f t="shared" ca="1" si="33"/>
        <v>0.1474956000949503</v>
      </c>
      <c r="AB130" s="1105"/>
    </row>
    <row r="131" spans="1:28">
      <c r="A131" s="1144">
        <f>'AMORT. PROFILE 0% CPR'!A131</f>
        <v>48666</v>
      </c>
      <c r="C131" s="1104"/>
      <c r="D131" s="1125">
        <f t="shared" ca="1" si="19"/>
        <v>49887</v>
      </c>
      <c r="E131" s="1126">
        <f t="shared" ca="1" si="20"/>
        <v>49914</v>
      </c>
      <c r="F131" s="1127">
        <f t="shared" ca="1" si="21"/>
        <v>3684</v>
      </c>
      <c r="G131" s="1128">
        <f ca="1">IF(F131&lt;&gt;"",COUNTIF($F$11:F131,"&gt;0"),"")</f>
        <v>121</v>
      </c>
      <c r="H131" s="1129">
        <v>1.1719020820377648E-2</v>
      </c>
      <c r="I131" s="1073"/>
      <c r="J131" s="1130">
        <f t="shared" ca="1" si="22"/>
        <v>1681614030.3149481</v>
      </c>
      <c r="K131" s="1131">
        <f t="shared" ca="1" si="23"/>
        <v>19706869.833100047</v>
      </c>
      <c r="L131" s="1130">
        <f t="shared" ca="1" si="24"/>
        <v>11507681.071886923</v>
      </c>
      <c r="M131" s="1130">
        <f t="shared" ca="1" si="25"/>
        <v>0</v>
      </c>
      <c r="N131" s="1130">
        <f t="shared" ca="1" si="34"/>
        <v>1650399479.409961</v>
      </c>
      <c r="O131" s="1073"/>
      <c r="P131" s="1130">
        <f t="shared" ca="1" si="26"/>
        <v>31214550.904987097</v>
      </c>
      <c r="Q131" s="1130">
        <f t="shared" ca="1" si="27"/>
        <v>1567879505.4394629</v>
      </c>
      <c r="R131" s="1130">
        <f t="shared" ca="1" si="35"/>
        <v>1597533328.7992005</v>
      </c>
      <c r="S131" s="1130">
        <f t="shared" ca="1" si="36"/>
        <v>29653823.359737635</v>
      </c>
      <c r="T131" s="1130">
        <f t="shared" ca="1" si="28"/>
        <v>1567879505.4394629</v>
      </c>
      <c r="U131" s="1132">
        <f t="shared" ca="1" si="29"/>
        <v>0.13530162348390817</v>
      </c>
      <c r="V131" s="1133">
        <f t="shared" ca="1" si="30"/>
        <v>5.0000000000000044E-2</v>
      </c>
      <c r="X131" s="1134">
        <f t="shared" ca="1" si="37"/>
        <v>84080701.515747488</v>
      </c>
      <c r="Y131" s="1134">
        <f t="shared" ca="1" si="31"/>
        <v>1560727.5452494621</v>
      </c>
      <c r="Z131" s="1134">
        <f t="shared" ca="1" si="32"/>
        <v>82519973.970498025</v>
      </c>
      <c r="AA131" s="1132">
        <f t="shared" ca="1" si="33"/>
        <v>0.14476704806430352</v>
      </c>
      <c r="AB131" s="1105"/>
    </row>
    <row r="132" spans="1:28">
      <c r="A132" s="1144">
        <f>'AMORT. PROFILE 0% CPR'!A132</f>
        <v>48696</v>
      </c>
      <c r="C132" s="1104"/>
      <c r="D132" s="1125">
        <f t="shared" ca="1" si="19"/>
        <v>49918</v>
      </c>
      <c r="E132" s="1126">
        <f t="shared" ca="1" si="20"/>
        <v>49947</v>
      </c>
      <c r="F132" s="1127">
        <f t="shared" ca="1" si="21"/>
        <v>3717</v>
      </c>
      <c r="G132" s="1128">
        <f ca="1">IF(F132&lt;&gt;"",COUNTIF($F$11:F132,"&gt;0"),"")</f>
        <v>122</v>
      </c>
      <c r="H132" s="1129">
        <v>1.1772454203261574E-2</v>
      </c>
      <c r="I132" s="1073"/>
      <c r="J132" s="1130">
        <f t="shared" ca="1" si="22"/>
        <v>1650399479.409961</v>
      </c>
      <c r="K132" s="1131">
        <f t="shared" ca="1" si="23"/>
        <v>19429252.288440511</v>
      </c>
      <c r="L132" s="1130">
        <f t="shared" ca="1" si="24"/>
        <v>11293461.907953816</v>
      </c>
      <c r="M132" s="1130">
        <f t="shared" ca="1" si="25"/>
        <v>0</v>
      </c>
      <c r="N132" s="1130">
        <f t="shared" ca="1" si="34"/>
        <v>1619676765.2135668</v>
      </c>
      <c r="O132" s="1073"/>
      <c r="P132" s="1130">
        <f t="shared" ca="1" si="26"/>
        <v>30722714.196394205</v>
      </c>
      <c r="Q132" s="1130">
        <f t="shared" ca="1" si="27"/>
        <v>1538692926.9528883</v>
      </c>
      <c r="R132" s="1130">
        <f t="shared" ca="1" si="35"/>
        <v>1567879505.4394629</v>
      </c>
      <c r="S132" s="1130">
        <f t="shared" ca="1" si="36"/>
        <v>29186578.48657465</v>
      </c>
      <c r="T132" s="1130">
        <f t="shared" ca="1" si="28"/>
        <v>1538692926.9528883</v>
      </c>
      <c r="U132" s="1132">
        <f t="shared" ca="1" si="29"/>
        <v>0.1327901200487383</v>
      </c>
      <c r="V132" s="1133">
        <f t="shared" ca="1" si="30"/>
        <v>5.0000000000000155E-2</v>
      </c>
      <c r="X132" s="1134">
        <f t="shared" ca="1" si="37"/>
        <v>82519973.970498025</v>
      </c>
      <c r="Y132" s="1134">
        <f t="shared" ca="1" si="31"/>
        <v>1536135.7098195553</v>
      </c>
      <c r="Z132" s="1134">
        <f t="shared" ca="1" si="32"/>
        <v>80983838.26067847</v>
      </c>
      <c r="AA132" s="1132">
        <f t="shared" ca="1" si="33"/>
        <v>0.14207984499052689</v>
      </c>
      <c r="AB132" s="1105"/>
    </row>
    <row r="133" spans="1:28">
      <c r="A133" s="1144">
        <f>'AMORT. PROFILE 0% CPR'!A133</f>
        <v>48726</v>
      </c>
      <c r="C133" s="1104"/>
      <c r="D133" s="1125">
        <f t="shared" ca="1" si="19"/>
        <v>49948</v>
      </c>
      <c r="E133" s="1126">
        <f t="shared" ca="1" si="20"/>
        <v>49975</v>
      </c>
      <c r="F133" s="1127">
        <f t="shared" ca="1" si="21"/>
        <v>3745</v>
      </c>
      <c r="G133" s="1128">
        <f ca="1">IF(F133&lt;&gt;"",COUNTIF($F$11:F133,"&gt;0"),"")</f>
        <v>123</v>
      </c>
      <c r="H133" s="1129">
        <v>1.1814644938606718E-2</v>
      </c>
      <c r="I133" s="1073"/>
      <c r="J133" s="1130">
        <f t="shared" ca="1" si="22"/>
        <v>1619676765.2135668</v>
      </c>
      <c r="K133" s="1131">
        <f t="shared" ca="1" si="23"/>
        <v>19135905.896309368</v>
      </c>
      <c r="L133" s="1130">
        <f t="shared" ca="1" si="24"/>
        <v>11082757.322139842</v>
      </c>
      <c r="M133" s="1130">
        <f t="shared" ca="1" si="25"/>
        <v>0</v>
      </c>
      <c r="N133" s="1130">
        <f t="shared" ca="1" si="34"/>
        <v>1589458101.9951177</v>
      </c>
      <c r="O133" s="1073"/>
      <c r="P133" s="1130">
        <f t="shared" ca="1" si="26"/>
        <v>30218663.218449116</v>
      </c>
      <c r="Q133" s="1130">
        <f t="shared" ca="1" si="27"/>
        <v>1509985196.8953617</v>
      </c>
      <c r="R133" s="1130">
        <f t="shared" ca="1" si="35"/>
        <v>1538692926.9528883</v>
      </c>
      <c r="S133" s="1130">
        <f t="shared" ca="1" si="36"/>
        <v>28707730.057526588</v>
      </c>
      <c r="T133" s="1130">
        <f t="shared" ca="1" si="28"/>
        <v>1509985196.8953617</v>
      </c>
      <c r="U133" s="1132">
        <f t="shared" ca="1" si="29"/>
        <v>0.13031818949055562</v>
      </c>
      <c r="V133" s="1133">
        <f t="shared" ca="1" si="30"/>
        <v>5.0000000000000044E-2</v>
      </c>
      <c r="X133" s="1134">
        <f t="shared" ca="1" si="37"/>
        <v>80983838.26067847</v>
      </c>
      <c r="Y133" s="1134">
        <f t="shared" ca="1" si="31"/>
        <v>1510933.1609225273</v>
      </c>
      <c r="Z133" s="1134">
        <f t="shared" ca="1" si="32"/>
        <v>79472905.099755943</v>
      </c>
      <c r="AA133" s="1132">
        <f t="shared" ca="1" si="33"/>
        <v>0.13943498323119571</v>
      </c>
      <c r="AB133" s="1105"/>
    </row>
    <row r="134" spans="1:28">
      <c r="A134" s="1144">
        <f>'AMORT. PROFILE 0% CPR'!A134</f>
        <v>48757</v>
      </c>
      <c r="C134" s="1104"/>
      <c r="D134" s="1125">
        <f t="shared" ca="1" si="19"/>
        <v>49979</v>
      </c>
      <c r="E134" s="1126">
        <f t="shared" ca="1" si="20"/>
        <v>50006</v>
      </c>
      <c r="F134" s="1127">
        <f t="shared" ca="1" si="21"/>
        <v>3776</v>
      </c>
      <c r="G134" s="1128">
        <f ca="1">IF(F134&lt;&gt;"",COUNTIF($F$11:F134,"&gt;0"),"")</f>
        <v>124</v>
      </c>
      <c r="H134" s="1129">
        <v>1.184628088348732E-2</v>
      </c>
      <c r="I134" s="1073"/>
      <c r="J134" s="1130">
        <f t="shared" ca="1" si="22"/>
        <v>1589458101.9951177</v>
      </c>
      <c r="K134" s="1131">
        <f t="shared" ca="1" si="23"/>
        <v>18829167.128768802</v>
      </c>
      <c r="L134" s="1130">
        <f t="shared" ca="1" si="24"/>
        <v>10875635.712092966</v>
      </c>
      <c r="M134" s="1130">
        <f t="shared" ca="1" si="25"/>
        <v>0</v>
      </c>
      <c r="N134" s="1130">
        <f t="shared" ca="1" si="34"/>
        <v>1559753299.1542559</v>
      </c>
      <c r="O134" s="1073"/>
      <c r="P134" s="1130">
        <f t="shared" ca="1" si="26"/>
        <v>29704802.840861797</v>
      </c>
      <c r="Q134" s="1130">
        <f t="shared" ca="1" si="27"/>
        <v>1481765634.196543</v>
      </c>
      <c r="R134" s="1130">
        <f t="shared" ca="1" si="35"/>
        <v>1509985196.8953617</v>
      </c>
      <c r="S134" s="1130">
        <f t="shared" ca="1" si="36"/>
        <v>28219562.698818684</v>
      </c>
      <c r="T134" s="1130">
        <f t="shared" ca="1" si="28"/>
        <v>1481765634.196543</v>
      </c>
      <c r="U134" s="1132">
        <f t="shared" ca="1" si="29"/>
        <v>0.12788681456190812</v>
      </c>
      <c r="V134" s="1133">
        <f t="shared" ca="1" si="30"/>
        <v>5.0000000000000044E-2</v>
      </c>
      <c r="X134" s="1134">
        <f t="shared" ca="1" si="37"/>
        <v>79472905.099755943</v>
      </c>
      <c r="Y134" s="1134">
        <f t="shared" ca="1" si="31"/>
        <v>1485240.1420431137</v>
      </c>
      <c r="Z134" s="1134">
        <f t="shared" ca="1" si="32"/>
        <v>77987664.957712829</v>
      </c>
      <c r="AA134" s="1132">
        <f t="shared" ca="1" si="33"/>
        <v>0.1368335142902134</v>
      </c>
      <c r="AB134" s="1105"/>
    </row>
    <row r="135" spans="1:28">
      <c r="A135" s="1144">
        <f>'AMORT. PROFILE 0% CPR'!A135</f>
        <v>48787</v>
      </c>
      <c r="C135" s="1104"/>
      <c r="D135" s="1125">
        <f t="shared" ca="1" si="19"/>
        <v>50009</v>
      </c>
      <c r="E135" s="1126">
        <f t="shared" ca="1" si="20"/>
        <v>50038</v>
      </c>
      <c r="F135" s="1127">
        <f t="shared" ca="1" si="21"/>
        <v>3808</v>
      </c>
      <c r="G135" s="1128">
        <f ca="1">IF(F135&lt;&gt;"",COUNTIF($F$11:F135,"&gt;0"),"")</f>
        <v>125</v>
      </c>
      <c r="H135" s="1129">
        <v>1.189451779593848E-2</v>
      </c>
      <c r="I135" s="1073"/>
      <c r="J135" s="1130">
        <f t="shared" ca="1" si="22"/>
        <v>1559753299.1542559</v>
      </c>
      <c r="K135" s="1131">
        <f t="shared" ca="1" si="23"/>
        <v>18552513.374064054</v>
      </c>
      <c r="L135" s="1130">
        <f t="shared" ca="1" si="24"/>
        <v>10671863.947777776</v>
      </c>
      <c r="M135" s="1130">
        <f t="shared" ca="1" si="25"/>
        <v>0</v>
      </c>
      <c r="N135" s="1130">
        <f t="shared" ca="1" si="34"/>
        <v>1530528921.8324142</v>
      </c>
      <c r="O135" s="1073"/>
      <c r="P135" s="1130">
        <f t="shared" ca="1" si="26"/>
        <v>29224377.321841717</v>
      </c>
      <c r="Q135" s="1130">
        <f t="shared" ca="1" si="27"/>
        <v>1454002475.7407935</v>
      </c>
      <c r="R135" s="1130">
        <f t="shared" ca="1" si="35"/>
        <v>1481765634.196543</v>
      </c>
      <c r="S135" s="1130">
        <f t="shared" ca="1" si="36"/>
        <v>27763158.455749512</v>
      </c>
      <c r="T135" s="1130">
        <f t="shared" ca="1" si="28"/>
        <v>1454002475.7407935</v>
      </c>
      <c r="U135" s="1132">
        <f t="shared" ca="1" si="29"/>
        <v>0.12549678452101623</v>
      </c>
      <c r="V135" s="1133">
        <f t="shared" ca="1" si="30"/>
        <v>4.9999999999999933E-2</v>
      </c>
      <c r="X135" s="1134">
        <f t="shared" ca="1" si="37"/>
        <v>77987664.957712829</v>
      </c>
      <c r="Y135" s="1134">
        <f t="shared" ca="1" si="31"/>
        <v>1461218.866092205</v>
      </c>
      <c r="Z135" s="1134">
        <f t="shared" ca="1" si="32"/>
        <v>76526446.091620624</v>
      </c>
      <c r="AA135" s="1132">
        <f t="shared" ca="1" si="33"/>
        <v>0.13427628264069014</v>
      </c>
      <c r="AB135" s="1105"/>
    </row>
    <row r="136" spans="1:28">
      <c r="A136" s="1144">
        <f>'AMORT. PROFILE 0% CPR'!A136</f>
        <v>48820</v>
      </c>
      <c r="C136" s="1104"/>
      <c r="D136" s="1125">
        <f t="shared" ca="1" si="19"/>
        <v>50040</v>
      </c>
      <c r="E136" s="1126">
        <f t="shared" ca="1" si="20"/>
        <v>50067</v>
      </c>
      <c r="F136" s="1127">
        <f t="shared" ca="1" si="21"/>
        <v>3837</v>
      </c>
      <c r="G136" s="1128">
        <f ca="1">IF(F136&lt;&gt;"",COUNTIF($F$11:F136,"&gt;0"),"")</f>
        <v>126</v>
      </c>
      <c r="H136" s="1129">
        <v>1.1958332181730192E-2</v>
      </c>
      <c r="I136" s="1073"/>
      <c r="J136" s="1130">
        <f t="shared" ca="1" si="22"/>
        <v>1530528921.8324142</v>
      </c>
      <c r="K136" s="1131">
        <f t="shared" ca="1" si="23"/>
        <v>18302573.261017371</v>
      </c>
      <c r="L136" s="1130">
        <f t="shared" ca="1" si="24"/>
        <v>10471233.858104443</v>
      </c>
      <c r="M136" s="1130">
        <f t="shared" ca="1" si="25"/>
        <v>0</v>
      </c>
      <c r="N136" s="1130">
        <f t="shared" ca="1" si="34"/>
        <v>1501755114.7132924</v>
      </c>
      <c r="O136" s="1073"/>
      <c r="P136" s="1130">
        <f t="shared" ca="1" si="26"/>
        <v>28773807.11912179</v>
      </c>
      <c r="Q136" s="1130">
        <f t="shared" ca="1" si="27"/>
        <v>1426667358.9776278</v>
      </c>
      <c r="R136" s="1130">
        <f t="shared" ca="1" si="35"/>
        <v>1454002475.7407935</v>
      </c>
      <c r="S136" s="1130">
        <f t="shared" ca="1" si="36"/>
        <v>27335116.763165712</v>
      </c>
      <c r="T136" s="1130">
        <f t="shared" ca="1" si="28"/>
        <v>1426667358.9776278</v>
      </c>
      <c r="U136" s="1132">
        <f t="shared" ca="1" si="29"/>
        <v>0.12314540921986529</v>
      </c>
      <c r="V136" s="1133">
        <f t="shared" ca="1" si="30"/>
        <v>5.0000000000000044E-2</v>
      </c>
      <c r="X136" s="1134">
        <f t="shared" ca="1" si="37"/>
        <v>76526446.091620624</v>
      </c>
      <c r="Y136" s="1134">
        <f t="shared" ca="1" si="31"/>
        <v>1438690.3559560776</v>
      </c>
      <c r="Z136" s="1134">
        <f t="shared" ca="1" si="32"/>
        <v>75087755.735664546</v>
      </c>
      <c r="AA136" s="1132">
        <f t="shared" ca="1" si="33"/>
        <v>0.13176040993736332</v>
      </c>
      <c r="AB136" s="1105"/>
    </row>
    <row r="137" spans="1:28">
      <c r="A137" s="1144">
        <f>'AMORT. PROFILE 0% CPR'!A137</f>
        <v>48849</v>
      </c>
      <c r="C137" s="1104"/>
      <c r="D137" s="1125">
        <f t="shared" ca="1" si="19"/>
        <v>50071</v>
      </c>
      <c r="E137" s="1126">
        <f t="shared" ca="1" si="20"/>
        <v>50098</v>
      </c>
      <c r="F137" s="1127">
        <f t="shared" ca="1" si="21"/>
        <v>3868</v>
      </c>
      <c r="G137" s="1128">
        <f ca="1">IF(F137&lt;&gt;"",COUNTIF($F$11:F137,"&gt;0"),"")</f>
        <v>127</v>
      </c>
      <c r="H137" s="1129">
        <v>1.2017089671290681E-2</v>
      </c>
      <c r="I137" s="1073"/>
      <c r="J137" s="1130">
        <f t="shared" ca="1" si="22"/>
        <v>1501755114.7132924</v>
      </c>
      <c r="K137" s="1131">
        <f t="shared" ca="1" si="23"/>
        <v>18046725.877829056</v>
      </c>
      <c r="L137" s="1130">
        <f t="shared" ca="1" si="24"/>
        <v>10273764.593114402</v>
      </c>
      <c r="M137" s="1130">
        <f t="shared" ca="1" si="25"/>
        <v>0</v>
      </c>
      <c r="N137" s="1130">
        <f t="shared" ca="1" si="34"/>
        <v>1473434624.2423489</v>
      </c>
      <c r="O137" s="1073"/>
      <c r="P137" s="1130">
        <f t="shared" ca="1" si="26"/>
        <v>28320490.470943451</v>
      </c>
      <c r="Q137" s="1130">
        <f t="shared" ca="1" si="27"/>
        <v>1399762893.0302315</v>
      </c>
      <c r="R137" s="1130">
        <f t="shared" ca="1" si="35"/>
        <v>1426667358.9776278</v>
      </c>
      <c r="S137" s="1130">
        <f t="shared" ca="1" si="36"/>
        <v>26904465.947396278</v>
      </c>
      <c r="T137" s="1130">
        <f t="shared" ca="1" si="28"/>
        <v>1399762893.0302315</v>
      </c>
      <c r="U137" s="1132">
        <f t="shared" ca="1" si="29"/>
        <v>0.12083028651819464</v>
      </c>
      <c r="V137" s="1133">
        <f t="shared" ca="1" si="30"/>
        <v>5.0000000000000044E-2</v>
      </c>
      <c r="X137" s="1134">
        <f t="shared" ca="1" si="37"/>
        <v>75087755.735664546</v>
      </c>
      <c r="Y137" s="1134">
        <f t="shared" ca="1" si="31"/>
        <v>1416024.5235471725</v>
      </c>
      <c r="Z137" s="1134">
        <f t="shared" ca="1" si="32"/>
        <v>73671731.212117374</v>
      </c>
      <c r="AA137" s="1132">
        <f t="shared" ca="1" si="33"/>
        <v>0.12928332599115797</v>
      </c>
      <c r="AB137" s="1105"/>
    </row>
    <row r="138" spans="1:28">
      <c r="A138" s="1144">
        <f>'AMORT. PROFILE 0% CPR'!A138</f>
        <v>48879</v>
      </c>
      <c r="C138" s="1104"/>
      <c r="D138" s="1125">
        <f t="shared" ca="1" si="19"/>
        <v>50099</v>
      </c>
      <c r="E138" s="1126">
        <f t="shared" ca="1" si="20"/>
        <v>50126</v>
      </c>
      <c r="F138" s="1127">
        <f t="shared" ca="1" si="21"/>
        <v>3896</v>
      </c>
      <c r="G138" s="1128">
        <f ca="1">IF(F138&lt;&gt;"",COUNTIF($F$11:F138,"&gt;0"),"")</f>
        <v>128</v>
      </c>
      <c r="H138" s="1129">
        <v>1.2072204422934746E-2</v>
      </c>
      <c r="I138" s="1073"/>
      <c r="J138" s="1130">
        <f t="shared" ca="1" si="22"/>
        <v>1473434624.2423489</v>
      </c>
      <c r="K138" s="1131">
        <f t="shared" ca="1" si="23"/>
        <v>17787603.98768368</v>
      </c>
      <c r="L138" s="1130">
        <f t="shared" ca="1" si="24"/>
        <v>10079456.939987216</v>
      </c>
      <c r="M138" s="1130">
        <f t="shared" ca="1" si="25"/>
        <v>0</v>
      </c>
      <c r="N138" s="1130">
        <f t="shared" ca="1" si="34"/>
        <v>1445567563.314678</v>
      </c>
      <c r="O138" s="1073"/>
      <c r="P138" s="1130">
        <f t="shared" ca="1" si="26"/>
        <v>27867060.927670956</v>
      </c>
      <c r="Q138" s="1130">
        <f t="shared" ca="1" si="27"/>
        <v>1373289185.1489439</v>
      </c>
      <c r="R138" s="1130">
        <f t="shared" ca="1" si="35"/>
        <v>1399762893.0302315</v>
      </c>
      <c r="S138" s="1130">
        <f t="shared" ca="1" si="36"/>
        <v>26473707.881287575</v>
      </c>
      <c r="T138" s="1130">
        <f t="shared" ca="1" si="28"/>
        <v>1373289185.1489439</v>
      </c>
      <c r="U138" s="1132">
        <f t="shared" ca="1" si="29"/>
        <v>0.11855163739330506</v>
      </c>
      <c r="V138" s="1133">
        <f t="shared" ca="1" si="30"/>
        <v>5.0000000000000155E-2</v>
      </c>
      <c r="X138" s="1134">
        <f t="shared" ca="1" si="37"/>
        <v>73671731.212117374</v>
      </c>
      <c r="Y138" s="1134">
        <f t="shared" ca="1" si="31"/>
        <v>1393353.0463833809</v>
      </c>
      <c r="Z138" s="1134">
        <f t="shared" ca="1" si="32"/>
        <v>72278378.165733993</v>
      </c>
      <c r="AA138" s="1132">
        <f t="shared" ca="1" si="33"/>
        <v>0.1268452672384941</v>
      </c>
      <c r="AB138" s="1105"/>
    </row>
    <row r="139" spans="1:28">
      <c r="A139" s="1144">
        <f>'AMORT. PROFILE 0% CPR'!A139</f>
        <v>48911</v>
      </c>
      <c r="C139" s="1104"/>
      <c r="D139" s="1125">
        <f t="shared" ca="1" si="19"/>
        <v>50130</v>
      </c>
      <c r="E139" s="1126">
        <f t="shared" ca="1" si="20"/>
        <v>50157</v>
      </c>
      <c r="F139" s="1127">
        <f t="shared" ca="1" si="21"/>
        <v>3927</v>
      </c>
      <c r="G139" s="1128">
        <f ca="1">IF(F139&lt;&gt;"",COUNTIF($F$11:F139,"&gt;0"),"")</f>
        <v>129</v>
      </c>
      <c r="H139" s="1129">
        <v>1.2146929369312066E-2</v>
      </c>
      <c r="I139" s="1073"/>
      <c r="J139" s="1130">
        <f t="shared" ca="1" si="22"/>
        <v>1445567563.314678</v>
      </c>
      <c r="K139" s="1131">
        <f t="shared" ca="1" si="23"/>
        <v>17559207.09015194</v>
      </c>
      <c r="L139" s="1130">
        <f t="shared" ca="1" si="24"/>
        <v>9888076.2549075168</v>
      </c>
      <c r="M139" s="1130">
        <f t="shared" ca="1" si="25"/>
        <v>0</v>
      </c>
      <c r="N139" s="1130">
        <f t="shared" ca="1" si="34"/>
        <v>1418120279.9696183</v>
      </c>
      <c r="O139" s="1073"/>
      <c r="P139" s="1130">
        <f t="shared" ca="1" si="26"/>
        <v>27447283.345059633</v>
      </c>
      <c r="Q139" s="1130">
        <f t="shared" ca="1" si="27"/>
        <v>1347214265.9711373</v>
      </c>
      <c r="R139" s="1130">
        <f t="shared" ca="1" si="35"/>
        <v>1373289185.1489439</v>
      </c>
      <c r="S139" s="1130">
        <f t="shared" ca="1" si="36"/>
        <v>26074919.177806616</v>
      </c>
      <c r="T139" s="1130">
        <f t="shared" ca="1" si="28"/>
        <v>1347214265.9711373</v>
      </c>
      <c r="U139" s="1132">
        <f t="shared" ca="1" si="29"/>
        <v>0.11630947092866589</v>
      </c>
      <c r="V139" s="1133">
        <f t="shared" ca="1" si="30"/>
        <v>5.0000000000000044E-2</v>
      </c>
      <c r="X139" s="1134">
        <f t="shared" ca="1" si="37"/>
        <v>72278378.165733993</v>
      </c>
      <c r="Y139" s="1134">
        <f t="shared" ca="1" si="31"/>
        <v>1372364.1672530174</v>
      </c>
      <c r="Z139" s="1134">
        <f t="shared" ca="1" si="32"/>
        <v>70906013.998480976</v>
      </c>
      <c r="AA139" s="1132">
        <f t="shared" ca="1" si="33"/>
        <v>0.12444624339830233</v>
      </c>
      <c r="AB139" s="1105"/>
    </row>
    <row r="140" spans="1:28">
      <c r="A140" s="1144">
        <f>'AMORT. PROFILE 0% CPR'!A140</f>
        <v>48940</v>
      </c>
      <c r="C140" s="1104"/>
      <c r="D140" s="1125">
        <f t="shared" ref="D140:D203" ca="1" si="38">IF(E140&lt;&gt;"",EOMONTH(E140,-1),"")</f>
        <v>50160</v>
      </c>
      <c r="E140" s="1126">
        <f t="shared" ref="E140:E203" ca="1" si="39">IF(INDIRECT("A"&amp;(IFERROR(MATCH(E139,A:A),999)+1))&gt;0,INDIRECT("A"&amp;(IFERROR(MATCH(E139,A:A),999)+1)),"")</f>
        <v>50187</v>
      </c>
      <c r="F140" s="1127">
        <f t="shared" ref="F140:F203" ca="1" si="40">IF(E140&lt;&gt;"",E140-$A$31,"")</f>
        <v>3957</v>
      </c>
      <c r="G140" s="1128">
        <f ca="1">IF(F140&lt;&gt;"",COUNTIF($F$11:F140,"&gt;0"),"")</f>
        <v>130</v>
      </c>
      <c r="H140" s="1129">
        <v>1.2214711467789191E-2</v>
      </c>
      <c r="I140" s="1073"/>
      <c r="J140" s="1130">
        <f t="shared" ref="J140:J203" ca="1" si="41">IF(G140=1,$A$7,N139)</f>
        <v>1418120279.9696183</v>
      </c>
      <c r="K140" s="1131">
        <f t="shared" ref="K140:K203" ca="1" si="42">H140*J140</f>
        <v>17321930.046449315</v>
      </c>
      <c r="L140" s="1130">
        <f t="shared" ref="L140:L203" ca="1" si="43">IF(E140&lt;&gt;"",(1-(1-$A$25)^(1/12))*(J140-K140),"")</f>
        <v>9699663.7599584814</v>
      </c>
      <c r="M140" s="1130">
        <f t="shared" ref="M140:M203" ca="1" si="44">IF(J140-K140-L140&lt;$A$27*$A$5,J140-K140-L140,0)</f>
        <v>0</v>
      </c>
      <c r="N140" s="1130">
        <f t="shared" ca="1" si="34"/>
        <v>1391098686.1632104</v>
      </c>
      <c r="O140" s="1073"/>
      <c r="P140" s="1130">
        <f t="shared" ref="P140:P203" ca="1" si="45">IF(G140&lt;&gt; "", R140+X140-N140, "")</f>
        <v>27021593.806407928</v>
      </c>
      <c r="Q140" s="1130">
        <f t="shared" ref="Q140:Q203" ca="1" si="46">IF(E140&lt;&gt;"", N140*(1-$A$15), "")</f>
        <v>1321543751.8550498</v>
      </c>
      <c r="R140" s="1130">
        <f t="shared" ca="1" si="35"/>
        <v>1347214265.9711373</v>
      </c>
      <c r="S140" s="1130">
        <f t="shared" ca="1" si="36"/>
        <v>25670514.116087437</v>
      </c>
      <c r="T140" s="1130">
        <f t="shared" ref="T140:T203" ca="1" si="47">IF(E140&lt;&gt;"", R140-S140, "")</f>
        <v>1321543751.8550498</v>
      </c>
      <c r="U140" s="1132">
        <f t="shared" ref="U140:U203" ca="1" si="48">IF(E140&lt;&gt;"", R140/$A$11, "")</f>
        <v>0.11410107950836246</v>
      </c>
      <c r="V140" s="1133">
        <f t="shared" ref="V140:V203" ca="1" si="49">IF(E140&lt;&gt;"", IFERROR(1-T140/N140, "n.a."), "")</f>
        <v>5.0000000000000044E-2</v>
      </c>
      <c r="X140" s="1134">
        <f t="shared" ca="1" si="37"/>
        <v>70906013.998480976</v>
      </c>
      <c r="Y140" s="1134">
        <f t="shared" ref="Y140:Y203" ca="1" si="50">IF(E140&lt;&gt;"", P140-S140, "")</f>
        <v>1351079.6903204918</v>
      </c>
      <c r="Z140" s="1134">
        <f t="shared" ref="Z140:Z203" ca="1" si="51">IF(E140&lt;&gt;"", X140-Y140, "")</f>
        <v>69554934.308160484</v>
      </c>
      <c r="AA140" s="1132">
        <f t="shared" ref="AA140:AA203" ca="1" si="52">IF(E140&lt;&gt;"", X140/$A$19, "")</f>
        <v>0.12208335743540114</v>
      </c>
      <c r="AB140" s="1105"/>
    </row>
    <row r="141" spans="1:28">
      <c r="A141" s="1144">
        <f>'AMORT. PROFILE 0% CPR'!A141</f>
        <v>48971</v>
      </c>
      <c r="C141" s="1104"/>
      <c r="D141" s="1125">
        <f t="shared" ca="1" si="38"/>
        <v>50191</v>
      </c>
      <c r="E141" s="1126">
        <f t="shared" ca="1" si="39"/>
        <v>50220</v>
      </c>
      <c r="F141" s="1127">
        <f t="shared" ca="1" si="40"/>
        <v>3990</v>
      </c>
      <c r="G141" s="1128">
        <f ca="1">IF(F141&lt;&gt;"",COUNTIF($F$11:F141,"&gt;0"),"")</f>
        <v>131</v>
      </c>
      <c r="H141" s="1129">
        <v>1.2293182292235061E-2</v>
      </c>
      <c r="I141" s="1073"/>
      <c r="J141" s="1130">
        <f t="shared" ca="1" si="41"/>
        <v>1391098686.1632104</v>
      </c>
      <c r="K141" s="1131">
        <f t="shared" ca="1" si="42"/>
        <v>17101029.735493034</v>
      </c>
      <c r="L141" s="1130">
        <f t="shared" ca="1" si="43"/>
        <v>9514085.5034922007</v>
      </c>
      <c r="M141" s="1130">
        <f t="shared" ca="1" si="44"/>
        <v>0</v>
      </c>
      <c r="N141" s="1130">
        <f t="shared" ref="N141:N204" ca="1" si="53">IF(E141&lt;&gt;"",J141-K141-L141-M141,"")</f>
        <v>1364483570.9242253</v>
      </c>
      <c r="O141" s="1073"/>
      <c r="P141" s="1130">
        <f t="shared" ca="1" si="45"/>
        <v>26615115.238985062</v>
      </c>
      <c r="Q141" s="1130">
        <f t="shared" ca="1" si="46"/>
        <v>1296259392.3780141</v>
      </c>
      <c r="R141" s="1130">
        <f t="shared" ref="R141:R204" ca="1" si="54">IF(E141&lt;&gt;"", T140, "")</f>
        <v>1321543751.8550498</v>
      </c>
      <c r="S141" s="1130">
        <f t="shared" ref="S141:S204" ca="1" si="55">IF(E141&lt;&gt;"", MIN(P141,MAX(R141-Q141,0)), "")</f>
        <v>25284359.477035761</v>
      </c>
      <c r="T141" s="1130">
        <f t="shared" ca="1" si="47"/>
        <v>1296259392.3780141</v>
      </c>
      <c r="U141" s="1132">
        <f t="shared" ca="1" si="48"/>
        <v>0.1119269388047166</v>
      </c>
      <c r="V141" s="1133">
        <f t="shared" ca="1" si="49"/>
        <v>4.9999999999999933E-2</v>
      </c>
      <c r="X141" s="1134">
        <f t="shared" ref="X141:X204" ca="1" si="56">IF(E141&lt;&gt;"", Z140, "")</f>
        <v>69554934.308160484</v>
      </c>
      <c r="Y141" s="1134">
        <f t="shared" ca="1" si="50"/>
        <v>1330755.7619493008</v>
      </c>
      <c r="Z141" s="1134">
        <f t="shared" ca="1" si="51"/>
        <v>68224178.546211183</v>
      </c>
      <c r="AA141" s="1132">
        <f t="shared" ca="1" si="52"/>
        <v>0.11975711829917439</v>
      </c>
      <c r="AB141" s="1105"/>
    </row>
    <row r="142" spans="1:28">
      <c r="A142" s="1144">
        <f>'AMORT. PROFILE 0% CPR'!A142</f>
        <v>49002</v>
      </c>
      <c r="C142" s="1104"/>
      <c r="D142" s="1125">
        <f t="shared" ca="1" si="38"/>
        <v>50221</v>
      </c>
      <c r="E142" s="1126">
        <f t="shared" ca="1" si="39"/>
        <v>50248</v>
      </c>
      <c r="F142" s="1127">
        <f t="shared" ca="1" si="40"/>
        <v>4018</v>
      </c>
      <c r="G142" s="1128">
        <f ca="1">IF(F142&lt;&gt;"",COUNTIF($F$11:F142,"&gt;0"),"")</f>
        <v>132</v>
      </c>
      <c r="H142" s="1129">
        <v>1.2384469228646137E-2</v>
      </c>
      <c r="I142" s="1073"/>
      <c r="J142" s="1130">
        <f t="shared" ca="1" si="41"/>
        <v>1364483570.9242253</v>
      </c>
      <c r="K142" s="1131">
        <f t="shared" ca="1" si="42"/>
        <v>16898404.797104269</v>
      </c>
      <c r="L142" s="1130">
        <f t="shared" ca="1" si="43"/>
        <v>9331195.3144846242</v>
      </c>
      <c r="M142" s="1130">
        <f t="shared" ca="1" si="44"/>
        <v>0</v>
      </c>
      <c r="N142" s="1130">
        <f t="shared" ca="1" si="53"/>
        <v>1338253970.8126364</v>
      </c>
      <c r="O142" s="1073"/>
      <c r="P142" s="1130">
        <f t="shared" ca="1" si="45"/>
        <v>26229600.111588955</v>
      </c>
      <c r="Q142" s="1130">
        <f t="shared" ca="1" si="46"/>
        <v>1271341272.2720046</v>
      </c>
      <c r="R142" s="1130">
        <f t="shared" ca="1" si="54"/>
        <v>1296259392.3780141</v>
      </c>
      <c r="S142" s="1130">
        <f t="shared" ca="1" si="55"/>
        <v>24918120.106009483</v>
      </c>
      <c r="T142" s="1130">
        <f t="shared" ca="1" si="47"/>
        <v>1271341272.2720046</v>
      </c>
      <c r="U142" s="1132">
        <f t="shared" ca="1" si="48"/>
        <v>0.10978550311488025</v>
      </c>
      <c r="V142" s="1133">
        <f t="shared" ca="1" si="49"/>
        <v>4.9999999999999933E-2</v>
      </c>
      <c r="X142" s="1134">
        <f t="shared" ca="1" si="56"/>
        <v>68224178.546211183</v>
      </c>
      <c r="Y142" s="1134">
        <f t="shared" ca="1" si="50"/>
        <v>1311480.0055794716</v>
      </c>
      <c r="Z142" s="1134">
        <f t="shared" ca="1" si="51"/>
        <v>66912698.540631711</v>
      </c>
      <c r="AA142" s="1132">
        <f t="shared" ca="1" si="52"/>
        <v>0.11746587215256746</v>
      </c>
      <c r="AB142" s="1105"/>
    </row>
    <row r="143" spans="1:28">
      <c r="A143" s="1144">
        <f>'AMORT. PROFILE 0% CPR'!A143</f>
        <v>49030</v>
      </c>
      <c r="C143" s="1104"/>
      <c r="D143" s="1125">
        <f t="shared" ca="1" si="38"/>
        <v>50252</v>
      </c>
      <c r="E143" s="1126">
        <f t="shared" ca="1" si="39"/>
        <v>50279</v>
      </c>
      <c r="F143" s="1127">
        <f t="shared" ca="1" si="40"/>
        <v>4049</v>
      </c>
      <c r="G143" s="1128">
        <f ca="1">IF(F143&lt;&gt;"",COUNTIF($F$11:F143,"&gt;0"),"")</f>
        <v>133</v>
      </c>
      <c r="H143" s="1129">
        <v>1.2485675641903553E-2</v>
      </c>
      <c r="I143" s="1073"/>
      <c r="J143" s="1130">
        <f t="shared" ca="1" si="41"/>
        <v>1338253970.8126364</v>
      </c>
      <c r="K143" s="1131">
        <f t="shared" ca="1" si="42"/>
        <v>16709005.006056042</v>
      </c>
      <c r="L143" s="1130">
        <f t="shared" ca="1" si="43"/>
        <v>9150883.0037476346</v>
      </c>
      <c r="M143" s="1130">
        <f t="shared" ca="1" si="44"/>
        <v>0</v>
      </c>
      <c r="N143" s="1130">
        <f t="shared" ca="1" si="53"/>
        <v>1312394082.8028326</v>
      </c>
      <c r="O143" s="1073"/>
      <c r="P143" s="1130">
        <f t="shared" ca="1" si="45"/>
        <v>25859888.009803772</v>
      </c>
      <c r="Q143" s="1130">
        <f t="shared" ca="1" si="46"/>
        <v>1246774378.6626909</v>
      </c>
      <c r="R143" s="1130">
        <f t="shared" ca="1" si="54"/>
        <v>1271341272.2720046</v>
      </c>
      <c r="S143" s="1130">
        <f t="shared" ca="1" si="55"/>
        <v>24566893.609313726</v>
      </c>
      <c r="T143" s="1130">
        <f t="shared" ca="1" si="47"/>
        <v>1246774378.6626909</v>
      </c>
      <c r="U143" s="1132">
        <f t="shared" ca="1" si="48"/>
        <v>0.10767508573345116</v>
      </c>
      <c r="V143" s="1133">
        <f t="shared" ca="1" si="49"/>
        <v>5.0000000000000044E-2</v>
      </c>
      <c r="X143" s="1134">
        <f t="shared" ca="1" si="56"/>
        <v>66912698.540631711</v>
      </c>
      <c r="Y143" s="1134">
        <f t="shared" ca="1" si="50"/>
        <v>1292994.4004900455</v>
      </c>
      <c r="Z143" s="1134">
        <f t="shared" ca="1" si="51"/>
        <v>65619704.140141666</v>
      </c>
      <c r="AA143" s="1132">
        <f t="shared" ca="1" si="52"/>
        <v>0.11520781429172126</v>
      </c>
      <c r="AB143" s="1105"/>
    </row>
    <row r="144" spans="1:28">
      <c r="A144" s="1144">
        <f>'AMORT. PROFILE 0% CPR'!A144</f>
        <v>49061</v>
      </c>
      <c r="C144" s="1104"/>
      <c r="D144" s="1125">
        <f t="shared" ca="1" si="38"/>
        <v>50283</v>
      </c>
      <c r="E144" s="1126">
        <f t="shared" ca="1" si="39"/>
        <v>50311</v>
      </c>
      <c r="F144" s="1127">
        <f t="shared" ca="1" si="40"/>
        <v>4081</v>
      </c>
      <c r="G144" s="1128">
        <f ca="1">IF(F144&lt;&gt;"",COUNTIF($F$11:F144,"&gt;0"),"")</f>
        <v>134</v>
      </c>
      <c r="H144" s="1129">
        <v>1.2585610525184927E-2</v>
      </c>
      <c r="I144" s="1073"/>
      <c r="J144" s="1130">
        <f t="shared" ca="1" si="41"/>
        <v>1312394082.8028326</v>
      </c>
      <c r="K144" s="1131">
        <f t="shared" ca="1" si="42"/>
        <v>16517280.781713748</v>
      </c>
      <c r="L144" s="1130">
        <f t="shared" ca="1" si="43"/>
        <v>8973146.8163312413</v>
      </c>
      <c r="M144" s="1130">
        <f t="shared" ca="1" si="44"/>
        <v>0</v>
      </c>
      <c r="N144" s="1130">
        <f t="shared" ca="1" si="53"/>
        <v>1286903655.2047877</v>
      </c>
      <c r="O144" s="1073"/>
      <c r="P144" s="1130">
        <f t="shared" ca="1" si="45"/>
        <v>25490427.598044872</v>
      </c>
      <c r="Q144" s="1130">
        <f t="shared" ca="1" si="46"/>
        <v>1222558472.4445484</v>
      </c>
      <c r="R144" s="1130">
        <f t="shared" ca="1" si="54"/>
        <v>1246774378.6626909</v>
      </c>
      <c r="S144" s="1130">
        <f t="shared" ca="1" si="55"/>
        <v>24215906.218142509</v>
      </c>
      <c r="T144" s="1130">
        <f t="shared" ca="1" si="47"/>
        <v>1222558472.4445484</v>
      </c>
      <c r="U144" s="1132">
        <f t="shared" ca="1" si="48"/>
        <v>0.10559441515877523</v>
      </c>
      <c r="V144" s="1133">
        <f t="shared" ca="1" si="49"/>
        <v>4.9999999999999933E-2</v>
      </c>
      <c r="X144" s="1134">
        <f t="shared" ca="1" si="56"/>
        <v>65619704.140141666</v>
      </c>
      <c r="Y144" s="1134">
        <f t="shared" ca="1" si="50"/>
        <v>1274521.3799023628</v>
      </c>
      <c r="Z144" s="1134">
        <f t="shared" ca="1" si="51"/>
        <v>64345182.760239303</v>
      </c>
      <c r="AA144" s="1132">
        <f t="shared" ca="1" si="52"/>
        <v>0.11298158426332931</v>
      </c>
      <c r="AB144" s="1105"/>
    </row>
    <row r="145" spans="1:28">
      <c r="A145" s="1144">
        <f>'AMORT. PROFILE 0% CPR'!A145</f>
        <v>49094</v>
      </c>
      <c r="C145" s="1104"/>
      <c r="D145" s="1125">
        <f t="shared" ca="1" si="38"/>
        <v>50313</v>
      </c>
      <c r="E145" s="1126">
        <f t="shared" ca="1" si="39"/>
        <v>50340</v>
      </c>
      <c r="F145" s="1127">
        <f t="shared" ca="1" si="40"/>
        <v>4110</v>
      </c>
      <c r="G145" s="1128">
        <f ca="1">IF(F145&lt;&gt;"",COUNTIF($F$11:F145,"&gt;0"),"")</f>
        <v>135</v>
      </c>
      <c r="H145" s="1129">
        <v>1.2665408375706582E-2</v>
      </c>
      <c r="I145" s="1073"/>
      <c r="J145" s="1130">
        <f t="shared" ca="1" si="41"/>
        <v>1286903655.2047877</v>
      </c>
      <c r="K145" s="1131">
        <f t="shared" ca="1" si="42"/>
        <v>16299160.333358133</v>
      </c>
      <c r="L145" s="1130">
        <f t="shared" ca="1" si="43"/>
        <v>8798151.6917268857</v>
      </c>
      <c r="M145" s="1130">
        <f t="shared" ca="1" si="44"/>
        <v>0</v>
      </c>
      <c r="N145" s="1130">
        <f t="shared" ca="1" si="53"/>
        <v>1261806343.1797028</v>
      </c>
      <c r="O145" s="1073"/>
      <c r="P145" s="1130">
        <f t="shared" ca="1" si="45"/>
        <v>25097312.025084972</v>
      </c>
      <c r="Q145" s="1130">
        <f t="shared" ca="1" si="46"/>
        <v>1198716026.0207176</v>
      </c>
      <c r="R145" s="1130">
        <f t="shared" ca="1" si="54"/>
        <v>1222558472.4445484</v>
      </c>
      <c r="S145" s="1130">
        <f t="shared" ca="1" si="55"/>
        <v>23842446.423830748</v>
      </c>
      <c r="T145" s="1130">
        <f t="shared" ca="1" si="47"/>
        <v>1198716026.0207176</v>
      </c>
      <c r="U145" s="1132">
        <f t="shared" ca="1" si="48"/>
        <v>0.10354347114002883</v>
      </c>
      <c r="V145" s="1133">
        <f t="shared" ca="1" si="49"/>
        <v>5.0000000000000044E-2</v>
      </c>
      <c r="X145" s="1134">
        <f t="shared" ca="1" si="56"/>
        <v>64345182.760239303</v>
      </c>
      <c r="Y145" s="1134">
        <f t="shared" ca="1" si="50"/>
        <v>1254865.6012542248</v>
      </c>
      <c r="Z145" s="1134">
        <f t="shared" ca="1" si="51"/>
        <v>63090317.158985078</v>
      </c>
      <c r="AA145" s="1132">
        <f t="shared" ca="1" si="52"/>
        <v>0.11078716039986106</v>
      </c>
      <c r="AB145" s="1105"/>
    </row>
    <row r="146" spans="1:28">
      <c r="A146" s="1144">
        <f>'AMORT. PROFILE 0% CPR'!A146</f>
        <v>49122</v>
      </c>
      <c r="C146" s="1104"/>
      <c r="D146" s="1125">
        <f t="shared" ca="1" si="38"/>
        <v>50344</v>
      </c>
      <c r="E146" s="1126">
        <f t="shared" ca="1" si="39"/>
        <v>50371</v>
      </c>
      <c r="F146" s="1127">
        <f t="shared" ca="1" si="40"/>
        <v>4141</v>
      </c>
      <c r="G146" s="1128">
        <f ca="1">IF(F146&lt;&gt;"",COUNTIF($F$11:F146,"&gt;0"),"")</f>
        <v>136</v>
      </c>
      <c r="H146" s="1129">
        <v>1.2756916567808798E-2</v>
      </c>
      <c r="I146" s="1073"/>
      <c r="J146" s="1130">
        <f t="shared" ca="1" si="41"/>
        <v>1261806343.1797028</v>
      </c>
      <c r="K146" s="1131">
        <f t="shared" ca="1" si="42"/>
        <v>16096758.244675385</v>
      </c>
      <c r="L146" s="1130">
        <f t="shared" ca="1" si="43"/>
        <v>8625769.8098301832</v>
      </c>
      <c r="M146" s="1130">
        <f t="shared" ca="1" si="44"/>
        <v>0</v>
      </c>
      <c r="N146" s="1130">
        <f t="shared" ca="1" si="53"/>
        <v>1237083815.1251972</v>
      </c>
      <c r="O146" s="1073"/>
      <c r="P146" s="1130">
        <f t="shared" ca="1" si="45"/>
        <v>24722528.054505587</v>
      </c>
      <c r="Q146" s="1130">
        <f t="shared" ca="1" si="46"/>
        <v>1175229624.3689373</v>
      </c>
      <c r="R146" s="1130">
        <f t="shared" ca="1" si="54"/>
        <v>1198716026.0207176</v>
      </c>
      <c r="S146" s="1130">
        <f t="shared" ca="1" si="55"/>
        <v>23486401.651780367</v>
      </c>
      <c r="T146" s="1130">
        <f t="shared" ca="1" si="47"/>
        <v>1175229624.3689373</v>
      </c>
      <c r="U146" s="1132">
        <f t="shared" ca="1" si="48"/>
        <v>0.10152415695683292</v>
      </c>
      <c r="V146" s="1133">
        <f t="shared" ca="1" si="49"/>
        <v>5.0000000000000044E-2</v>
      </c>
      <c r="X146" s="1134">
        <f t="shared" ca="1" si="56"/>
        <v>63090317.158985078</v>
      </c>
      <c r="Y146" s="1134">
        <f t="shared" ca="1" si="50"/>
        <v>1236126.4027252197</v>
      </c>
      <c r="Z146" s="1134">
        <f t="shared" ca="1" si="51"/>
        <v>61854190.756259859</v>
      </c>
      <c r="AA146" s="1132">
        <f t="shared" ca="1" si="52"/>
        <v>0.10862657913048394</v>
      </c>
      <c r="AB146" s="1105"/>
    </row>
    <row r="147" spans="1:28">
      <c r="A147" s="1144">
        <f>'AMORT. PROFILE 0% CPR'!A147</f>
        <v>49152</v>
      </c>
      <c r="C147" s="1104"/>
      <c r="D147" s="1125">
        <f t="shared" ca="1" si="38"/>
        <v>50374</v>
      </c>
      <c r="E147" s="1126">
        <f t="shared" ca="1" si="39"/>
        <v>50402</v>
      </c>
      <c r="F147" s="1127">
        <f t="shared" ca="1" si="40"/>
        <v>4172</v>
      </c>
      <c r="G147" s="1128">
        <f ca="1">IF(F147&lt;&gt;"",COUNTIF($F$11:F147,"&gt;0"),"")</f>
        <v>137</v>
      </c>
      <c r="H147" s="1129">
        <v>1.2839097125528609E-2</v>
      </c>
      <c r="I147" s="1073"/>
      <c r="J147" s="1130">
        <f t="shared" ca="1" si="41"/>
        <v>1237083815.1251972</v>
      </c>
      <c r="K147" s="1131">
        <f t="shared" ca="1" si="42"/>
        <v>15883039.254811885</v>
      </c>
      <c r="L147" s="1130">
        <f t="shared" ca="1" si="43"/>
        <v>8456061.4381026682</v>
      </c>
      <c r="M147" s="1130">
        <f t="shared" ca="1" si="44"/>
        <v>0</v>
      </c>
      <c r="N147" s="1130">
        <f t="shared" ca="1" si="53"/>
        <v>1212744714.4322824</v>
      </c>
      <c r="O147" s="1073"/>
      <c r="P147" s="1130">
        <f t="shared" ca="1" si="45"/>
        <v>24339100.692914724</v>
      </c>
      <c r="Q147" s="1130">
        <f t="shared" ca="1" si="46"/>
        <v>1152107478.7106683</v>
      </c>
      <c r="R147" s="1130">
        <f t="shared" ca="1" si="54"/>
        <v>1175229624.3689373</v>
      </c>
      <c r="S147" s="1130">
        <f t="shared" ca="1" si="55"/>
        <v>23122145.658268929</v>
      </c>
      <c r="T147" s="1130">
        <f t="shared" ca="1" si="47"/>
        <v>1152107478.7106683</v>
      </c>
      <c r="U147" s="1132">
        <f t="shared" ca="1" si="48"/>
        <v>9.9534997659812427E-2</v>
      </c>
      <c r="V147" s="1133">
        <f t="shared" ca="1" si="49"/>
        <v>5.0000000000000044E-2</v>
      </c>
      <c r="X147" s="1134">
        <f t="shared" ca="1" si="56"/>
        <v>61854190.756259859</v>
      </c>
      <c r="Y147" s="1134">
        <f t="shared" ca="1" si="50"/>
        <v>1216955.0346457958</v>
      </c>
      <c r="Z147" s="1134">
        <f t="shared" ca="1" si="51"/>
        <v>60637235.721614063</v>
      </c>
      <c r="AA147" s="1132">
        <f t="shared" ca="1" si="52"/>
        <v>0.10649826232138405</v>
      </c>
      <c r="AB147" s="1105"/>
    </row>
    <row r="148" spans="1:28">
      <c r="A148" s="1144">
        <f>'AMORT. PROFILE 0% CPR'!A148</f>
        <v>49184</v>
      </c>
      <c r="C148" s="1104"/>
      <c r="D148" s="1125">
        <f t="shared" ca="1" si="38"/>
        <v>50405</v>
      </c>
      <c r="E148" s="1126">
        <f t="shared" ca="1" si="39"/>
        <v>50432</v>
      </c>
      <c r="F148" s="1127">
        <f t="shared" ca="1" si="40"/>
        <v>4202</v>
      </c>
      <c r="G148" s="1128">
        <f ca="1">IF(F148&lt;&gt;"",COUNTIF($F$11:F148,"&gt;0"),"")</f>
        <v>138</v>
      </c>
      <c r="H148" s="1129">
        <v>1.2935741665823631E-2</v>
      </c>
      <c r="I148" s="1073"/>
      <c r="J148" s="1130">
        <f t="shared" ca="1" si="41"/>
        <v>1212744714.4322824</v>
      </c>
      <c r="K148" s="1131">
        <f t="shared" ca="1" si="42"/>
        <v>15687752.332489057</v>
      </c>
      <c r="L148" s="1130">
        <f t="shared" ca="1" si="43"/>
        <v>8288880.4334486863</v>
      </c>
      <c r="M148" s="1130">
        <f t="shared" ca="1" si="44"/>
        <v>0</v>
      </c>
      <c r="N148" s="1130">
        <f t="shared" ca="1" si="53"/>
        <v>1188768081.6663446</v>
      </c>
      <c r="O148" s="1073"/>
      <c r="P148" s="1130">
        <f t="shared" ca="1" si="45"/>
        <v>23976632.765937805</v>
      </c>
      <c r="Q148" s="1130">
        <f t="shared" ca="1" si="46"/>
        <v>1129329677.5830274</v>
      </c>
      <c r="R148" s="1130">
        <f t="shared" ca="1" si="54"/>
        <v>1152107478.7106683</v>
      </c>
      <c r="S148" s="1130">
        <f t="shared" ca="1" si="55"/>
        <v>22777801.127640963</v>
      </c>
      <c r="T148" s="1130">
        <f t="shared" ca="1" si="47"/>
        <v>1129329677.5830274</v>
      </c>
      <c r="U148" s="1132">
        <f t="shared" ca="1" si="48"/>
        <v>9.7576688690855437E-2</v>
      </c>
      <c r="V148" s="1133">
        <f t="shared" ca="1" si="49"/>
        <v>5.0000000000000044E-2</v>
      </c>
      <c r="X148" s="1134">
        <f t="shared" ca="1" si="56"/>
        <v>60637235.721614063</v>
      </c>
      <c r="Y148" s="1134">
        <f t="shared" ca="1" si="50"/>
        <v>1198831.6382968426</v>
      </c>
      <c r="Z148" s="1134">
        <f t="shared" ca="1" si="51"/>
        <v>59438404.08331722</v>
      </c>
      <c r="AA148" s="1132">
        <f t="shared" ca="1" si="52"/>
        <v>0.10440295406613992</v>
      </c>
      <c r="AB148" s="1105"/>
    </row>
    <row r="149" spans="1:28">
      <c r="A149" s="1144">
        <f>'AMORT. PROFILE 0% CPR'!A149</f>
        <v>49214</v>
      </c>
      <c r="C149" s="1104"/>
      <c r="D149" s="1125">
        <f t="shared" ca="1" si="38"/>
        <v>50436</v>
      </c>
      <c r="E149" s="1126">
        <f t="shared" ca="1" si="39"/>
        <v>50462</v>
      </c>
      <c r="F149" s="1127">
        <f t="shared" ca="1" si="40"/>
        <v>4232</v>
      </c>
      <c r="G149" s="1128">
        <f ca="1">IF(F149&lt;&gt;"",COUNTIF($F$11:F149,"&gt;0"),"")</f>
        <v>139</v>
      </c>
      <c r="H149" s="1129">
        <v>1.3033364791696398E-2</v>
      </c>
      <c r="I149" s="1073"/>
      <c r="J149" s="1130">
        <f t="shared" ca="1" si="41"/>
        <v>1188768081.6663446</v>
      </c>
      <c r="K149" s="1131">
        <f t="shared" ca="1" si="42"/>
        <v>15493648.061082605</v>
      </c>
      <c r="L149" s="1130">
        <f t="shared" ca="1" si="43"/>
        <v>8124201.1062841164</v>
      </c>
      <c r="M149" s="1130">
        <f t="shared" ca="1" si="44"/>
        <v>0</v>
      </c>
      <c r="N149" s="1130">
        <f t="shared" ca="1" si="53"/>
        <v>1165150232.4989779</v>
      </c>
      <c r="O149" s="1073"/>
      <c r="P149" s="1130">
        <f t="shared" ca="1" si="45"/>
        <v>23617849.167366743</v>
      </c>
      <c r="Q149" s="1130">
        <f t="shared" ca="1" si="46"/>
        <v>1106892720.8740289</v>
      </c>
      <c r="R149" s="1130">
        <f t="shared" ca="1" si="54"/>
        <v>1129329677.5830274</v>
      </c>
      <c r="S149" s="1130">
        <f t="shared" ca="1" si="55"/>
        <v>22436956.708998442</v>
      </c>
      <c r="T149" s="1130">
        <f t="shared" ca="1" si="47"/>
        <v>1106892720.8740289</v>
      </c>
      <c r="U149" s="1132">
        <f t="shared" ca="1" si="48"/>
        <v>9.5647543666832729E-2</v>
      </c>
      <c r="V149" s="1133">
        <f t="shared" ca="1" si="49"/>
        <v>5.0000000000000044E-2</v>
      </c>
      <c r="X149" s="1134">
        <f t="shared" ca="1" si="56"/>
        <v>59438404.08331722</v>
      </c>
      <c r="Y149" s="1134">
        <f t="shared" ca="1" si="50"/>
        <v>1180892.4583683014</v>
      </c>
      <c r="Z149" s="1134">
        <f t="shared" ca="1" si="51"/>
        <v>58257511.624948919</v>
      </c>
      <c r="AA149" s="1132">
        <f t="shared" ca="1" si="52"/>
        <v>0.10233885000571147</v>
      </c>
      <c r="AB149" s="1105"/>
    </row>
    <row r="150" spans="1:28">
      <c r="A150" s="1144">
        <f>'AMORT. PROFILE 0% CPR'!A150</f>
        <v>49244</v>
      </c>
      <c r="B150" s="1145"/>
      <c r="C150" s="1104"/>
      <c r="D150" s="1125">
        <f t="shared" ca="1" si="38"/>
        <v>50464</v>
      </c>
      <c r="E150" s="1126">
        <f t="shared" ca="1" si="39"/>
        <v>50493</v>
      </c>
      <c r="F150" s="1127">
        <f t="shared" ca="1" si="40"/>
        <v>4263</v>
      </c>
      <c r="G150" s="1128">
        <f ca="1">IF(F150&lt;&gt;"",COUNTIF($F$11:F150,"&gt;0"),"")</f>
        <v>140</v>
      </c>
      <c r="H150" s="1129">
        <v>1.3123396781396355E-2</v>
      </c>
      <c r="I150" s="1073"/>
      <c r="J150" s="1130">
        <f t="shared" ca="1" si="41"/>
        <v>1165150232.4989779</v>
      </c>
      <c r="K150" s="1131">
        <f t="shared" ca="1" si="42"/>
        <v>15290728.811020302</v>
      </c>
      <c r="L150" s="1130">
        <f t="shared" ca="1" si="43"/>
        <v>7962067.1723218849</v>
      </c>
      <c r="M150" s="1130">
        <f t="shared" ca="1" si="44"/>
        <v>0</v>
      </c>
      <c r="N150" s="1130">
        <f t="shared" ca="1" si="53"/>
        <v>1141897436.5156357</v>
      </c>
      <c r="O150" s="1073"/>
      <c r="P150" s="1130">
        <f t="shared" ca="1" si="45"/>
        <v>23252795.983342171</v>
      </c>
      <c r="Q150" s="1130">
        <f t="shared" ca="1" si="46"/>
        <v>1084802564.6898539</v>
      </c>
      <c r="R150" s="1130">
        <f t="shared" ca="1" si="54"/>
        <v>1106892720.8740289</v>
      </c>
      <c r="S150" s="1130">
        <f t="shared" ca="1" si="55"/>
        <v>22090156.184175014</v>
      </c>
      <c r="T150" s="1130">
        <f t="shared" ca="1" si="47"/>
        <v>1084802564.6898539</v>
      </c>
      <c r="U150" s="1132">
        <f t="shared" ca="1" si="48"/>
        <v>9.3747266148962408E-2</v>
      </c>
      <c r="V150" s="1133">
        <f t="shared" ca="1" si="49"/>
        <v>5.0000000000000044E-2</v>
      </c>
      <c r="X150" s="1134">
        <f t="shared" ca="1" si="56"/>
        <v>58257511.624948919</v>
      </c>
      <c r="Y150" s="1134">
        <f t="shared" ca="1" si="50"/>
        <v>1162639.7991671562</v>
      </c>
      <c r="Z150" s="1134">
        <f t="shared" ca="1" si="51"/>
        <v>57094871.825781763</v>
      </c>
      <c r="AA150" s="1132">
        <f t="shared" ca="1" si="52"/>
        <v>0.10030563296306633</v>
      </c>
      <c r="AB150" s="1105"/>
    </row>
    <row r="151" spans="1:28">
      <c r="A151" s="1144">
        <f>'AMORT. PROFILE 0% CPR'!A151</f>
        <v>49275</v>
      </c>
      <c r="C151" s="1146"/>
      <c r="D151" s="1125">
        <f t="shared" ca="1" si="38"/>
        <v>50495</v>
      </c>
      <c r="E151" s="1126">
        <f t="shared" ca="1" si="39"/>
        <v>50522</v>
      </c>
      <c r="F151" s="1127">
        <f t="shared" ca="1" si="40"/>
        <v>4292</v>
      </c>
      <c r="G151" s="1128">
        <f ca="1">IF(F151&lt;&gt;"",COUNTIF($F$11:F151,"&gt;0"),"")</f>
        <v>141</v>
      </c>
      <c r="H151" s="1129">
        <v>1.322381871433074E-2</v>
      </c>
      <c r="I151" s="1073"/>
      <c r="J151" s="1130">
        <f t="shared" ca="1" si="41"/>
        <v>1141897436.5156357</v>
      </c>
      <c r="K151" s="1131">
        <f t="shared" ca="1" si="42"/>
        <v>15100244.690841762</v>
      </c>
      <c r="L151" s="1130">
        <f t="shared" ca="1" si="43"/>
        <v>7802374.9006881723</v>
      </c>
      <c r="M151" s="1130">
        <f t="shared" ca="1" si="44"/>
        <v>0</v>
      </c>
      <c r="N151" s="1130">
        <f t="shared" ca="1" si="53"/>
        <v>1118994816.9241059</v>
      </c>
      <c r="O151" s="1073"/>
      <c r="P151" s="1130">
        <f t="shared" ca="1" si="45"/>
        <v>22902619.591529846</v>
      </c>
      <c r="Q151" s="1130">
        <f t="shared" ca="1" si="46"/>
        <v>1063045076.0779005</v>
      </c>
      <c r="R151" s="1130">
        <f t="shared" ca="1" si="54"/>
        <v>1084802564.6898539</v>
      </c>
      <c r="S151" s="1130">
        <f t="shared" ca="1" si="55"/>
        <v>21757488.611953378</v>
      </c>
      <c r="T151" s="1130">
        <f t="shared" ca="1" si="47"/>
        <v>1063045076.0779005</v>
      </c>
      <c r="U151" s="1132">
        <f t="shared" ca="1" si="48"/>
        <v>9.1876360584207423E-2</v>
      </c>
      <c r="V151" s="1133">
        <f t="shared" ca="1" si="49"/>
        <v>5.0000000000000044E-2</v>
      </c>
      <c r="X151" s="1134">
        <f t="shared" ca="1" si="56"/>
        <v>57094871.825781763</v>
      </c>
      <c r="Y151" s="1134">
        <f t="shared" ca="1" si="50"/>
        <v>1145130.9795764685</v>
      </c>
      <c r="Z151" s="1134">
        <f t="shared" ca="1" si="51"/>
        <v>55949740.846205294</v>
      </c>
      <c r="AA151" s="1132">
        <f t="shared" ca="1" si="52"/>
        <v>9.8303842675244085E-2</v>
      </c>
      <c r="AB151" s="1105"/>
    </row>
    <row r="152" spans="1:28">
      <c r="A152" s="1144">
        <f>'AMORT. PROFILE 0% CPR'!A152</f>
        <v>49305</v>
      </c>
      <c r="C152" s="1104"/>
      <c r="D152" s="1125">
        <f t="shared" ca="1" si="38"/>
        <v>50525</v>
      </c>
      <c r="E152" s="1126">
        <f t="shared" ca="1" si="39"/>
        <v>50552</v>
      </c>
      <c r="F152" s="1127">
        <f t="shared" ca="1" si="40"/>
        <v>4322</v>
      </c>
      <c r="G152" s="1128">
        <f ca="1">IF(F152&lt;&gt;"",COUNTIF($F$11:F152,"&gt;0"),"")</f>
        <v>142</v>
      </c>
      <c r="H152" s="1129">
        <v>1.3320595285273972E-2</v>
      </c>
      <c r="I152" s="1073"/>
      <c r="J152" s="1130">
        <f t="shared" ca="1" si="41"/>
        <v>1118994816.9241059</v>
      </c>
      <c r="K152" s="1131">
        <f t="shared" ca="1" si="42"/>
        <v>14905677.082565257</v>
      </c>
      <c r="L152" s="1130">
        <f t="shared" ca="1" si="43"/>
        <v>7645135.6600128114</v>
      </c>
      <c r="M152" s="1130">
        <f t="shared" ca="1" si="44"/>
        <v>0</v>
      </c>
      <c r="N152" s="1130">
        <f t="shared" ca="1" si="53"/>
        <v>1096444004.1815279</v>
      </c>
      <c r="O152" s="1073"/>
      <c r="P152" s="1130">
        <f t="shared" ca="1" si="45"/>
        <v>22550812.74257803</v>
      </c>
      <c r="Q152" s="1130">
        <f t="shared" ca="1" si="46"/>
        <v>1041621803.9724514</v>
      </c>
      <c r="R152" s="1130">
        <f t="shared" ca="1" si="54"/>
        <v>1063045076.0779005</v>
      </c>
      <c r="S152" s="1130">
        <f t="shared" ca="1" si="55"/>
        <v>21423272.10544908</v>
      </c>
      <c r="T152" s="1130">
        <f t="shared" ca="1" si="47"/>
        <v>1041621803.9724514</v>
      </c>
      <c r="U152" s="1132">
        <f t="shared" ca="1" si="48"/>
        <v>9.0033629995079315E-2</v>
      </c>
      <c r="V152" s="1133">
        <f t="shared" ca="1" si="49"/>
        <v>5.0000000000000044E-2</v>
      </c>
      <c r="X152" s="1134">
        <f t="shared" ca="1" si="56"/>
        <v>55949740.846205294</v>
      </c>
      <c r="Y152" s="1134">
        <f t="shared" ca="1" si="50"/>
        <v>1127540.6371289492</v>
      </c>
      <c r="Z152" s="1134">
        <f t="shared" ca="1" si="51"/>
        <v>54822200.209076345</v>
      </c>
      <c r="AA152" s="1132">
        <f t="shared" ca="1" si="52"/>
        <v>9.6332198426662005E-2</v>
      </c>
      <c r="AB152" s="1105"/>
    </row>
    <row r="153" spans="1:28">
      <c r="A153" s="1144">
        <f>'AMORT. PROFILE 0% CPR'!A153</f>
        <v>49338</v>
      </c>
      <c r="C153" s="1104"/>
      <c r="D153" s="1125">
        <f t="shared" ca="1" si="38"/>
        <v>50556</v>
      </c>
      <c r="E153" s="1126">
        <f t="shared" ca="1" si="39"/>
        <v>50584</v>
      </c>
      <c r="F153" s="1127">
        <f t="shared" ca="1" si="40"/>
        <v>4354</v>
      </c>
      <c r="G153" s="1128">
        <f ca="1">IF(F153&lt;&gt;"",COUNTIF($F$11:F153,"&gt;0"),"")</f>
        <v>143</v>
      </c>
      <c r="H153" s="1129">
        <v>1.3429315092184863E-2</v>
      </c>
      <c r="I153" s="1073"/>
      <c r="J153" s="1130">
        <f t="shared" ca="1" si="41"/>
        <v>1096444004.1815279</v>
      </c>
      <c r="K153" s="1131">
        <f t="shared" ca="1" si="42"/>
        <v>14724492.013090596</v>
      </c>
      <c r="L153" s="1130">
        <f t="shared" ca="1" si="43"/>
        <v>7490239.7987516494</v>
      </c>
      <c r="M153" s="1130">
        <f t="shared" ca="1" si="44"/>
        <v>0</v>
      </c>
      <c r="N153" s="1130">
        <f t="shared" ca="1" si="53"/>
        <v>1074229272.3696856</v>
      </c>
      <c r="O153" s="1073"/>
      <c r="P153" s="1130">
        <f t="shared" ca="1" si="45"/>
        <v>22214731.811842203</v>
      </c>
      <c r="Q153" s="1130">
        <f t="shared" ca="1" si="46"/>
        <v>1020517808.7512013</v>
      </c>
      <c r="R153" s="1130">
        <f t="shared" ca="1" si="54"/>
        <v>1041621803.9724514</v>
      </c>
      <c r="S153" s="1130">
        <f t="shared" ca="1" si="55"/>
        <v>21103995.221250176</v>
      </c>
      <c r="T153" s="1130">
        <f t="shared" ca="1" si="47"/>
        <v>1020517808.7512013</v>
      </c>
      <c r="U153" s="1132">
        <f t="shared" ca="1" si="48"/>
        <v>8.8219205567149822E-2</v>
      </c>
      <c r="V153" s="1133">
        <f t="shared" ca="1" si="49"/>
        <v>5.0000000000000044E-2</v>
      </c>
      <c r="X153" s="1134">
        <f t="shared" ca="1" si="56"/>
        <v>54822200.209076345</v>
      </c>
      <c r="Y153" s="1134">
        <f t="shared" ca="1" si="50"/>
        <v>1110736.5905920267</v>
      </c>
      <c r="Z153" s="1134">
        <f t="shared" ca="1" si="51"/>
        <v>53711463.618484318</v>
      </c>
      <c r="AA153" s="1132">
        <f t="shared" ca="1" si="52"/>
        <v>9.4390840580365606E-2</v>
      </c>
      <c r="AB153" s="1105"/>
    </row>
    <row r="154" spans="1:28">
      <c r="A154" s="1144">
        <f>'AMORT. PROFILE 0% CPR'!A154</f>
        <v>49367</v>
      </c>
      <c r="C154" s="1104"/>
      <c r="D154" s="1125">
        <f t="shared" ca="1" si="38"/>
        <v>50586</v>
      </c>
      <c r="E154" s="1126">
        <f t="shared" ca="1" si="39"/>
        <v>50613</v>
      </c>
      <c r="F154" s="1127">
        <f t="shared" ca="1" si="40"/>
        <v>4383</v>
      </c>
      <c r="G154" s="1128">
        <f ca="1">IF(F154&lt;&gt;"",COUNTIF($F$11:F154,"&gt;0"),"")</f>
        <v>144</v>
      </c>
      <c r="H154" s="1129">
        <v>1.3521071130576162E-2</v>
      </c>
      <c r="I154" s="1073"/>
      <c r="J154" s="1130">
        <f t="shared" ca="1" si="41"/>
        <v>1074229272.3696856</v>
      </c>
      <c r="K154" s="1131">
        <f t="shared" ca="1" si="42"/>
        <v>14524730.402257593</v>
      </c>
      <c r="L154" s="1130">
        <f t="shared" ca="1" si="43"/>
        <v>7337799.7215292519</v>
      </c>
      <c r="M154" s="1130">
        <f t="shared" ca="1" si="44"/>
        <v>0</v>
      </c>
      <c r="N154" s="1130">
        <f t="shared" ca="1" si="53"/>
        <v>1052366742.2458988</v>
      </c>
      <c r="O154" s="1073"/>
      <c r="P154" s="1130">
        <f t="shared" ca="1" si="45"/>
        <v>21862530.123786807</v>
      </c>
      <c r="Q154" s="1130">
        <f t="shared" ca="1" si="46"/>
        <v>999748405.13360381</v>
      </c>
      <c r="R154" s="1130">
        <f t="shared" ca="1" si="54"/>
        <v>1020517808.7512013</v>
      </c>
      <c r="S154" s="1130">
        <f t="shared" ca="1" si="55"/>
        <v>20769403.617597461</v>
      </c>
      <c r="T154" s="1130">
        <f t="shared" ca="1" si="47"/>
        <v>999748405.13360381</v>
      </c>
      <c r="U154" s="1132">
        <f t="shared" ca="1" si="48"/>
        <v>8.6431822002778075E-2</v>
      </c>
      <c r="V154" s="1133">
        <f t="shared" ca="1" si="49"/>
        <v>5.0000000000000044E-2</v>
      </c>
      <c r="X154" s="1134">
        <f t="shared" ca="1" si="56"/>
        <v>53711463.618484318</v>
      </c>
      <c r="Y154" s="1134">
        <f t="shared" ca="1" si="50"/>
        <v>1093126.5061893463</v>
      </c>
      <c r="Z154" s="1134">
        <f t="shared" ca="1" si="51"/>
        <v>52618337.112294972</v>
      </c>
      <c r="AA154" s="1132">
        <f t="shared" ca="1" si="52"/>
        <v>9.2478415321081808E-2</v>
      </c>
      <c r="AB154" s="1105"/>
    </row>
    <row r="155" spans="1:28">
      <c r="A155" s="1144">
        <f>'AMORT. PROFILE 0% CPR'!A155</f>
        <v>49395</v>
      </c>
      <c r="C155" s="1104"/>
      <c r="D155" s="1125">
        <f t="shared" ca="1" si="38"/>
        <v>50617</v>
      </c>
      <c r="E155" s="1126">
        <f t="shared" ca="1" si="39"/>
        <v>50644</v>
      </c>
      <c r="F155" s="1127">
        <f t="shared" ca="1" si="40"/>
        <v>4414</v>
      </c>
      <c r="G155" s="1128">
        <f ca="1">IF(F155&lt;&gt;"",COUNTIF($F$11:F155,"&gt;0"),"")</f>
        <v>145</v>
      </c>
      <c r="H155" s="1129">
        <v>1.3633895063393728E-2</v>
      </c>
      <c r="I155" s="1073"/>
      <c r="J155" s="1130">
        <f t="shared" ca="1" si="41"/>
        <v>1052366742.2458988</v>
      </c>
      <c r="K155" s="1131">
        <f t="shared" ca="1" si="42"/>
        <v>14347857.7319861</v>
      </c>
      <c r="L155" s="1130">
        <f t="shared" ca="1" si="43"/>
        <v>7187639.9317748789</v>
      </c>
      <c r="M155" s="1130">
        <f t="shared" ca="1" si="44"/>
        <v>0</v>
      </c>
      <c r="N155" s="1130">
        <f t="shared" ca="1" si="53"/>
        <v>1030831244.5821379</v>
      </c>
      <c r="O155" s="1073"/>
      <c r="P155" s="1130">
        <f t="shared" ca="1" si="45"/>
        <v>21535497.663760781</v>
      </c>
      <c r="Q155" s="1130">
        <f t="shared" ca="1" si="46"/>
        <v>979289682.35303104</v>
      </c>
      <c r="R155" s="1130">
        <f t="shared" ca="1" si="54"/>
        <v>999748405.13360381</v>
      </c>
      <c r="S155" s="1130">
        <f t="shared" ca="1" si="55"/>
        <v>20458722.780572772</v>
      </c>
      <c r="T155" s="1130">
        <f t="shared" ca="1" si="47"/>
        <v>979289682.35303104</v>
      </c>
      <c r="U155" s="1132">
        <f t="shared" ca="1" si="48"/>
        <v>8.4672776368114697E-2</v>
      </c>
      <c r="V155" s="1133">
        <f t="shared" ca="1" si="49"/>
        <v>5.0000000000000044E-2</v>
      </c>
      <c r="X155" s="1134">
        <f t="shared" ca="1" si="56"/>
        <v>52618337.112294972</v>
      </c>
      <c r="Y155" s="1134">
        <f t="shared" ca="1" si="50"/>
        <v>1076774.8831880093</v>
      </c>
      <c r="Z155" s="1134">
        <f t="shared" ca="1" si="51"/>
        <v>51541562.229106963</v>
      </c>
      <c r="AA155" s="1132">
        <f t="shared" ca="1" si="52"/>
        <v>9.0596310455053328E-2</v>
      </c>
      <c r="AB155" s="1105"/>
    </row>
    <row r="156" spans="1:28">
      <c r="A156" s="1144">
        <f>'AMORT. PROFILE 0% CPR'!A156</f>
        <v>49426</v>
      </c>
      <c r="C156" s="1104"/>
      <c r="D156" s="1125">
        <f t="shared" ca="1" si="38"/>
        <v>50648</v>
      </c>
      <c r="E156" s="1126">
        <f t="shared" ca="1" si="39"/>
        <v>50675</v>
      </c>
      <c r="F156" s="1127">
        <f t="shared" ca="1" si="40"/>
        <v>4445</v>
      </c>
      <c r="G156" s="1128">
        <f ca="1">IF(F156&lt;&gt;"",COUNTIF($F$11:F156,"&gt;0"),"")</f>
        <v>146</v>
      </c>
      <c r="H156" s="1129">
        <v>1.374583120308915E-2</v>
      </c>
      <c r="I156" s="1073"/>
      <c r="J156" s="1130">
        <f t="shared" ca="1" si="41"/>
        <v>1030831244.5821379</v>
      </c>
      <c r="K156" s="1131">
        <f t="shared" ca="1" si="42"/>
        <v>14169632.286896374</v>
      </c>
      <c r="L156" s="1130">
        <f t="shared" ca="1" si="43"/>
        <v>7039754.0070360499</v>
      </c>
      <c r="M156" s="1130">
        <f t="shared" ca="1" si="44"/>
        <v>0</v>
      </c>
      <c r="N156" s="1130">
        <f t="shared" ca="1" si="53"/>
        <v>1009621858.2882055</v>
      </c>
      <c r="O156" s="1073"/>
      <c r="P156" s="1130">
        <f t="shared" ca="1" si="45"/>
        <v>21209386.293932557</v>
      </c>
      <c r="Q156" s="1130">
        <f t="shared" ca="1" si="46"/>
        <v>959140765.37379515</v>
      </c>
      <c r="R156" s="1130">
        <f t="shared" ca="1" si="54"/>
        <v>979289682.35303104</v>
      </c>
      <c r="S156" s="1130">
        <f t="shared" ca="1" si="55"/>
        <v>20148916.979235888</v>
      </c>
      <c r="T156" s="1130">
        <f t="shared" ca="1" si="47"/>
        <v>959140765.37379515</v>
      </c>
      <c r="U156" s="1132">
        <f t="shared" ca="1" si="48"/>
        <v>8.2940043562659313E-2</v>
      </c>
      <c r="V156" s="1133">
        <f t="shared" ca="1" si="49"/>
        <v>5.0000000000000044E-2</v>
      </c>
      <c r="X156" s="1134">
        <f t="shared" ca="1" si="56"/>
        <v>51541562.229106963</v>
      </c>
      <c r="Y156" s="1134">
        <f t="shared" ca="1" si="50"/>
        <v>1060469.3146966696</v>
      </c>
      <c r="Z156" s="1134">
        <f t="shared" ca="1" si="51"/>
        <v>50481092.914410293</v>
      </c>
      <c r="AA156" s="1132">
        <f t="shared" ca="1" si="52"/>
        <v>8.8742359209894914E-2</v>
      </c>
      <c r="AB156" s="1105"/>
    </row>
    <row r="157" spans="1:28">
      <c r="A157" s="1144">
        <f>'AMORT. PROFILE 0% CPR'!A157</f>
        <v>49457</v>
      </c>
      <c r="C157" s="1104"/>
      <c r="D157" s="1125">
        <f t="shared" ca="1" si="38"/>
        <v>50678</v>
      </c>
      <c r="E157" s="1126">
        <f t="shared" ca="1" si="39"/>
        <v>50705</v>
      </c>
      <c r="F157" s="1127">
        <f t="shared" ca="1" si="40"/>
        <v>4475</v>
      </c>
      <c r="G157" s="1128">
        <f ca="1">IF(F157&lt;&gt;"",COUNTIF($F$11:F157,"&gt;0"),"")</f>
        <v>147</v>
      </c>
      <c r="H157" s="1129">
        <v>1.3860294491654501E-2</v>
      </c>
      <c r="I157" s="1073"/>
      <c r="J157" s="1130">
        <f t="shared" ca="1" si="41"/>
        <v>1009621858.2882055</v>
      </c>
      <c r="K157" s="1131">
        <f t="shared" ca="1" si="42"/>
        <v>13993656.281085996</v>
      </c>
      <c r="L157" s="1130">
        <f t="shared" ca="1" si="43"/>
        <v>6894110.6262230836</v>
      </c>
      <c r="M157" s="1130">
        <f t="shared" ca="1" si="44"/>
        <v>0</v>
      </c>
      <c r="N157" s="1130">
        <f t="shared" ca="1" si="53"/>
        <v>988734091.38089645</v>
      </c>
      <c r="O157" s="1073"/>
      <c r="P157" s="1130">
        <f t="shared" ca="1" si="45"/>
        <v>20887766.907308936</v>
      </c>
      <c r="Q157" s="1130">
        <f t="shared" ca="1" si="46"/>
        <v>939297386.81185162</v>
      </c>
      <c r="R157" s="1130">
        <f t="shared" ca="1" si="54"/>
        <v>959140765.37379515</v>
      </c>
      <c r="S157" s="1130">
        <f t="shared" ca="1" si="55"/>
        <v>19843378.561943531</v>
      </c>
      <c r="T157" s="1130">
        <f t="shared" ca="1" si="47"/>
        <v>939297386.81185162</v>
      </c>
      <c r="U157" s="1132">
        <f t="shared" ca="1" si="48"/>
        <v>8.1233549476065037E-2</v>
      </c>
      <c r="V157" s="1133">
        <f t="shared" ca="1" si="49"/>
        <v>5.0000000000000044E-2</v>
      </c>
      <c r="X157" s="1134">
        <f t="shared" ca="1" si="56"/>
        <v>50481092.914410293</v>
      </c>
      <c r="Y157" s="1134">
        <f t="shared" ca="1" si="50"/>
        <v>1044388.3453654051</v>
      </c>
      <c r="Z157" s="1134">
        <f t="shared" ca="1" si="51"/>
        <v>49436704.569044888</v>
      </c>
      <c r="AA157" s="1132">
        <f t="shared" ca="1" si="52"/>
        <v>8.6916482290651326E-2</v>
      </c>
      <c r="AB157" s="1105"/>
    </row>
    <row r="158" spans="1:28">
      <c r="A158" s="1144">
        <f>'AMORT. PROFILE 0% CPR'!A158</f>
        <v>49487</v>
      </c>
      <c r="C158" s="1104"/>
      <c r="D158" s="1125">
        <f t="shared" ca="1" si="38"/>
        <v>50709</v>
      </c>
      <c r="E158" s="1126">
        <f t="shared" ca="1" si="39"/>
        <v>50738</v>
      </c>
      <c r="F158" s="1127">
        <f t="shared" ca="1" si="40"/>
        <v>4508</v>
      </c>
      <c r="G158" s="1128">
        <f ca="1">IF(F158&lt;&gt;"",COUNTIF($F$11:F158,"&gt;0"),"")</f>
        <v>148</v>
      </c>
      <c r="H158" s="1129">
        <v>1.3972418818144639E-2</v>
      </c>
      <c r="I158" s="1073"/>
      <c r="J158" s="1130">
        <f t="shared" ca="1" si="41"/>
        <v>988734091.38089645</v>
      </c>
      <c r="K158" s="1131">
        <f t="shared" ca="1" si="42"/>
        <v>13815006.824551579</v>
      </c>
      <c r="L158" s="1130">
        <f t="shared" ca="1" si="43"/>
        <v>6750712.7730995268</v>
      </c>
      <c r="M158" s="1130">
        <f t="shared" ca="1" si="44"/>
        <v>0</v>
      </c>
      <c r="N158" s="1130">
        <f t="shared" ca="1" si="53"/>
        <v>968168371.78324533</v>
      </c>
      <c r="O158" s="1073"/>
      <c r="P158" s="1130">
        <f t="shared" ca="1" si="45"/>
        <v>20565719.597651243</v>
      </c>
      <c r="Q158" s="1130">
        <f t="shared" ca="1" si="46"/>
        <v>919759953.19408298</v>
      </c>
      <c r="R158" s="1130">
        <f t="shared" ca="1" si="54"/>
        <v>939297386.81185162</v>
      </c>
      <c r="S158" s="1130">
        <f t="shared" ca="1" si="55"/>
        <v>19537433.617768645</v>
      </c>
      <c r="T158" s="1130">
        <f t="shared" ca="1" si="47"/>
        <v>919759953.19408298</v>
      </c>
      <c r="U158" s="1132">
        <f t="shared" ca="1" si="48"/>
        <v>7.9552932686145036E-2</v>
      </c>
      <c r="V158" s="1133">
        <f t="shared" ca="1" si="49"/>
        <v>5.0000000000000044E-2</v>
      </c>
      <c r="X158" s="1134">
        <f t="shared" ca="1" si="56"/>
        <v>49436704.569044888</v>
      </c>
      <c r="Y158" s="1134">
        <f t="shared" ca="1" si="50"/>
        <v>1028285.9798825979</v>
      </c>
      <c r="Z158" s="1134">
        <f t="shared" ca="1" si="51"/>
        <v>48408418.58916229</v>
      </c>
      <c r="AA158" s="1132">
        <f t="shared" ca="1" si="52"/>
        <v>8.5118292990779762E-2</v>
      </c>
      <c r="AB158" s="1105"/>
    </row>
    <row r="159" spans="1:28">
      <c r="A159" s="1144">
        <f>'AMORT. PROFILE 0% CPR'!A159</f>
        <v>49517</v>
      </c>
      <c r="C159" s="1104"/>
      <c r="D159" s="1125">
        <f t="shared" ca="1" si="38"/>
        <v>50739</v>
      </c>
      <c r="E159" s="1126">
        <f t="shared" ca="1" si="39"/>
        <v>50766</v>
      </c>
      <c r="F159" s="1127">
        <f t="shared" ca="1" si="40"/>
        <v>4536</v>
      </c>
      <c r="G159" s="1128">
        <f ca="1">IF(F159&lt;&gt;"",COUNTIF($F$11:F159,"&gt;0"),"")</f>
        <v>149</v>
      </c>
      <c r="H159" s="1129">
        <v>1.408602523770945E-2</v>
      </c>
      <c r="I159" s="1073"/>
      <c r="J159" s="1130">
        <f t="shared" ca="1" si="41"/>
        <v>968168371.78324533</v>
      </c>
      <c r="K159" s="1131">
        <f t="shared" ca="1" si="42"/>
        <v>13637644.119290859</v>
      </c>
      <c r="L159" s="1130">
        <f t="shared" ca="1" si="43"/>
        <v>6609535.9888142906</v>
      </c>
      <c r="M159" s="1130">
        <f t="shared" ca="1" si="44"/>
        <v>0</v>
      </c>
      <c r="N159" s="1130">
        <f t="shared" ca="1" si="53"/>
        <v>947921191.67514026</v>
      </c>
      <c r="O159" s="1073"/>
      <c r="P159" s="1130">
        <f t="shared" ca="1" si="45"/>
        <v>20247180.108105063</v>
      </c>
      <c r="Q159" s="1130">
        <f t="shared" ca="1" si="46"/>
        <v>900525132.09138322</v>
      </c>
      <c r="R159" s="1130">
        <f t="shared" ca="1" si="54"/>
        <v>919759953.19408298</v>
      </c>
      <c r="S159" s="1130">
        <f t="shared" ca="1" si="55"/>
        <v>19234821.102699757</v>
      </c>
      <c r="T159" s="1130">
        <f t="shared" ca="1" si="47"/>
        <v>900525132.09138322</v>
      </c>
      <c r="U159" s="1132">
        <f t="shared" ca="1" si="48"/>
        <v>7.7898227623321617E-2</v>
      </c>
      <c r="V159" s="1133">
        <f t="shared" ca="1" si="49"/>
        <v>5.0000000000000044E-2</v>
      </c>
      <c r="X159" s="1134">
        <f t="shared" ca="1" si="56"/>
        <v>48408418.58916229</v>
      </c>
      <c r="Y159" s="1134">
        <f t="shared" ca="1" si="50"/>
        <v>1012359.0054053068</v>
      </c>
      <c r="Z159" s="1134">
        <f t="shared" ca="1" si="51"/>
        <v>47396059.583756983</v>
      </c>
      <c r="AA159" s="1132">
        <f t="shared" ca="1" si="52"/>
        <v>8.3347828149384115E-2</v>
      </c>
      <c r="AB159" s="1105"/>
    </row>
    <row r="160" spans="1:28">
      <c r="A160" s="1144">
        <f>'AMORT. PROFILE 0% CPR'!A160</f>
        <v>49548</v>
      </c>
      <c r="C160" s="1104"/>
      <c r="D160" s="1125">
        <f t="shared" ca="1" si="38"/>
        <v>50770</v>
      </c>
      <c r="E160" s="1126">
        <f t="shared" ca="1" si="39"/>
        <v>50797</v>
      </c>
      <c r="F160" s="1127">
        <f t="shared" ca="1" si="40"/>
        <v>4567</v>
      </c>
      <c r="G160" s="1128">
        <f ca="1">IF(F160&lt;&gt;"",COUNTIF($F$11:F160,"&gt;0"),"")</f>
        <v>150</v>
      </c>
      <c r="H160" s="1129">
        <v>1.4212850209998613E-2</v>
      </c>
      <c r="I160" s="1073"/>
      <c r="J160" s="1130">
        <f t="shared" ca="1" si="41"/>
        <v>947921191.67514026</v>
      </c>
      <c r="K160" s="1131">
        <f t="shared" ca="1" si="42"/>
        <v>13472661.908162152</v>
      </c>
      <c r="L160" s="1130">
        <f t="shared" ca="1" si="43"/>
        <v>6470479.1665583961</v>
      </c>
      <c r="M160" s="1130">
        <f t="shared" ca="1" si="44"/>
        <v>0</v>
      </c>
      <c r="N160" s="1130">
        <f t="shared" ca="1" si="53"/>
        <v>927978050.60041976</v>
      </c>
      <c r="O160" s="1073"/>
      <c r="P160" s="1130">
        <f t="shared" ca="1" si="45"/>
        <v>19943141.074720383</v>
      </c>
      <c r="Q160" s="1130">
        <f t="shared" ca="1" si="46"/>
        <v>881579148.07039869</v>
      </c>
      <c r="R160" s="1130">
        <f t="shared" ca="1" si="54"/>
        <v>900525132.09138322</v>
      </c>
      <c r="S160" s="1130">
        <f t="shared" ca="1" si="55"/>
        <v>18945984.02098453</v>
      </c>
      <c r="T160" s="1130">
        <f t="shared" ca="1" si="47"/>
        <v>881579148.07039869</v>
      </c>
      <c r="U160" s="1132">
        <f t="shared" ca="1" si="48"/>
        <v>7.6269152050560951E-2</v>
      </c>
      <c r="V160" s="1133">
        <f t="shared" ca="1" si="49"/>
        <v>5.0000000000000044E-2</v>
      </c>
      <c r="X160" s="1134">
        <f t="shared" ca="1" si="56"/>
        <v>47396059.583756983</v>
      </c>
      <c r="Y160" s="1134">
        <f t="shared" ca="1" si="50"/>
        <v>997157.05373585224</v>
      </c>
      <c r="Z160" s="1134">
        <f t="shared" ca="1" si="51"/>
        <v>46398902.530021131</v>
      </c>
      <c r="AA160" s="1132">
        <f t="shared" ca="1" si="52"/>
        <v>8.160478578470555E-2</v>
      </c>
      <c r="AB160" s="1105"/>
    </row>
    <row r="161" spans="1:28">
      <c r="A161" s="1144">
        <f>'AMORT. PROFILE 0% CPR'!A161</f>
        <v>49579</v>
      </c>
      <c r="C161" s="1104"/>
      <c r="D161" s="1125">
        <f t="shared" ca="1" si="38"/>
        <v>50801</v>
      </c>
      <c r="E161" s="1126">
        <f t="shared" ca="1" si="39"/>
        <v>50829</v>
      </c>
      <c r="F161" s="1127">
        <f t="shared" ca="1" si="40"/>
        <v>4599</v>
      </c>
      <c r="G161" s="1128">
        <f ca="1">IF(F161&lt;&gt;"",COUNTIF($F$11:F161,"&gt;0"),"")</f>
        <v>151</v>
      </c>
      <c r="H161" s="1129">
        <v>1.4318366202048219E-2</v>
      </c>
      <c r="I161" s="1073"/>
      <c r="J161" s="1130">
        <f t="shared" ca="1" si="41"/>
        <v>927978050.60041976</v>
      </c>
      <c r="K161" s="1131">
        <f t="shared" ca="1" si="42"/>
        <v>13287129.555959642</v>
      </c>
      <c r="L161" s="1130">
        <f t="shared" ca="1" si="43"/>
        <v>6333669.9239434544</v>
      </c>
      <c r="M161" s="1130">
        <f t="shared" ca="1" si="44"/>
        <v>0</v>
      </c>
      <c r="N161" s="1130">
        <f t="shared" ca="1" si="53"/>
        <v>908357251.12051666</v>
      </c>
      <c r="O161" s="1073"/>
      <c r="P161" s="1130">
        <f t="shared" ca="1" si="45"/>
        <v>19620799.479903102</v>
      </c>
      <c r="Q161" s="1130">
        <f t="shared" ca="1" si="46"/>
        <v>862939388.5644908</v>
      </c>
      <c r="R161" s="1130">
        <f t="shared" ca="1" si="54"/>
        <v>881579148.07039869</v>
      </c>
      <c r="S161" s="1130">
        <f t="shared" ca="1" si="55"/>
        <v>18639759.505907893</v>
      </c>
      <c r="T161" s="1130">
        <f t="shared" ca="1" si="47"/>
        <v>862939388.5644908</v>
      </c>
      <c r="U161" s="1132">
        <f t="shared" ca="1" si="48"/>
        <v>7.4664539270140148E-2</v>
      </c>
      <c r="V161" s="1133">
        <f t="shared" ca="1" si="49"/>
        <v>5.0000000000000044E-2</v>
      </c>
      <c r="X161" s="1134">
        <f t="shared" ca="1" si="56"/>
        <v>46398902.530021131</v>
      </c>
      <c r="Y161" s="1134">
        <f t="shared" ca="1" si="50"/>
        <v>981039.97399520874</v>
      </c>
      <c r="Z161" s="1134">
        <f t="shared" ca="1" si="51"/>
        <v>45417862.556025922</v>
      </c>
      <c r="AA161" s="1132">
        <f t="shared" ca="1" si="52"/>
        <v>7.988791757923748E-2</v>
      </c>
      <c r="AB161" s="1105"/>
    </row>
    <row r="162" spans="1:28">
      <c r="A162" s="1144">
        <f>'AMORT. PROFILE 0% CPR'!A162</f>
        <v>49611</v>
      </c>
      <c r="C162" s="1104"/>
      <c r="D162" s="1125">
        <f t="shared" ca="1" si="38"/>
        <v>50829</v>
      </c>
      <c r="E162" s="1126">
        <f t="shared" ca="1" si="39"/>
        <v>50857</v>
      </c>
      <c r="F162" s="1127">
        <f t="shared" ca="1" si="40"/>
        <v>4627</v>
      </c>
      <c r="G162" s="1128">
        <f ca="1">IF(F162&lt;&gt;"",COUNTIF($F$11:F162,"&gt;0"),"")</f>
        <v>152</v>
      </c>
      <c r="H162" s="1129">
        <v>1.441117846125589E-2</v>
      </c>
      <c r="I162" s="1073"/>
      <c r="J162" s="1130">
        <f t="shared" ca="1" si="41"/>
        <v>908357251.12051666</v>
      </c>
      <c r="K162" s="1131">
        <f t="shared" ca="1" si="42"/>
        <v>13090498.452473598</v>
      </c>
      <c r="L162" s="1130">
        <f t="shared" ca="1" si="43"/>
        <v>6199169.5498686293</v>
      </c>
      <c r="M162" s="1130">
        <f t="shared" ca="1" si="44"/>
        <v>0</v>
      </c>
      <c r="N162" s="1130">
        <f t="shared" ca="1" si="53"/>
        <v>889067583.11817443</v>
      </c>
      <c r="O162" s="1073"/>
      <c r="P162" s="1130">
        <f t="shared" ca="1" si="45"/>
        <v>19289668.002342343</v>
      </c>
      <c r="Q162" s="1130">
        <f t="shared" ca="1" si="46"/>
        <v>844614203.96226573</v>
      </c>
      <c r="R162" s="1130">
        <f t="shared" ca="1" si="54"/>
        <v>862939388.5644908</v>
      </c>
      <c r="S162" s="1130">
        <f t="shared" ca="1" si="55"/>
        <v>18325184.602225065</v>
      </c>
      <c r="T162" s="1130">
        <f t="shared" ca="1" si="47"/>
        <v>844614203.96226573</v>
      </c>
      <c r="U162" s="1132">
        <f t="shared" ca="1" si="48"/>
        <v>7.3085861894817639E-2</v>
      </c>
      <c r="V162" s="1133">
        <f t="shared" ca="1" si="49"/>
        <v>4.9999999999999933E-2</v>
      </c>
      <c r="X162" s="1134">
        <f t="shared" ca="1" si="56"/>
        <v>45417862.556025922</v>
      </c>
      <c r="Y162" s="1134">
        <f t="shared" ca="1" si="50"/>
        <v>964483.4001172781</v>
      </c>
      <c r="Z162" s="1134">
        <f t="shared" ca="1" si="51"/>
        <v>44453379.155908644</v>
      </c>
      <c r="AA162" s="1132">
        <f t="shared" ca="1" si="52"/>
        <v>7.8198799166711297E-2</v>
      </c>
      <c r="AB162" s="1105"/>
    </row>
    <row r="163" spans="1:28">
      <c r="A163" s="1144">
        <f>'AMORT. PROFILE 0% CPR'!A163</f>
        <v>49640</v>
      </c>
      <c r="C163" s="1104"/>
      <c r="D163" s="1125">
        <f t="shared" ca="1" si="38"/>
        <v>50860</v>
      </c>
      <c r="E163" s="1126">
        <f t="shared" ca="1" si="39"/>
        <v>50887</v>
      </c>
      <c r="F163" s="1127">
        <f t="shared" ca="1" si="40"/>
        <v>4657</v>
      </c>
      <c r="G163" s="1128">
        <f ca="1">IF(F163&lt;&gt;"",COUNTIF($F$11:F163,"&gt;0"),"")</f>
        <v>153</v>
      </c>
      <c r="H163" s="1129">
        <v>1.4529656567135439E-2</v>
      </c>
      <c r="I163" s="1073"/>
      <c r="J163" s="1130">
        <f t="shared" ca="1" si="41"/>
        <v>889067583.11817443</v>
      </c>
      <c r="K163" s="1131">
        <f t="shared" ca="1" si="42"/>
        <v>12917846.647680216</v>
      </c>
      <c r="L163" s="1130">
        <f t="shared" ca="1" si="43"/>
        <v>6066796.0150054051</v>
      </c>
      <c r="M163" s="1130">
        <f t="shared" ca="1" si="44"/>
        <v>0</v>
      </c>
      <c r="N163" s="1130">
        <f t="shared" ca="1" si="53"/>
        <v>870082940.45548892</v>
      </c>
      <c r="O163" s="1073"/>
      <c r="P163" s="1130">
        <f t="shared" ca="1" si="45"/>
        <v>18984642.662685394</v>
      </c>
      <c r="Q163" s="1130">
        <f t="shared" ca="1" si="46"/>
        <v>826578793.43271446</v>
      </c>
      <c r="R163" s="1130">
        <f t="shared" ca="1" si="54"/>
        <v>844614203.96226573</v>
      </c>
      <c r="S163" s="1130">
        <f t="shared" ca="1" si="55"/>
        <v>18035410.529551268</v>
      </c>
      <c r="T163" s="1130">
        <f t="shared" ca="1" si="47"/>
        <v>826578793.43271446</v>
      </c>
      <c r="U163" s="1132">
        <f t="shared" ca="1" si="48"/>
        <v>7.1533827153115528E-2</v>
      </c>
      <c r="V163" s="1133">
        <f t="shared" ca="1" si="49"/>
        <v>5.0000000000000044E-2</v>
      </c>
      <c r="X163" s="1134">
        <f t="shared" ca="1" si="56"/>
        <v>44453379.155908644</v>
      </c>
      <c r="Y163" s="1134">
        <f t="shared" ca="1" si="50"/>
        <v>949232.13313412666</v>
      </c>
      <c r="Z163" s="1134">
        <f t="shared" ca="1" si="51"/>
        <v>43504147.022774518</v>
      </c>
      <c r="AA163" s="1132">
        <f t="shared" ca="1" si="52"/>
        <v>7.6538187251908821E-2</v>
      </c>
      <c r="AB163" s="1105"/>
    </row>
    <row r="164" spans="1:28">
      <c r="A164" s="1144">
        <f>'AMORT. PROFILE 0% CPR'!A164</f>
        <v>49670</v>
      </c>
      <c r="C164" s="1104"/>
      <c r="D164" s="1125">
        <f t="shared" ca="1" si="38"/>
        <v>50890</v>
      </c>
      <c r="E164" s="1126">
        <f t="shared" ca="1" si="39"/>
        <v>50917</v>
      </c>
      <c r="F164" s="1127">
        <f t="shared" ca="1" si="40"/>
        <v>4687</v>
      </c>
      <c r="G164" s="1128">
        <f ca="1">IF(F164&lt;&gt;"",COUNTIF($F$11:F164,"&gt;0"),"")</f>
        <v>154</v>
      </c>
      <c r="H164" s="1129">
        <v>1.4624710398279348E-2</v>
      </c>
      <c r="I164" s="1073"/>
      <c r="J164" s="1130">
        <f t="shared" ca="1" si="41"/>
        <v>870082940.45548892</v>
      </c>
      <c r="K164" s="1131">
        <f t="shared" ca="1" si="42"/>
        <v>12724711.026644859</v>
      </c>
      <c r="L164" s="1130">
        <f t="shared" ca="1" si="43"/>
        <v>5936676.430086636</v>
      </c>
      <c r="M164" s="1130">
        <f t="shared" ca="1" si="44"/>
        <v>0</v>
      </c>
      <c r="N164" s="1130">
        <f t="shared" ca="1" si="53"/>
        <v>851421552.99875748</v>
      </c>
      <c r="O164" s="1073"/>
      <c r="P164" s="1130">
        <f t="shared" ca="1" si="45"/>
        <v>18661387.456731439</v>
      </c>
      <c r="Q164" s="1130">
        <f t="shared" ca="1" si="46"/>
        <v>808850475.34881961</v>
      </c>
      <c r="R164" s="1130">
        <f t="shared" ca="1" si="54"/>
        <v>826578793.43271446</v>
      </c>
      <c r="S164" s="1130">
        <f t="shared" ca="1" si="55"/>
        <v>17728318.083894849</v>
      </c>
      <c r="T164" s="1130">
        <f t="shared" ca="1" si="47"/>
        <v>808850475.34881961</v>
      </c>
      <c r="U164" s="1132">
        <f t="shared" ca="1" si="48"/>
        <v>7.0006334561345154E-2</v>
      </c>
      <c r="V164" s="1133">
        <f t="shared" ca="1" si="49"/>
        <v>5.0000000000000044E-2</v>
      </c>
      <c r="X164" s="1134">
        <f t="shared" ca="1" si="56"/>
        <v>43504147.022774518</v>
      </c>
      <c r="Y164" s="1134">
        <f t="shared" ca="1" si="50"/>
        <v>933069.37283658981</v>
      </c>
      <c r="Z164" s="1134">
        <f t="shared" ca="1" si="51"/>
        <v>42571077.649937928</v>
      </c>
      <c r="AA164" s="1132">
        <f t="shared" ca="1" si="52"/>
        <v>7.4903834405603512E-2</v>
      </c>
      <c r="AB164" s="1105"/>
    </row>
    <row r="165" spans="1:28">
      <c r="A165" s="1144">
        <f>'AMORT. PROFILE 0% CPR'!A165</f>
        <v>49702</v>
      </c>
      <c r="C165" s="1104"/>
      <c r="D165" s="1125">
        <f t="shared" ca="1" si="38"/>
        <v>50921</v>
      </c>
      <c r="E165" s="1126">
        <f t="shared" ca="1" si="39"/>
        <v>50948</v>
      </c>
      <c r="F165" s="1127">
        <f t="shared" ca="1" si="40"/>
        <v>4718</v>
      </c>
      <c r="G165" s="1128">
        <f ca="1">IF(F165&lt;&gt;"",COUNTIF($F$11:F165,"&gt;0"),"")</f>
        <v>155</v>
      </c>
      <c r="H165" s="1129">
        <v>1.4725494240915864E-2</v>
      </c>
      <c r="I165" s="1073"/>
      <c r="J165" s="1130">
        <f t="shared" ca="1" si="41"/>
        <v>851421552.99875748</v>
      </c>
      <c r="K165" s="1131">
        <f t="shared" ca="1" si="42"/>
        <v>12537603.175274845</v>
      </c>
      <c r="L165" s="1130">
        <f t="shared" ca="1" si="43"/>
        <v>5808753.4493169244</v>
      </c>
      <c r="M165" s="1130">
        <f t="shared" ca="1" si="44"/>
        <v>0</v>
      </c>
      <c r="N165" s="1130">
        <f t="shared" ca="1" si="53"/>
        <v>833075196.37416565</v>
      </c>
      <c r="O165" s="1073"/>
      <c r="P165" s="1130">
        <f t="shared" ca="1" si="45"/>
        <v>18346356.624591947</v>
      </c>
      <c r="Q165" s="1130">
        <f t="shared" ca="1" si="46"/>
        <v>791421436.55545735</v>
      </c>
      <c r="R165" s="1130">
        <f t="shared" ca="1" si="54"/>
        <v>808850475.34881961</v>
      </c>
      <c r="S165" s="1130">
        <f t="shared" ca="1" si="55"/>
        <v>17429038.79336226</v>
      </c>
      <c r="T165" s="1130">
        <f t="shared" ca="1" si="47"/>
        <v>791421436.55545735</v>
      </c>
      <c r="U165" s="1132">
        <f t="shared" ca="1" si="48"/>
        <v>6.8504850883259333E-2</v>
      </c>
      <c r="V165" s="1133">
        <f t="shared" ca="1" si="49"/>
        <v>5.0000000000000044E-2</v>
      </c>
      <c r="X165" s="1134">
        <f t="shared" ca="1" si="56"/>
        <v>42571077.649937928</v>
      </c>
      <c r="Y165" s="1134">
        <f t="shared" ca="1" si="50"/>
        <v>917317.83122968674</v>
      </c>
      <c r="Z165" s="1134">
        <f t="shared" ca="1" si="51"/>
        <v>41653759.818708241</v>
      </c>
      <c r="AA165" s="1132">
        <f t="shared" ca="1" si="52"/>
        <v>7.3297310003336655E-2</v>
      </c>
      <c r="AB165" s="1105"/>
    </row>
    <row r="166" spans="1:28">
      <c r="A166" s="1144">
        <f>'AMORT. PROFILE 0% CPR'!A166</f>
        <v>49732</v>
      </c>
      <c r="C166" s="1104"/>
      <c r="D166" s="1125">
        <f t="shared" ca="1" si="38"/>
        <v>50951</v>
      </c>
      <c r="E166" s="1126">
        <f t="shared" ca="1" si="39"/>
        <v>50978</v>
      </c>
      <c r="F166" s="1127">
        <f t="shared" ca="1" si="40"/>
        <v>4748</v>
      </c>
      <c r="G166" s="1128">
        <f ca="1">IF(F166&lt;&gt;"",COUNTIF($F$11:F166,"&gt;0"),"")</f>
        <v>156</v>
      </c>
      <c r="H166" s="1129">
        <v>1.4840873232337378E-2</v>
      </c>
      <c r="I166" s="1073"/>
      <c r="J166" s="1130">
        <f t="shared" ca="1" si="41"/>
        <v>833075196.37416565</v>
      </c>
      <c r="K166" s="1131">
        <f t="shared" ca="1" si="42"/>
        <v>12363563.382393559</v>
      </c>
      <c r="L166" s="1130">
        <f t="shared" ca="1" si="43"/>
        <v>5682921.3743314752</v>
      </c>
      <c r="M166" s="1130">
        <f t="shared" ca="1" si="44"/>
        <v>815028711.61744058</v>
      </c>
      <c r="N166" s="1130">
        <f t="shared" ca="1" si="53"/>
        <v>0</v>
      </c>
      <c r="O166" s="1073"/>
      <c r="P166" s="1130">
        <f t="shared" ca="1" si="45"/>
        <v>833075196.37416553</v>
      </c>
      <c r="Q166" s="1130">
        <f t="shared" ca="1" si="46"/>
        <v>0</v>
      </c>
      <c r="R166" s="1130">
        <f t="shared" ca="1" si="54"/>
        <v>791421436.55545735</v>
      </c>
      <c r="S166" s="1130">
        <f t="shared" ca="1" si="55"/>
        <v>791421436.55545735</v>
      </c>
      <c r="T166" s="1130">
        <f t="shared" ca="1" si="47"/>
        <v>0</v>
      </c>
      <c r="U166" s="1132">
        <f t="shared" ca="1" si="48"/>
        <v>6.7028714390834188E-2</v>
      </c>
      <c r="V166" s="1133" t="str">
        <f t="shared" ca="1" si="49"/>
        <v>n.a.</v>
      </c>
      <c r="X166" s="1134">
        <f t="shared" ca="1" si="56"/>
        <v>41653759.818708241</v>
      </c>
      <c r="Y166" s="1134">
        <f t="shared" ca="1" si="50"/>
        <v>41653759.818708181</v>
      </c>
      <c r="Z166" s="1134">
        <f t="shared" ca="1" si="51"/>
        <v>5.9604644775390625E-8</v>
      </c>
      <c r="AA166" s="1132">
        <f t="shared" ca="1" si="52"/>
        <v>7.171790602394669E-2</v>
      </c>
      <c r="AB166" s="1105"/>
    </row>
    <row r="167" spans="1:28">
      <c r="A167" s="1144">
        <f>'AMORT. PROFILE 0% CPR'!A167</f>
        <v>49761</v>
      </c>
      <c r="C167" s="1104"/>
      <c r="D167" s="1125">
        <f t="shared" ca="1" si="38"/>
        <v>50982</v>
      </c>
      <c r="E167" s="1126">
        <f t="shared" ca="1" si="39"/>
        <v>51011</v>
      </c>
      <c r="F167" s="1127">
        <f t="shared" ca="1" si="40"/>
        <v>4781</v>
      </c>
      <c r="G167" s="1128">
        <f ca="1">IF(F167&lt;&gt;"",COUNTIF($F$11:F167,"&gt;0"),"")</f>
        <v>157</v>
      </c>
      <c r="H167" s="1129">
        <v>1.4954538629712818E-2</v>
      </c>
      <c r="I167" s="1073"/>
      <c r="J167" s="1130">
        <f t="shared" ca="1" si="41"/>
        <v>0</v>
      </c>
      <c r="K167" s="1131">
        <f t="shared" ca="1" si="42"/>
        <v>0</v>
      </c>
      <c r="L167" s="1130">
        <f t="shared" ca="1" si="43"/>
        <v>0</v>
      </c>
      <c r="M167" s="1130">
        <f t="shared" ca="1" si="44"/>
        <v>0</v>
      </c>
      <c r="N167" s="1130">
        <f t="shared" ca="1" si="53"/>
        <v>0</v>
      </c>
      <c r="O167" s="1073"/>
      <c r="P167" s="1130">
        <f t="shared" ca="1" si="45"/>
        <v>5.9604644775390625E-8</v>
      </c>
      <c r="Q167" s="1130">
        <f t="shared" ca="1" si="46"/>
        <v>0</v>
      </c>
      <c r="R167" s="1130">
        <f t="shared" ca="1" si="54"/>
        <v>0</v>
      </c>
      <c r="S167" s="1130">
        <f t="shared" ca="1" si="55"/>
        <v>0</v>
      </c>
      <c r="T167" s="1130">
        <f t="shared" ca="1" si="47"/>
        <v>0</v>
      </c>
      <c r="U167" s="1132">
        <f t="shared" ca="1" si="48"/>
        <v>0</v>
      </c>
      <c r="V167" s="1133" t="str">
        <f t="shared" ca="1" si="49"/>
        <v>n.a.</v>
      </c>
      <c r="X167" s="1134">
        <f t="shared" ca="1" si="56"/>
        <v>5.9604644775390625E-8</v>
      </c>
      <c r="Y167" s="1134">
        <f t="shared" ca="1" si="50"/>
        <v>5.9604644775390625E-8</v>
      </c>
      <c r="Z167" s="1134">
        <f t="shared" ca="1" si="51"/>
        <v>0</v>
      </c>
      <c r="AA167" s="1132">
        <f t="shared" ca="1" si="52"/>
        <v>1.0262507709261472E-16</v>
      </c>
      <c r="AB167" s="1105"/>
    </row>
    <row r="168" spans="1:28">
      <c r="A168" s="1144">
        <f>'AMORT. PROFILE 0% CPR'!A168</f>
        <v>49793</v>
      </c>
      <c r="C168" s="1104"/>
      <c r="D168" s="1125">
        <f t="shared" ca="1" si="38"/>
        <v>51013</v>
      </c>
      <c r="E168" s="1126">
        <f t="shared" ca="1" si="39"/>
        <v>51040</v>
      </c>
      <c r="F168" s="1127">
        <f t="shared" ca="1" si="40"/>
        <v>4810</v>
      </c>
      <c r="G168" s="1128">
        <f ca="1">IF(F168&lt;&gt;"",COUNTIF($F$11:F168,"&gt;0"),"")</f>
        <v>158</v>
      </c>
      <c r="H168" s="1129">
        <v>1.504881792198098E-2</v>
      </c>
      <c r="I168" s="1073"/>
      <c r="J168" s="1130">
        <f t="shared" ca="1" si="41"/>
        <v>0</v>
      </c>
      <c r="K168" s="1131">
        <f t="shared" ca="1" si="42"/>
        <v>0</v>
      </c>
      <c r="L168" s="1130">
        <f t="shared" ca="1" si="43"/>
        <v>0</v>
      </c>
      <c r="M168" s="1130">
        <f t="shared" ca="1" si="44"/>
        <v>0</v>
      </c>
      <c r="N168" s="1130">
        <f t="shared" ca="1" si="53"/>
        <v>0</v>
      </c>
      <c r="O168" s="1073"/>
      <c r="P168" s="1130">
        <f t="shared" ca="1" si="45"/>
        <v>0</v>
      </c>
      <c r="Q168" s="1130">
        <f t="shared" ca="1" si="46"/>
        <v>0</v>
      </c>
      <c r="R168" s="1130">
        <f t="shared" ca="1" si="54"/>
        <v>0</v>
      </c>
      <c r="S168" s="1130">
        <f t="shared" ca="1" si="55"/>
        <v>0</v>
      </c>
      <c r="T168" s="1130">
        <f t="shared" ca="1" si="47"/>
        <v>0</v>
      </c>
      <c r="U168" s="1132">
        <f t="shared" ca="1" si="48"/>
        <v>0</v>
      </c>
      <c r="V168" s="1133" t="str">
        <f t="shared" ca="1" si="49"/>
        <v>n.a.</v>
      </c>
      <c r="X168" s="1134">
        <f t="shared" ca="1" si="56"/>
        <v>0</v>
      </c>
      <c r="Y168" s="1134">
        <f t="shared" ca="1" si="50"/>
        <v>0</v>
      </c>
      <c r="Z168" s="1134">
        <f t="shared" ca="1" si="51"/>
        <v>0</v>
      </c>
      <c r="AA168" s="1132">
        <f t="shared" ca="1" si="52"/>
        <v>0</v>
      </c>
      <c r="AB168" s="1105"/>
    </row>
    <row r="169" spans="1:28">
      <c r="A169" s="1144">
        <f>'AMORT. PROFILE 0% CPR'!A169</f>
        <v>49822</v>
      </c>
      <c r="C169" s="1104"/>
      <c r="D169" s="1125">
        <f t="shared" ca="1" si="38"/>
        <v>51043</v>
      </c>
      <c r="E169" s="1126">
        <f t="shared" ca="1" si="39"/>
        <v>51070</v>
      </c>
      <c r="F169" s="1127">
        <f t="shared" ca="1" si="40"/>
        <v>4840</v>
      </c>
      <c r="G169" s="1128">
        <f ca="1">IF(F169&lt;&gt;"",COUNTIF($F$11:F169,"&gt;0"),"")</f>
        <v>159</v>
      </c>
      <c r="H169" s="1129">
        <v>1.5140884402968137E-2</v>
      </c>
      <c r="I169" s="1073"/>
      <c r="J169" s="1130">
        <f t="shared" ca="1" si="41"/>
        <v>0</v>
      </c>
      <c r="K169" s="1131">
        <f t="shared" ca="1" si="42"/>
        <v>0</v>
      </c>
      <c r="L169" s="1130">
        <f t="shared" ca="1" si="43"/>
        <v>0</v>
      </c>
      <c r="M169" s="1130">
        <f t="shared" ca="1" si="44"/>
        <v>0</v>
      </c>
      <c r="N169" s="1130">
        <f t="shared" ca="1" si="53"/>
        <v>0</v>
      </c>
      <c r="O169" s="1073"/>
      <c r="P169" s="1130">
        <f t="shared" ca="1" si="45"/>
        <v>0</v>
      </c>
      <c r="Q169" s="1130">
        <f t="shared" ca="1" si="46"/>
        <v>0</v>
      </c>
      <c r="R169" s="1130">
        <f t="shared" ca="1" si="54"/>
        <v>0</v>
      </c>
      <c r="S169" s="1130">
        <f t="shared" ca="1" si="55"/>
        <v>0</v>
      </c>
      <c r="T169" s="1130">
        <f t="shared" ca="1" si="47"/>
        <v>0</v>
      </c>
      <c r="U169" s="1132">
        <f t="shared" ca="1" si="48"/>
        <v>0</v>
      </c>
      <c r="V169" s="1133" t="str">
        <f t="shared" ca="1" si="49"/>
        <v>n.a.</v>
      </c>
      <c r="X169" s="1134">
        <f t="shared" ca="1" si="56"/>
        <v>0</v>
      </c>
      <c r="Y169" s="1134">
        <f t="shared" ca="1" si="50"/>
        <v>0</v>
      </c>
      <c r="Z169" s="1134">
        <f t="shared" ca="1" si="51"/>
        <v>0</v>
      </c>
      <c r="AA169" s="1132">
        <f t="shared" ca="1" si="52"/>
        <v>0</v>
      </c>
      <c r="AB169" s="1105"/>
    </row>
    <row r="170" spans="1:28">
      <c r="A170" s="1144">
        <f>'AMORT. PROFILE 0% CPR'!A170</f>
        <v>49853</v>
      </c>
      <c r="C170" s="1104"/>
      <c r="D170" s="1125">
        <f t="shared" ca="1" si="38"/>
        <v>51074</v>
      </c>
      <c r="E170" s="1126">
        <f t="shared" ca="1" si="39"/>
        <v>51102</v>
      </c>
      <c r="F170" s="1127">
        <f t="shared" ca="1" si="40"/>
        <v>4872</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51104</v>
      </c>
      <c r="E171" s="1126">
        <f t="shared" ca="1" si="39"/>
        <v>51131</v>
      </c>
      <c r="F171" s="1127">
        <f t="shared" ca="1" si="40"/>
        <v>4901</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51135</v>
      </c>
      <c r="E172" s="1126">
        <f t="shared" ca="1" si="39"/>
        <v>51162</v>
      </c>
      <c r="F172" s="1127">
        <f t="shared" ca="1" si="40"/>
        <v>4932</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51166</v>
      </c>
      <c r="E173" s="1126">
        <f t="shared" ca="1" si="39"/>
        <v>51193</v>
      </c>
      <c r="F173" s="1127">
        <f t="shared" ca="1" si="40"/>
        <v>4963</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51195</v>
      </c>
      <c r="E174" s="1126">
        <f t="shared" ca="1" si="39"/>
        <v>51222</v>
      </c>
      <c r="F174" s="1127">
        <f t="shared" ca="1" si="40"/>
        <v>4992</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51226</v>
      </c>
      <c r="E175" s="1126">
        <f t="shared" ca="1" si="39"/>
        <v>51253</v>
      </c>
      <c r="F175" s="1127">
        <f t="shared" ca="1" si="40"/>
        <v>5023</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51256</v>
      </c>
      <c r="E176" s="1126">
        <f t="shared" ca="1" si="39"/>
        <v>51284</v>
      </c>
      <c r="F176" s="1127">
        <f t="shared" ca="1" si="40"/>
        <v>5054</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51287</v>
      </c>
      <c r="E177" s="1126">
        <f t="shared" ca="1" si="39"/>
        <v>51314</v>
      </c>
      <c r="F177" s="1127">
        <f t="shared" ca="1" si="40"/>
        <v>5084</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51317</v>
      </c>
      <c r="E178" s="1126">
        <f t="shared" ca="1" si="39"/>
        <v>51344</v>
      </c>
      <c r="F178" s="1127">
        <f t="shared" ca="1" si="40"/>
        <v>5114</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51348</v>
      </c>
      <c r="E179" s="1126">
        <f t="shared" ca="1" si="39"/>
        <v>51375</v>
      </c>
      <c r="F179" s="1127">
        <f t="shared" ca="1" si="40"/>
        <v>5145</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51379</v>
      </c>
      <c r="E180" s="1126">
        <f t="shared" ca="1" si="39"/>
        <v>51406</v>
      </c>
      <c r="F180" s="1127">
        <f t="shared" ca="1" si="40"/>
        <v>5176</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51409</v>
      </c>
      <c r="E181" s="1126">
        <f t="shared" ca="1" si="39"/>
        <v>51438</v>
      </c>
      <c r="F181" s="1127">
        <f t="shared" ca="1" si="40"/>
        <v>5208</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51440</v>
      </c>
      <c r="E182" s="1126">
        <f t="shared" ca="1" si="39"/>
        <v>51467</v>
      </c>
      <c r="F182" s="1127">
        <f t="shared" ca="1" si="40"/>
        <v>5237</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51470</v>
      </c>
      <c r="E183" s="1126">
        <f t="shared" ca="1" si="39"/>
        <v>51497</v>
      </c>
      <c r="F183" s="1127">
        <f t="shared" ca="1" si="40"/>
        <v>5267</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51501</v>
      </c>
      <c r="E184" s="1126">
        <f t="shared" ca="1" si="39"/>
        <v>51529</v>
      </c>
      <c r="F184" s="1127">
        <f t="shared" ca="1" si="40"/>
        <v>5299</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51532</v>
      </c>
      <c r="E185" s="1126">
        <f t="shared" ca="1" si="39"/>
        <v>51559</v>
      </c>
      <c r="F185" s="1127">
        <f t="shared" ca="1" si="40"/>
        <v>5329</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51560</v>
      </c>
      <c r="E186" s="1126">
        <f t="shared" ca="1" si="39"/>
        <v>51587</v>
      </c>
      <c r="F186" s="1127">
        <f t="shared" ca="1" si="40"/>
        <v>5357</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51591</v>
      </c>
      <c r="E187" s="1126">
        <f t="shared" ca="1" si="39"/>
        <v>51620</v>
      </c>
      <c r="F187" s="1127">
        <f t="shared" ca="1" si="40"/>
        <v>5390</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51621</v>
      </c>
      <c r="E188" s="1126">
        <f t="shared" ca="1" si="39"/>
        <v>51648</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51652</v>
      </c>
      <c r="E189" s="1126">
        <f t="shared" ca="1" si="39"/>
        <v>51679</v>
      </c>
      <c r="F189" s="1127">
        <f t="shared" ca="1" si="40"/>
        <v>5449</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51682</v>
      </c>
      <c r="E190" s="1126">
        <f t="shared" ca="1" si="39"/>
        <v>51711</v>
      </c>
      <c r="F190" s="1127">
        <f t="shared" ca="1" si="40"/>
        <v>5481</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51713</v>
      </c>
      <c r="E191" s="1126">
        <f t="shared" ca="1" si="39"/>
        <v>51740</v>
      </c>
      <c r="F191" s="1127">
        <f t="shared" ca="1" si="40"/>
        <v>5510</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51744</v>
      </c>
      <c r="E192" s="1126">
        <f t="shared" ca="1" si="39"/>
        <v>51771</v>
      </c>
      <c r="F192" s="1127">
        <f t="shared" ca="1" si="40"/>
        <v>5541</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51774</v>
      </c>
      <c r="E193" s="1126">
        <f t="shared" ca="1" si="39"/>
        <v>51802</v>
      </c>
      <c r="F193" s="1127">
        <f t="shared" ca="1" si="40"/>
        <v>5572</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51805</v>
      </c>
      <c r="E194" s="1126">
        <f t="shared" ca="1" si="39"/>
        <v>51832</v>
      </c>
      <c r="F194" s="1127">
        <f t="shared" ca="1" si="40"/>
        <v>5602</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51835</v>
      </c>
      <c r="E195" s="1126">
        <f t="shared" ca="1" si="39"/>
        <v>51862</v>
      </c>
      <c r="F195" s="1127">
        <f t="shared" ca="1" si="40"/>
        <v>5632</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51866</v>
      </c>
      <c r="E196" s="1126">
        <f t="shared" ca="1" si="39"/>
        <v>51893</v>
      </c>
      <c r="F196" s="1127">
        <f t="shared" ca="1" si="40"/>
        <v>5663</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51897</v>
      </c>
      <c r="E197" s="1126">
        <f t="shared" ca="1" si="39"/>
        <v>51924</v>
      </c>
      <c r="F197" s="1127">
        <f t="shared" ca="1" si="40"/>
        <v>5694</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51925</v>
      </c>
      <c r="E198" s="1126">
        <f t="shared" ca="1" si="39"/>
        <v>51952</v>
      </c>
      <c r="F198" s="1127">
        <f t="shared" ca="1" si="40"/>
        <v>5722</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51956</v>
      </c>
      <c r="E199" s="1126">
        <f t="shared" ca="1" si="39"/>
        <v>51984</v>
      </c>
      <c r="F199" s="1127">
        <f t="shared" ca="1" si="40"/>
        <v>5754</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51986</v>
      </c>
      <c r="E200" s="1126">
        <f t="shared" ca="1" si="39"/>
        <v>52013</v>
      </c>
      <c r="F200" s="1127">
        <f t="shared" ca="1" si="40"/>
        <v>5783</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52017</v>
      </c>
      <c r="E201" s="1126">
        <f t="shared" ca="1" si="39"/>
        <v>52044</v>
      </c>
      <c r="F201" s="1127">
        <f t="shared" ca="1" si="40"/>
        <v>5814</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52047</v>
      </c>
      <c r="E202" s="1126">
        <f t="shared" ca="1" si="39"/>
        <v>52075</v>
      </c>
      <c r="F202" s="1127">
        <f t="shared" ca="1" si="40"/>
        <v>5845</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52078</v>
      </c>
      <c r="E203" s="1126">
        <f t="shared" ca="1" si="39"/>
        <v>52105</v>
      </c>
      <c r="F203" s="1127">
        <f t="shared" ca="1" si="40"/>
        <v>5875</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52109</v>
      </c>
      <c r="E204" s="1126">
        <f t="shared" ref="E204:E267" ca="1" si="58">IF(INDIRECT("A"&amp;(IFERROR(MATCH(E203,A:A),999)+1))&gt;0,INDIRECT("A"&amp;(IFERROR(MATCH(E203,A:A),999)+1)),"")</f>
        <v>52138</v>
      </c>
      <c r="F204" s="1127">
        <f t="shared" ref="F204:F267" ca="1" si="59">IF(E204&lt;&gt;"",E204-$A$31,"")</f>
        <v>5908</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52139</v>
      </c>
      <c r="E205" s="1126">
        <f t="shared" ca="1" si="58"/>
        <v>52166</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52170</v>
      </c>
      <c r="E206" s="1126">
        <f t="shared" ca="1" si="58"/>
        <v>52197</v>
      </c>
      <c r="F206" s="1127">
        <f t="shared" ca="1" si="59"/>
        <v>5967</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52200</v>
      </c>
      <c r="E207" s="1126">
        <f t="shared" ca="1" si="58"/>
        <v>52229</v>
      </c>
      <c r="F207" s="1127">
        <f t="shared" ca="1" si="59"/>
        <v>5999</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52231</v>
      </c>
      <c r="E208" s="1126">
        <f t="shared" ca="1" si="58"/>
        <v>52258</v>
      </c>
      <c r="F208" s="1127">
        <f t="shared" ca="1" si="59"/>
        <v>6028</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52262</v>
      </c>
      <c r="E209" s="1126">
        <f t="shared" ca="1" si="58"/>
        <v>52289</v>
      </c>
      <c r="F209" s="1127">
        <f t="shared" ca="1" si="59"/>
        <v>6059</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52290</v>
      </c>
      <c r="E210" s="1126">
        <f t="shared" ca="1" si="58"/>
        <v>52317</v>
      </c>
      <c r="F210" s="1127">
        <f t="shared" ca="1" si="59"/>
        <v>6087</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52321</v>
      </c>
      <c r="E211" s="1126">
        <f t="shared" ca="1" si="58"/>
        <v>52348</v>
      </c>
      <c r="F211" s="1127">
        <f t="shared" ca="1" si="59"/>
        <v>6118</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52351</v>
      </c>
      <c r="E212" s="1126">
        <f t="shared" ca="1" si="58"/>
        <v>52378</v>
      </c>
      <c r="F212" s="1127">
        <f t="shared" ca="1" si="59"/>
        <v>6148</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52382</v>
      </c>
      <c r="E213" s="1126">
        <f t="shared" ca="1" si="58"/>
        <v>52411</v>
      </c>
      <c r="F213" s="1127">
        <f t="shared" ca="1" si="59"/>
        <v>6181</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52412</v>
      </c>
      <c r="E214" s="1126">
        <f t="shared" ca="1" si="58"/>
        <v>52439</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52443</v>
      </c>
      <c r="E215" s="1126">
        <f t="shared" ca="1" si="58"/>
        <v>52470</v>
      </c>
      <c r="F215" s="1127">
        <f t="shared" ca="1" si="59"/>
        <v>6240</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52474</v>
      </c>
      <c r="E216" s="1126">
        <f t="shared" ca="1" si="58"/>
        <v>52502</v>
      </c>
      <c r="F216" s="1127">
        <f t="shared" ca="1" si="59"/>
        <v>6272</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52504</v>
      </c>
      <c r="E217" s="1126">
        <f t="shared" ca="1" si="58"/>
        <v>52531</v>
      </c>
      <c r="F217" s="1127">
        <f t="shared" ca="1" si="59"/>
        <v>6301</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52535</v>
      </c>
      <c r="E218" s="1126">
        <f t="shared" ca="1" si="58"/>
        <v>52562</v>
      </c>
      <c r="F218" s="1127">
        <f t="shared" ca="1" si="59"/>
        <v>6332</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52565</v>
      </c>
      <c r="E219" s="1126">
        <f t="shared" ca="1" si="58"/>
        <v>52593</v>
      </c>
      <c r="F219" s="1127">
        <f t="shared" ca="1" si="59"/>
        <v>6363</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52596</v>
      </c>
      <c r="E220" s="1126">
        <f t="shared" ca="1" si="58"/>
        <v>52623</v>
      </c>
      <c r="F220" s="1127">
        <f t="shared" ca="1" si="59"/>
        <v>6393</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52627</v>
      </c>
      <c r="E221" s="1126">
        <f t="shared" ca="1" si="58"/>
        <v>52656</v>
      </c>
      <c r="F221" s="1127">
        <f t="shared" ca="1" si="59"/>
        <v>6426</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52656</v>
      </c>
      <c r="E222" s="1126">
        <f t="shared" ca="1" si="58"/>
        <v>52684</v>
      </c>
      <c r="F222" s="1127">
        <f t="shared" ca="1" si="59"/>
        <v>6454</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52687</v>
      </c>
      <c r="E223" s="1126">
        <f t="shared" ca="1" si="58"/>
        <v>52714</v>
      </c>
      <c r="F223" s="1127">
        <f t="shared" ca="1" si="59"/>
        <v>6484</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52717</v>
      </c>
      <c r="E224" s="1126">
        <f t="shared" ca="1" si="58"/>
        <v>52744</v>
      </c>
      <c r="F224" s="1127">
        <f t="shared" ca="1" si="59"/>
        <v>6514</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52748</v>
      </c>
      <c r="E225" s="1126">
        <f t="shared" ca="1" si="58"/>
        <v>52775</v>
      </c>
      <c r="F225" s="1127">
        <f t="shared" ca="1" si="59"/>
        <v>6545</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52778</v>
      </c>
      <c r="E226" s="1126">
        <f t="shared" ca="1" si="58"/>
        <v>52805</v>
      </c>
      <c r="F226" s="1127">
        <f t="shared" ca="1" si="59"/>
        <v>6575</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52809</v>
      </c>
      <c r="E227" s="1126">
        <f t="shared" ca="1" si="58"/>
        <v>52838</v>
      </c>
      <c r="F227" s="1127">
        <f t="shared" ca="1" si="59"/>
        <v>6608</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52840</v>
      </c>
      <c r="E228" s="1126">
        <f t="shared" ca="1" si="58"/>
        <v>52867</v>
      </c>
      <c r="F228" s="1127">
        <f t="shared" ca="1" si="59"/>
        <v>6637</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52870</v>
      </c>
      <c r="E229" s="1126">
        <f t="shared" ca="1" si="58"/>
        <v>52897</v>
      </c>
      <c r="F229" s="1127">
        <f t="shared" ca="1" si="59"/>
        <v>6667</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52901</v>
      </c>
      <c r="E230" s="1126">
        <f t="shared" ca="1" si="58"/>
        <v>52929</v>
      </c>
      <c r="F230" s="1127">
        <f t="shared" ca="1" si="59"/>
        <v>6699</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52931</v>
      </c>
      <c r="E231" s="1126">
        <f t="shared" ca="1" si="58"/>
        <v>52958</v>
      </c>
      <c r="F231" s="1127">
        <f t="shared" ca="1" si="59"/>
        <v>6728</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52962</v>
      </c>
      <c r="E232" s="1126">
        <f t="shared" ca="1" si="58"/>
        <v>52989</v>
      </c>
      <c r="F232" s="1127">
        <f t="shared" ca="1" si="59"/>
        <v>6759</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52993</v>
      </c>
      <c r="E233" s="1126">
        <f t="shared" ca="1" si="58"/>
        <v>53020</v>
      </c>
      <c r="F233" s="1127">
        <f t="shared" ca="1" si="59"/>
        <v>6790</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53021</v>
      </c>
      <c r="E234" s="1126">
        <f t="shared" ca="1" si="58"/>
        <v>53048</v>
      </c>
      <c r="F234" s="1127">
        <f t="shared" ca="1" si="59"/>
        <v>6818</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53052</v>
      </c>
      <c r="E235" s="1126">
        <f t="shared" ca="1" si="58"/>
        <v>53079</v>
      </c>
      <c r="F235" s="1127">
        <f t="shared" ca="1" si="59"/>
        <v>6849</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53082</v>
      </c>
      <c r="E236" s="1126">
        <f t="shared" ca="1" si="58"/>
        <v>53111</v>
      </c>
      <c r="F236" s="1127">
        <f t="shared" ca="1" si="59"/>
        <v>6881</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53113</v>
      </c>
      <c r="E237" s="1126">
        <f t="shared" ca="1" si="58"/>
        <v>53140</v>
      </c>
      <c r="F237" s="1127">
        <f t="shared" ca="1" si="59"/>
        <v>6910</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53143</v>
      </c>
      <c r="E238" s="1126">
        <f t="shared" ca="1" si="58"/>
        <v>53170</v>
      </c>
      <c r="F238" s="1127">
        <f t="shared" ca="1" si="59"/>
        <v>6940</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53174</v>
      </c>
      <c r="E239" s="1126">
        <f t="shared" ca="1" si="58"/>
        <v>53202</v>
      </c>
      <c r="F239" s="1127">
        <f t="shared" ca="1" si="59"/>
        <v>6972</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53205</v>
      </c>
      <c r="E240" s="1126">
        <f t="shared" ca="1" si="58"/>
        <v>53232</v>
      </c>
      <c r="F240" s="1127">
        <f t="shared" ca="1" si="59"/>
        <v>7002</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53235</v>
      </c>
      <c r="E241" s="1126">
        <f t="shared" ca="1" si="58"/>
        <v>53262</v>
      </c>
      <c r="F241" s="1127">
        <f t="shared" ca="1" si="59"/>
        <v>7032</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53266</v>
      </c>
      <c r="E242" s="1126">
        <f t="shared" ca="1" si="58"/>
        <v>53293</v>
      </c>
      <c r="F242" s="1127">
        <f t="shared" ca="1" si="59"/>
        <v>7063</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53296</v>
      </c>
      <c r="E243" s="1126">
        <f t="shared" ca="1" si="58"/>
        <v>53323</v>
      </c>
      <c r="F243" s="1127">
        <f t="shared" ca="1" si="59"/>
        <v>7093</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53327</v>
      </c>
      <c r="E244" s="1126">
        <f t="shared" ca="1" si="58"/>
        <v>53356</v>
      </c>
      <c r="F244" s="1127">
        <f t="shared" ca="1" si="59"/>
        <v>7126</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53358</v>
      </c>
      <c r="E245" s="1126">
        <f t="shared" ca="1" si="58"/>
        <v>53385</v>
      </c>
      <c r="F245" s="1127">
        <f t="shared" ca="1" si="59"/>
        <v>7155</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53386</v>
      </c>
      <c r="E246" s="1126">
        <f t="shared" ca="1" si="58"/>
        <v>53413</v>
      </c>
      <c r="F246" s="1127">
        <f t="shared" ca="1" si="59"/>
        <v>7183</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53417</v>
      </c>
      <c r="E247" s="1126">
        <f t="shared" ca="1" si="58"/>
        <v>53444</v>
      </c>
      <c r="F247" s="1127">
        <f t="shared" ca="1" si="59"/>
        <v>7214</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53447</v>
      </c>
      <c r="E248" s="1126">
        <f t="shared" ca="1" si="58"/>
        <v>53475</v>
      </c>
      <c r="F248" s="1127">
        <f t="shared" ca="1" si="59"/>
        <v>7245</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53478</v>
      </c>
      <c r="E249" s="1126">
        <f t="shared" ca="1" si="58"/>
        <v>53505</v>
      </c>
      <c r="F249" s="1127">
        <f t="shared" ca="1" si="59"/>
        <v>7275</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53508</v>
      </c>
      <c r="E250" s="1126">
        <f t="shared" ca="1" si="58"/>
        <v>53535</v>
      </c>
      <c r="F250" s="1127">
        <f t="shared" ca="1" si="59"/>
        <v>7305</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53539</v>
      </c>
      <c r="E251" s="1126">
        <f t="shared" ca="1" si="58"/>
        <v>53566</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53570</v>
      </c>
      <c r="E252" s="1126">
        <f t="shared" ca="1" si="58"/>
        <v>53597</v>
      </c>
      <c r="F252" s="1127">
        <f t="shared" ca="1" si="59"/>
        <v>7367</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53600</v>
      </c>
      <c r="E253" s="1126">
        <f t="shared" ca="1" si="58"/>
        <v>53629</v>
      </c>
      <c r="F253" s="1127">
        <f t="shared" ca="1" si="59"/>
        <v>7399</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53631</v>
      </c>
      <c r="E254" s="1126">
        <f t="shared" ca="1" si="58"/>
        <v>53658</v>
      </c>
      <c r="F254" s="1127">
        <f t="shared" ca="1" si="59"/>
        <v>7428</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53661</v>
      </c>
      <c r="E255" s="1126">
        <f t="shared" ca="1" si="58"/>
        <v>53688</v>
      </c>
      <c r="F255" s="1127">
        <f t="shared" ca="1" si="59"/>
        <v>7458</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53692</v>
      </c>
      <c r="E256" s="1126">
        <f t="shared" ca="1" si="58"/>
        <v>53720</v>
      </c>
      <c r="F256" s="1127">
        <f t="shared" ca="1" si="59"/>
        <v>7490</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53723</v>
      </c>
      <c r="E257" s="1126">
        <f t="shared" ca="1" si="58"/>
        <v>53750</v>
      </c>
      <c r="F257" s="1127">
        <f t="shared" ca="1" si="59"/>
        <v>7520</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53751</v>
      </c>
      <c r="E258" s="1126">
        <f t="shared" ca="1" si="58"/>
        <v>53778</v>
      </c>
      <c r="F258" s="1127">
        <f t="shared" ca="1" si="59"/>
        <v>7548</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53782</v>
      </c>
      <c r="E259" s="1126">
        <f t="shared" ca="1" si="58"/>
        <v>53811</v>
      </c>
      <c r="F259" s="1127">
        <f t="shared" ca="1" si="59"/>
        <v>7581</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53812</v>
      </c>
      <c r="E260" s="1126">
        <f t="shared" ca="1" si="58"/>
        <v>53839</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53843</v>
      </c>
      <c r="E261" s="1126">
        <f t="shared" ca="1" si="58"/>
        <v>53870</v>
      </c>
      <c r="F261" s="1127">
        <f t="shared" ca="1" si="59"/>
        <v>7640</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53873</v>
      </c>
      <c r="E262" s="1126">
        <f t="shared" ca="1" si="58"/>
        <v>53902</v>
      </c>
      <c r="F262" s="1127">
        <f t="shared" ca="1" si="59"/>
        <v>7672</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53904</v>
      </c>
      <c r="E263" s="1126">
        <f t="shared" ca="1" si="58"/>
        <v>53931</v>
      </c>
      <c r="F263" s="1127">
        <f t="shared" ca="1" si="59"/>
        <v>7701</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53935</v>
      </c>
      <c r="E264" s="1126">
        <f t="shared" ca="1" si="58"/>
        <v>53962</v>
      </c>
      <c r="F264" s="1127">
        <f t="shared" ca="1" si="59"/>
        <v>7732</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53965</v>
      </c>
      <c r="E265" s="1126">
        <f t="shared" ca="1" si="58"/>
        <v>53993</v>
      </c>
      <c r="F265" s="1127">
        <f t="shared" ca="1" si="59"/>
        <v>7763</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53996</v>
      </c>
      <c r="E266" s="1126">
        <f t="shared" ca="1" si="58"/>
        <v>54023</v>
      </c>
      <c r="F266" s="1127">
        <f t="shared" ca="1" si="59"/>
        <v>7793</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54026</v>
      </c>
      <c r="E267" s="1126">
        <f t="shared" ca="1" si="58"/>
        <v>54053</v>
      </c>
      <c r="F267" s="1127">
        <f t="shared" ca="1" si="59"/>
        <v>7823</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54057</v>
      </c>
      <c r="E268" s="1126">
        <f t="shared" ref="E268:E331" ca="1" si="77">IF(INDIRECT("A"&amp;(IFERROR(MATCH(E267,A:A),999)+1))&gt;0,INDIRECT("A"&amp;(IFERROR(MATCH(E267,A:A),999)+1)),"")</f>
        <v>54084</v>
      </c>
      <c r="F268" s="1127">
        <f t="shared" ref="F268:F331" ca="1" si="78">IF(E268&lt;&gt;"",E268-$A$31,"")</f>
        <v>7854</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54088</v>
      </c>
      <c r="E269" s="1126">
        <f t="shared" ca="1" si="77"/>
        <v>54115</v>
      </c>
      <c r="F269" s="1127">
        <f t="shared" ca="1" si="78"/>
        <v>7885</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54117</v>
      </c>
      <c r="E270" s="1126">
        <f t="shared" ca="1" si="77"/>
        <v>54144</v>
      </c>
      <c r="F270" s="1127">
        <f t="shared" ca="1" si="78"/>
        <v>7914</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54148</v>
      </c>
      <c r="E271" s="1126">
        <f t="shared" ca="1" si="77"/>
        <v>54175</v>
      </c>
      <c r="F271" s="1127">
        <f t="shared" ca="1" si="78"/>
        <v>7945</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54178</v>
      </c>
      <c r="E272" s="1126">
        <f t="shared" ca="1" si="77"/>
        <v>54205</v>
      </c>
      <c r="F272" s="1127">
        <f t="shared" ca="1" si="78"/>
        <v>7975</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54209</v>
      </c>
      <c r="E273" s="1126">
        <f t="shared" ca="1" si="77"/>
        <v>54238</v>
      </c>
      <c r="F273" s="1127">
        <f t="shared" ca="1" si="78"/>
        <v>8008</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54239</v>
      </c>
      <c r="E274" s="1126">
        <f t="shared" ca="1" si="77"/>
        <v>54266</v>
      </c>
      <c r="F274" s="1127">
        <f t="shared" ca="1" si="78"/>
        <v>8036</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54270</v>
      </c>
      <c r="E275" s="1126">
        <f t="shared" ca="1" si="77"/>
        <v>54297</v>
      </c>
      <c r="F275" s="1127">
        <f t="shared" ca="1" si="78"/>
        <v>8067</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54301</v>
      </c>
      <c r="E276" s="1126">
        <f t="shared" ca="1" si="77"/>
        <v>54329</v>
      </c>
      <c r="F276" s="1127">
        <f t="shared" ca="1" si="78"/>
        <v>8099</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54331</v>
      </c>
      <c r="E277" s="1126">
        <f t="shared" ca="1" si="77"/>
        <v>54358</v>
      </c>
      <c r="F277" s="1127">
        <f t="shared" ca="1" si="78"/>
        <v>8128</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54362</v>
      </c>
      <c r="E278" s="1126">
        <f t="shared" ca="1" si="77"/>
        <v>54389</v>
      </c>
      <c r="F278" s="1127">
        <f t="shared" ca="1" si="78"/>
        <v>8159</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54392</v>
      </c>
      <c r="E279" s="1126">
        <f t="shared" ca="1" si="77"/>
        <v>54420</v>
      </c>
      <c r="F279" s="1127">
        <f t="shared" ca="1" si="78"/>
        <v>8190</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54423</v>
      </c>
      <c r="E280" s="1126">
        <f t="shared" ca="1" si="77"/>
        <v>54450</v>
      </c>
      <c r="F280" s="1127">
        <f t="shared" ca="1" si="78"/>
        <v>8220</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54454</v>
      </c>
      <c r="E281" s="1126">
        <f t="shared" ca="1" si="77"/>
        <v>54480</v>
      </c>
      <c r="F281" s="1127">
        <f t="shared" ca="1" si="78"/>
        <v>8250</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54482</v>
      </c>
      <c r="E282" s="1126">
        <f t="shared" ca="1" si="77"/>
        <v>54511</v>
      </c>
      <c r="F282" s="1127">
        <f t="shared" ca="1" si="78"/>
        <v>8281</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54513</v>
      </c>
      <c r="E283" s="1126">
        <f t="shared" ca="1" si="77"/>
        <v>54540</v>
      </c>
      <c r="F283" s="1127">
        <f t="shared" ca="1" si="78"/>
        <v>8310</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54543</v>
      </c>
      <c r="E284" s="1126">
        <f t="shared" ca="1" si="77"/>
        <v>54570</v>
      </c>
      <c r="F284" s="1127">
        <f t="shared" ca="1" si="78"/>
        <v>8340</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54574</v>
      </c>
      <c r="E285" s="1126">
        <f t="shared" ca="1" si="77"/>
        <v>54602</v>
      </c>
      <c r="F285" s="1127">
        <f t="shared" ca="1" si="78"/>
        <v>8372</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54604</v>
      </c>
      <c r="E286" s="1126">
        <f t="shared" ca="1" si="77"/>
        <v>54631</v>
      </c>
      <c r="F286" s="1127">
        <f t="shared" ca="1" si="78"/>
        <v>8401</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54635</v>
      </c>
      <c r="E287" s="1126">
        <f t="shared" ca="1" si="77"/>
        <v>54662</v>
      </c>
      <c r="F287" s="1127">
        <f t="shared" ca="1" si="78"/>
        <v>8432</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54666</v>
      </c>
      <c r="E288" s="1126">
        <f t="shared" ca="1" si="77"/>
        <v>54693</v>
      </c>
      <c r="F288" s="1127">
        <f t="shared" ca="1" si="78"/>
        <v>8463</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54696</v>
      </c>
      <c r="E289" s="1126">
        <f t="shared" ca="1" si="77"/>
        <v>54723</v>
      </c>
      <c r="F289" s="1127">
        <f t="shared" ca="1" si="78"/>
        <v>8493</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54727</v>
      </c>
      <c r="E290" s="1126">
        <f t="shared" ca="1" si="77"/>
        <v>54756</v>
      </c>
      <c r="F290" s="1127">
        <f t="shared" ca="1" si="78"/>
        <v>8526</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54757</v>
      </c>
      <c r="E291" s="1126">
        <f t="shared" ca="1" si="77"/>
        <v>54784</v>
      </c>
      <c r="F291" s="1127">
        <f t="shared" ca="1" si="78"/>
        <v>8554</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54788</v>
      </c>
      <c r="E292" s="1126">
        <f t="shared" ca="1" si="77"/>
        <v>54815</v>
      </c>
      <c r="F292" s="1127">
        <f t="shared" ca="1" si="78"/>
        <v>8585</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54819</v>
      </c>
      <c r="E293" s="1126">
        <f t="shared" ca="1" si="77"/>
        <v>54847</v>
      </c>
      <c r="F293" s="1127">
        <f t="shared" ca="1" si="78"/>
        <v>8617</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54847</v>
      </c>
      <c r="E294" s="1126">
        <f t="shared" ca="1" si="77"/>
        <v>54875</v>
      </c>
      <c r="F294" s="1127">
        <f t="shared" ca="1" si="78"/>
        <v>8645</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54878</v>
      </c>
      <c r="E295" s="1126">
        <f t="shared" ca="1" si="77"/>
        <v>54905</v>
      </c>
      <c r="F295" s="1127">
        <f t="shared" ca="1" si="78"/>
        <v>8675</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54908</v>
      </c>
      <c r="E296" s="1126">
        <f t="shared" ca="1" si="77"/>
        <v>54935</v>
      </c>
      <c r="F296" s="1127">
        <f t="shared" ca="1" si="78"/>
        <v>8705</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54939</v>
      </c>
      <c r="E297" s="1126">
        <f t="shared" ca="1" si="77"/>
        <v>54966</v>
      </c>
      <c r="F297" s="1127">
        <f t="shared" ca="1" si="78"/>
        <v>8736</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54969</v>
      </c>
      <c r="E298" s="1126">
        <f t="shared" ca="1" si="77"/>
        <v>54996</v>
      </c>
      <c r="F298" s="1127">
        <f t="shared" ca="1" si="78"/>
        <v>8766</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55000</v>
      </c>
      <c r="E299" s="1126">
        <f t="shared" ca="1" si="77"/>
        <v>55029</v>
      </c>
      <c r="F299" s="1127">
        <f t="shared" ca="1" si="78"/>
        <v>8799</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55031</v>
      </c>
      <c r="E300" s="1126">
        <f t="shared" ca="1" si="77"/>
        <v>55058</v>
      </c>
      <c r="F300" s="1127">
        <f t="shared" ca="1" si="78"/>
        <v>8828</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55061</v>
      </c>
      <c r="E301" s="1126">
        <f t="shared" ca="1" si="77"/>
        <v>55088</v>
      </c>
      <c r="F301" s="1127">
        <f t="shared" ca="1" si="78"/>
        <v>8858</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55092</v>
      </c>
      <c r="E302" s="1126">
        <f t="shared" ca="1" si="77"/>
        <v>55120</v>
      </c>
      <c r="F302" s="1127">
        <f t="shared" ca="1" si="78"/>
        <v>8890</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55122</v>
      </c>
      <c r="E303" s="1126">
        <f t="shared" ca="1" si="77"/>
        <v>55149</v>
      </c>
      <c r="F303" s="1127">
        <f t="shared" ca="1" si="78"/>
        <v>8919</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55153</v>
      </c>
      <c r="E304" s="1126">
        <f t="shared" ca="1" si="77"/>
        <v>55180</v>
      </c>
      <c r="F304" s="1127">
        <f t="shared" ca="1" si="78"/>
        <v>8950</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55184</v>
      </c>
      <c r="E305" s="1126">
        <f t="shared" ca="1" si="77"/>
        <v>55211</v>
      </c>
      <c r="F305" s="1127">
        <f t="shared" ca="1" si="78"/>
        <v>8981</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55212</v>
      </c>
      <c r="E306" s="1126">
        <f t="shared" ca="1" si="77"/>
        <v>55239</v>
      </c>
      <c r="F306" s="1127">
        <f t="shared" ca="1" si="78"/>
        <v>9009</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55243</v>
      </c>
      <c r="E307" s="1126">
        <f t="shared" ca="1" si="77"/>
        <v>55270</v>
      </c>
      <c r="F307" s="1127">
        <f t="shared" ca="1" si="78"/>
        <v>9040</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55273</v>
      </c>
      <c r="E308" s="1126">
        <f t="shared" ca="1" si="77"/>
        <v>55302</v>
      </c>
      <c r="F308" s="1127">
        <f t="shared" ca="1" si="78"/>
        <v>9072</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55304</v>
      </c>
      <c r="E309" s="1126">
        <f t="shared" ca="1" si="77"/>
        <v>55331</v>
      </c>
      <c r="F309" s="1127">
        <f t="shared" ca="1" si="78"/>
        <v>9101</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55334</v>
      </c>
      <c r="E310" s="1126">
        <f t="shared" ca="1" si="77"/>
        <v>55361</v>
      </c>
      <c r="F310" s="1127">
        <f t="shared" ca="1" si="78"/>
        <v>9131</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55365</v>
      </c>
      <c r="E311" s="1126">
        <f t="shared" ca="1" si="77"/>
        <v>55393</v>
      </c>
      <c r="F311" s="1127">
        <f t="shared" ca="1" si="78"/>
        <v>9163</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55396</v>
      </c>
      <c r="E312" s="1126">
        <f t="shared" ca="1" si="77"/>
        <v>55423</v>
      </c>
      <c r="F312" s="1127">
        <f t="shared" ca="1" si="78"/>
        <v>9193</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55426</v>
      </c>
      <c r="E313" s="1126">
        <f t="shared" ca="1" si="77"/>
        <v>55453</v>
      </c>
      <c r="F313" s="1127">
        <f t="shared" ca="1" si="78"/>
        <v>9223</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55457</v>
      </c>
      <c r="E314" s="1126">
        <f t="shared" ca="1" si="77"/>
        <v>55484</v>
      </c>
      <c r="F314" s="1127">
        <f t="shared" ca="1" si="78"/>
        <v>9254</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55487</v>
      </c>
      <c r="E315" s="1126">
        <f t="shared" ca="1" si="77"/>
        <v>55514</v>
      </c>
      <c r="F315" s="1127">
        <f t="shared" ca="1" si="78"/>
        <v>9284</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55518</v>
      </c>
      <c r="E316" s="1126">
        <f t="shared" ca="1" si="77"/>
        <v>55547</v>
      </c>
      <c r="F316" s="1127">
        <f t="shared" ca="1" si="78"/>
        <v>9317</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55549</v>
      </c>
      <c r="E317" s="1126">
        <f t="shared" ca="1" si="77"/>
        <v>55576</v>
      </c>
      <c r="F317" s="1127">
        <f t="shared" ca="1" si="78"/>
        <v>9346</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55578</v>
      </c>
      <c r="E318" s="1126">
        <f t="shared" ca="1" si="77"/>
        <v>55605</v>
      </c>
      <c r="F318" s="1127">
        <f t="shared" ca="1" si="78"/>
        <v>9375</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55609</v>
      </c>
      <c r="E319" s="1126">
        <f t="shared" ca="1" si="77"/>
        <v>55638</v>
      </c>
      <c r="F319" s="1127">
        <f t="shared" ca="1" si="78"/>
        <v>9408</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55639</v>
      </c>
      <c r="E320" s="1126">
        <f t="shared" ca="1" si="77"/>
        <v>55666</v>
      </c>
      <c r="F320" s="1127">
        <f t="shared" ca="1" si="78"/>
        <v>9436</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55670</v>
      </c>
      <c r="E321" s="1126">
        <f t="shared" ca="1" si="77"/>
        <v>55697</v>
      </c>
      <c r="F321" s="1127">
        <f t="shared" ca="1" si="78"/>
        <v>9467</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55700</v>
      </c>
      <c r="E322" s="1126">
        <f t="shared" ca="1" si="77"/>
        <v>55729</v>
      </c>
      <c r="F322" s="1127">
        <f t="shared" ca="1" si="78"/>
        <v>9499</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55731</v>
      </c>
      <c r="E323" s="1126">
        <f t="shared" ca="1" si="77"/>
        <v>55758</v>
      </c>
      <c r="F323" s="1127">
        <f t="shared" ca="1" si="78"/>
        <v>9528</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55762</v>
      </c>
      <c r="E324" s="1126">
        <f ca="1">IF(INDIRECT("A"&amp;(IFERROR(MATCH(E323,A:A),999)+1))&gt;0,INDIRECT("A"&amp;(IFERROR(MATCH(E323,A:A),999)+1)),"")</f>
        <v>55789</v>
      </c>
      <c r="F324" s="1127">
        <f t="shared" ca="1" si="78"/>
        <v>9559</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55792</v>
      </c>
      <c r="E325" s="1126">
        <f t="shared" ca="1" si="77"/>
        <v>55820</v>
      </c>
      <c r="F325" s="1127">
        <f t="shared" ca="1" si="78"/>
        <v>9590</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55823</v>
      </c>
      <c r="E326" s="1126">
        <f t="shared" ca="1" si="77"/>
        <v>55850</v>
      </c>
      <c r="F326" s="1127">
        <f t="shared" ca="1" si="78"/>
        <v>9620</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55853</v>
      </c>
      <c r="E327" s="1126">
        <f t="shared" ca="1" si="77"/>
        <v>55880</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55884</v>
      </c>
      <c r="E328" s="1126">
        <f t="shared" ca="1" si="77"/>
        <v>55911</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55915</v>
      </c>
      <c r="E329" s="1126">
        <f t="shared" ca="1" si="77"/>
        <v>55942</v>
      </c>
      <c r="F329" s="1127">
        <f t="shared" ca="1" si="78"/>
        <v>9712</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55943</v>
      </c>
      <c r="E330" s="1126">
        <f t="shared" ca="1" si="77"/>
        <v>55970</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55974</v>
      </c>
      <c r="E331" s="1126">
        <f t="shared" ca="1" si="77"/>
        <v>56002</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56004</v>
      </c>
      <c r="E332" s="1126">
        <f t="shared" ref="E332:E354" ca="1" si="96">IF(INDIRECT("A"&amp;(IFERROR(MATCH(E331,A:A),999)+1))&gt;0,INDIRECT("A"&amp;(IFERROR(MATCH(E331,A:A),999)+1)),"")</f>
        <v>56031</v>
      </c>
      <c r="F332" s="1127">
        <f t="shared" ref="F332:F354" ca="1" si="97">IF(E332&lt;&gt;"",E332-$A$31,"")</f>
        <v>9801</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56035</v>
      </c>
      <c r="E333" s="1126">
        <f t="shared" ca="1" si="96"/>
        <v>56062</v>
      </c>
      <c r="F333" s="1127">
        <f t="shared" ca="1" si="97"/>
        <v>9832</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56065</v>
      </c>
      <c r="E334" s="1126">
        <f t="shared" ca="1" si="96"/>
        <v>56093</v>
      </c>
      <c r="F334" s="1127">
        <f t="shared" ca="1" si="97"/>
        <v>9863</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56096</v>
      </c>
      <c r="E335" s="1126">
        <f t="shared" ca="1" si="96"/>
        <v>56123</v>
      </c>
      <c r="F335" s="1127">
        <f t="shared" ca="1" si="97"/>
        <v>9893</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56127</v>
      </c>
      <c r="E336" s="1126">
        <f t="shared" ca="1" si="96"/>
        <v>56156</v>
      </c>
      <c r="F336" s="1127">
        <f t="shared" ca="1" si="97"/>
        <v>9926</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56157</v>
      </c>
      <c r="E337" s="1126">
        <f t="shared" ca="1" si="96"/>
        <v>56184</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56188</v>
      </c>
      <c r="E338" s="1126">
        <f t="shared" ca="1" si="96"/>
        <v>56215</v>
      </c>
      <c r="F338" s="1127">
        <f t="shared" ca="1" si="97"/>
        <v>9985</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56218</v>
      </c>
      <c r="E339" s="1126">
        <f t="shared" ca="1" si="96"/>
        <v>56247</v>
      </c>
      <c r="F339" s="1127">
        <f t="shared" ca="1" si="97"/>
        <v>10017</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56249</v>
      </c>
      <c r="E340" s="1126">
        <f t="shared" ca="1" si="96"/>
        <v>56276</v>
      </c>
      <c r="F340" s="1127">
        <f t="shared" ca="1" si="97"/>
        <v>10046</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56280</v>
      </c>
      <c r="E341" s="1126">
        <f t="shared" ca="1" si="96"/>
        <v>56307</v>
      </c>
      <c r="F341" s="1127">
        <f t="shared" ca="1" si="97"/>
        <v>10077</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56308</v>
      </c>
      <c r="E342" s="1126">
        <f t="shared" ca="1" si="96"/>
        <v>56335</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56339</v>
      </c>
      <c r="E343" s="1126">
        <f t="shared" ca="1" si="96"/>
        <v>56366</v>
      </c>
      <c r="F343" s="1127">
        <f t="shared" ca="1" si="97"/>
        <v>10136</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56369</v>
      </c>
      <c r="E344" s="1126">
        <f t="shared" ca="1" si="96"/>
        <v>56396</v>
      </c>
      <c r="F344" s="1127">
        <f t="shared" ca="1" si="97"/>
        <v>10166</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56400</v>
      </c>
      <c r="E345" s="1126">
        <f t="shared" ca="1" si="96"/>
        <v>56429</v>
      </c>
      <c r="F345" s="1127">
        <f t="shared" ca="1" si="97"/>
        <v>10199</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56430</v>
      </c>
      <c r="E346" s="1126">
        <f t="shared" ca="1" si="96"/>
        <v>56457</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56461</v>
      </c>
      <c r="E347" s="1126">
        <f t="shared" ca="1" si="96"/>
        <v>56488</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56492</v>
      </c>
      <c r="E348" s="1126">
        <f t="shared" ca="1" si="96"/>
        <v>56520</v>
      </c>
      <c r="F348" s="1127">
        <f t="shared" ca="1" si="97"/>
        <v>10290</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56522</v>
      </c>
      <c r="E349" s="1126">
        <f t="shared" ca="1" si="96"/>
        <v>56549</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56553</v>
      </c>
      <c r="E350" s="1126">
        <f t="shared" ca="1" si="96"/>
        <v>56580</v>
      </c>
      <c r="F350" s="1127">
        <f t="shared" ca="1" si="97"/>
        <v>10350</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56583</v>
      </c>
      <c r="E351" s="1126">
        <f t="shared" ca="1" si="96"/>
        <v>56611</v>
      </c>
      <c r="F351" s="1127">
        <f t="shared" ca="1" si="97"/>
        <v>10381</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56614</v>
      </c>
      <c r="E352" s="1126">
        <f t="shared" ca="1" si="96"/>
        <v>56641</v>
      </c>
      <c r="F352" s="1127">
        <f t="shared" ca="1" si="97"/>
        <v>10411</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56645</v>
      </c>
      <c r="E353" s="1126">
        <f t="shared" ca="1" si="96"/>
        <v>56671</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56673</v>
      </c>
      <c r="E354" s="1126">
        <f t="shared" ca="1" si="96"/>
        <v>56702</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56704</v>
      </c>
      <c r="E355" s="1126">
        <f t="shared" ref="E355:E418" ca="1" si="115">IF(INDIRECT("A"&amp;(IFERROR(MATCH(E354,A:A),999)+1))&gt;0,INDIRECT("A"&amp;(IFERROR(MATCH(E354,A:A),999)+1)),"")</f>
        <v>56731</v>
      </c>
      <c r="F355" s="1127">
        <f t="shared" ref="F355:F418" ca="1" si="116">IF(E355&lt;&gt;"",E355-$A$31,"")</f>
        <v>10501</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56734</v>
      </c>
      <c r="E356" s="1126">
        <f t="shared" ca="1" si="115"/>
        <v>56761</v>
      </c>
      <c r="F356" s="1127">
        <f t="shared" ca="1" si="116"/>
        <v>10531</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56765</v>
      </c>
      <c r="E357" s="1126">
        <f t="shared" ca="1" si="115"/>
        <v>56793</v>
      </c>
      <c r="F357" s="1127">
        <f t="shared" ca="1" si="116"/>
        <v>10563</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56795</v>
      </c>
      <c r="E358" s="1126">
        <f t="shared" ca="1" si="115"/>
        <v>56822</v>
      </c>
      <c r="F358" s="1127">
        <f t="shared" ca="1" si="116"/>
        <v>10592</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56826</v>
      </c>
      <c r="E359" s="1126">
        <f t="shared" ca="1" si="115"/>
        <v>56853</v>
      </c>
      <c r="F359" s="1127">
        <f t="shared" ca="1" si="116"/>
        <v>10623</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56857</v>
      </c>
      <c r="E360" s="1126">
        <f t="shared" ca="1" si="115"/>
        <v>56884</v>
      </c>
      <c r="F360" s="1127">
        <f t="shared" ca="1" si="116"/>
        <v>10654</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56887</v>
      </c>
      <c r="E361" s="1126">
        <f t="shared" ca="1" si="115"/>
        <v>56914</v>
      </c>
      <c r="F361" s="1127">
        <f t="shared" ca="1" si="116"/>
        <v>10684</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56918</v>
      </c>
      <c r="E362" s="1126">
        <f t="shared" ca="1" si="115"/>
        <v>56947</v>
      </c>
      <c r="F362" s="1127">
        <f t="shared" ca="1" si="116"/>
        <v>10717</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56948</v>
      </c>
      <c r="E363" s="1126">
        <f t="shared" ca="1" si="115"/>
        <v>56975</v>
      </c>
      <c r="F363" s="1127">
        <f t="shared" ca="1" si="116"/>
        <v>10745</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56979</v>
      </c>
      <c r="E364" s="1126">
        <f t="shared" ca="1" si="115"/>
        <v>57006</v>
      </c>
      <c r="F364" s="1127">
        <f t="shared" ca="1" si="116"/>
        <v>10776</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57010</v>
      </c>
      <c r="E365" s="1126">
        <f t="shared" ca="1" si="115"/>
        <v>57038</v>
      </c>
      <c r="F365" s="1127">
        <f t="shared" ca="1" si="116"/>
        <v>10808</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57039</v>
      </c>
      <c r="E366" s="1126">
        <f t="shared" ca="1" si="115"/>
        <v>57066</v>
      </c>
      <c r="F366" s="1127">
        <f t="shared" ca="1" si="116"/>
        <v>10836</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57070</v>
      </c>
      <c r="E367" s="1126">
        <f t="shared" ca="1" si="115"/>
        <v>57097</v>
      </c>
      <c r="F367" s="1127">
        <f t="shared" ca="1" si="116"/>
        <v>10867</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57100</v>
      </c>
      <c r="E368" s="1126">
        <f t="shared" ca="1" si="115"/>
        <v>57129</v>
      </c>
      <c r="F368" s="1127">
        <f t="shared" ca="1" si="116"/>
        <v>10899</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57131</v>
      </c>
      <c r="E369" s="1126">
        <f t="shared" ca="1" si="115"/>
        <v>57158</v>
      </c>
      <c r="F369" s="1127">
        <f t="shared" ca="1" si="116"/>
        <v>10928</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57161</v>
      </c>
      <c r="E370" s="1126">
        <f t="shared" ca="1" si="115"/>
        <v>57188</v>
      </c>
      <c r="F370" s="1127">
        <f t="shared" ca="1" si="116"/>
        <v>10958</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57192</v>
      </c>
      <c r="E371" s="1126">
        <f t="shared" ca="1" si="115"/>
        <v>57220</v>
      </c>
      <c r="F371" s="1127">
        <f t="shared" ca="1" si="116"/>
        <v>10990</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57223</v>
      </c>
      <c r="E372" s="1126">
        <f t="shared" ca="1" si="115"/>
        <v>57250</v>
      </c>
      <c r="F372" s="1127">
        <f t="shared" ca="1" si="116"/>
        <v>11020</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57253</v>
      </c>
      <c r="E373" s="1126">
        <f t="shared" ca="1" si="115"/>
        <v>57280</v>
      </c>
      <c r="F373" s="1127">
        <f t="shared" ca="1" si="116"/>
        <v>11050</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57284</v>
      </c>
      <c r="E374" s="1126">
        <f t="shared" ca="1" si="115"/>
        <v>57311</v>
      </c>
      <c r="F374" s="1127">
        <f t="shared" ca="1" si="116"/>
        <v>11081</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57314</v>
      </c>
      <c r="E375" s="1126">
        <f t="shared" ca="1" si="115"/>
        <v>57341</v>
      </c>
      <c r="F375" s="1127">
        <f t="shared" ca="1" si="116"/>
        <v>11111</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57345</v>
      </c>
      <c r="E376" s="1126">
        <f t="shared" ca="1" si="115"/>
        <v>57374</v>
      </c>
      <c r="F376" s="1127">
        <f t="shared" ca="1" si="116"/>
        <v>11144</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57376</v>
      </c>
      <c r="E377" s="1126">
        <f t="shared" ca="1" si="115"/>
        <v>57403</v>
      </c>
      <c r="F377" s="1127">
        <f t="shared" ca="1" si="116"/>
        <v>11173</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57404</v>
      </c>
      <c r="E378" s="1126">
        <f t="shared" ca="1" si="115"/>
        <v>57431</v>
      </c>
      <c r="F378" s="1127">
        <f t="shared" ca="1" si="116"/>
        <v>11201</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57435</v>
      </c>
      <c r="E379" s="1126">
        <f t="shared" ca="1" si="115"/>
        <v>57462</v>
      </c>
      <c r="F379" s="1127">
        <f t="shared" ca="1" si="116"/>
        <v>11232</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57465</v>
      </c>
      <c r="E380" s="1126">
        <f t="shared" ca="1" si="115"/>
        <v>57493</v>
      </c>
      <c r="F380" s="1127">
        <f t="shared" ca="1" si="116"/>
        <v>11263</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57496</v>
      </c>
      <c r="E381" s="1126">
        <f t="shared" ca="1" si="115"/>
        <v>57523</v>
      </c>
      <c r="F381" s="1127">
        <f t="shared" ca="1" si="116"/>
        <v>11293</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57526</v>
      </c>
      <c r="E382" s="1126">
        <f t="shared" ca="1" si="115"/>
        <v>57553</v>
      </c>
      <c r="F382" s="1127">
        <f t="shared" ca="1" si="116"/>
        <v>11323</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57557</v>
      </c>
      <c r="E383" s="1126">
        <f t="shared" ca="1" si="115"/>
        <v>57584</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57588</v>
      </c>
      <c r="E384" s="1126">
        <f t="shared" ca="1" si="115"/>
        <v>57615</v>
      </c>
      <c r="F384" s="1127">
        <f t="shared" ca="1" si="116"/>
        <v>11385</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57618</v>
      </c>
      <c r="E385" s="1126">
        <f t="shared" ca="1" si="115"/>
        <v>57647</v>
      </c>
      <c r="F385" s="1127">
        <f t="shared" ca="1" si="116"/>
        <v>11417</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57649</v>
      </c>
      <c r="E386" s="1126">
        <f t="shared" ca="1" si="115"/>
        <v>57676</v>
      </c>
      <c r="F386" s="1127">
        <f t="shared" ca="1" si="116"/>
        <v>11446</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57679</v>
      </c>
      <c r="E387" s="1126">
        <f t="shared" ca="1" si="115"/>
        <v>57706</v>
      </c>
      <c r="F387" s="1127">
        <f t="shared" ca="1" si="116"/>
        <v>11476</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57710</v>
      </c>
      <c r="E388" s="1126">
        <f t="shared" ca="1" si="115"/>
        <v>57738</v>
      </c>
      <c r="F388" s="1127">
        <f t="shared" ca="1" si="116"/>
        <v>11508</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57741</v>
      </c>
      <c r="E389" s="1126">
        <f t="shared" ca="1" si="115"/>
        <v>57768</v>
      </c>
      <c r="F389" s="1127">
        <f t="shared" ca="1" si="116"/>
        <v>11538</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57769</v>
      </c>
      <c r="E390" s="1126">
        <f t="shared" ca="1" si="115"/>
        <v>57796</v>
      </c>
      <c r="F390" s="1127">
        <f t="shared" ca="1" si="116"/>
        <v>11566</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57800</v>
      </c>
      <c r="E391" s="1126">
        <f t="shared" ca="1" si="115"/>
        <v>57829</v>
      </c>
      <c r="F391" s="1127">
        <f t="shared" ca="1" si="116"/>
        <v>11599</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57830</v>
      </c>
      <c r="E392" s="1126">
        <f t="shared" ca="1" si="115"/>
        <v>57857</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57861</v>
      </c>
      <c r="E393" s="1126">
        <f t="shared" ca="1" si="115"/>
        <v>57888</v>
      </c>
      <c r="F393" s="1127">
        <f t="shared" ca="1" si="116"/>
        <v>11658</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57891</v>
      </c>
      <c r="E394" s="1126">
        <f t="shared" ca="1" si="115"/>
        <v>57920</v>
      </c>
      <c r="F394" s="1127">
        <f t="shared" ca="1" si="116"/>
        <v>11690</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57922</v>
      </c>
      <c r="E395" s="1126">
        <f t="shared" ca="1" si="115"/>
        <v>57949</v>
      </c>
      <c r="F395" s="1127">
        <f t="shared" ca="1" si="116"/>
        <v>11719</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57953</v>
      </c>
      <c r="E396" s="1126">
        <f t="shared" ca="1" si="115"/>
        <v>57980</v>
      </c>
      <c r="F396" s="1127">
        <f t="shared" ca="1" si="116"/>
        <v>11750</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57983</v>
      </c>
      <c r="E397" s="1126">
        <f t="shared" ca="1" si="115"/>
        <v>58011</v>
      </c>
      <c r="F397" s="1127">
        <f t="shared" ca="1" si="116"/>
        <v>11781</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58014</v>
      </c>
      <c r="E398" s="1126">
        <f t="shared" ca="1" si="115"/>
        <v>58041</v>
      </c>
      <c r="F398" s="1127">
        <f t="shared" ca="1" si="116"/>
        <v>11811</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58044</v>
      </c>
      <c r="E399" s="1126">
        <f t="shared" ca="1" si="115"/>
        <v>58071</v>
      </c>
      <c r="F399" s="1127">
        <f t="shared" ca="1" si="116"/>
        <v>11841</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58075</v>
      </c>
      <c r="E400" s="1126">
        <f t="shared" ca="1" si="115"/>
        <v>58102</v>
      </c>
      <c r="F400" s="1127">
        <f t="shared" ca="1" si="116"/>
        <v>11872</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58106</v>
      </c>
      <c r="E401" s="1126">
        <f t="shared" ca="1" si="115"/>
        <v>58133</v>
      </c>
      <c r="F401" s="1127">
        <f t="shared" ca="1" si="116"/>
        <v>11903</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58134</v>
      </c>
      <c r="E402" s="1126">
        <f t="shared" ca="1" si="115"/>
        <v>58161</v>
      </c>
      <c r="F402" s="1127">
        <f t="shared" ca="1" si="116"/>
        <v>11931</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58165</v>
      </c>
      <c r="E403" s="1126">
        <f t="shared" ca="1" si="115"/>
        <v>58193</v>
      </c>
      <c r="F403" s="1127">
        <f t="shared" ca="1" si="116"/>
        <v>11963</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58195</v>
      </c>
      <c r="E404" s="1126">
        <f t="shared" ca="1" si="115"/>
        <v>58222</v>
      </c>
      <c r="F404" s="1127">
        <f t="shared" ca="1" si="116"/>
        <v>11992</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58226</v>
      </c>
      <c r="E405" s="1126">
        <f t="shared" ca="1" si="115"/>
        <v>58253</v>
      </c>
      <c r="F405" s="1127">
        <f t="shared" ca="1" si="116"/>
        <v>12023</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58256</v>
      </c>
      <c r="E406" s="1126">
        <f t="shared" ca="1" si="115"/>
        <v>58284</v>
      </c>
      <c r="F406" s="1127">
        <f t="shared" ca="1" si="116"/>
        <v>12054</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58287</v>
      </c>
      <c r="E407" s="1126">
        <f t="shared" ca="1" si="115"/>
        <v>58314</v>
      </c>
      <c r="F407" s="1127">
        <f t="shared" ca="1" si="116"/>
        <v>12084</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58318</v>
      </c>
      <c r="E408" s="1126">
        <f t="shared" ca="1" si="115"/>
        <v>58347</v>
      </c>
      <c r="F408" s="1127">
        <f t="shared" ca="1" si="116"/>
        <v>12117</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58348</v>
      </c>
      <c r="E409" s="1126">
        <f t="shared" ca="1" si="115"/>
        <v>58375</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58379</v>
      </c>
      <c r="E410" s="1126">
        <f t="shared" ca="1" si="115"/>
        <v>58406</v>
      </c>
      <c r="F410" s="1127">
        <f t="shared" ca="1" si="116"/>
        <v>12176</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58409</v>
      </c>
      <c r="E411" s="1126">
        <f t="shared" ca="1" si="115"/>
        <v>58438</v>
      </c>
      <c r="F411" s="1127">
        <f t="shared" ca="1" si="116"/>
        <v>12208</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58440</v>
      </c>
      <c r="E412" s="1126">
        <f t="shared" ca="1" si="115"/>
        <v>58467</v>
      </c>
      <c r="F412" s="1127">
        <f t="shared" ca="1" si="116"/>
        <v>12237</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58471</v>
      </c>
      <c r="E413" s="1126">
        <f t="shared" ca="1" si="115"/>
        <v>58498</v>
      </c>
      <c r="F413" s="1127">
        <f t="shared" ca="1" si="116"/>
        <v>12268</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58500</v>
      </c>
      <c r="E414" s="1126">
        <f t="shared" ca="1" si="115"/>
        <v>58529</v>
      </c>
      <c r="F414" s="1127">
        <f t="shared" ca="1" si="116"/>
        <v>12299</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58531</v>
      </c>
      <c r="E415" s="1126">
        <f t="shared" ca="1" si="115"/>
        <v>58558</v>
      </c>
      <c r="F415" s="1127">
        <f t="shared" ca="1" si="116"/>
        <v>12328</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58561</v>
      </c>
      <c r="E416" s="1126">
        <f t="shared" ca="1" si="115"/>
        <v>58588</v>
      </c>
      <c r="F416" s="1127">
        <f t="shared" ca="1" si="116"/>
        <v>12358</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58592</v>
      </c>
      <c r="E417" s="1126">
        <f t="shared" ca="1" si="115"/>
        <v>58620</v>
      </c>
      <c r="F417" s="1127">
        <f t="shared" ca="1" si="116"/>
        <v>12390</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58622</v>
      </c>
      <c r="E418" s="1126">
        <f t="shared" ca="1" si="115"/>
        <v>58649</v>
      </c>
      <c r="F418" s="1127">
        <f t="shared" ca="1" si="116"/>
        <v>12419</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58653</v>
      </c>
      <c r="E419" s="1126">
        <f t="shared" ref="E419:E482" ca="1" si="134">IF(INDIRECT("A"&amp;(IFERROR(MATCH(E418,A:A),999)+1))&gt;0,INDIRECT("A"&amp;(IFERROR(MATCH(E418,A:A),999)+1)),"")</f>
        <v>58680</v>
      </c>
      <c r="F419" s="1127">
        <f t="shared" ref="F419:F466" ca="1" si="135">IF(E419&lt;&gt;"",E419-$A$31,"")</f>
        <v>12450</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58684</v>
      </c>
      <c r="E420" s="1126">
        <f t="shared" ca="1" si="134"/>
        <v>58711</v>
      </c>
      <c r="F420" s="1127">
        <f t="shared" ca="1" si="135"/>
        <v>12481</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58714</v>
      </c>
      <c r="E421" s="1126">
        <f t="shared" ca="1" si="134"/>
        <v>58741</v>
      </c>
      <c r="F421" s="1127">
        <f t="shared" ca="1" si="135"/>
        <v>12511</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58745</v>
      </c>
      <c r="E422" s="1126">
        <f t="shared" ca="1" si="134"/>
        <v>58774</v>
      </c>
      <c r="F422" s="1127">
        <f t="shared" ca="1" si="135"/>
        <v>12544</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58775</v>
      </c>
      <c r="E423" s="1126">
        <f t="shared" ca="1" si="134"/>
        <v>58802</v>
      </c>
      <c r="F423" s="1127">
        <f t="shared" ca="1" si="135"/>
        <v>12572</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58806</v>
      </c>
      <c r="E424" s="1126">
        <f t="shared" ca="1" si="134"/>
        <v>58833</v>
      </c>
      <c r="F424" s="1127">
        <f t="shared" ca="1" si="135"/>
        <v>12603</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58837</v>
      </c>
      <c r="E425" s="1126">
        <f t="shared" ca="1" si="134"/>
        <v>58865</v>
      </c>
      <c r="F425" s="1127">
        <f t="shared" ca="1" si="135"/>
        <v>12635</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58865</v>
      </c>
      <c r="E426" s="1126">
        <f t="shared" ca="1" si="134"/>
        <v>58893</v>
      </c>
      <c r="F426" s="1127">
        <f t="shared" ca="1" si="135"/>
        <v>12663</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58896</v>
      </c>
      <c r="E427" s="1126">
        <f t="shared" ca="1" si="134"/>
        <v>58923</v>
      </c>
      <c r="F427" s="1127">
        <f t="shared" ca="1" si="135"/>
        <v>12693</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58926</v>
      </c>
      <c r="E428" s="1126">
        <f t="shared" ca="1" si="134"/>
        <v>58953</v>
      </c>
      <c r="F428" s="1127">
        <f t="shared" ca="1" si="135"/>
        <v>12723</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58957</v>
      </c>
      <c r="E429" s="1126">
        <f t="shared" ca="1" si="134"/>
        <v>58984</v>
      </c>
      <c r="F429" s="1127">
        <f t="shared" ca="1" si="135"/>
        <v>12754</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58987</v>
      </c>
      <c r="E430" s="1126">
        <f t="shared" ca="1" si="134"/>
        <v>59014</v>
      </c>
      <c r="F430" s="1127">
        <f t="shared" ca="1" si="135"/>
        <v>12784</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59018</v>
      </c>
      <c r="E431" s="1126">
        <f t="shared" ca="1" si="134"/>
        <v>59047</v>
      </c>
      <c r="F431" s="1127">
        <f t="shared" ca="1" si="135"/>
        <v>12817</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59049</v>
      </c>
      <c r="E432" s="1126">
        <f t="shared" ca="1" si="134"/>
        <v>59076</v>
      </c>
      <c r="F432" s="1127">
        <f t="shared" ca="1" si="135"/>
        <v>12846</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59079</v>
      </c>
      <c r="E433" s="1126">
        <f t="shared" ca="1" si="134"/>
        <v>59106</v>
      </c>
      <c r="F433" s="1127">
        <f t="shared" ca="1" si="135"/>
        <v>12876</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59110</v>
      </c>
      <c r="E434" s="1126">
        <f t="shared" ca="1" si="134"/>
        <v>59138</v>
      </c>
      <c r="F434" s="1127">
        <f t="shared" ca="1" si="135"/>
        <v>12908</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59140</v>
      </c>
      <c r="E435" s="1126">
        <f t="shared" ca="1" si="134"/>
        <v>59167</v>
      </c>
      <c r="F435" s="1127">
        <f t="shared" ca="1" si="135"/>
        <v>12937</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59171</v>
      </c>
      <c r="E436" s="1126">
        <f t="shared" ca="1" si="134"/>
        <v>59198</v>
      </c>
      <c r="F436" s="1127">
        <f t="shared" ca="1" si="135"/>
        <v>12968</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59202</v>
      </c>
      <c r="E437" s="1126">
        <f t="shared" ca="1" si="134"/>
        <v>59229</v>
      </c>
      <c r="F437" s="1127">
        <f t="shared" ca="1" si="135"/>
        <v>12999</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59230</v>
      </c>
      <c r="E438" s="1126">
        <f t="shared" ca="1" si="134"/>
        <v>59257</v>
      </c>
      <c r="F438" s="1127">
        <f t="shared" ca="1" si="135"/>
        <v>13027</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59261</v>
      </c>
      <c r="E439" s="1126">
        <f t="shared" ca="1" si="134"/>
        <v>59288</v>
      </c>
      <c r="F439" s="1127">
        <f t="shared" ca="1" si="135"/>
        <v>13058</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59291</v>
      </c>
      <c r="E440" s="1126">
        <f t="shared" ca="1" si="134"/>
        <v>59320</v>
      </c>
      <c r="F440" s="1127">
        <f t="shared" ca="1" si="135"/>
        <v>13090</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t="str">
        <f t="shared" ca="1" si="133"/>
        <v/>
      </c>
      <c r="E441" s="1126" t="str">
        <f t="shared" ca="1" si="134"/>
        <v/>
      </c>
      <c r="F441" s="1127" t="str">
        <f t="shared" ca="1" si="135"/>
        <v/>
      </c>
      <c r="G441" s="1128" t="str">
        <f ca="1">IF(F441&lt;&gt;"",COUNTIF($F$11:F441,"&gt;0"),"")</f>
        <v/>
      </c>
      <c r="H441" s="1129"/>
      <c r="I441" s="1073"/>
      <c r="J441" s="1130">
        <f t="shared" ca="1" si="136"/>
        <v>0</v>
      </c>
      <c r="K441" s="1131">
        <f t="shared" ca="1" si="137"/>
        <v>0</v>
      </c>
      <c r="L441" s="1130" t="str">
        <f t="shared" ca="1" si="138"/>
        <v/>
      </c>
      <c r="M441" s="1130" t="e">
        <f t="shared" ca="1" si="139"/>
        <v>#VALUE!</v>
      </c>
      <c r="N441" s="1130" t="str">
        <f t="shared" ca="1" si="140"/>
        <v/>
      </c>
      <c r="O441" s="1073"/>
      <c r="P441" s="1130" t="str">
        <f t="shared" ca="1" si="141"/>
        <v/>
      </c>
      <c r="Q441" s="1130" t="str">
        <f t="shared" ca="1" si="142"/>
        <v/>
      </c>
      <c r="R441" s="1130" t="str">
        <f t="shared" ca="1" si="143"/>
        <v/>
      </c>
      <c r="S441" s="1130" t="str">
        <f t="shared" ca="1" si="144"/>
        <v/>
      </c>
      <c r="T441" s="1130" t="str">
        <f t="shared" ca="1" si="145"/>
        <v/>
      </c>
      <c r="U441" s="1132" t="str">
        <f t="shared" ca="1" si="146"/>
        <v/>
      </c>
      <c r="V441" s="1133" t="str">
        <f t="shared" ca="1" si="147"/>
        <v/>
      </c>
      <c r="X441" s="1134" t="str">
        <f t="shared" ca="1" si="148"/>
        <v/>
      </c>
      <c r="Y441" s="1134" t="str">
        <f t="shared" ca="1" si="149"/>
        <v/>
      </c>
      <c r="Z441" s="1134" t="str">
        <f t="shared" ca="1" si="150"/>
        <v/>
      </c>
      <c r="AA441" s="1132" t="str">
        <f t="shared" ca="1" si="151"/>
        <v/>
      </c>
      <c r="AB441" s="1105"/>
    </row>
    <row r="442" spans="1:28">
      <c r="A442" s="1144">
        <f>'AMORT. PROFILE 0% CPR'!A442</f>
        <v>58133</v>
      </c>
      <c r="C442" s="1104"/>
      <c r="D442" s="1125" t="str">
        <f t="shared" ca="1" si="133"/>
        <v/>
      </c>
      <c r="E442" s="1126" t="str">
        <f t="shared" ca="1" si="134"/>
        <v/>
      </c>
      <c r="F442" s="1127" t="str">
        <f t="shared" ca="1" si="135"/>
        <v/>
      </c>
      <c r="G442" s="1128" t="str">
        <f ca="1">IF(F442&lt;&gt;"",COUNTIF($F$11:F442,"&gt;0"),"")</f>
        <v/>
      </c>
      <c r="H442" s="1129"/>
      <c r="I442" s="1073"/>
      <c r="J442" s="1130" t="str">
        <f t="shared" ca="1" si="136"/>
        <v/>
      </c>
      <c r="K442" s="1131" t="e">
        <f t="shared" ca="1" si="137"/>
        <v>#VALUE!</v>
      </c>
      <c r="L442" s="1130" t="str">
        <f t="shared" ca="1" si="138"/>
        <v/>
      </c>
      <c r="M442" s="1130" t="e">
        <f t="shared" ca="1" si="139"/>
        <v>#VALUE!</v>
      </c>
      <c r="N442" s="1130" t="str">
        <f t="shared" ca="1" si="140"/>
        <v/>
      </c>
      <c r="O442" s="1073"/>
      <c r="P442" s="1130" t="str">
        <f t="shared" ca="1" si="141"/>
        <v/>
      </c>
      <c r="Q442" s="1130" t="str">
        <f t="shared" ca="1" si="142"/>
        <v/>
      </c>
      <c r="R442" s="1130" t="str">
        <f t="shared" ca="1" si="143"/>
        <v/>
      </c>
      <c r="S442" s="1130" t="str">
        <f t="shared" ca="1" si="144"/>
        <v/>
      </c>
      <c r="T442" s="1130" t="str">
        <f t="shared" ca="1" si="145"/>
        <v/>
      </c>
      <c r="U442" s="1132" t="str">
        <f t="shared" ca="1" si="146"/>
        <v/>
      </c>
      <c r="V442" s="1133" t="str">
        <f t="shared" ca="1" si="147"/>
        <v/>
      </c>
      <c r="X442" s="1134" t="str">
        <f t="shared" ca="1" si="148"/>
        <v/>
      </c>
      <c r="Y442" s="1134" t="str">
        <f t="shared" ca="1" si="149"/>
        <v/>
      </c>
      <c r="Z442" s="1134" t="str">
        <f t="shared" ca="1" si="150"/>
        <v/>
      </c>
      <c r="AA442" s="1132" t="str">
        <f t="shared" ca="1" si="151"/>
        <v/>
      </c>
      <c r="AB442" s="1105"/>
    </row>
    <row r="443" spans="1:28">
      <c r="A443" s="1144">
        <f>'AMORT. PROFILE 0% CPR'!A443</f>
        <v>58161</v>
      </c>
      <c r="C443" s="1104"/>
      <c r="D443" s="1125" t="str">
        <f t="shared" ca="1" si="133"/>
        <v/>
      </c>
      <c r="E443" s="1126" t="str">
        <f t="shared" ca="1" si="134"/>
        <v/>
      </c>
      <c r="F443" s="1127" t="str">
        <f t="shared" ca="1" si="135"/>
        <v/>
      </c>
      <c r="G443" s="1128" t="str">
        <f ca="1">IF(F443&lt;&gt;"",COUNTIF($F$11:F443,"&gt;0"),"")</f>
        <v/>
      </c>
      <c r="H443" s="1129"/>
      <c r="I443" s="1073"/>
      <c r="J443" s="1130" t="str">
        <f t="shared" ca="1" si="136"/>
        <v/>
      </c>
      <c r="K443" s="1131" t="e">
        <f t="shared" ca="1" si="137"/>
        <v>#VALUE!</v>
      </c>
      <c r="L443" s="1130" t="str">
        <f t="shared" ca="1" si="138"/>
        <v/>
      </c>
      <c r="M443" s="1130" t="e">
        <f t="shared" ca="1" si="139"/>
        <v>#VALUE!</v>
      </c>
      <c r="N443" s="1130" t="str">
        <f t="shared" ca="1" si="140"/>
        <v/>
      </c>
      <c r="O443" s="1073"/>
      <c r="P443" s="1130" t="str">
        <f t="shared" ca="1" si="141"/>
        <v/>
      </c>
      <c r="Q443" s="1130" t="str">
        <f t="shared" ca="1" si="142"/>
        <v/>
      </c>
      <c r="R443" s="1130" t="str">
        <f t="shared" ca="1" si="143"/>
        <v/>
      </c>
      <c r="S443" s="1130" t="str">
        <f t="shared" ca="1" si="144"/>
        <v/>
      </c>
      <c r="T443" s="1130" t="str">
        <f t="shared" ca="1" si="145"/>
        <v/>
      </c>
      <c r="U443" s="1132" t="str">
        <f t="shared" ca="1" si="146"/>
        <v/>
      </c>
      <c r="V443" s="1133" t="str">
        <f t="shared" ca="1" si="147"/>
        <v/>
      </c>
      <c r="X443" s="1134" t="str">
        <f t="shared" ca="1" si="148"/>
        <v/>
      </c>
      <c r="Y443" s="1134" t="str">
        <f t="shared" ca="1" si="149"/>
        <v/>
      </c>
      <c r="Z443" s="1134" t="str">
        <f t="shared" ca="1" si="150"/>
        <v/>
      </c>
      <c r="AA443" s="1132" t="str">
        <f t="shared" ca="1" si="151"/>
        <v/>
      </c>
      <c r="AB443" s="1105"/>
    </row>
    <row r="444" spans="1:28">
      <c r="A444" s="1144">
        <f>'AMORT. PROFILE 0% CPR'!A444</f>
        <v>58193</v>
      </c>
      <c r="C444" s="1104"/>
      <c r="D444" s="1125" t="str">
        <f t="shared" ca="1" si="133"/>
        <v/>
      </c>
      <c r="E444" s="1126" t="str">
        <f t="shared" ca="1" si="134"/>
        <v/>
      </c>
      <c r="F444" s="1127" t="str">
        <f t="shared" ca="1" si="135"/>
        <v/>
      </c>
      <c r="G444" s="1128" t="str">
        <f ca="1">IF(F444&lt;&gt;"",COUNTIF($F$11:F444,"&gt;0"),"")</f>
        <v/>
      </c>
      <c r="H444" s="1129"/>
      <c r="I444" s="1073"/>
      <c r="J444" s="1130" t="str">
        <f t="shared" ca="1" si="136"/>
        <v/>
      </c>
      <c r="K444" s="1131" t="e">
        <f t="shared" ca="1" si="137"/>
        <v>#VALUE!</v>
      </c>
      <c r="L444" s="1130" t="str">
        <f t="shared" ca="1" si="138"/>
        <v/>
      </c>
      <c r="M444" s="1130" t="e">
        <f t="shared" ca="1" si="139"/>
        <v>#VALUE!</v>
      </c>
      <c r="N444" s="1130" t="str">
        <f t="shared" ca="1" si="140"/>
        <v/>
      </c>
      <c r="O444" s="1073"/>
      <c r="P444" s="1130" t="str">
        <f t="shared" ca="1" si="141"/>
        <v/>
      </c>
      <c r="Q444" s="1130" t="str">
        <f t="shared" ca="1" si="142"/>
        <v/>
      </c>
      <c r="R444" s="1130" t="str">
        <f t="shared" ca="1" si="143"/>
        <v/>
      </c>
      <c r="S444" s="1130" t="str">
        <f t="shared" ca="1" si="144"/>
        <v/>
      </c>
      <c r="T444" s="1130" t="str">
        <f t="shared" ca="1" si="145"/>
        <v/>
      </c>
      <c r="U444" s="1132" t="str">
        <f t="shared" ca="1" si="146"/>
        <v/>
      </c>
      <c r="V444" s="1133" t="str">
        <f t="shared" ca="1" si="147"/>
        <v/>
      </c>
      <c r="X444" s="1134" t="str">
        <f t="shared" ca="1" si="148"/>
        <v/>
      </c>
      <c r="Y444" s="1134" t="str">
        <f t="shared" ca="1" si="149"/>
        <v/>
      </c>
      <c r="Z444" s="1134" t="str">
        <f t="shared" ca="1" si="150"/>
        <v/>
      </c>
      <c r="AA444" s="1132" t="str">
        <f t="shared" ca="1" si="151"/>
        <v/>
      </c>
      <c r="AB444" s="1105"/>
    </row>
    <row r="445" spans="1:28">
      <c r="A445" s="1144">
        <f>'AMORT. PROFILE 0% CPR'!A445</f>
        <v>58222</v>
      </c>
      <c r="C445" s="1104"/>
      <c r="D445" s="1125" t="str">
        <f t="shared" ca="1" si="133"/>
        <v/>
      </c>
      <c r="E445" s="1126" t="str">
        <f t="shared" ca="1" si="134"/>
        <v/>
      </c>
      <c r="F445" s="1127" t="str">
        <f t="shared" ca="1" si="135"/>
        <v/>
      </c>
      <c r="G445" s="1128" t="str">
        <f ca="1">IF(F445&lt;&gt;"",COUNTIF($F$11:F445,"&gt;0"),"")</f>
        <v/>
      </c>
      <c r="H445" s="1129"/>
      <c r="I445" s="1073"/>
      <c r="J445" s="1130" t="str">
        <f t="shared" ca="1" si="136"/>
        <v/>
      </c>
      <c r="K445" s="1131" t="e">
        <f t="shared" ca="1" si="137"/>
        <v>#VALUE!</v>
      </c>
      <c r="L445" s="1130" t="str">
        <f t="shared" ca="1" si="138"/>
        <v/>
      </c>
      <c r="M445" s="1130" t="e">
        <f t="shared" ca="1" si="139"/>
        <v>#VALUE!</v>
      </c>
      <c r="N445" s="1130" t="str">
        <f t="shared" ca="1" si="140"/>
        <v/>
      </c>
      <c r="O445" s="1073"/>
      <c r="P445" s="1130" t="str">
        <f t="shared" ca="1" si="141"/>
        <v/>
      </c>
      <c r="Q445" s="1130" t="str">
        <f t="shared" ca="1" si="142"/>
        <v/>
      </c>
      <c r="R445" s="1130" t="str">
        <f t="shared" ca="1" si="143"/>
        <v/>
      </c>
      <c r="S445" s="1130" t="str">
        <f t="shared" ca="1" si="144"/>
        <v/>
      </c>
      <c r="T445" s="1130" t="str">
        <f t="shared" ca="1" si="145"/>
        <v/>
      </c>
      <c r="U445" s="1132" t="str">
        <f t="shared" ca="1" si="146"/>
        <v/>
      </c>
      <c r="V445" s="1133" t="str">
        <f t="shared" ca="1" si="147"/>
        <v/>
      </c>
      <c r="X445" s="1134" t="str">
        <f t="shared" ca="1" si="148"/>
        <v/>
      </c>
      <c r="Y445" s="1134" t="str">
        <f t="shared" ca="1" si="149"/>
        <v/>
      </c>
      <c r="Z445" s="1134" t="str">
        <f t="shared" ca="1" si="150"/>
        <v/>
      </c>
      <c r="AA445" s="1132" t="str">
        <f t="shared" ca="1" si="151"/>
        <v/>
      </c>
      <c r="AB445" s="1105"/>
    </row>
    <row r="446" spans="1:28">
      <c r="A446" s="1144">
        <f>'AMORT. PROFILE 0% CPR'!A446</f>
        <v>58253</v>
      </c>
      <c r="C446" s="1104"/>
      <c r="D446" s="1125" t="str">
        <f t="shared" ca="1" si="133"/>
        <v/>
      </c>
      <c r="E446" s="1126" t="str">
        <f t="shared" ca="1" si="134"/>
        <v/>
      </c>
      <c r="F446" s="1127" t="str">
        <f t="shared" ca="1" si="135"/>
        <v/>
      </c>
      <c r="G446" s="1128" t="str">
        <f ca="1">IF(F446&lt;&gt;"",COUNTIF($F$11:F446,"&gt;0"),"")</f>
        <v/>
      </c>
      <c r="H446" s="1129"/>
      <c r="I446" s="1073"/>
      <c r="J446" s="1130" t="str">
        <f t="shared" ca="1" si="136"/>
        <v/>
      </c>
      <c r="K446" s="1131" t="e">
        <f t="shared" ca="1" si="137"/>
        <v>#VALUE!</v>
      </c>
      <c r="L446" s="1130" t="str">
        <f t="shared" ca="1" si="138"/>
        <v/>
      </c>
      <c r="M446" s="1130" t="e">
        <f t="shared" ca="1" si="139"/>
        <v>#VALUE!</v>
      </c>
      <c r="N446" s="1130" t="str">
        <f t="shared" ca="1" si="140"/>
        <v/>
      </c>
      <c r="O446" s="1073"/>
      <c r="P446" s="1130" t="str">
        <f t="shared" ca="1" si="141"/>
        <v/>
      </c>
      <c r="Q446" s="1130" t="str">
        <f t="shared" ca="1" si="142"/>
        <v/>
      </c>
      <c r="R446" s="1130" t="str">
        <f t="shared" ca="1" si="143"/>
        <v/>
      </c>
      <c r="S446" s="1130" t="str">
        <f t="shared" ca="1" si="144"/>
        <v/>
      </c>
      <c r="T446" s="1130" t="str">
        <f t="shared" ca="1" si="145"/>
        <v/>
      </c>
      <c r="U446" s="1132" t="str">
        <f t="shared" ca="1" si="146"/>
        <v/>
      </c>
      <c r="V446" s="1133" t="str">
        <f t="shared" ca="1" si="147"/>
        <v/>
      </c>
      <c r="X446" s="1134" t="str">
        <f t="shared" ca="1" si="148"/>
        <v/>
      </c>
      <c r="Y446" s="1134" t="str">
        <f t="shared" ca="1" si="149"/>
        <v/>
      </c>
      <c r="Z446" s="1134" t="str">
        <f t="shared" ca="1" si="150"/>
        <v/>
      </c>
      <c r="AA446" s="1132" t="str">
        <f t="shared" ca="1" si="151"/>
        <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t="str">
        <f t="shared" ca="1" si="136"/>
        <v/>
      </c>
      <c r="K447" s="1131" t="e">
        <f t="shared" ca="1" si="137"/>
        <v>#VALUE!</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796875" defaultRowHeight="14.5"/>
  <cols>
    <col min="6" max="6" width="10.726562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796875" defaultRowHeight="14.5"/>
  <cols>
    <col min="2" max="2" width="16.81640625" customWidth="1"/>
    <col min="3" max="3" width="16.81640625" style="1238"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38" bestFit="1" customWidth="1"/>
    <col min="63" max="63" width="9.1796875" style="1430"/>
    <col min="65" max="65" width="12.453125" bestFit="1" customWidth="1"/>
    <col min="68" max="69" width="10.7265625" style="1238" bestFit="1" customWidth="1"/>
    <col min="71" max="71" width="9.1796875" style="1430"/>
    <col min="74" max="74" width="16" bestFit="1" customWidth="1"/>
    <col min="75" max="75" width="14.81640625" style="1465"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60" t="s">
        <v>269</v>
      </c>
      <c r="E1" s="2160"/>
      <c r="F1" s="2160"/>
      <c r="G1" s="2160"/>
      <c r="H1" s="2160"/>
      <c r="I1" s="2160"/>
      <c r="J1" s="2170" t="s">
        <v>118</v>
      </c>
      <c r="K1" s="2170"/>
      <c r="L1" s="2170"/>
      <c r="M1" s="2170"/>
      <c r="N1" s="2170"/>
      <c r="O1" s="2170"/>
      <c r="P1" s="2171"/>
      <c r="Q1" s="2172" t="s">
        <v>119</v>
      </c>
      <c r="R1" s="2170"/>
      <c r="S1" s="2170"/>
      <c r="T1" s="2170"/>
      <c r="U1" s="2170"/>
      <c r="V1" s="2171"/>
      <c r="W1" s="2172" t="s">
        <v>130</v>
      </c>
      <c r="X1" s="2170"/>
      <c r="Y1" s="2170"/>
      <c r="Z1" s="2170"/>
      <c r="AA1" s="2170"/>
      <c r="AB1" s="2170"/>
      <c r="AC1" s="2161" t="s">
        <v>1050</v>
      </c>
      <c r="AD1" s="2162"/>
      <c r="AE1" s="2163"/>
      <c r="AF1" s="2164" t="s">
        <v>247</v>
      </c>
      <c r="AG1" s="2165"/>
      <c r="AH1" s="2165"/>
      <c r="AI1" s="2165"/>
      <c r="AJ1" s="2166"/>
      <c r="AK1" s="2164" t="s">
        <v>244</v>
      </c>
      <c r="AL1" s="2165"/>
      <c r="AM1" s="2166"/>
      <c r="AN1" s="2167" t="s">
        <v>1051</v>
      </c>
      <c r="AO1" s="2168"/>
      <c r="AP1" s="2169"/>
      <c r="AQ1" s="2164" t="s">
        <v>410</v>
      </c>
      <c r="AR1" s="2165"/>
      <c r="AS1" s="2165"/>
      <c r="AT1" s="2166"/>
      <c r="AU1" s="2173" t="s">
        <v>1094</v>
      </c>
      <c r="AV1" s="2174"/>
      <c r="AW1" s="2174"/>
      <c r="AX1" s="2175"/>
      <c r="AY1" s="2164" t="s">
        <v>412</v>
      </c>
      <c r="AZ1" s="2165"/>
      <c r="BA1" s="2166"/>
      <c r="BB1" s="2173" t="s">
        <v>1100</v>
      </c>
      <c r="BC1" s="2174"/>
      <c r="BD1" s="2174"/>
      <c r="BE1" s="2175"/>
      <c r="BF1" s="2176" t="s">
        <v>118</v>
      </c>
      <c r="BG1" s="2177"/>
      <c r="BH1" s="2177"/>
      <c r="BI1" s="2177"/>
      <c r="BJ1" s="2177"/>
      <c r="BK1" s="2177"/>
      <c r="BL1" s="2177"/>
      <c r="BM1" s="2178"/>
      <c r="BN1" s="2179" t="s">
        <v>119</v>
      </c>
      <c r="BO1" s="2179"/>
      <c r="BP1" s="2179"/>
      <c r="BQ1" s="2179"/>
      <c r="BR1" s="2179"/>
      <c r="BS1" s="2179"/>
      <c r="BT1" s="2179"/>
      <c r="BU1" s="2179"/>
      <c r="BV1" s="2158" t="s">
        <v>1139</v>
      </c>
      <c r="BW1" s="2158"/>
      <c r="BX1" s="2158"/>
      <c r="BY1" s="2158"/>
      <c r="BZ1" s="2158"/>
      <c r="CA1" s="2158"/>
      <c r="CB1" s="2158"/>
      <c r="CC1" s="2158"/>
      <c r="CD1" s="2159"/>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46223</v>
      </c>
      <c r="C3" s="1238">
        <f>'00 - Cover'!F20</f>
        <v>46230</v>
      </c>
      <c r="D3" s="1239">
        <f>'09 -Principal Deficiency Amount'!C12</f>
        <v>94905107.11000061</v>
      </c>
      <c r="E3" s="1239">
        <f>'09 -Principal Deficiency Amount'!D12</f>
        <v>102719406.31120145</v>
      </c>
      <c r="F3" s="1239">
        <f>'09 -Principal Deficiency Amount'!E12</f>
        <v>110368449.09120145</v>
      </c>
      <c r="G3" s="1239">
        <f>'09 -Principal Deficiency Amount'!F12</f>
        <v>7649042.7800000012</v>
      </c>
      <c r="H3" s="1672"/>
      <c r="I3" s="1239">
        <f>'09 -Principal Deficiency Amount'!G12</f>
        <v>0</v>
      </c>
      <c r="J3" s="1239">
        <f>'11 - Notes Follow-up'!D25</f>
        <v>6524587774.7200003</v>
      </c>
      <c r="K3" s="1239">
        <f>'11 - Notes Follow-up'!E25</f>
        <v>0</v>
      </c>
      <c r="L3" s="1239">
        <f>'11 - Notes Follow-up'!F25</f>
        <v>57195205.599999994</v>
      </c>
      <c r="M3" s="1239">
        <f>'11 - Notes Follow-up'!G25</f>
        <v>6467392569.1199999</v>
      </c>
      <c r="N3" s="1239">
        <f>'11 - Notes Follow-up'!H25</f>
        <v>77732</v>
      </c>
      <c r="O3" s="1239">
        <f>'11 - Notes Follow-up'!I25</f>
        <v>735.8</v>
      </c>
      <c r="P3" s="1239">
        <f>'11 - Notes Follow-up'!J25</f>
        <v>83201.16</v>
      </c>
      <c r="Q3" s="1239">
        <f>'11 - Notes Follow-up'!T25</f>
        <v>541315764.00000012</v>
      </c>
      <c r="R3" s="1239">
        <f>'11 - Notes Follow-up'!U25</f>
        <v>0</v>
      </c>
      <c r="S3" s="1239">
        <f>'11 - Notes Follow-up'!V25</f>
        <v>4745252.16</v>
      </c>
      <c r="T3" s="1239">
        <f>'11 - Notes Follow-up'!W25</f>
        <v>536570511.84000009</v>
      </c>
      <c r="U3" s="1239">
        <f>'11 - Notes Follow-up'!X25</f>
        <v>5808</v>
      </c>
      <c r="V3" s="1239">
        <f>'11 - Notes Follow-up'!Y25</f>
        <v>92384.73000000001</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10826314834.92</v>
      </c>
      <c r="AD3" s="1239">
        <f>'11bis - Notes Calculation'!E17</f>
        <v>10731409727.809999</v>
      </c>
      <c r="AE3" s="1239">
        <f>'11bis - Notes Calculation'!F17</f>
        <v>94905107.11000061</v>
      </c>
      <c r="AF3" s="1430">
        <f>'11bis - Notes Calculation'!H17</f>
        <v>1</v>
      </c>
      <c r="AG3" s="1239">
        <f>'11bis - Notes Calculation'!I17</f>
        <v>10194839630.92</v>
      </c>
      <c r="AH3" s="1239">
        <f>'11bis - Notes Calculation'!J17</f>
        <v>584.653500366956</v>
      </c>
      <c r="AI3" s="1239">
        <f>'11bis - Notes Calculation'!K17</f>
        <v>10731409727.809999</v>
      </c>
      <c r="AJ3" s="1417">
        <f>'11bis - Notes Calculation'!L17</f>
        <v>0.05</v>
      </c>
      <c r="AK3" s="1298">
        <f>'11bis - Notes Calculation'!N17</f>
        <v>0.05</v>
      </c>
      <c r="AL3" s="1239">
        <f>'11bis - Notes Calculation'!O17</f>
        <v>10731409727.809999</v>
      </c>
      <c r="AM3" s="1239">
        <f>'11bis - Notes Calculation'!P17</f>
        <v>536570486.39050001</v>
      </c>
      <c r="AN3" s="1239">
        <f>'11bis - Notes Calculation'!R17</f>
        <v>10731409727.809999</v>
      </c>
      <c r="AO3" s="1239">
        <f>'11bis - Notes Calculation'!S17</f>
        <v>536570486.39050001</v>
      </c>
      <c r="AP3" s="1239">
        <f>'11bis - Notes Calculation'!T17</f>
        <v>10194839241.4195</v>
      </c>
      <c r="AQ3" s="1239">
        <f>'11bis - Notes Calculation'!V17</f>
        <v>94905107.11000061</v>
      </c>
      <c r="AR3" s="1239">
        <f>'11bis - Notes Calculation'!W17</f>
        <v>10284999070.92</v>
      </c>
      <c r="AS3" s="1239">
        <f>'11bis - Notes Calculation'!X17</f>
        <v>536570486.39050001</v>
      </c>
      <c r="AT3" s="1239">
        <f>'11bis - Notes Calculation'!Y17</f>
        <v>57195505.539037473</v>
      </c>
      <c r="AU3" s="1241">
        <f>'11bis - Notes Calculation'!AB17</f>
        <v>77732</v>
      </c>
      <c r="AV3" s="1239">
        <f>'11bis - Notes Calculation'!AC17</f>
        <v>735.8</v>
      </c>
      <c r="AW3" s="1239">
        <f>'11bis - Notes Calculation'!AD17</f>
        <v>57195205.599999994</v>
      </c>
      <c r="AX3" s="1239">
        <f>'11bis - Notes Calculation'!AE17</f>
        <v>299.93903747946024</v>
      </c>
      <c r="AY3" s="1239">
        <f>'11bis - Notes Calculation'!AK17</f>
        <v>94905107.11000061</v>
      </c>
      <c r="AZ3" s="1239">
        <f>'11bis - Notes Calculation'!AL17</f>
        <v>90159440</v>
      </c>
      <c r="BA3" s="1239">
        <f>'11bis - Notes Calculation'!AM17</f>
        <v>4745277.6095008738</v>
      </c>
      <c r="BB3" s="1241">
        <f>'11bis - Notes Calculation'!AO17</f>
        <v>5808</v>
      </c>
      <c r="BC3" s="1239">
        <f>'11bis - Notes Calculation'!AP17</f>
        <v>817.02</v>
      </c>
      <c r="BD3" s="1239">
        <f>'11bis - Notes Calculation'!AQ17</f>
        <v>4745252.16</v>
      </c>
      <c r="BE3" s="1239">
        <f>'11bis - Notes Calculation'!AR17</f>
        <v>25.449500873684883</v>
      </c>
      <c r="BF3">
        <f>'12 - Notes Interest'!D17</f>
        <v>77732</v>
      </c>
      <c r="BG3" s="1239">
        <f>'12 - Notes Interest'!E17</f>
        <v>83936.960000000006</v>
      </c>
      <c r="BH3" s="1238">
        <f>'12 - Notes Interest'!F17</f>
        <v>46202</v>
      </c>
      <c r="BI3" s="1238">
        <f>'12 - Notes Interest'!G17</f>
        <v>46230</v>
      </c>
      <c r="BJ3">
        <f>'12 - Notes Interest'!H17</f>
        <v>28</v>
      </c>
      <c r="BK3" s="1430">
        <f>'12 - Notes Interest'!I17</f>
        <v>6.0000000000000001E-3</v>
      </c>
      <c r="BL3" s="1239">
        <f>'12 - Notes Interest'!J17</f>
        <v>38.630000000000003</v>
      </c>
      <c r="BM3" s="1239">
        <f>'12 - Notes Interest'!K17</f>
        <v>3002787.16</v>
      </c>
      <c r="BN3">
        <f>'12 - Notes Interest'!V17</f>
        <v>5808</v>
      </c>
      <c r="BO3">
        <f>'12 - Notes Interest'!W17</f>
        <v>93201.750000000015</v>
      </c>
      <c r="BP3" s="1238">
        <f>'12 - Notes Interest'!X17</f>
        <v>46202</v>
      </c>
      <c r="BQ3" s="1238">
        <f>'12 - Notes Interest'!Y17</f>
        <v>46230</v>
      </c>
      <c r="BR3">
        <f>'12 - Notes Interest'!Z17</f>
        <v>28</v>
      </c>
      <c r="BS3" s="1430">
        <f>'12 - Notes Interest'!AA17</f>
        <v>1.4999999999999999E-2</v>
      </c>
      <c r="BT3">
        <f>'12 - Notes Interest'!AB17</f>
        <v>107.25</v>
      </c>
      <c r="BU3">
        <f>'12 - Notes Interest'!AC17</f>
        <v>622908</v>
      </c>
      <c r="BV3" s="1239">
        <f>'10 - Reserve calculation'!C12</f>
        <v>10194839630.92</v>
      </c>
      <c r="BW3" s="1465">
        <f>'10 - Reserve calculation'!D12</f>
        <v>5.0000000000000001E-3</v>
      </c>
      <c r="BX3" s="1239">
        <f>'10 - Reserve calculation'!E12</f>
        <v>500000</v>
      </c>
      <c r="BY3" s="1239" t="str">
        <f>'10 - Reserve calculation'!F12</f>
        <v>Yes</v>
      </c>
      <c r="BZ3" s="1239" t="str">
        <f>'10 - Reserve calculation'!G12</f>
        <v>No</v>
      </c>
      <c r="CA3" s="1239">
        <f>'10 - Reserve calculation'!H12</f>
        <v>50980000</v>
      </c>
      <c r="CB3" s="1239">
        <f>'10 - Reserve calculation'!I12</f>
        <v>51430000</v>
      </c>
      <c r="CC3" s="1239">
        <f>'10 - Reserve calculation'!J12</f>
        <v>51430000</v>
      </c>
      <c r="CD3" s="1239">
        <f>'10 - Reserve calculation'!K12</f>
        <v>-450000</v>
      </c>
      <c r="CE3" s="1239">
        <f>'13 - Issuer Account'!I29</f>
        <v>98144.250014826655</v>
      </c>
      <c r="CF3" s="1239">
        <f>'13 - Issuer Account'!I41</f>
        <v>50980000</v>
      </c>
      <c r="CG3" s="1239">
        <f>'13 - Issuer Account'!I52</f>
        <v>0</v>
      </c>
      <c r="CH3" s="1239">
        <f>'15 - Priority of Payments'!J21</f>
        <v>110368449.09120145</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EB254"/>
  <sheetViews>
    <sheetView topLeftCell="CD1" zoomScale="85" zoomScaleNormal="85" workbookViewId="0">
      <selection activeCell="CP8" sqref="CP8"/>
    </sheetView>
  </sheetViews>
  <sheetFormatPr defaultColWidth="9.1796875" defaultRowHeight="14.5"/>
  <cols>
    <col min="1" max="1" width="16.54296875" style="1238" customWidth="1"/>
    <col min="2" max="2" width="16.54296875" customWidth="1"/>
    <col min="3" max="3" width="18.81640625" style="1239" customWidth="1"/>
    <col min="4" max="10" width="16.54296875" style="1239" customWidth="1"/>
    <col min="11" max="12" width="18.81640625" style="1239" customWidth="1"/>
    <col min="13" max="13" width="21.81640625" style="1239" customWidth="1"/>
    <col min="14" max="14" width="16.54296875" style="1239" customWidth="1"/>
    <col min="15" max="15" width="19.1796875" style="1239" customWidth="1"/>
    <col min="16" max="67" width="16.54296875" style="1239" customWidth="1"/>
    <col min="68" max="68" width="16.54296875" style="1238" customWidth="1"/>
    <col min="69" max="69" width="16.54296875" style="1241" customWidth="1"/>
    <col min="70" max="72" width="16.54296875" style="1239" customWidth="1"/>
    <col min="73" max="73" width="16.54296875" style="1241" customWidth="1"/>
    <col min="74" max="76" width="16.54296875" style="1239" customWidth="1"/>
    <col min="77" max="77" width="16.54296875" style="1241" customWidth="1"/>
    <col min="78" max="82" width="16.54296875" style="1239" customWidth="1"/>
    <col min="83" max="83" width="20.26953125" style="1239" customWidth="1"/>
    <col min="84" max="84" width="18.7265625" style="1241" customWidth="1"/>
    <col min="85" max="86" width="16.54296875" style="1239" customWidth="1"/>
    <col min="87" max="88" width="20.1796875" style="1239" customWidth="1"/>
    <col min="89" max="89" width="18.26953125" style="1241" customWidth="1"/>
    <col min="90" max="91" width="16.54296875" style="1239" customWidth="1"/>
    <col min="92" max="93" width="18.453125" style="1239" customWidth="1"/>
    <col min="94" max="94" width="17.7265625" style="1241" customWidth="1"/>
    <col min="95" max="95" width="16.54296875" style="1238" customWidth="1"/>
    <col min="96" max="96" width="20.1796875" style="1239" customWidth="1"/>
    <col min="97" max="97" width="16.54296875" style="1241" customWidth="1"/>
    <col min="98" max="98" width="16.54296875" style="1239" customWidth="1"/>
    <col min="99" max="99" width="16.54296875" style="1241" customWidth="1"/>
    <col min="100" max="100" width="16.54296875" style="1239" customWidth="1"/>
    <col min="101" max="101" width="16.54296875" style="1241" customWidth="1"/>
    <col min="102" max="102" width="16.54296875" style="1239" customWidth="1"/>
    <col min="103" max="103" width="16.54296875" style="1241" customWidth="1"/>
    <col min="104" max="104" width="16.54296875" style="1239" customWidth="1"/>
    <col min="105" max="105" width="16.54296875" style="1241" customWidth="1"/>
    <col min="106" max="106" width="16.54296875" style="1239" customWidth="1"/>
    <col min="107" max="107" width="16.54296875" style="1241" customWidth="1"/>
    <col min="108" max="108" width="16.54296875" style="1239" customWidth="1"/>
    <col min="109" max="109" width="16.54296875" style="1241" customWidth="1"/>
    <col min="110" max="110" width="16.54296875" style="1239" customWidth="1"/>
    <col min="111" max="111" width="16.54296875" style="1241" customWidth="1"/>
    <col min="112" max="112" width="16.54296875" style="1239" customWidth="1"/>
    <col min="113" max="113" width="16.54296875" style="1241" customWidth="1"/>
    <col min="114" max="114" width="16.54296875" style="1239" customWidth="1"/>
    <col min="115" max="115" width="16.54296875" style="1241" customWidth="1"/>
    <col min="116" max="116" width="16.54296875" style="1239" customWidth="1"/>
    <col min="117" max="117" width="16.54296875" style="1241" customWidth="1"/>
    <col min="118" max="118" width="16.54296875" style="1239" customWidth="1"/>
    <col min="119" max="119" width="16.54296875" style="1241" customWidth="1"/>
    <col min="120" max="120" width="16.54296875" style="1239" customWidth="1"/>
    <col min="121" max="121" width="16.54296875" style="1241" customWidth="1"/>
    <col min="122" max="122" width="32" style="1239" bestFit="1" customWidth="1"/>
    <col min="123" max="123" width="32" style="1241" customWidth="1"/>
    <col min="124" max="124" width="16.54296875" style="1239" customWidth="1"/>
    <col min="125" max="125" width="16.54296875" style="1241" customWidth="1"/>
    <col min="126" max="126" width="16.54296875" style="1651" customWidth="1"/>
    <col min="127" max="127" width="16.54296875" style="1238" customWidth="1"/>
    <col min="128" max="128" width="16.54296875" style="1329" customWidth="1"/>
    <col min="129" max="129" width="44.81640625" bestFit="1" customWidth="1"/>
    <col min="130" max="130" width="18.7265625" style="1239" customWidth="1"/>
    <col min="131" max="131" width="18.7265625" style="1241" customWidth="1"/>
    <col min="132" max="132" width="18.7265625" style="1239" customWidth="1"/>
  </cols>
  <sheetData>
    <row r="1" spans="1:132" ht="20.5" thickBot="1">
      <c r="A1" s="2189" t="s">
        <v>680</v>
      </c>
      <c r="B1" s="2190"/>
      <c r="C1" s="2190"/>
      <c r="D1" s="2190"/>
      <c r="E1" s="2190"/>
      <c r="F1" s="2190"/>
      <c r="G1" s="2190"/>
      <c r="H1" s="2190"/>
      <c r="I1" s="2190"/>
      <c r="J1" s="2190"/>
      <c r="K1" s="2190"/>
      <c r="L1" s="2191"/>
      <c r="M1" s="2190"/>
      <c r="N1" s="2190"/>
      <c r="O1" s="2190"/>
      <c r="P1" s="2200" t="s">
        <v>681</v>
      </c>
      <c r="Q1" s="2201"/>
      <c r="R1" s="2201"/>
      <c r="S1" s="2201"/>
      <c r="T1" s="2201"/>
      <c r="U1" s="2201"/>
      <c r="V1" s="2201"/>
      <c r="W1" s="2201"/>
      <c r="X1" s="2201"/>
      <c r="Y1" s="2201"/>
      <c r="Z1" s="2201"/>
      <c r="AA1" s="2201"/>
      <c r="AB1" s="2201"/>
      <c r="AC1" s="2201"/>
      <c r="AD1" s="2201"/>
      <c r="AE1" s="2201"/>
      <c r="AF1" s="2201"/>
      <c r="AG1" s="2201"/>
      <c r="AH1" s="2202"/>
      <c r="AI1" s="2202"/>
      <c r="AJ1" s="2202"/>
      <c r="AK1" s="2201"/>
      <c r="AL1" s="2201"/>
      <c r="AM1" s="2201"/>
      <c r="AN1" s="2201"/>
      <c r="AO1" s="2201"/>
      <c r="AP1" s="2201"/>
      <c r="AQ1" s="2201"/>
      <c r="AR1" s="2201"/>
      <c r="AS1" s="2203"/>
      <c r="AT1" s="2200" t="s">
        <v>59</v>
      </c>
      <c r="AU1" s="2201"/>
      <c r="AV1" s="2201"/>
      <c r="AW1" s="2201"/>
      <c r="AX1" s="2201"/>
      <c r="AY1" s="2201"/>
      <c r="AZ1" s="2201"/>
      <c r="BA1" s="2201"/>
      <c r="BB1" s="2201"/>
      <c r="BC1" s="2201"/>
      <c r="BD1" s="2201"/>
      <c r="BE1" s="2201"/>
      <c r="BF1" s="2201"/>
      <c r="BG1" s="2201"/>
      <c r="BH1" s="2201"/>
      <c r="BI1" s="2201"/>
      <c r="BJ1" s="2201"/>
      <c r="BK1" s="2201"/>
      <c r="BL1" s="2200" t="s">
        <v>682</v>
      </c>
      <c r="BM1" s="2201"/>
      <c r="BN1" s="2201"/>
      <c r="BO1" s="2203"/>
      <c r="BP1" s="1671"/>
      <c r="BQ1" s="1285" t="s">
        <v>779</v>
      </c>
      <c r="BR1" s="1283"/>
      <c r="BS1" s="1283"/>
      <c r="BT1" s="1283"/>
      <c r="BU1" s="1285"/>
      <c r="BV1" s="1283"/>
      <c r="BW1" s="1283"/>
      <c r="BX1" s="1283"/>
      <c r="BY1" s="1285"/>
      <c r="BZ1" s="1283"/>
      <c r="CA1" s="1283"/>
      <c r="CB1" s="1283"/>
      <c r="CC1" s="1283"/>
      <c r="CD1" s="1283"/>
      <c r="CE1" s="1283"/>
      <c r="CF1" s="1285"/>
      <c r="CG1" s="1283"/>
      <c r="CH1" s="1283"/>
      <c r="CI1" s="1283"/>
      <c r="CJ1" s="1283"/>
      <c r="CK1" s="1285"/>
      <c r="CL1" s="1283"/>
      <c r="CM1" s="1283"/>
      <c r="CN1" s="1283"/>
      <c r="CO1" s="1283"/>
      <c r="CP1" s="1285"/>
      <c r="CQ1" s="1231" t="s">
        <v>683</v>
      </c>
      <c r="CR1" s="1232"/>
      <c r="CS1" s="1240"/>
      <c r="CT1" s="1232"/>
      <c r="CU1" s="1240"/>
      <c r="CV1" s="1232"/>
      <c r="CW1" s="1240"/>
      <c r="CX1" s="1232"/>
      <c r="CY1" s="1240"/>
      <c r="CZ1" s="1232"/>
      <c r="DA1" s="1240"/>
      <c r="DB1" s="1230"/>
      <c r="DC1" s="1242"/>
      <c r="DD1" s="1230"/>
      <c r="DE1" s="1242"/>
      <c r="DF1" s="1232"/>
      <c r="DG1" s="1240"/>
      <c r="DH1" s="1232"/>
      <c r="DI1" s="1240"/>
      <c r="DJ1" s="1230"/>
      <c r="DK1" s="1242"/>
      <c r="DL1" s="1230"/>
      <c r="DM1" s="1242"/>
      <c r="DN1" s="1232"/>
      <c r="DO1" s="1240"/>
      <c r="DP1" s="1232"/>
      <c r="DQ1" s="1240"/>
      <c r="DR1" s="1232"/>
      <c r="DS1" s="1240"/>
      <c r="DT1" s="1232"/>
      <c r="DU1" s="1732"/>
      <c r="DV1" s="1650"/>
      <c r="DW1" s="2204" t="s">
        <v>684</v>
      </c>
      <c r="DX1" s="2205"/>
      <c r="DY1" s="2205"/>
      <c r="DZ1" s="2205"/>
      <c r="EA1" s="2206"/>
    </row>
    <row r="2" spans="1:132" ht="30.65" customHeight="1">
      <c r="A2" s="2181" t="s">
        <v>685</v>
      </c>
      <c r="B2" s="2183" t="s">
        <v>686</v>
      </c>
      <c r="C2" s="2185" t="s">
        <v>687</v>
      </c>
      <c r="D2" s="2187" t="s">
        <v>688</v>
      </c>
      <c r="E2" s="2192" t="s">
        <v>47</v>
      </c>
      <c r="F2" s="2192" t="s">
        <v>48</v>
      </c>
      <c r="G2" s="2194" t="s">
        <v>49</v>
      </c>
      <c r="H2" s="2195"/>
      <c r="I2" s="2196"/>
      <c r="J2" s="2192" t="s">
        <v>50</v>
      </c>
      <c r="K2" s="2192" t="s">
        <v>689</v>
      </c>
      <c r="L2" s="2192" t="s">
        <v>1160</v>
      </c>
      <c r="M2" s="2197" t="s">
        <v>52</v>
      </c>
      <c r="N2" s="2197" t="s">
        <v>67</v>
      </c>
      <c r="O2" s="2198" t="s">
        <v>690</v>
      </c>
      <c r="P2" s="2207" t="s">
        <v>691</v>
      </c>
      <c r="Q2" s="2208"/>
      <c r="R2" s="2209"/>
      <c r="S2" s="2180" t="s">
        <v>58</v>
      </c>
      <c r="T2" s="2180"/>
      <c r="U2" s="2180"/>
      <c r="V2" s="2180" t="s">
        <v>692</v>
      </c>
      <c r="W2" s="2180"/>
      <c r="X2" s="2180"/>
      <c r="Y2" s="2180" t="s">
        <v>60</v>
      </c>
      <c r="Z2" s="2180"/>
      <c r="AA2" s="2180"/>
      <c r="AB2" s="2180" t="s">
        <v>693</v>
      </c>
      <c r="AC2" s="2180"/>
      <c r="AD2" s="2180"/>
      <c r="AE2" s="2180" t="s">
        <v>694</v>
      </c>
      <c r="AF2" s="2180"/>
      <c r="AG2" s="2180"/>
      <c r="AH2" s="2180" t="s">
        <v>1161</v>
      </c>
      <c r="AI2" s="2180"/>
      <c r="AJ2" s="2180"/>
      <c r="AK2" s="2180" t="s">
        <v>63</v>
      </c>
      <c r="AL2" s="2180"/>
      <c r="AM2" s="2180"/>
      <c r="AN2" s="2180" t="s">
        <v>64</v>
      </c>
      <c r="AO2" s="2180"/>
      <c r="AP2" s="2180"/>
      <c r="AQ2" s="2180" t="s">
        <v>695</v>
      </c>
      <c r="AR2" s="2180"/>
      <c r="AS2" s="2212"/>
      <c r="AT2" s="2210" t="s">
        <v>78</v>
      </c>
      <c r="AU2" s="2210" t="s">
        <v>712</v>
      </c>
      <c r="AV2" s="2210" t="s">
        <v>80</v>
      </c>
      <c r="AW2" s="2210" t="s">
        <v>81</v>
      </c>
      <c r="AX2" s="2210" t="s">
        <v>82</v>
      </c>
      <c r="AY2" s="2210" t="s">
        <v>83</v>
      </c>
      <c r="AZ2" s="2210" t="s">
        <v>84</v>
      </c>
      <c r="BA2" s="2210" t="s">
        <v>85</v>
      </c>
      <c r="BB2" s="2210" t="s">
        <v>1117</v>
      </c>
      <c r="BC2" s="2210" t="s">
        <v>87</v>
      </c>
      <c r="BD2" s="2210" t="s">
        <v>88</v>
      </c>
      <c r="BE2" s="2210" t="s">
        <v>89</v>
      </c>
      <c r="BF2" s="2210" t="s">
        <v>90</v>
      </c>
      <c r="BG2" s="2210" t="s">
        <v>91</v>
      </c>
      <c r="BH2" s="2210" t="s">
        <v>92</v>
      </c>
      <c r="BI2" s="2210" t="s">
        <v>95</v>
      </c>
      <c r="BJ2" s="2210" t="s">
        <v>93</v>
      </c>
      <c r="BK2" s="2210" t="s">
        <v>94</v>
      </c>
      <c r="BL2" s="2210" t="s">
        <v>696</v>
      </c>
      <c r="BM2" s="2210" t="s">
        <v>697</v>
      </c>
      <c r="BN2" s="2210" t="s">
        <v>698</v>
      </c>
      <c r="BO2" s="2212" t="s">
        <v>699</v>
      </c>
      <c r="BP2" s="2216" t="s">
        <v>685</v>
      </c>
      <c r="BQ2" s="1351" t="s">
        <v>780</v>
      </c>
      <c r="BR2" s="1352"/>
      <c r="BS2" s="1353"/>
      <c r="BT2" s="1352"/>
      <c r="BU2" s="1351" t="s">
        <v>782</v>
      </c>
      <c r="BV2" s="1352"/>
      <c r="BW2" s="1353"/>
      <c r="BX2" s="1352"/>
      <c r="BY2" s="1351" t="s">
        <v>783</v>
      </c>
      <c r="BZ2" s="1352"/>
      <c r="CA2" s="1353"/>
      <c r="CB2" s="1844"/>
      <c r="CC2" s="1876" t="s">
        <v>785</v>
      </c>
      <c r="CD2" s="1844"/>
      <c r="CE2" s="1844"/>
      <c r="CF2" s="1845"/>
      <c r="CG2" s="1844" t="s">
        <v>784</v>
      </c>
      <c r="CH2" s="1844"/>
      <c r="CI2" s="1844"/>
      <c r="CJ2" s="1844"/>
      <c r="CK2" s="1845"/>
      <c r="CL2" s="1844" t="s">
        <v>1879</v>
      </c>
      <c r="CM2" s="1844"/>
      <c r="CN2" s="1844"/>
      <c r="CO2" s="1844"/>
      <c r="CP2" s="1845"/>
      <c r="CQ2" s="2216" t="s">
        <v>685</v>
      </c>
      <c r="CR2" s="2210" t="s">
        <v>700</v>
      </c>
      <c r="CS2" s="2213" t="s">
        <v>701</v>
      </c>
      <c r="CT2" s="2210" t="s">
        <v>702</v>
      </c>
      <c r="CU2" s="2213" t="s">
        <v>703</v>
      </c>
      <c r="CV2" s="2210" t="s">
        <v>704</v>
      </c>
      <c r="CW2" s="2213" t="s">
        <v>705</v>
      </c>
      <c r="CX2" s="2210" t="s">
        <v>706</v>
      </c>
      <c r="CY2" s="2213" t="s">
        <v>707</v>
      </c>
      <c r="CZ2" s="2210" t="s">
        <v>713</v>
      </c>
      <c r="DA2" s="2213" t="s">
        <v>714</v>
      </c>
      <c r="DB2" s="2210" t="s">
        <v>715</v>
      </c>
      <c r="DC2" s="2213" t="s">
        <v>716</v>
      </c>
      <c r="DD2" s="2210" t="s">
        <v>717</v>
      </c>
      <c r="DE2" s="2213" t="s">
        <v>718</v>
      </c>
      <c r="DF2" s="2210" t="s">
        <v>719</v>
      </c>
      <c r="DG2" s="2213" t="s">
        <v>720</v>
      </c>
      <c r="DH2" s="2210" t="s">
        <v>722</v>
      </c>
      <c r="DI2" s="2213" t="s">
        <v>721</v>
      </c>
      <c r="DJ2" s="2210" t="s">
        <v>723</v>
      </c>
      <c r="DK2" s="2213" t="s">
        <v>724</v>
      </c>
      <c r="DL2" s="2210" t="s">
        <v>727</v>
      </c>
      <c r="DM2" s="2213" t="s">
        <v>725</v>
      </c>
      <c r="DN2" s="2210" t="s">
        <v>726</v>
      </c>
      <c r="DO2" s="2213" t="s">
        <v>728</v>
      </c>
      <c r="DP2" s="2210" t="s">
        <v>729</v>
      </c>
      <c r="DQ2" s="2213" t="s">
        <v>731</v>
      </c>
      <c r="DR2" s="2210" t="s">
        <v>730</v>
      </c>
      <c r="DS2" s="2213" t="s">
        <v>732</v>
      </c>
      <c r="DT2" s="2210" t="s">
        <v>733</v>
      </c>
      <c r="DU2" s="2219" t="s">
        <v>734</v>
      </c>
      <c r="DV2" s="2221" t="s">
        <v>1878</v>
      </c>
      <c r="DW2" s="2218" t="s">
        <v>685</v>
      </c>
      <c r="DX2" s="2223" t="s">
        <v>708</v>
      </c>
      <c r="DY2" s="2223" t="s">
        <v>709</v>
      </c>
      <c r="DZ2" s="2225" t="s">
        <v>398</v>
      </c>
      <c r="EA2" s="2226" t="s">
        <v>710</v>
      </c>
    </row>
    <row r="3" spans="1:132" ht="29.5" thickBot="1">
      <c r="A3" s="2182"/>
      <c r="B3" s="2184"/>
      <c r="C3" s="2186"/>
      <c r="D3" s="2188"/>
      <c r="E3" s="2193"/>
      <c r="F3" s="2193"/>
      <c r="G3" s="1233" t="s">
        <v>68</v>
      </c>
      <c r="H3" s="1233" t="s">
        <v>69</v>
      </c>
      <c r="I3" s="1233" t="s">
        <v>70</v>
      </c>
      <c r="J3" s="2193"/>
      <c r="K3" s="2193"/>
      <c r="L3" s="2193"/>
      <c r="M3" s="2193"/>
      <c r="N3" s="2193"/>
      <c r="O3" s="2199"/>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211"/>
      <c r="AU3" s="2211"/>
      <c r="AV3" s="2211"/>
      <c r="AW3" s="2211"/>
      <c r="AX3" s="2211"/>
      <c r="AY3" s="2211"/>
      <c r="AZ3" s="2211"/>
      <c r="BA3" s="2211"/>
      <c r="BB3" s="2211"/>
      <c r="BC3" s="2211"/>
      <c r="BD3" s="2211"/>
      <c r="BE3" s="2211"/>
      <c r="BF3" s="2211"/>
      <c r="BG3" s="2211"/>
      <c r="BH3" s="2211"/>
      <c r="BI3" s="2211"/>
      <c r="BJ3" s="2211"/>
      <c r="BK3" s="2211"/>
      <c r="BL3" s="2211"/>
      <c r="BM3" s="2211"/>
      <c r="BN3" s="2211"/>
      <c r="BO3" s="2215"/>
      <c r="BP3" s="2217"/>
      <c r="BQ3" s="1286" t="s">
        <v>710</v>
      </c>
      <c r="BR3" s="1284" t="s">
        <v>398</v>
      </c>
      <c r="BS3" s="1875" t="s">
        <v>781</v>
      </c>
      <c r="BT3" s="1237" t="s">
        <v>171</v>
      </c>
      <c r="BU3" s="1286" t="s">
        <v>710</v>
      </c>
      <c r="BV3" s="1284" t="s">
        <v>398</v>
      </c>
      <c r="BW3" s="1875" t="s">
        <v>781</v>
      </c>
      <c r="BX3" s="1237" t="s">
        <v>171</v>
      </c>
      <c r="BY3" s="1286" t="s">
        <v>710</v>
      </c>
      <c r="BZ3" s="1284" t="s">
        <v>398</v>
      </c>
      <c r="CA3" s="1875" t="s">
        <v>781</v>
      </c>
      <c r="CB3" s="1237" t="s">
        <v>171</v>
      </c>
      <c r="CC3" s="1287" t="s">
        <v>786</v>
      </c>
      <c r="CD3" s="1284" t="s">
        <v>787</v>
      </c>
      <c r="CE3" s="1284" t="s">
        <v>788</v>
      </c>
      <c r="CF3" s="1288" t="s">
        <v>789</v>
      </c>
      <c r="CG3" s="1287" t="s">
        <v>786</v>
      </c>
      <c r="CH3" s="1284" t="s">
        <v>787</v>
      </c>
      <c r="CI3" s="1284" t="s">
        <v>788</v>
      </c>
      <c r="CJ3" s="1284" t="s">
        <v>1948</v>
      </c>
      <c r="CK3" s="1288" t="s">
        <v>789</v>
      </c>
      <c r="CL3" s="1287" t="s">
        <v>786</v>
      </c>
      <c r="CM3" s="1284" t="s">
        <v>787</v>
      </c>
      <c r="CN3" s="1284" t="s">
        <v>788</v>
      </c>
      <c r="CO3" s="1284" t="s">
        <v>1948</v>
      </c>
      <c r="CP3" s="1288" t="s">
        <v>789</v>
      </c>
      <c r="CQ3" s="2217"/>
      <c r="CR3" s="2211"/>
      <c r="CS3" s="2214"/>
      <c r="CT3" s="2211"/>
      <c r="CU3" s="2214"/>
      <c r="CV3" s="2211"/>
      <c r="CW3" s="2214"/>
      <c r="CX3" s="2211"/>
      <c r="CY3" s="2214"/>
      <c r="CZ3" s="2211"/>
      <c r="DA3" s="2214"/>
      <c r="DB3" s="2211"/>
      <c r="DC3" s="2214"/>
      <c r="DD3" s="2211"/>
      <c r="DE3" s="2214"/>
      <c r="DF3" s="2211"/>
      <c r="DG3" s="2214"/>
      <c r="DH3" s="2211"/>
      <c r="DI3" s="2214"/>
      <c r="DJ3" s="2211"/>
      <c r="DK3" s="2214"/>
      <c r="DL3" s="2211"/>
      <c r="DM3" s="2214"/>
      <c r="DN3" s="2211"/>
      <c r="DO3" s="2214"/>
      <c r="DP3" s="2211"/>
      <c r="DQ3" s="2214"/>
      <c r="DR3" s="2211"/>
      <c r="DS3" s="2214"/>
      <c r="DT3" s="2211"/>
      <c r="DU3" s="2220"/>
      <c r="DV3" s="2222"/>
      <c r="DW3" s="2182"/>
      <c r="DX3" s="2224"/>
      <c r="DY3" s="2224"/>
      <c r="DZ3" s="2211"/>
      <c r="EA3" s="2227"/>
    </row>
    <row r="4" spans="1:132">
      <c r="A4" s="1238">
        <v>46203</v>
      </c>
      <c r="B4" t="s">
        <v>711</v>
      </c>
      <c r="C4" s="1239">
        <v>10826314196.07</v>
      </c>
      <c r="D4" s="1239">
        <v>0</v>
      </c>
      <c r="E4" s="1239">
        <v>57741420.229999997</v>
      </c>
      <c r="F4" s="1239">
        <v>21785339.800000001</v>
      </c>
      <c r="G4" s="1239">
        <v>0</v>
      </c>
      <c r="H4" s="1239">
        <v>0</v>
      </c>
      <c r="I4" s="1239">
        <v>0</v>
      </c>
      <c r="J4" s="1239">
        <v>0</v>
      </c>
      <c r="K4" s="1239">
        <v>1114351.0900000001</v>
      </c>
      <c r="L4" s="1239">
        <v>0</v>
      </c>
      <c r="M4" s="1239">
        <v>6910945.4800000004</v>
      </c>
      <c r="N4" s="1239">
        <v>7352411.6600000001</v>
      </c>
      <c r="O4" s="1239">
        <v>10731409727.809999</v>
      </c>
      <c r="P4" s="1239">
        <v>725774.75</v>
      </c>
      <c r="Q4" s="1239">
        <v>150401.01999999999</v>
      </c>
      <c r="R4" s="1239">
        <v>0</v>
      </c>
      <c r="S4" s="1239">
        <v>235995.63</v>
      </c>
      <c r="T4" s="1239">
        <v>60128.87</v>
      </c>
      <c r="U4" s="1239">
        <v>0</v>
      </c>
      <c r="V4" s="1239">
        <v>176875.08</v>
      </c>
      <c r="W4" s="1239">
        <v>35922.300000000003</v>
      </c>
      <c r="X4" s="1239">
        <v>0</v>
      </c>
      <c r="Y4" s="1239">
        <v>0</v>
      </c>
      <c r="Z4" s="1239">
        <v>0</v>
      </c>
      <c r="AA4" s="1239">
        <v>0</v>
      </c>
      <c r="AB4" s="1239">
        <v>0</v>
      </c>
      <c r="AC4" s="1239">
        <v>0</v>
      </c>
      <c r="AD4" s="1239">
        <v>0</v>
      </c>
      <c r="AE4" s="1239">
        <v>16355.01</v>
      </c>
      <c r="AF4" s="1239">
        <v>3562.25</v>
      </c>
      <c r="AG4" s="1239">
        <v>0</v>
      </c>
      <c r="AH4" s="1239">
        <v>0</v>
      </c>
      <c r="AI4" s="1239">
        <v>0</v>
      </c>
      <c r="AJ4" s="1239">
        <v>0</v>
      </c>
      <c r="AK4" s="1239">
        <v>480.84</v>
      </c>
      <c r="AL4" s="1239">
        <v>59.79</v>
      </c>
      <c r="AM4" s="1239">
        <v>0</v>
      </c>
      <c r="AN4" s="1239">
        <v>12272.12</v>
      </c>
      <c r="AO4" s="1239">
        <v>6735.73</v>
      </c>
      <c r="AP4" s="1239">
        <v>0</v>
      </c>
      <c r="AQ4" s="1239">
        <v>755787.33</v>
      </c>
      <c r="AR4" s="1239">
        <v>164249.82</v>
      </c>
      <c r="AS4" s="1239">
        <v>0</v>
      </c>
      <c r="AT4" s="1239">
        <v>57505424.600000001</v>
      </c>
      <c r="AU4" s="1239">
        <v>176875.08</v>
      </c>
      <c r="AV4" s="1239">
        <v>21785339.800000001</v>
      </c>
      <c r="AW4" s="1239">
        <v>79467639.480000004</v>
      </c>
      <c r="AX4" s="1239">
        <v>15098891.300000001</v>
      </c>
      <c r="AY4" s="1239">
        <v>35922.300000000003</v>
      </c>
      <c r="AZ4" s="1239">
        <v>0</v>
      </c>
      <c r="BA4" s="1239">
        <v>0</v>
      </c>
      <c r="BB4" s="1239">
        <v>0</v>
      </c>
      <c r="BC4" s="1239">
        <v>121522.6</v>
      </c>
      <c r="BD4" s="1239">
        <v>0</v>
      </c>
      <c r="BE4" s="1239">
        <v>0</v>
      </c>
      <c r="BF4" s="1239">
        <v>15256336.199999999</v>
      </c>
      <c r="BG4" s="1239">
        <v>0</v>
      </c>
      <c r="BH4" s="1239">
        <v>0</v>
      </c>
      <c r="BI4" s="1239">
        <v>0</v>
      </c>
      <c r="BJ4" s="1239">
        <v>94723975.680000007</v>
      </c>
      <c r="BK4" s="1239">
        <v>94723975.680000007</v>
      </c>
      <c r="BL4" s="1239">
        <v>11854715.85</v>
      </c>
      <c r="BM4" s="1239">
        <v>11854715.85</v>
      </c>
      <c r="BN4" s="1239">
        <v>7816.88</v>
      </c>
      <c r="BO4" s="1239">
        <v>11233.34</v>
      </c>
      <c r="BP4" s="1238">
        <v>46203</v>
      </c>
      <c r="BQ4" s="1241">
        <v>2</v>
      </c>
      <c r="BR4" s="1239">
        <v>239030.63999999998</v>
      </c>
      <c r="BS4" s="1239">
        <v>35.33</v>
      </c>
      <c r="BT4" s="1239">
        <v>0</v>
      </c>
      <c r="BU4" s="1241">
        <v>6</v>
      </c>
      <c r="BV4" s="1239">
        <v>1020839.5900000001</v>
      </c>
      <c r="BW4" s="1239">
        <v>729.40000000000009</v>
      </c>
      <c r="BX4" s="1239">
        <v>0</v>
      </c>
      <c r="BY4" s="1241">
        <v>28</v>
      </c>
      <c r="BZ4" s="1239">
        <v>5651075.25</v>
      </c>
      <c r="CA4" s="1239">
        <v>6848.0100000000011</v>
      </c>
      <c r="CB4" s="1239">
        <v>540.63</v>
      </c>
      <c r="CC4" s="1239">
        <v>6036277.3100000005</v>
      </c>
      <c r="CD4" s="1239">
        <v>6594.0400000000018</v>
      </c>
      <c r="CE4" s="1239">
        <v>540.63</v>
      </c>
      <c r="CF4" s="1241">
        <v>33</v>
      </c>
      <c r="CG4" s="1239">
        <v>874668.17</v>
      </c>
      <c r="CH4" s="1239">
        <v>1018.7</v>
      </c>
      <c r="CI4" s="1239">
        <v>0</v>
      </c>
      <c r="CJ4" s="1239">
        <v>0</v>
      </c>
      <c r="CK4" s="1241">
        <v>3</v>
      </c>
      <c r="CL4" s="1239">
        <v>872226.22000000009</v>
      </c>
      <c r="CM4" s="1239">
        <v>1015.99</v>
      </c>
      <c r="CN4" s="1239">
        <v>200007.20999999996</v>
      </c>
      <c r="CO4" s="1239">
        <v>238742.57880000002</v>
      </c>
      <c r="CP4" s="1241">
        <v>7</v>
      </c>
      <c r="CQ4" s="1238">
        <v>46203</v>
      </c>
      <c r="CR4" s="1239">
        <v>10666577681.190001</v>
      </c>
      <c r="CS4" s="1241">
        <v>72773</v>
      </c>
      <c r="CT4" s="1239">
        <v>39614445.840000004</v>
      </c>
      <c r="CU4" s="1241">
        <v>213</v>
      </c>
      <c r="CV4" s="1239">
        <v>13316975.140000001</v>
      </c>
      <c r="CW4" s="1241">
        <v>87</v>
      </c>
      <c r="CX4" s="1239">
        <v>4139418.21</v>
      </c>
      <c r="CY4" s="1241">
        <v>32</v>
      </c>
      <c r="CZ4" s="1239">
        <v>1712270.99</v>
      </c>
      <c r="DA4" s="1241">
        <v>17</v>
      </c>
      <c r="DB4" s="1239">
        <v>2323713.23</v>
      </c>
      <c r="DC4" s="1241">
        <v>13</v>
      </c>
      <c r="DD4" s="1239">
        <v>634631.61</v>
      </c>
      <c r="DE4" s="1241">
        <v>5</v>
      </c>
      <c r="DF4" s="1239">
        <v>839203.76</v>
      </c>
      <c r="DG4" s="1241">
        <v>9</v>
      </c>
      <c r="DH4" s="1239">
        <v>671748.77</v>
      </c>
      <c r="DI4" s="1241">
        <v>6</v>
      </c>
      <c r="DJ4" s="1239">
        <v>504208.82</v>
      </c>
      <c r="DK4" s="1241">
        <v>5</v>
      </c>
      <c r="DL4" s="1239">
        <v>770857.87</v>
      </c>
      <c r="DM4" s="1241">
        <v>4</v>
      </c>
      <c r="DN4" s="1239">
        <v>226279.05</v>
      </c>
      <c r="DO4" s="1241">
        <v>3</v>
      </c>
      <c r="DP4" s="1239">
        <v>78293.33</v>
      </c>
      <c r="DQ4" s="1241">
        <v>1</v>
      </c>
      <c r="DR4" s="1239">
        <v>751161.99</v>
      </c>
      <c r="DS4" s="1241">
        <v>8</v>
      </c>
      <c r="DT4" s="1239">
        <v>0</v>
      </c>
      <c r="DU4" s="1768">
        <v>0</v>
      </c>
      <c r="DV4" s="1651">
        <v>1.6806999999999999E-2</v>
      </c>
      <c r="DW4" s="1238">
        <v>46203</v>
      </c>
      <c r="DX4" s="1328" t="s">
        <v>2082</v>
      </c>
      <c r="DY4" t="s">
        <v>424</v>
      </c>
      <c r="DZ4" s="1239">
        <v>0</v>
      </c>
      <c r="EA4" s="1241">
        <v>61257</v>
      </c>
      <c r="EB4" s="1239">
        <v>0</v>
      </c>
    </row>
    <row r="5" spans="1:132">
      <c r="A5" s="1238">
        <v>46203</v>
      </c>
      <c r="B5" t="s">
        <v>340</v>
      </c>
      <c r="C5" s="1239">
        <v>874993.34</v>
      </c>
      <c r="D5" s="1239">
        <v>0</v>
      </c>
      <c r="E5" s="1239">
        <v>365956.22</v>
      </c>
      <c r="F5" s="1239">
        <v>0</v>
      </c>
      <c r="G5" s="1239">
        <v>0</v>
      </c>
      <c r="H5" s="1239">
        <v>0</v>
      </c>
      <c r="I5" s="1239">
        <v>0</v>
      </c>
      <c r="J5" s="1239">
        <v>0</v>
      </c>
      <c r="K5" s="1239">
        <v>1114351.0900000001</v>
      </c>
      <c r="L5" s="1239">
        <v>0</v>
      </c>
      <c r="M5" s="1239">
        <v>872226.22</v>
      </c>
      <c r="N5" s="1239">
        <v>0</v>
      </c>
      <c r="O5" s="1239">
        <v>751161.99</v>
      </c>
      <c r="P5" s="1239">
        <v>31279.87</v>
      </c>
      <c r="Q5" s="1239">
        <v>10195.69</v>
      </c>
      <c r="R5" s="1239">
        <v>0</v>
      </c>
      <c r="S5" s="1239">
        <v>309615.06</v>
      </c>
      <c r="T5" s="1239">
        <v>1554.45</v>
      </c>
      <c r="U5" s="1239">
        <v>0</v>
      </c>
      <c r="V5" s="1239">
        <v>0</v>
      </c>
      <c r="W5" s="1239">
        <v>0</v>
      </c>
      <c r="X5" s="1239">
        <v>0</v>
      </c>
      <c r="Y5" s="1239">
        <v>0</v>
      </c>
      <c r="Z5" s="1239">
        <v>0</v>
      </c>
      <c r="AA5" s="1239">
        <v>0</v>
      </c>
      <c r="AB5" s="1239">
        <v>0</v>
      </c>
      <c r="AC5" s="1239">
        <v>0</v>
      </c>
      <c r="AD5" s="1239">
        <v>0</v>
      </c>
      <c r="AE5" s="1239">
        <v>16355.01</v>
      </c>
      <c r="AF5" s="1239">
        <v>3562.25</v>
      </c>
      <c r="AG5" s="1239">
        <v>0</v>
      </c>
      <c r="AH5" s="1239">
        <v>0</v>
      </c>
      <c r="AI5" s="1239">
        <v>0</v>
      </c>
      <c r="AJ5" s="1239">
        <v>0</v>
      </c>
      <c r="AK5" s="1239">
        <v>190215.57</v>
      </c>
      <c r="AL5" s="1239">
        <v>9791.64</v>
      </c>
      <c r="AM5" s="1239">
        <v>0</v>
      </c>
      <c r="AN5" s="1239">
        <v>0</v>
      </c>
      <c r="AO5" s="1239">
        <v>0</v>
      </c>
      <c r="AP5" s="1239">
        <v>0</v>
      </c>
      <c r="AQ5" s="1239">
        <v>167034.37</v>
      </c>
      <c r="AR5" s="1239">
        <v>5520.75</v>
      </c>
      <c r="AS5" s="1239">
        <v>0</v>
      </c>
      <c r="AT5" s="1239">
        <v>56341.16</v>
      </c>
      <c r="AU5" s="1239">
        <v>0</v>
      </c>
      <c r="AV5" s="1239">
        <v>0</v>
      </c>
      <c r="AW5" s="1239">
        <v>56341.16</v>
      </c>
      <c r="AX5" s="1239">
        <v>1030.72</v>
      </c>
      <c r="AY5" s="1239">
        <v>0</v>
      </c>
      <c r="AZ5" s="1239">
        <v>0</v>
      </c>
      <c r="BA5" s="1239">
        <v>0</v>
      </c>
      <c r="BB5" s="1239">
        <v>0</v>
      </c>
      <c r="BC5" s="1239">
        <v>0</v>
      </c>
      <c r="BD5" s="1239">
        <v>0</v>
      </c>
      <c r="BE5" s="1239">
        <v>0</v>
      </c>
      <c r="BF5" s="1239">
        <v>1030.72</v>
      </c>
      <c r="BG5" s="1239">
        <v>0</v>
      </c>
      <c r="BH5" s="1239">
        <v>0</v>
      </c>
      <c r="BI5" s="1239">
        <v>0</v>
      </c>
      <c r="BJ5" s="1239">
        <v>57371.88</v>
      </c>
      <c r="BK5" s="1239">
        <v>57371.88</v>
      </c>
      <c r="BL5" s="1239">
        <v>1111.31</v>
      </c>
      <c r="BM5" s="1239">
        <v>1111.31</v>
      </c>
      <c r="BN5" s="1239">
        <v>1015.99</v>
      </c>
      <c r="BO5" s="1239">
        <v>0</v>
      </c>
      <c r="BP5" s="1238">
        <v>46173</v>
      </c>
      <c r="BQ5" s="1241">
        <v>1</v>
      </c>
      <c r="BR5" s="1239">
        <v>152732.19</v>
      </c>
      <c r="BS5" s="1239">
        <v>98.54</v>
      </c>
      <c r="BT5" s="1239">
        <v>0</v>
      </c>
      <c r="BU5" s="1241">
        <v>0</v>
      </c>
      <c r="BV5" s="1239">
        <v>0</v>
      </c>
      <c r="BW5" s="1239">
        <v>0</v>
      </c>
      <c r="BX5" s="1239">
        <v>0</v>
      </c>
      <c r="BY5" s="1241">
        <v>18</v>
      </c>
      <c r="BZ5" s="1239">
        <v>4280726.6600000011</v>
      </c>
      <c r="CA5" s="1239">
        <v>5746.8300000000008</v>
      </c>
      <c r="CB5" s="1239">
        <v>0</v>
      </c>
      <c r="CC5" s="1239">
        <v>4230023.2800000012</v>
      </c>
      <c r="CD5" s="1239">
        <v>5619.7900000000009</v>
      </c>
      <c r="CE5" s="1239">
        <v>0</v>
      </c>
      <c r="CF5" s="1241">
        <v>18</v>
      </c>
      <c r="CG5" s="1239">
        <v>203435.57</v>
      </c>
      <c r="CH5" s="1239">
        <v>225.58</v>
      </c>
      <c r="CI5" s="1239">
        <v>0</v>
      </c>
      <c r="CJ5" s="1239">
        <v>0</v>
      </c>
      <c r="CK5" s="1241">
        <v>1</v>
      </c>
      <c r="CL5" s="1239">
        <v>642924.51</v>
      </c>
      <c r="CM5" s="1239">
        <v>148.21</v>
      </c>
      <c r="CN5" s="1239">
        <v>6336</v>
      </c>
      <c r="CO5" s="1239">
        <v>221676.1648</v>
      </c>
      <c r="CP5" s="1241">
        <v>4</v>
      </c>
      <c r="CQ5" s="1238">
        <v>46173</v>
      </c>
      <c r="CR5" s="1239">
        <v>10767431132.190001</v>
      </c>
      <c r="CS5" s="1241">
        <v>73155</v>
      </c>
      <c r="CT5" s="1239">
        <v>32939952.25</v>
      </c>
      <c r="CU5" s="1241">
        <v>228</v>
      </c>
      <c r="CV5" s="1239">
        <v>10614478.140000001</v>
      </c>
      <c r="CW5" s="1241">
        <v>70</v>
      </c>
      <c r="CX5" s="1239">
        <v>5279095.76</v>
      </c>
      <c r="CY5" s="1241">
        <v>38</v>
      </c>
      <c r="CZ5" s="1239">
        <v>3919782.55</v>
      </c>
      <c r="DA5" s="1241">
        <v>20</v>
      </c>
      <c r="DB5" s="1239">
        <v>1423040.55</v>
      </c>
      <c r="DC5" s="1241">
        <v>10</v>
      </c>
      <c r="DD5" s="1239">
        <v>1344690.85</v>
      </c>
      <c r="DE5" s="1241">
        <v>12</v>
      </c>
      <c r="DF5" s="1239">
        <v>691795</v>
      </c>
      <c r="DG5" s="1241">
        <v>7</v>
      </c>
      <c r="DH5" s="1239">
        <v>1101780.1100000001</v>
      </c>
      <c r="DI5" s="1241">
        <v>9</v>
      </c>
      <c r="DJ5" s="1239">
        <v>967874.15</v>
      </c>
      <c r="DK5" s="1241">
        <v>6</v>
      </c>
      <c r="DL5" s="1239">
        <v>320815.32</v>
      </c>
      <c r="DM5" s="1241">
        <v>4</v>
      </c>
      <c r="DN5" s="1239">
        <v>72833.45</v>
      </c>
      <c r="DO5" s="1241">
        <v>2</v>
      </c>
      <c r="DP5" s="1239">
        <v>206925.75</v>
      </c>
      <c r="DQ5" s="1241">
        <v>3</v>
      </c>
      <c r="DR5" s="1239">
        <v>874993.34</v>
      </c>
      <c r="DS5" s="1241">
        <v>7</v>
      </c>
      <c r="DT5" s="1239">
        <v>0</v>
      </c>
      <c r="DU5" s="1241">
        <v>97</v>
      </c>
      <c r="DV5" s="1651">
        <v>1.6805E-2</v>
      </c>
      <c r="DW5" s="1238">
        <v>46203</v>
      </c>
      <c r="DX5" s="1328" t="s">
        <v>790</v>
      </c>
      <c r="DY5" t="s">
        <v>445</v>
      </c>
      <c r="DZ5" s="1239">
        <v>60384559.649999999</v>
      </c>
      <c r="EA5" s="1241">
        <v>2650</v>
      </c>
      <c r="EB5" s="1239">
        <v>97701470.670000002</v>
      </c>
    </row>
    <row r="6" spans="1:132">
      <c r="A6" s="1238">
        <v>46173</v>
      </c>
      <c r="B6" t="s">
        <v>711</v>
      </c>
      <c r="C6" s="1239">
        <v>10910642357.889999</v>
      </c>
      <c r="D6" s="1239">
        <v>0</v>
      </c>
      <c r="E6" s="1239">
        <v>57680745.299999997</v>
      </c>
      <c r="F6" s="1239">
        <v>20665137.280000001</v>
      </c>
      <c r="G6" s="1239">
        <v>0</v>
      </c>
      <c r="H6" s="1239">
        <v>0</v>
      </c>
      <c r="I6" s="1239">
        <v>0</v>
      </c>
      <c r="J6" s="1239">
        <v>0</v>
      </c>
      <c r="K6" s="1239">
        <v>1035980.47</v>
      </c>
      <c r="L6" s="1239">
        <v>0</v>
      </c>
      <c r="M6" s="1239">
        <v>4433458.8499999996</v>
      </c>
      <c r="N6" s="1239">
        <v>512839.92</v>
      </c>
      <c r="O6" s="1239">
        <v>10826314196.07</v>
      </c>
      <c r="P6" s="1239">
        <v>663276.38</v>
      </c>
      <c r="Q6" s="1239">
        <v>144234.53</v>
      </c>
      <c r="R6" s="1239">
        <v>0</v>
      </c>
      <c r="S6" s="1239">
        <v>234166.69</v>
      </c>
      <c r="T6" s="1239">
        <v>45965.760000000002</v>
      </c>
      <c r="U6" s="1239">
        <v>0</v>
      </c>
      <c r="V6" s="1239">
        <v>143120.76</v>
      </c>
      <c r="W6" s="1239">
        <v>31356.69</v>
      </c>
      <c r="X6" s="1239">
        <v>0</v>
      </c>
      <c r="Y6" s="1239">
        <v>0</v>
      </c>
      <c r="Z6" s="1239">
        <v>0</v>
      </c>
      <c r="AA6" s="1239">
        <v>0</v>
      </c>
      <c r="AB6" s="1239">
        <v>0</v>
      </c>
      <c r="AC6" s="1239">
        <v>0</v>
      </c>
      <c r="AD6" s="1239">
        <v>0</v>
      </c>
      <c r="AE6" s="1239">
        <v>28547.56</v>
      </c>
      <c r="AF6" s="1239">
        <v>8442.58</v>
      </c>
      <c r="AG6" s="1239">
        <v>0</v>
      </c>
      <c r="AH6" s="1239">
        <v>0</v>
      </c>
      <c r="AI6" s="1239">
        <v>0</v>
      </c>
      <c r="AJ6" s="1239">
        <v>0</v>
      </c>
      <c r="AK6" s="1239">
        <v>0</v>
      </c>
      <c r="AL6" s="1239">
        <v>0</v>
      </c>
      <c r="AM6" s="1239">
        <v>0</v>
      </c>
      <c r="AN6" s="1239">
        <v>0</v>
      </c>
      <c r="AO6" s="1239">
        <v>0</v>
      </c>
      <c r="AP6" s="1239">
        <v>0</v>
      </c>
      <c r="AQ6" s="1239">
        <v>725774.75</v>
      </c>
      <c r="AR6" s="1239">
        <v>150401.01999999999</v>
      </c>
      <c r="AS6" s="1239">
        <v>0</v>
      </c>
      <c r="AT6" s="1239">
        <v>57446578.609999999</v>
      </c>
      <c r="AU6" s="1239">
        <v>143120.76</v>
      </c>
      <c r="AV6" s="1239">
        <v>20665137.280000001</v>
      </c>
      <c r="AW6" s="1239">
        <v>78254836.650000006</v>
      </c>
      <c r="AX6" s="1239">
        <v>15217007.640000001</v>
      </c>
      <c r="AY6" s="1239">
        <v>31356.69</v>
      </c>
      <c r="AZ6" s="1239">
        <v>0</v>
      </c>
      <c r="BA6" s="1239">
        <v>0</v>
      </c>
      <c r="BB6" s="1239">
        <v>0</v>
      </c>
      <c r="BC6" s="1239">
        <v>111729.97</v>
      </c>
      <c r="BD6" s="1239">
        <v>0</v>
      </c>
      <c r="BE6" s="1239">
        <v>0</v>
      </c>
      <c r="BF6" s="1239">
        <v>15360094.300000001</v>
      </c>
      <c r="BG6" s="1239">
        <v>0</v>
      </c>
      <c r="BH6" s="1239">
        <v>0</v>
      </c>
      <c r="BI6" s="1239">
        <v>0</v>
      </c>
      <c r="BJ6" s="1239">
        <v>93614930.950000003</v>
      </c>
      <c r="BK6" s="1239">
        <v>93614930.950000003</v>
      </c>
      <c r="BL6" s="1239">
        <v>12059614.1</v>
      </c>
      <c r="BM6" s="1239">
        <v>12059614.1</v>
      </c>
      <c r="BN6" s="1239">
        <v>5845.37</v>
      </c>
      <c r="BO6" s="1239">
        <v>322.17</v>
      </c>
      <c r="BP6" s="1238">
        <v>46142</v>
      </c>
      <c r="BQ6" s="1241">
        <v>0</v>
      </c>
      <c r="BR6" s="1239">
        <v>0</v>
      </c>
      <c r="BS6" s="1239">
        <v>0</v>
      </c>
      <c r="BT6" s="1239">
        <v>0</v>
      </c>
      <c r="BU6" s="1241">
        <v>9</v>
      </c>
      <c r="BV6" s="1239">
        <v>3790074.33</v>
      </c>
      <c r="BW6" s="1239">
        <v>2202.9299999999998</v>
      </c>
      <c r="BX6" s="1239">
        <v>0</v>
      </c>
      <c r="BY6" s="1241">
        <v>22</v>
      </c>
      <c r="BZ6" s="1239">
        <v>4395709.5</v>
      </c>
      <c r="CA6" s="1239">
        <v>6338.54</v>
      </c>
      <c r="CB6" s="1239">
        <v>833.81999999999994</v>
      </c>
      <c r="CC6" s="1239">
        <v>8185783.8300000001</v>
      </c>
      <c r="CD6" s="1239">
        <v>8541.4699999999993</v>
      </c>
      <c r="CE6" s="1239">
        <v>833.81999999999994</v>
      </c>
      <c r="CF6" s="1241">
        <v>31</v>
      </c>
      <c r="CG6" s="1239">
        <v>0</v>
      </c>
      <c r="CH6" s="1239">
        <v>0</v>
      </c>
      <c r="CI6" s="1239">
        <v>0</v>
      </c>
      <c r="CJ6" s="1239">
        <v>0</v>
      </c>
      <c r="CK6" s="1241">
        <v>0</v>
      </c>
      <c r="CL6" s="1239">
        <v>430994.3</v>
      </c>
      <c r="CM6" s="1239">
        <v>800.11000000000013</v>
      </c>
      <c r="CN6" s="1239">
        <v>8392.02</v>
      </c>
      <c r="CO6" s="1239">
        <v>96722.386399999988</v>
      </c>
      <c r="CP6" s="1241">
        <v>4</v>
      </c>
      <c r="CQ6" s="1238">
        <v>46142</v>
      </c>
      <c r="CR6" s="1239">
        <v>10854878225.66</v>
      </c>
      <c r="CS6" s="1241">
        <v>73461</v>
      </c>
      <c r="CT6" s="1239">
        <v>31990683.07</v>
      </c>
      <c r="CU6" s="1241">
        <v>198</v>
      </c>
      <c r="CV6" s="1239">
        <v>10222021.85</v>
      </c>
      <c r="CW6" s="1241">
        <v>73</v>
      </c>
      <c r="CX6" s="1239">
        <v>4681684.72</v>
      </c>
      <c r="CY6" s="1241">
        <v>25</v>
      </c>
      <c r="CZ6" s="1239">
        <v>2607630.9</v>
      </c>
      <c r="DA6" s="1241">
        <v>17</v>
      </c>
      <c r="DB6" s="1239">
        <v>2002245.42</v>
      </c>
      <c r="DC6" s="1241">
        <v>17</v>
      </c>
      <c r="DD6" s="1239">
        <v>1030231.04</v>
      </c>
      <c r="DE6" s="1241">
        <v>10</v>
      </c>
      <c r="DF6" s="1239">
        <v>1506928.42</v>
      </c>
      <c r="DG6" s="1241">
        <v>11</v>
      </c>
      <c r="DH6" s="1239">
        <v>864737.74</v>
      </c>
      <c r="DI6" s="1241">
        <v>6</v>
      </c>
      <c r="DJ6" s="1239">
        <v>296500.46999999997</v>
      </c>
      <c r="DK6" s="1241">
        <v>4</v>
      </c>
      <c r="DL6" s="1239">
        <v>41820.629999999997</v>
      </c>
      <c r="DM6" s="1241">
        <v>1</v>
      </c>
      <c r="DN6" s="1239">
        <v>519647.97</v>
      </c>
      <c r="DO6" s="1241">
        <v>4</v>
      </c>
      <c r="DP6" s="1239">
        <v>0</v>
      </c>
      <c r="DQ6" s="1241">
        <v>0</v>
      </c>
      <c r="DR6" s="1239">
        <v>643443.9</v>
      </c>
      <c r="DS6" s="1241">
        <v>4</v>
      </c>
      <c r="DT6" s="1239">
        <v>0</v>
      </c>
      <c r="DU6" s="1241">
        <v>90</v>
      </c>
      <c r="DV6" s="1651">
        <v>1.6798E-2</v>
      </c>
      <c r="DW6" s="1238">
        <v>46203</v>
      </c>
      <c r="DX6" s="1328" t="s">
        <v>791</v>
      </c>
      <c r="DY6" t="s">
        <v>446</v>
      </c>
      <c r="DZ6" s="1239">
        <v>582417873.32000005</v>
      </c>
      <c r="EA6" s="1241">
        <v>12486</v>
      </c>
      <c r="EB6" s="1239">
        <v>951328155.92999995</v>
      </c>
    </row>
    <row r="7" spans="1:132">
      <c r="A7" s="1238">
        <v>46173</v>
      </c>
      <c r="B7" t="s">
        <v>340</v>
      </c>
      <c r="C7" s="1239">
        <v>643443.9</v>
      </c>
      <c r="D7" s="1239">
        <v>0</v>
      </c>
      <c r="E7" s="1239">
        <v>161506.51999999999</v>
      </c>
      <c r="F7" s="1239">
        <v>0</v>
      </c>
      <c r="G7" s="1239">
        <v>0</v>
      </c>
      <c r="H7" s="1239">
        <v>0</v>
      </c>
      <c r="I7" s="1239">
        <v>0</v>
      </c>
      <c r="J7" s="1239">
        <v>0</v>
      </c>
      <c r="K7" s="1239">
        <v>1035980.47</v>
      </c>
      <c r="L7" s="1239">
        <v>0</v>
      </c>
      <c r="M7" s="1239">
        <v>642924.51</v>
      </c>
      <c r="N7" s="1239">
        <v>0</v>
      </c>
      <c r="O7" s="1239">
        <v>874993.34</v>
      </c>
      <c r="P7" s="1239">
        <v>4125.7</v>
      </c>
      <c r="Q7" s="1239">
        <v>2477.91</v>
      </c>
      <c r="R7" s="1239">
        <v>0</v>
      </c>
      <c r="S7" s="1239">
        <v>3251.7</v>
      </c>
      <c r="T7" s="1239">
        <v>966.11</v>
      </c>
      <c r="U7" s="1239">
        <v>0</v>
      </c>
      <c r="V7" s="1239">
        <v>0</v>
      </c>
      <c r="W7" s="1239">
        <v>0</v>
      </c>
      <c r="X7" s="1239">
        <v>0</v>
      </c>
      <c r="Y7" s="1239">
        <v>0</v>
      </c>
      <c r="Z7" s="1239">
        <v>0</v>
      </c>
      <c r="AA7" s="1239">
        <v>0</v>
      </c>
      <c r="AB7" s="1239">
        <v>0</v>
      </c>
      <c r="AC7" s="1239">
        <v>0</v>
      </c>
      <c r="AD7" s="1239">
        <v>0</v>
      </c>
      <c r="AE7" s="1239">
        <v>28547.56</v>
      </c>
      <c r="AF7" s="1239">
        <v>8442.58</v>
      </c>
      <c r="AG7" s="1239">
        <v>0</v>
      </c>
      <c r="AH7" s="1239">
        <v>0</v>
      </c>
      <c r="AI7" s="1239">
        <v>0</v>
      </c>
      <c r="AJ7" s="1239">
        <v>0</v>
      </c>
      <c r="AK7" s="1239">
        <v>4645.09</v>
      </c>
      <c r="AL7" s="1239">
        <v>1690.91</v>
      </c>
      <c r="AM7" s="1239">
        <v>0</v>
      </c>
      <c r="AN7" s="1239">
        <v>0</v>
      </c>
      <c r="AO7" s="1239">
        <v>0</v>
      </c>
      <c r="AP7" s="1239">
        <v>0</v>
      </c>
      <c r="AQ7" s="1239">
        <v>31279.87</v>
      </c>
      <c r="AR7" s="1239">
        <v>10195.69</v>
      </c>
      <c r="AS7" s="1239">
        <v>0</v>
      </c>
      <c r="AT7" s="1239">
        <v>158254.82</v>
      </c>
      <c r="AU7" s="1239">
        <v>0</v>
      </c>
      <c r="AV7" s="1239">
        <v>0</v>
      </c>
      <c r="AW7" s="1239">
        <v>158254.82</v>
      </c>
      <c r="AX7" s="1239">
        <v>840.85</v>
      </c>
      <c r="AY7" s="1239">
        <v>0</v>
      </c>
      <c r="AZ7" s="1239">
        <v>0</v>
      </c>
      <c r="BA7" s="1239">
        <v>0</v>
      </c>
      <c r="BB7" s="1239">
        <v>0</v>
      </c>
      <c r="BC7" s="1239">
        <v>0</v>
      </c>
      <c r="BD7" s="1239">
        <v>0</v>
      </c>
      <c r="BE7" s="1239">
        <v>0</v>
      </c>
      <c r="BF7" s="1239">
        <v>840.85</v>
      </c>
      <c r="BG7" s="1239">
        <v>0</v>
      </c>
      <c r="BH7" s="1239">
        <v>0</v>
      </c>
      <c r="BI7" s="1239">
        <v>0</v>
      </c>
      <c r="BJ7" s="1239">
        <v>159095.67000000001</v>
      </c>
      <c r="BK7" s="1239">
        <v>159095.67000000001</v>
      </c>
      <c r="BL7" s="1239">
        <v>1314.55</v>
      </c>
      <c r="BM7" s="1239">
        <v>1314.55</v>
      </c>
      <c r="BN7" s="1239">
        <v>148.21</v>
      </c>
      <c r="BO7" s="1239">
        <v>0</v>
      </c>
      <c r="BP7" s="1238">
        <v>46112</v>
      </c>
      <c r="BQ7" s="1241">
        <v>3</v>
      </c>
      <c r="BR7" s="1239">
        <v>230016.56999999998</v>
      </c>
      <c r="BS7" s="1239">
        <v>229.81</v>
      </c>
      <c r="BT7" s="1239">
        <v>0</v>
      </c>
      <c r="BU7" s="1241">
        <v>64</v>
      </c>
      <c r="BV7" s="1239">
        <v>10988292.460000001</v>
      </c>
      <c r="BW7" s="1239">
        <v>9412.7799999999988</v>
      </c>
      <c r="BX7" s="1239">
        <v>0</v>
      </c>
      <c r="BY7" s="1241">
        <v>39</v>
      </c>
      <c r="BZ7" s="1239">
        <v>6853543.1100000022</v>
      </c>
      <c r="CA7" s="1239">
        <v>7356.2500000000009</v>
      </c>
      <c r="CB7" s="1239">
        <v>109.5100000000061</v>
      </c>
      <c r="CC7" s="1239">
        <v>18071852.140000004</v>
      </c>
      <c r="CD7" s="1239">
        <v>16998.84</v>
      </c>
      <c r="CE7" s="1239">
        <v>109.5100000000061</v>
      </c>
      <c r="CF7" s="1241">
        <v>106</v>
      </c>
      <c r="CG7" s="1239">
        <v>0</v>
      </c>
      <c r="CH7" s="1239">
        <v>0</v>
      </c>
      <c r="CI7" s="1239">
        <v>0</v>
      </c>
      <c r="CJ7" s="1239">
        <v>0</v>
      </c>
      <c r="CK7" s="1241">
        <v>0</v>
      </c>
      <c r="CL7" s="1239">
        <v>281667.24</v>
      </c>
      <c r="CM7" s="1239">
        <v>0</v>
      </c>
      <c r="CN7" s="1239">
        <v>0</v>
      </c>
      <c r="CO7" s="1239">
        <v>51237.93680000001</v>
      </c>
      <c r="CP7" s="1241">
        <v>3</v>
      </c>
      <c r="CQ7" s="1238">
        <v>46112</v>
      </c>
      <c r="CR7" s="1239">
        <v>10947949086.07</v>
      </c>
      <c r="CS7" s="1241">
        <v>73757</v>
      </c>
      <c r="CT7" s="1239">
        <v>33907774.030000001</v>
      </c>
      <c r="CU7" s="1241">
        <v>208</v>
      </c>
      <c r="CV7" s="1239">
        <v>9603264.8100000005</v>
      </c>
      <c r="CW7" s="1241">
        <v>62</v>
      </c>
      <c r="CX7" s="1239">
        <v>4535449.6500000004</v>
      </c>
      <c r="CY7" s="1241">
        <v>36</v>
      </c>
      <c r="CZ7" s="1239">
        <v>2262272.44</v>
      </c>
      <c r="DA7" s="1241">
        <v>20</v>
      </c>
      <c r="DB7" s="1239">
        <v>1321813.44</v>
      </c>
      <c r="DC7" s="1241">
        <v>11</v>
      </c>
      <c r="DD7" s="1239">
        <v>1317673.02</v>
      </c>
      <c r="DE7" s="1241">
        <v>9</v>
      </c>
      <c r="DF7" s="1239">
        <v>985051.75</v>
      </c>
      <c r="DG7" s="1241">
        <v>8</v>
      </c>
      <c r="DH7" s="1239">
        <v>126042.38</v>
      </c>
      <c r="DI7" s="1241">
        <v>2</v>
      </c>
      <c r="DJ7" s="1239">
        <v>696829.81</v>
      </c>
      <c r="DK7" s="1241">
        <v>8</v>
      </c>
      <c r="DL7" s="1239">
        <v>522783.51</v>
      </c>
      <c r="DM7" s="1241">
        <v>4</v>
      </c>
      <c r="DN7" s="1239">
        <v>205155.06</v>
      </c>
      <c r="DO7" s="1241">
        <v>2</v>
      </c>
      <c r="DP7" s="1239">
        <v>0</v>
      </c>
      <c r="DQ7" s="1241">
        <v>0</v>
      </c>
      <c r="DR7" s="1239">
        <v>431707.43</v>
      </c>
      <c r="DS7" s="1241">
        <v>4</v>
      </c>
      <c r="DT7" s="1239">
        <v>0</v>
      </c>
      <c r="DU7" s="1241">
        <v>86</v>
      </c>
      <c r="DV7" s="1651">
        <v>1.6787E-2</v>
      </c>
      <c r="DW7" s="1238">
        <v>46203</v>
      </c>
      <c r="DX7" s="1328" t="s">
        <v>792</v>
      </c>
      <c r="DY7" t="s">
        <v>447</v>
      </c>
      <c r="DZ7" s="1239">
        <v>2115541685.1300001</v>
      </c>
      <c r="EA7" s="1241">
        <v>23849</v>
      </c>
      <c r="EB7" s="1239">
        <v>3078955003.5700002</v>
      </c>
    </row>
    <row r="8" spans="1:132">
      <c r="A8" s="1238">
        <v>46142</v>
      </c>
      <c r="B8" t="s">
        <v>711</v>
      </c>
      <c r="C8" s="1239">
        <v>11003433195.969999</v>
      </c>
      <c r="D8" s="1239">
        <v>0</v>
      </c>
      <c r="E8" s="1239">
        <v>57814015.609999999</v>
      </c>
      <c r="F8" s="1239">
        <v>25843781</v>
      </c>
      <c r="G8" s="1239">
        <v>0</v>
      </c>
      <c r="H8" s="1239">
        <v>0</v>
      </c>
      <c r="I8" s="1239">
        <v>0</v>
      </c>
      <c r="J8" s="1239">
        <v>0</v>
      </c>
      <c r="K8" s="1239">
        <v>644714.96</v>
      </c>
      <c r="L8" s="1239">
        <v>0</v>
      </c>
      <c r="M8" s="1239">
        <v>8185783.8300000001</v>
      </c>
      <c r="N8" s="1239">
        <v>302542.68</v>
      </c>
      <c r="O8" s="1239">
        <v>10910642357.889999</v>
      </c>
      <c r="P8" s="1239">
        <v>611021.68000000005</v>
      </c>
      <c r="Q8" s="1239">
        <v>131070.13</v>
      </c>
      <c r="R8" s="1239">
        <v>0</v>
      </c>
      <c r="S8" s="1239">
        <v>222338.23</v>
      </c>
      <c r="T8" s="1239">
        <v>51062.47</v>
      </c>
      <c r="U8" s="1239">
        <v>0</v>
      </c>
      <c r="V8" s="1239">
        <v>165626.97</v>
      </c>
      <c r="W8" s="1239">
        <v>34872.81</v>
      </c>
      <c r="X8" s="1239">
        <v>0</v>
      </c>
      <c r="Y8" s="1239">
        <v>0</v>
      </c>
      <c r="Z8" s="1239">
        <v>0</v>
      </c>
      <c r="AA8" s="1239">
        <v>0</v>
      </c>
      <c r="AB8" s="1239">
        <v>0</v>
      </c>
      <c r="AC8" s="1239">
        <v>0</v>
      </c>
      <c r="AD8" s="1239">
        <v>0</v>
      </c>
      <c r="AE8" s="1239">
        <v>4098.88</v>
      </c>
      <c r="AF8" s="1239">
        <v>2549.12</v>
      </c>
      <c r="AG8" s="1239">
        <v>0</v>
      </c>
      <c r="AH8" s="1239">
        <v>0</v>
      </c>
      <c r="AI8" s="1239">
        <v>0</v>
      </c>
      <c r="AJ8" s="1239">
        <v>0</v>
      </c>
      <c r="AK8" s="1239">
        <v>357.68</v>
      </c>
      <c r="AL8" s="1239">
        <v>476.14</v>
      </c>
      <c r="AM8" s="1239">
        <v>0</v>
      </c>
      <c r="AN8" s="1239">
        <v>0</v>
      </c>
      <c r="AO8" s="1239">
        <v>0</v>
      </c>
      <c r="AP8" s="1239">
        <v>0</v>
      </c>
      <c r="AQ8" s="1239">
        <v>663276.38</v>
      </c>
      <c r="AR8" s="1239">
        <v>144234.53</v>
      </c>
      <c r="AS8" s="1239">
        <v>0</v>
      </c>
      <c r="AT8" s="1239">
        <v>57591677.380000003</v>
      </c>
      <c r="AU8" s="1239">
        <v>165626.97</v>
      </c>
      <c r="AV8" s="1239">
        <v>25843781</v>
      </c>
      <c r="AW8" s="1239">
        <v>83601085.349999994</v>
      </c>
      <c r="AX8" s="1239">
        <v>15321570.09</v>
      </c>
      <c r="AY8" s="1239">
        <v>34872.81</v>
      </c>
      <c r="AZ8" s="1239">
        <v>0</v>
      </c>
      <c r="BA8" s="1239">
        <v>0</v>
      </c>
      <c r="BB8" s="1239">
        <v>0</v>
      </c>
      <c r="BC8" s="1239">
        <v>134217.22</v>
      </c>
      <c r="BD8" s="1239">
        <v>0</v>
      </c>
      <c r="BE8" s="1239">
        <v>0</v>
      </c>
      <c r="BF8" s="1239">
        <v>15490660.119999999</v>
      </c>
      <c r="BG8" s="1239">
        <v>0</v>
      </c>
      <c r="BH8" s="1239">
        <v>0</v>
      </c>
      <c r="BI8" s="1239">
        <v>0</v>
      </c>
      <c r="BJ8" s="1239">
        <v>99091745.469999999</v>
      </c>
      <c r="BK8" s="1239">
        <v>99091745.469999999</v>
      </c>
      <c r="BL8" s="1239">
        <v>12036303.220000001</v>
      </c>
      <c r="BM8" s="1239">
        <v>12036303.220000001</v>
      </c>
      <c r="BN8" s="1239">
        <v>8541.4699999999993</v>
      </c>
      <c r="BO8" s="1239">
        <v>236.5</v>
      </c>
      <c r="BP8" s="1238">
        <v>46081</v>
      </c>
      <c r="BQ8" s="1241">
        <v>5</v>
      </c>
      <c r="BR8" s="1239">
        <v>763755.39999999991</v>
      </c>
      <c r="BS8" s="1239">
        <v>375.06</v>
      </c>
      <c r="BT8" s="1239">
        <v>0</v>
      </c>
      <c r="BU8" s="1241">
        <v>10</v>
      </c>
      <c r="BV8" s="1239">
        <v>1281886.29</v>
      </c>
      <c r="BW8" s="1239">
        <v>721.47</v>
      </c>
      <c r="BX8" s="1239">
        <v>0</v>
      </c>
      <c r="BY8" s="1241">
        <v>22</v>
      </c>
      <c r="BZ8" s="1239">
        <v>2989116.4600000009</v>
      </c>
      <c r="CA8" s="1239">
        <v>2387.8700000000003</v>
      </c>
      <c r="CB8" s="1239">
        <v>0</v>
      </c>
      <c r="CC8" s="1239">
        <v>5034758.1500000004</v>
      </c>
      <c r="CD8" s="1239">
        <v>3484.4000000000005</v>
      </c>
      <c r="CE8" s="1239">
        <v>0</v>
      </c>
      <c r="CF8" s="1241">
        <v>37</v>
      </c>
      <c r="CG8" s="1239">
        <v>0</v>
      </c>
      <c r="CH8" s="1239">
        <v>0</v>
      </c>
      <c r="CI8" s="1239">
        <v>0</v>
      </c>
      <c r="CJ8" s="1239">
        <v>0</v>
      </c>
      <c r="CK8" s="1241">
        <v>0</v>
      </c>
      <c r="CL8" s="1239">
        <v>1752712.98</v>
      </c>
      <c r="CM8" s="1239">
        <v>1322.82</v>
      </c>
      <c r="CN8" s="1239">
        <v>162538.41999999998</v>
      </c>
      <c r="CO8" s="1239">
        <v>61672.050800000005</v>
      </c>
      <c r="CP8" s="1241">
        <v>5</v>
      </c>
      <c r="CQ8" s="1238">
        <v>46081</v>
      </c>
      <c r="CR8" s="1239">
        <v>11067903324.110001</v>
      </c>
      <c r="CS8" s="1241">
        <v>74204</v>
      </c>
      <c r="CT8" s="1239">
        <v>36905269.100000001</v>
      </c>
      <c r="CU8" s="1241">
        <v>213</v>
      </c>
      <c r="CV8" s="1239">
        <v>8447161.25</v>
      </c>
      <c r="CW8" s="1241">
        <v>59</v>
      </c>
      <c r="CX8" s="1239">
        <v>3578265.53</v>
      </c>
      <c r="CY8" s="1241">
        <v>31</v>
      </c>
      <c r="CZ8" s="1239">
        <v>2354411.7000000002</v>
      </c>
      <c r="DA8" s="1241">
        <v>20</v>
      </c>
      <c r="DB8" s="1239">
        <v>2010039.92</v>
      </c>
      <c r="DC8" s="1241">
        <v>15</v>
      </c>
      <c r="DD8" s="1239">
        <v>1274114.8999999999</v>
      </c>
      <c r="DE8" s="1241">
        <v>10</v>
      </c>
      <c r="DF8" s="1239">
        <v>568377.59</v>
      </c>
      <c r="DG8" s="1241">
        <v>7</v>
      </c>
      <c r="DH8" s="1239">
        <v>701108.98</v>
      </c>
      <c r="DI8" s="1241">
        <v>8</v>
      </c>
      <c r="DJ8" s="1239">
        <v>525912.66</v>
      </c>
      <c r="DK8" s="1241">
        <v>4</v>
      </c>
      <c r="DL8" s="1239">
        <v>206317.96</v>
      </c>
      <c r="DM8" s="1241">
        <v>2</v>
      </c>
      <c r="DN8" s="1239">
        <v>0</v>
      </c>
      <c r="DO8" s="1241">
        <v>0</v>
      </c>
      <c r="DP8" s="1239">
        <v>146053.74</v>
      </c>
      <c r="DQ8" s="1241">
        <v>2</v>
      </c>
      <c r="DR8" s="1239">
        <v>281667.24</v>
      </c>
      <c r="DS8" s="1241">
        <v>3</v>
      </c>
      <c r="DT8" s="1239">
        <v>0</v>
      </c>
      <c r="DU8" s="1241">
        <v>82</v>
      </c>
      <c r="DV8" s="1651">
        <v>1.6784E-2</v>
      </c>
      <c r="DW8" s="1238">
        <v>46203</v>
      </c>
      <c r="DX8" s="1328" t="s">
        <v>793</v>
      </c>
      <c r="DY8" t="s">
        <v>448</v>
      </c>
      <c r="DZ8" s="1239">
        <v>1312306302.03</v>
      </c>
      <c r="EA8" s="1241">
        <v>10897</v>
      </c>
      <c r="EB8" s="1239">
        <v>1869071398.6600001</v>
      </c>
    </row>
    <row r="9" spans="1:132">
      <c r="A9" s="1238">
        <v>46142</v>
      </c>
      <c r="B9" t="s">
        <v>340</v>
      </c>
      <c r="C9" s="1239">
        <v>431707.43</v>
      </c>
      <c r="D9" s="1239">
        <v>0</v>
      </c>
      <c r="E9" s="1239">
        <v>1984.19</v>
      </c>
      <c r="F9" s="1239">
        <v>0</v>
      </c>
      <c r="G9" s="1239">
        <v>0</v>
      </c>
      <c r="H9" s="1239">
        <v>0</v>
      </c>
      <c r="I9" s="1239">
        <v>0</v>
      </c>
      <c r="J9" s="1239">
        <v>0</v>
      </c>
      <c r="K9" s="1239">
        <v>644714.96</v>
      </c>
      <c r="L9" s="1239">
        <v>0</v>
      </c>
      <c r="M9" s="1239">
        <v>430994.3</v>
      </c>
      <c r="N9" s="1239">
        <v>0</v>
      </c>
      <c r="O9" s="1239">
        <v>643443.9</v>
      </c>
      <c r="P9" s="1239">
        <v>4544.2</v>
      </c>
      <c r="Q9" s="1239">
        <v>3412.91</v>
      </c>
      <c r="R9" s="1239">
        <v>0</v>
      </c>
      <c r="S9" s="1239">
        <v>1230.5999999999999</v>
      </c>
      <c r="T9" s="1239">
        <v>879.92</v>
      </c>
      <c r="U9" s="1239">
        <v>0</v>
      </c>
      <c r="V9" s="1239">
        <v>491.75</v>
      </c>
      <c r="W9" s="1239">
        <v>1228.25</v>
      </c>
      <c r="X9" s="1239">
        <v>0</v>
      </c>
      <c r="Y9" s="1239">
        <v>0</v>
      </c>
      <c r="Z9" s="1239">
        <v>0</v>
      </c>
      <c r="AA9" s="1239">
        <v>0</v>
      </c>
      <c r="AB9" s="1239">
        <v>0</v>
      </c>
      <c r="AC9" s="1239">
        <v>0</v>
      </c>
      <c r="AD9" s="1239">
        <v>0</v>
      </c>
      <c r="AE9" s="1239">
        <v>4098.88</v>
      </c>
      <c r="AF9" s="1239">
        <v>2549.12</v>
      </c>
      <c r="AG9" s="1239">
        <v>0</v>
      </c>
      <c r="AH9" s="1239">
        <v>0</v>
      </c>
      <c r="AI9" s="1239">
        <v>0</v>
      </c>
      <c r="AJ9" s="1239">
        <v>0</v>
      </c>
      <c r="AK9" s="1239">
        <v>5256.23</v>
      </c>
      <c r="AL9" s="1239">
        <v>3135.79</v>
      </c>
      <c r="AM9" s="1239">
        <v>0</v>
      </c>
      <c r="AN9" s="1239">
        <v>0</v>
      </c>
      <c r="AO9" s="1239">
        <v>0</v>
      </c>
      <c r="AP9" s="1239">
        <v>0</v>
      </c>
      <c r="AQ9" s="1239">
        <v>4125.7</v>
      </c>
      <c r="AR9" s="1239">
        <v>2477.91</v>
      </c>
      <c r="AS9" s="1239">
        <v>0</v>
      </c>
      <c r="AT9" s="1239">
        <v>753.59</v>
      </c>
      <c r="AU9" s="1239">
        <v>491.75</v>
      </c>
      <c r="AV9" s="1239">
        <v>0</v>
      </c>
      <c r="AW9" s="1239">
        <v>1245.3399999999999</v>
      </c>
      <c r="AX9" s="1239">
        <v>101.59</v>
      </c>
      <c r="AY9" s="1239">
        <v>1228.25</v>
      </c>
      <c r="AZ9" s="1239">
        <v>0</v>
      </c>
      <c r="BA9" s="1239">
        <v>0</v>
      </c>
      <c r="BB9" s="1239">
        <v>0</v>
      </c>
      <c r="BC9" s="1239">
        <v>0</v>
      </c>
      <c r="BD9" s="1239">
        <v>0</v>
      </c>
      <c r="BE9" s="1239">
        <v>0</v>
      </c>
      <c r="BF9" s="1239">
        <v>1329.84</v>
      </c>
      <c r="BG9" s="1239">
        <v>0</v>
      </c>
      <c r="BH9" s="1239">
        <v>0</v>
      </c>
      <c r="BI9" s="1239">
        <v>0</v>
      </c>
      <c r="BJ9" s="1239">
        <v>2575.1799999999998</v>
      </c>
      <c r="BK9" s="1239">
        <v>2575.1799999999998</v>
      </c>
      <c r="BL9" s="1239">
        <v>1203.0999999999999</v>
      </c>
      <c r="BM9" s="1239">
        <v>1203.0999999999999</v>
      </c>
      <c r="BN9" s="1239">
        <v>800.11</v>
      </c>
      <c r="BO9" s="1239">
        <v>0</v>
      </c>
      <c r="BP9" s="1238">
        <v>46053</v>
      </c>
      <c r="BQ9" s="1241">
        <v>2</v>
      </c>
      <c r="BR9" s="1239">
        <v>341586.32999999996</v>
      </c>
      <c r="BS9" s="1239">
        <v>265.74</v>
      </c>
      <c r="BT9" s="1239">
        <v>0</v>
      </c>
      <c r="BU9" s="1241">
        <v>3</v>
      </c>
      <c r="BV9" s="1239">
        <v>820008.75</v>
      </c>
      <c r="BW9" s="1239">
        <v>578.11</v>
      </c>
      <c r="BX9" s="1239">
        <v>0</v>
      </c>
      <c r="BY9" s="1241">
        <v>30</v>
      </c>
      <c r="BZ9" s="1239">
        <v>3498697.2300000014</v>
      </c>
      <c r="CA9" s="1239">
        <v>3382.0099999999993</v>
      </c>
      <c r="CB9" s="1239">
        <v>0</v>
      </c>
      <c r="CC9" s="1239">
        <v>4291922.2800000012</v>
      </c>
      <c r="CD9" s="1239">
        <v>3896.6699999999996</v>
      </c>
      <c r="CE9" s="1239">
        <v>0</v>
      </c>
      <c r="CF9" s="1241">
        <v>31</v>
      </c>
      <c r="CG9" s="1239">
        <v>368370.03</v>
      </c>
      <c r="CH9" s="1239">
        <v>329.19000000000005</v>
      </c>
      <c r="CI9" s="1239">
        <v>20020.63</v>
      </c>
      <c r="CJ9" s="1239">
        <v>9353.1905000000006</v>
      </c>
      <c r="CK9" s="1241">
        <v>4</v>
      </c>
      <c r="CL9" s="1239">
        <v>615513.06000000006</v>
      </c>
      <c r="CM9" s="1239">
        <v>658.41</v>
      </c>
      <c r="CN9" s="1239">
        <v>380508.92999999993</v>
      </c>
      <c r="CO9" s="1239">
        <v>306821.35519999999</v>
      </c>
      <c r="CP9" s="1241">
        <v>7</v>
      </c>
      <c r="CQ9" s="1238">
        <v>46053</v>
      </c>
      <c r="CR9" s="1239">
        <v>11154934756.809999</v>
      </c>
      <c r="CS9" s="1241">
        <v>74467</v>
      </c>
      <c r="CT9" s="1239">
        <v>30486856.079999998</v>
      </c>
      <c r="CU9" s="1241">
        <v>196</v>
      </c>
      <c r="CV9" s="1239">
        <v>15829386.560000001</v>
      </c>
      <c r="CW9" s="1241">
        <v>78</v>
      </c>
      <c r="CX9" s="1239">
        <v>5985922.1100000003</v>
      </c>
      <c r="CY9" s="1241">
        <v>44</v>
      </c>
      <c r="CZ9" s="1239">
        <v>3216319.84</v>
      </c>
      <c r="DA9" s="1241">
        <v>23</v>
      </c>
      <c r="DB9" s="1239">
        <v>1757594.61</v>
      </c>
      <c r="DC9" s="1241">
        <v>9</v>
      </c>
      <c r="DD9" s="1239">
        <v>901854.14</v>
      </c>
      <c r="DE9" s="1241">
        <v>11</v>
      </c>
      <c r="DF9" s="1239">
        <v>676330.79</v>
      </c>
      <c r="DG9" s="1241">
        <v>7</v>
      </c>
      <c r="DH9" s="1239">
        <v>529035.43999999994</v>
      </c>
      <c r="DI9" s="1241">
        <v>4</v>
      </c>
      <c r="DJ9" s="1239">
        <v>451695.67</v>
      </c>
      <c r="DK9" s="1241">
        <v>3</v>
      </c>
      <c r="DL9" s="1239">
        <v>163105.82999999999</v>
      </c>
      <c r="DM9" s="1241">
        <v>2</v>
      </c>
      <c r="DN9" s="1239">
        <v>16616.04</v>
      </c>
      <c r="DO9" s="1241">
        <v>1</v>
      </c>
      <c r="DP9" s="1239">
        <v>130740.79</v>
      </c>
      <c r="DQ9" s="1241">
        <v>1</v>
      </c>
      <c r="DR9" s="1239">
        <v>1763372.94</v>
      </c>
      <c r="DS9" s="1241">
        <v>6</v>
      </c>
      <c r="DT9" s="1239">
        <v>0</v>
      </c>
      <c r="DU9" s="1241">
        <v>79</v>
      </c>
      <c r="DV9" s="1651">
        <v>1.6781999999999998E-2</v>
      </c>
      <c r="DW9" s="1238">
        <v>46203</v>
      </c>
      <c r="DX9" s="1328" t="s">
        <v>794</v>
      </c>
      <c r="DY9" t="s">
        <v>449</v>
      </c>
      <c r="DZ9" s="1239">
        <v>1172410317.8099999</v>
      </c>
      <c r="EA9" s="1241">
        <v>7249</v>
      </c>
      <c r="EB9" s="1239">
        <v>1610072768.5599999</v>
      </c>
    </row>
    <row r="10" spans="1:132">
      <c r="A10" s="1238">
        <v>46112</v>
      </c>
      <c r="B10" t="s">
        <v>711</v>
      </c>
      <c r="C10" s="1239">
        <v>11124620357.440001</v>
      </c>
      <c r="D10" s="1239">
        <v>0</v>
      </c>
      <c r="E10" s="1239">
        <v>57960642.520000003</v>
      </c>
      <c r="F10" s="1239">
        <v>27792090.75</v>
      </c>
      <c r="G10" s="1239">
        <v>0</v>
      </c>
      <c r="H10" s="1239">
        <v>0</v>
      </c>
      <c r="I10" s="1239">
        <v>0</v>
      </c>
      <c r="J10" s="1239">
        <v>0</v>
      </c>
      <c r="K10" s="1239">
        <v>533922.61</v>
      </c>
      <c r="L10" s="1239">
        <v>0</v>
      </c>
      <c r="M10" s="1239">
        <v>18071852.140000001</v>
      </c>
      <c r="N10" s="1239">
        <v>16828653.449999999</v>
      </c>
      <c r="O10" s="1239">
        <v>11003433195.969999</v>
      </c>
      <c r="P10" s="1239">
        <v>560557.56000000006</v>
      </c>
      <c r="Q10" s="1239">
        <v>117845.56</v>
      </c>
      <c r="R10" s="1239">
        <v>0</v>
      </c>
      <c r="S10" s="1239">
        <v>226634.02</v>
      </c>
      <c r="T10" s="1239">
        <v>50143.96</v>
      </c>
      <c r="U10" s="1239">
        <v>0</v>
      </c>
      <c r="V10" s="1239">
        <v>172767.69</v>
      </c>
      <c r="W10" s="1239">
        <v>35307.910000000003</v>
      </c>
      <c r="X10" s="1239">
        <v>0</v>
      </c>
      <c r="Y10" s="1239">
        <v>0</v>
      </c>
      <c r="Z10" s="1239">
        <v>0</v>
      </c>
      <c r="AA10" s="1239">
        <v>0</v>
      </c>
      <c r="AB10" s="1239">
        <v>0</v>
      </c>
      <c r="AC10" s="1239">
        <v>0</v>
      </c>
      <c r="AD10" s="1239">
        <v>0</v>
      </c>
      <c r="AE10" s="1239">
        <v>3328.24</v>
      </c>
      <c r="AF10" s="1239">
        <v>1575.94</v>
      </c>
      <c r="AG10" s="1239">
        <v>0</v>
      </c>
      <c r="AH10" s="1239">
        <v>0</v>
      </c>
      <c r="AI10" s="1239">
        <v>0</v>
      </c>
      <c r="AJ10" s="1239">
        <v>0</v>
      </c>
      <c r="AK10" s="1239">
        <v>73.97</v>
      </c>
      <c r="AL10" s="1239">
        <v>35.54</v>
      </c>
      <c r="AM10" s="1239">
        <v>0</v>
      </c>
      <c r="AN10" s="1239">
        <v>0</v>
      </c>
      <c r="AO10" s="1239">
        <v>0</v>
      </c>
      <c r="AP10" s="1239">
        <v>0</v>
      </c>
      <c r="AQ10" s="1239">
        <v>611021.68000000005</v>
      </c>
      <c r="AR10" s="1239">
        <v>131070.13</v>
      </c>
      <c r="AS10" s="1239">
        <v>0</v>
      </c>
      <c r="AT10" s="1239">
        <v>57734008.5</v>
      </c>
      <c r="AU10" s="1239">
        <v>172767.69</v>
      </c>
      <c r="AV10" s="1239">
        <v>27792090.75</v>
      </c>
      <c r="AW10" s="1239">
        <v>85698866.939999998</v>
      </c>
      <c r="AX10" s="1239">
        <v>15465869.619999999</v>
      </c>
      <c r="AY10" s="1239">
        <v>35307.910000000003</v>
      </c>
      <c r="AZ10" s="1239">
        <v>0</v>
      </c>
      <c r="BA10" s="1239">
        <v>0</v>
      </c>
      <c r="BB10" s="1239">
        <v>0</v>
      </c>
      <c r="BC10" s="1239">
        <v>179020.79999999999</v>
      </c>
      <c r="BD10" s="1239">
        <v>0</v>
      </c>
      <c r="BE10" s="1239">
        <v>0</v>
      </c>
      <c r="BF10" s="1239">
        <v>15680198.33</v>
      </c>
      <c r="BG10" s="1239">
        <v>0</v>
      </c>
      <c r="BH10" s="1239">
        <v>0</v>
      </c>
      <c r="BI10" s="1239">
        <v>0</v>
      </c>
      <c r="BJ10" s="1239">
        <v>101379065.27</v>
      </c>
      <c r="BK10" s="1239">
        <v>101379065.27</v>
      </c>
      <c r="BL10" s="1239">
        <v>12253985.439999999</v>
      </c>
      <c r="BM10" s="1239">
        <v>12253985.439999999</v>
      </c>
      <c r="BN10" s="1239">
        <v>16998.84</v>
      </c>
      <c r="BO10" s="1239">
        <v>75.02</v>
      </c>
      <c r="BP10" s="1238">
        <v>46022</v>
      </c>
      <c r="BQ10" s="1241">
        <v>2</v>
      </c>
      <c r="BR10" s="1239">
        <v>94955.07</v>
      </c>
      <c r="BS10" s="1239">
        <v>68.259999999999991</v>
      </c>
      <c r="BT10" s="1239">
        <v>0</v>
      </c>
      <c r="BU10" s="1241">
        <v>3</v>
      </c>
      <c r="BV10" s="1239">
        <v>2485301.84</v>
      </c>
      <c r="BW10" s="1239">
        <v>1794.97</v>
      </c>
      <c r="BX10" s="1239">
        <v>0</v>
      </c>
      <c r="BY10" s="1241">
        <v>28</v>
      </c>
      <c r="BZ10" s="1239">
        <v>4085857.6799999992</v>
      </c>
      <c r="CA10" s="1239">
        <v>4515.8999999999996</v>
      </c>
      <c r="CB10" s="1239">
        <v>0</v>
      </c>
      <c r="CC10" s="1239">
        <v>6314729.9999999991</v>
      </c>
      <c r="CD10" s="1239">
        <v>6141.46</v>
      </c>
      <c r="CE10" s="1239">
        <v>1206.92</v>
      </c>
      <c r="CF10" s="1241">
        <v>31</v>
      </c>
      <c r="CG10" s="1239">
        <v>351384.58999999997</v>
      </c>
      <c r="CH10" s="1239">
        <v>237.67</v>
      </c>
      <c r="CI10" s="1239">
        <v>1592.54</v>
      </c>
      <c r="CJ10" s="1239">
        <v>0</v>
      </c>
      <c r="CK10" s="1241">
        <v>2</v>
      </c>
      <c r="CL10" s="1239">
        <v>253037.17</v>
      </c>
      <c r="CM10" s="1239">
        <v>194.13</v>
      </c>
      <c r="CN10" s="1239">
        <v>1071.6600000000001</v>
      </c>
      <c r="CO10" s="1239">
        <v>0</v>
      </c>
      <c r="CP10" s="1241">
        <v>6</v>
      </c>
      <c r="CQ10" s="1238">
        <v>46022</v>
      </c>
      <c r="CR10" s="1239">
        <v>11253127328.719999</v>
      </c>
      <c r="CS10" s="1241">
        <v>74804</v>
      </c>
      <c r="CT10" s="1239">
        <v>35344558.509999998</v>
      </c>
      <c r="CU10" s="1241">
        <v>199</v>
      </c>
      <c r="CV10" s="1239">
        <v>11159368.609999999</v>
      </c>
      <c r="CW10" s="1241">
        <v>75</v>
      </c>
      <c r="CX10" s="1239">
        <v>5107537.99</v>
      </c>
      <c r="CY10" s="1241">
        <v>33</v>
      </c>
      <c r="CZ10" s="1239">
        <v>3800389.08</v>
      </c>
      <c r="DA10" s="1241">
        <v>15</v>
      </c>
      <c r="DB10" s="1239">
        <v>1143184.33</v>
      </c>
      <c r="DC10" s="1241">
        <v>11</v>
      </c>
      <c r="DD10" s="1239">
        <v>759349.86</v>
      </c>
      <c r="DE10" s="1241">
        <v>11</v>
      </c>
      <c r="DF10" s="1239">
        <v>719664.8</v>
      </c>
      <c r="DG10" s="1241">
        <v>6</v>
      </c>
      <c r="DH10" s="1239">
        <v>619500.30000000005</v>
      </c>
      <c r="DI10" s="1241">
        <v>6</v>
      </c>
      <c r="DJ10" s="1239">
        <v>204882.79</v>
      </c>
      <c r="DK10" s="1241">
        <v>3</v>
      </c>
      <c r="DL10" s="1239">
        <v>148657.75</v>
      </c>
      <c r="DM10" s="1241">
        <v>2</v>
      </c>
      <c r="DN10" s="1239">
        <v>1980339.32</v>
      </c>
      <c r="DO10" s="1241">
        <v>4</v>
      </c>
      <c r="DP10" s="1239">
        <v>105788.53</v>
      </c>
      <c r="DQ10" s="1241">
        <v>2</v>
      </c>
      <c r="DR10" s="1239">
        <v>616282.82999999996</v>
      </c>
      <c r="DS10" s="1241">
        <v>7</v>
      </c>
      <c r="DT10" s="1239">
        <v>0</v>
      </c>
      <c r="DU10" s="1241">
        <v>73</v>
      </c>
      <c r="DV10" s="1651">
        <v>1.6782999999999999E-2</v>
      </c>
      <c r="DW10" s="1238">
        <v>46203</v>
      </c>
      <c r="DX10" s="1328" t="s">
        <v>795</v>
      </c>
      <c r="DY10" t="s">
        <v>450</v>
      </c>
      <c r="DZ10" s="1239">
        <v>1003770213.4299999</v>
      </c>
      <c r="EA10" s="1241">
        <v>5050</v>
      </c>
      <c r="EB10" s="1239">
        <v>1373716441.3599999</v>
      </c>
    </row>
    <row r="11" spans="1:132">
      <c r="A11" s="1238">
        <v>46112</v>
      </c>
      <c r="B11" t="s">
        <v>340</v>
      </c>
      <c r="C11" s="1239">
        <v>281667.24</v>
      </c>
      <c r="D11" s="1239">
        <v>0</v>
      </c>
      <c r="E11" s="1239">
        <v>102215.18</v>
      </c>
      <c r="F11" s="1239">
        <v>0</v>
      </c>
      <c r="G11" s="1239">
        <v>0</v>
      </c>
      <c r="H11" s="1239">
        <v>0</v>
      </c>
      <c r="I11" s="1239">
        <v>0</v>
      </c>
      <c r="J11" s="1239">
        <v>0</v>
      </c>
      <c r="K11" s="1239">
        <v>533922.61</v>
      </c>
      <c r="L11" s="1239">
        <v>0</v>
      </c>
      <c r="M11" s="1239">
        <v>281667.24</v>
      </c>
      <c r="N11" s="1239">
        <v>0</v>
      </c>
      <c r="O11" s="1239">
        <v>431707.43</v>
      </c>
      <c r="P11" s="1239">
        <v>0</v>
      </c>
      <c r="Q11" s="1239">
        <v>971.61</v>
      </c>
      <c r="R11" s="1239">
        <v>0</v>
      </c>
      <c r="S11" s="1239">
        <v>1215.96</v>
      </c>
      <c r="T11" s="1239">
        <v>865.36</v>
      </c>
      <c r="U11" s="1239">
        <v>0</v>
      </c>
      <c r="V11" s="1239">
        <v>0</v>
      </c>
      <c r="W11" s="1239">
        <v>0</v>
      </c>
      <c r="X11" s="1239">
        <v>0</v>
      </c>
      <c r="Y11" s="1239">
        <v>0</v>
      </c>
      <c r="Z11" s="1239">
        <v>0</v>
      </c>
      <c r="AA11" s="1239">
        <v>0</v>
      </c>
      <c r="AB11" s="1239">
        <v>0</v>
      </c>
      <c r="AC11" s="1239">
        <v>0</v>
      </c>
      <c r="AD11" s="1239">
        <v>0</v>
      </c>
      <c r="AE11" s="1239">
        <v>3328.24</v>
      </c>
      <c r="AF11" s="1239">
        <v>1575.94</v>
      </c>
      <c r="AG11" s="1239">
        <v>0</v>
      </c>
      <c r="AH11" s="1239">
        <v>0</v>
      </c>
      <c r="AI11" s="1239">
        <v>0</v>
      </c>
      <c r="AJ11" s="1239">
        <v>0</v>
      </c>
      <c r="AK11" s="1239">
        <v>0</v>
      </c>
      <c r="AL11" s="1239">
        <v>0</v>
      </c>
      <c r="AM11" s="1239">
        <v>0</v>
      </c>
      <c r="AN11" s="1239">
        <v>0</v>
      </c>
      <c r="AO11" s="1239">
        <v>0</v>
      </c>
      <c r="AP11" s="1239">
        <v>0</v>
      </c>
      <c r="AQ11" s="1239">
        <v>4544.2</v>
      </c>
      <c r="AR11" s="1239">
        <v>3412.91</v>
      </c>
      <c r="AS11" s="1239">
        <v>0</v>
      </c>
      <c r="AT11" s="1239">
        <v>100999.22</v>
      </c>
      <c r="AU11" s="1239">
        <v>0</v>
      </c>
      <c r="AV11" s="1239">
        <v>0</v>
      </c>
      <c r="AW11" s="1239">
        <v>100999.22</v>
      </c>
      <c r="AX11" s="1239">
        <v>336.77</v>
      </c>
      <c r="AY11" s="1239">
        <v>0</v>
      </c>
      <c r="AZ11" s="1239">
        <v>0</v>
      </c>
      <c r="BA11" s="1239">
        <v>0</v>
      </c>
      <c r="BB11" s="1239">
        <v>0</v>
      </c>
      <c r="BC11" s="1239">
        <v>0</v>
      </c>
      <c r="BD11" s="1239">
        <v>0</v>
      </c>
      <c r="BE11" s="1239">
        <v>0</v>
      </c>
      <c r="BF11" s="1239">
        <v>336.77</v>
      </c>
      <c r="BG11" s="1239">
        <v>0</v>
      </c>
      <c r="BH11" s="1239">
        <v>0</v>
      </c>
      <c r="BI11" s="1239">
        <v>0</v>
      </c>
      <c r="BJ11" s="1239">
        <v>101335.99</v>
      </c>
      <c r="BK11" s="1239">
        <v>101335.99</v>
      </c>
      <c r="BL11" s="1239">
        <v>944.44</v>
      </c>
      <c r="BM11" s="1239">
        <v>944.44</v>
      </c>
      <c r="BN11" s="1239">
        <v>0</v>
      </c>
      <c r="BO11" s="1239">
        <v>0</v>
      </c>
      <c r="BP11" s="1238">
        <v>45991</v>
      </c>
      <c r="BQ11" s="1241">
        <v>2</v>
      </c>
      <c r="BR11" s="1239">
        <v>117467.51000000001</v>
      </c>
      <c r="BS11" s="1239">
        <v>97.600000000000009</v>
      </c>
      <c r="BT11" s="1239">
        <v>0</v>
      </c>
      <c r="BU11" s="1241">
        <v>3</v>
      </c>
      <c r="BV11" s="1239">
        <v>572210.66999999993</v>
      </c>
      <c r="BW11" s="1239">
        <v>557.45999999999992</v>
      </c>
      <c r="BX11" s="1239">
        <v>0</v>
      </c>
      <c r="BY11" s="1241">
        <v>28</v>
      </c>
      <c r="BZ11" s="1239">
        <v>3832595.1799999988</v>
      </c>
      <c r="CA11" s="1239">
        <v>4311.12</v>
      </c>
      <c r="CB11" s="1239">
        <v>0</v>
      </c>
      <c r="CC11" s="1239">
        <v>4397497.5299999984</v>
      </c>
      <c r="CD11" s="1239">
        <v>4876.8999999999996</v>
      </c>
      <c r="CE11" s="1239">
        <v>0</v>
      </c>
      <c r="CF11" s="1241">
        <v>32</v>
      </c>
      <c r="CG11" s="1239">
        <v>124775.83</v>
      </c>
      <c r="CH11" s="1239">
        <v>89.28</v>
      </c>
      <c r="CI11" s="1239">
        <v>0</v>
      </c>
      <c r="CJ11" s="1239">
        <v>0</v>
      </c>
      <c r="CK11" s="1241">
        <v>1</v>
      </c>
      <c r="CL11" s="1239">
        <v>210535.09</v>
      </c>
      <c r="CM11" s="1239">
        <v>0</v>
      </c>
      <c r="CN11" s="1239">
        <v>19588.48</v>
      </c>
      <c r="CO11" s="1239">
        <v>0</v>
      </c>
      <c r="CP11" s="1241">
        <v>3</v>
      </c>
      <c r="CQ11" s="1238">
        <v>45991</v>
      </c>
      <c r="CR11" s="1239">
        <v>11346607692.01</v>
      </c>
      <c r="CS11" s="1241">
        <v>75112</v>
      </c>
      <c r="CT11" s="1239">
        <v>39436167.170000002</v>
      </c>
      <c r="CU11" s="1241">
        <v>234</v>
      </c>
      <c r="CV11" s="1239">
        <v>11439894.35</v>
      </c>
      <c r="CW11" s="1241">
        <v>67</v>
      </c>
      <c r="CX11" s="1239">
        <v>5323863.7699999996</v>
      </c>
      <c r="CY11" s="1241">
        <v>23</v>
      </c>
      <c r="CZ11" s="1239">
        <v>2391343.63</v>
      </c>
      <c r="DA11" s="1241">
        <v>20</v>
      </c>
      <c r="DB11" s="1239">
        <v>805448.37</v>
      </c>
      <c r="DC11" s="1241">
        <v>14</v>
      </c>
      <c r="DD11" s="1239">
        <v>1071613.51</v>
      </c>
      <c r="DE11" s="1241">
        <v>9</v>
      </c>
      <c r="DF11" s="1239">
        <v>695252.28</v>
      </c>
      <c r="DG11" s="1241">
        <v>8</v>
      </c>
      <c r="DH11" s="1239">
        <v>518862.44</v>
      </c>
      <c r="DI11" s="1241">
        <v>3</v>
      </c>
      <c r="DJ11" s="1239">
        <v>149956.5</v>
      </c>
      <c r="DK11" s="1241">
        <v>2</v>
      </c>
      <c r="DL11" s="1239">
        <v>2013086.36</v>
      </c>
      <c r="DM11" s="1241">
        <v>5</v>
      </c>
      <c r="DN11" s="1239">
        <v>86840.320000000007</v>
      </c>
      <c r="DO11" s="1241">
        <v>1</v>
      </c>
      <c r="DP11" s="1239">
        <v>0</v>
      </c>
      <c r="DQ11" s="1241">
        <v>0</v>
      </c>
      <c r="DR11" s="1239">
        <v>253797.1</v>
      </c>
      <c r="DS11" s="1241">
        <v>7</v>
      </c>
      <c r="DT11" s="1239">
        <v>0</v>
      </c>
      <c r="DU11" s="1241">
        <v>66</v>
      </c>
      <c r="DV11" s="1651">
        <v>1.6775999999999999E-2</v>
      </c>
      <c r="DW11" s="1238">
        <v>46203</v>
      </c>
      <c r="DX11" s="1328" t="s">
        <v>796</v>
      </c>
      <c r="DY11" t="s">
        <v>451</v>
      </c>
      <c r="DZ11" s="1239">
        <v>674844381.62</v>
      </c>
      <c r="EA11" s="1241">
        <v>2860</v>
      </c>
      <c r="EB11" s="1239">
        <v>915397658.75999999</v>
      </c>
    </row>
    <row r="12" spans="1:132">
      <c r="A12" s="1238">
        <v>46081</v>
      </c>
      <c r="B12" t="s">
        <v>711</v>
      </c>
      <c r="C12" s="1239">
        <v>11215080214.709999</v>
      </c>
      <c r="D12" s="1239">
        <v>0</v>
      </c>
      <c r="E12" s="1239">
        <v>58086852.240000002</v>
      </c>
      <c r="F12" s="1239">
        <v>26628699.350000001</v>
      </c>
      <c r="G12" s="1239">
        <v>0</v>
      </c>
      <c r="H12" s="1239">
        <v>0</v>
      </c>
      <c r="I12" s="1239">
        <v>0</v>
      </c>
      <c r="J12" s="1239">
        <v>0</v>
      </c>
      <c r="K12" s="1239">
        <v>340969.13</v>
      </c>
      <c r="L12" s="1239">
        <v>0</v>
      </c>
      <c r="M12" s="1239">
        <v>5034758.1500000004</v>
      </c>
      <c r="N12" s="1239">
        <v>368578.4</v>
      </c>
      <c r="O12" s="1239">
        <v>11124620357.440001</v>
      </c>
      <c r="P12" s="1239">
        <v>542917.97</v>
      </c>
      <c r="Q12" s="1239">
        <v>110820.17</v>
      </c>
      <c r="R12" s="1239">
        <v>0</v>
      </c>
      <c r="S12" s="1239">
        <v>224502.1</v>
      </c>
      <c r="T12" s="1239">
        <v>48120.14</v>
      </c>
      <c r="U12" s="1239">
        <v>0</v>
      </c>
      <c r="V12" s="1239">
        <v>206862.51</v>
      </c>
      <c r="W12" s="1239">
        <v>41094.75</v>
      </c>
      <c r="X12" s="1239">
        <v>0</v>
      </c>
      <c r="Y12" s="1239">
        <v>0</v>
      </c>
      <c r="Z12" s="1239">
        <v>0</v>
      </c>
      <c r="AA12" s="1239">
        <v>0</v>
      </c>
      <c r="AB12" s="1239">
        <v>0</v>
      </c>
      <c r="AC12" s="1239">
        <v>0</v>
      </c>
      <c r="AD12" s="1239">
        <v>0</v>
      </c>
      <c r="AE12" s="1239">
        <v>0</v>
      </c>
      <c r="AF12" s="1239">
        <v>0</v>
      </c>
      <c r="AG12" s="1239">
        <v>0</v>
      </c>
      <c r="AH12" s="1239">
        <v>0</v>
      </c>
      <c r="AI12" s="1239">
        <v>0</v>
      </c>
      <c r="AJ12" s="1239">
        <v>0</v>
      </c>
      <c r="AK12" s="1239">
        <v>0</v>
      </c>
      <c r="AL12" s="1239">
        <v>0</v>
      </c>
      <c r="AM12" s="1239">
        <v>0</v>
      </c>
      <c r="AN12" s="1239">
        <v>0</v>
      </c>
      <c r="AO12" s="1239">
        <v>0</v>
      </c>
      <c r="AP12" s="1239">
        <v>0</v>
      </c>
      <c r="AQ12" s="1239">
        <v>560557.56000000006</v>
      </c>
      <c r="AR12" s="1239">
        <v>117845.56</v>
      </c>
      <c r="AS12" s="1239">
        <v>0</v>
      </c>
      <c r="AT12" s="1239">
        <v>57862350.140000001</v>
      </c>
      <c r="AU12" s="1239">
        <v>206862.51</v>
      </c>
      <c r="AV12" s="1239">
        <v>26628699.350000001</v>
      </c>
      <c r="AW12" s="1239">
        <v>84697912</v>
      </c>
      <c r="AX12" s="1239">
        <v>15635635.99</v>
      </c>
      <c r="AY12" s="1239">
        <v>41094.75</v>
      </c>
      <c r="AZ12" s="1239">
        <v>0</v>
      </c>
      <c r="BA12" s="1239">
        <v>0</v>
      </c>
      <c r="BB12" s="1239">
        <v>0</v>
      </c>
      <c r="BC12" s="1239">
        <v>197347.67</v>
      </c>
      <c r="BD12" s="1239">
        <v>0</v>
      </c>
      <c r="BE12" s="1239">
        <v>0</v>
      </c>
      <c r="BF12" s="1239">
        <v>15874078.41</v>
      </c>
      <c r="BG12" s="1239">
        <v>0</v>
      </c>
      <c r="BH12" s="1239">
        <v>0</v>
      </c>
      <c r="BI12" s="1239">
        <v>0</v>
      </c>
      <c r="BJ12" s="1239">
        <v>100571990.41</v>
      </c>
      <c r="BK12" s="1239">
        <v>100571990.41</v>
      </c>
      <c r="BL12" s="1239">
        <v>11938207.42</v>
      </c>
      <c r="BM12" s="1239">
        <v>11938207.42</v>
      </c>
      <c r="BN12" s="1239">
        <v>3484.4</v>
      </c>
      <c r="BO12" s="1239">
        <v>327.54000000000002</v>
      </c>
      <c r="BP12" s="1238">
        <v>45961</v>
      </c>
      <c r="BQ12" s="1241">
        <v>4</v>
      </c>
      <c r="BR12" s="1239">
        <v>531251.02</v>
      </c>
      <c r="BS12" s="1239">
        <v>860.11999999999989</v>
      </c>
      <c r="BT12" s="1239">
        <v>0</v>
      </c>
      <c r="BU12" s="1241">
        <v>69</v>
      </c>
      <c r="BV12" s="1239">
        <v>16480703.700000001</v>
      </c>
      <c r="BW12" s="1239">
        <v>13733.740000000002</v>
      </c>
      <c r="BX12" s="1239">
        <v>0</v>
      </c>
      <c r="BY12" s="1241">
        <v>0</v>
      </c>
      <c r="BZ12" s="1239">
        <v>0</v>
      </c>
      <c r="CA12" s="1239">
        <v>0</v>
      </c>
      <c r="CB12" s="1239">
        <v>0</v>
      </c>
      <c r="CC12" s="1239">
        <v>16920356.800000001</v>
      </c>
      <c r="CD12" s="1239">
        <v>14538.29</v>
      </c>
      <c r="CE12" s="1239">
        <v>3595.38</v>
      </c>
      <c r="CF12" s="1241">
        <v>72</v>
      </c>
      <c r="CG12" s="1239">
        <v>91597.92</v>
      </c>
      <c r="CH12" s="1239">
        <v>55.57</v>
      </c>
      <c r="CI12" s="1239">
        <v>0</v>
      </c>
      <c r="CJ12" s="1239">
        <v>0</v>
      </c>
      <c r="CK12" s="1241">
        <v>1</v>
      </c>
      <c r="CL12" s="1239">
        <v>0</v>
      </c>
      <c r="CM12" s="1239">
        <v>0</v>
      </c>
      <c r="CN12" s="1239">
        <v>0</v>
      </c>
      <c r="CO12" s="1239">
        <v>0</v>
      </c>
      <c r="CP12" s="1241">
        <v>0</v>
      </c>
      <c r="CQ12" s="1238">
        <v>45961</v>
      </c>
      <c r="CR12" s="1239">
        <v>11450567231.139999</v>
      </c>
      <c r="CS12" s="1241">
        <v>75475</v>
      </c>
      <c r="CT12" s="1239">
        <v>27825823.879999999</v>
      </c>
      <c r="CU12" s="1241">
        <v>159</v>
      </c>
      <c r="CV12" s="1239">
        <v>11047178.52</v>
      </c>
      <c r="CW12" s="1241">
        <v>58</v>
      </c>
      <c r="CX12" s="1239">
        <v>4763834.8499999996</v>
      </c>
      <c r="CY12" s="1241">
        <v>28</v>
      </c>
      <c r="CZ12" s="1239">
        <v>1556628.24</v>
      </c>
      <c r="DA12" s="1241">
        <v>18</v>
      </c>
      <c r="DB12" s="1239">
        <v>1561937.22</v>
      </c>
      <c r="DC12" s="1241">
        <v>13</v>
      </c>
      <c r="DD12" s="1239">
        <v>868711.64</v>
      </c>
      <c r="DE12" s="1241">
        <v>10</v>
      </c>
      <c r="DF12" s="1239">
        <v>634010.34</v>
      </c>
      <c r="DG12" s="1241">
        <v>4</v>
      </c>
      <c r="DH12" s="1239">
        <v>151253.07999999999</v>
      </c>
      <c r="DI12" s="1241">
        <v>2</v>
      </c>
      <c r="DJ12" s="1239">
        <v>2026597.8</v>
      </c>
      <c r="DK12" s="1241">
        <v>5</v>
      </c>
      <c r="DL12" s="1239">
        <v>87109.5</v>
      </c>
      <c r="DM12" s="1241">
        <v>1</v>
      </c>
      <c r="DN12" s="1239">
        <v>0</v>
      </c>
      <c r="DO12" s="1241">
        <v>0</v>
      </c>
      <c r="DP12" s="1239">
        <v>131533.74</v>
      </c>
      <c r="DQ12" s="1241">
        <v>1</v>
      </c>
      <c r="DR12" s="1239">
        <v>210535.09</v>
      </c>
      <c r="DS12" s="1241">
        <v>3</v>
      </c>
      <c r="DT12" s="1239">
        <v>0</v>
      </c>
      <c r="DU12" s="1241">
        <v>59</v>
      </c>
      <c r="DV12" s="1651">
        <v>1.6775000000000002E-2</v>
      </c>
      <c r="DW12" s="1238">
        <v>46203</v>
      </c>
      <c r="DX12" s="1328" t="s">
        <v>797</v>
      </c>
      <c r="DY12" t="s">
        <v>452</v>
      </c>
      <c r="DZ12" s="1239">
        <v>494133582.69999999</v>
      </c>
      <c r="EA12" s="1241">
        <v>1795</v>
      </c>
      <c r="EB12" s="1239">
        <v>667231581.5</v>
      </c>
    </row>
    <row r="13" spans="1:132">
      <c r="A13" s="1238">
        <v>46081</v>
      </c>
      <c r="B13" t="s">
        <v>340</v>
      </c>
      <c r="C13" s="1239">
        <v>1763372.94</v>
      </c>
      <c r="D13" s="1239">
        <v>0</v>
      </c>
      <c r="E13" s="1239">
        <v>69961.850000000006</v>
      </c>
      <c r="F13" s="1239">
        <v>0</v>
      </c>
      <c r="G13" s="1239">
        <v>0</v>
      </c>
      <c r="H13" s="1239">
        <v>0</v>
      </c>
      <c r="I13" s="1239">
        <v>0</v>
      </c>
      <c r="J13" s="1239">
        <v>0</v>
      </c>
      <c r="K13" s="1239">
        <v>340969.13</v>
      </c>
      <c r="L13" s="1239">
        <v>0</v>
      </c>
      <c r="M13" s="1239">
        <v>1752712.98</v>
      </c>
      <c r="N13" s="1239">
        <v>0</v>
      </c>
      <c r="O13" s="1239">
        <v>281667.24</v>
      </c>
      <c r="P13" s="1239">
        <v>244073.99</v>
      </c>
      <c r="Q13" s="1239">
        <v>11254.83</v>
      </c>
      <c r="R13" s="1239">
        <v>0</v>
      </c>
      <c r="S13" s="1239">
        <v>10659.96</v>
      </c>
      <c r="T13" s="1239">
        <v>2414.2600000000002</v>
      </c>
      <c r="U13" s="1239">
        <v>0</v>
      </c>
      <c r="V13" s="1239">
        <v>104780.21</v>
      </c>
      <c r="W13" s="1239">
        <v>112.8</v>
      </c>
      <c r="X13" s="1239">
        <v>0</v>
      </c>
      <c r="Y13" s="1239">
        <v>0</v>
      </c>
      <c r="Z13" s="1239">
        <v>0</v>
      </c>
      <c r="AA13" s="1239">
        <v>0</v>
      </c>
      <c r="AB13" s="1239">
        <v>0</v>
      </c>
      <c r="AC13" s="1239">
        <v>0</v>
      </c>
      <c r="AD13" s="1239">
        <v>0</v>
      </c>
      <c r="AE13" s="1239">
        <v>0</v>
      </c>
      <c r="AF13" s="1239">
        <v>0</v>
      </c>
      <c r="AG13" s="1239">
        <v>0</v>
      </c>
      <c r="AH13" s="1239">
        <v>0</v>
      </c>
      <c r="AI13" s="1239">
        <v>0</v>
      </c>
      <c r="AJ13" s="1239">
        <v>0</v>
      </c>
      <c r="AK13" s="1239">
        <v>149953.74</v>
      </c>
      <c r="AL13" s="1239">
        <v>12584.68</v>
      </c>
      <c r="AM13" s="1239">
        <v>0</v>
      </c>
      <c r="AN13" s="1239">
        <v>0</v>
      </c>
      <c r="AO13" s="1239">
        <v>0</v>
      </c>
      <c r="AP13" s="1239">
        <v>0</v>
      </c>
      <c r="AQ13" s="1239">
        <v>0</v>
      </c>
      <c r="AR13" s="1239">
        <v>971.61</v>
      </c>
      <c r="AS13" s="1239">
        <v>0</v>
      </c>
      <c r="AT13" s="1239">
        <v>59301.89</v>
      </c>
      <c r="AU13" s="1239">
        <v>104780.21</v>
      </c>
      <c r="AV13" s="1239">
        <v>0</v>
      </c>
      <c r="AW13" s="1239">
        <v>164082.1</v>
      </c>
      <c r="AX13" s="1239">
        <v>-174.67</v>
      </c>
      <c r="AY13" s="1239">
        <v>112.8</v>
      </c>
      <c r="AZ13" s="1239">
        <v>0</v>
      </c>
      <c r="BA13" s="1239">
        <v>0</v>
      </c>
      <c r="BB13" s="1239">
        <v>0</v>
      </c>
      <c r="BC13" s="1239">
        <v>0</v>
      </c>
      <c r="BD13" s="1239">
        <v>0</v>
      </c>
      <c r="BE13" s="1239">
        <v>0</v>
      </c>
      <c r="BF13" s="1239">
        <v>-61.87</v>
      </c>
      <c r="BG13" s="1239">
        <v>0</v>
      </c>
      <c r="BH13" s="1239">
        <v>0</v>
      </c>
      <c r="BI13" s="1239">
        <v>0</v>
      </c>
      <c r="BJ13" s="1239">
        <v>164020.23000000001</v>
      </c>
      <c r="BK13" s="1239">
        <v>164020.23000000001</v>
      </c>
      <c r="BL13" s="1239">
        <v>1597.88</v>
      </c>
      <c r="BM13" s="1239">
        <v>1597.88</v>
      </c>
      <c r="BN13" s="1239">
        <v>1322.82</v>
      </c>
      <c r="BO13" s="1239">
        <v>0</v>
      </c>
      <c r="BP13" s="1238">
        <v>45930</v>
      </c>
      <c r="BQ13" s="1241">
        <v>3</v>
      </c>
      <c r="BR13" s="1239">
        <v>226821.57</v>
      </c>
      <c r="BS13" s="1239">
        <v>128.74</v>
      </c>
      <c r="BT13" s="1239">
        <v>0</v>
      </c>
      <c r="BU13" s="1241">
        <v>26</v>
      </c>
      <c r="BV13" s="1239">
        <v>3436121.1</v>
      </c>
      <c r="BW13" s="1239">
        <v>2889.5200000000004</v>
      </c>
      <c r="BX13" s="1239">
        <v>0</v>
      </c>
      <c r="BY13" s="1241">
        <v>0</v>
      </c>
      <c r="BZ13" s="1239">
        <v>0</v>
      </c>
      <c r="CA13" s="1239">
        <v>0</v>
      </c>
      <c r="CB13" s="1239">
        <v>0</v>
      </c>
      <c r="CC13" s="1239">
        <v>3615386.7300000004</v>
      </c>
      <c r="CD13" s="1239">
        <v>3000.33</v>
      </c>
      <c r="CE13" s="1239">
        <v>0</v>
      </c>
      <c r="CF13" s="1241">
        <v>28</v>
      </c>
      <c r="CG13" s="1239">
        <v>47555.94</v>
      </c>
      <c r="CH13" s="1239">
        <v>17.93</v>
      </c>
      <c r="CI13" s="1239">
        <v>1682.74</v>
      </c>
      <c r="CJ13" s="1239">
        <v>0</v>
      </c>
      <c r="CK13" s="1241">
        <v>1</v>
      </c>
      <c r="CL13" s="1239">
        <v>738031.12999999989</v>
      </c>
      <c r="CM13" s="1239">
        <v>544.57000000000005</v>
      </c>
      <c r="CN13" s="1239">
        <v>1737.02</v>
      </c>
      <c r="CO13" s="1239">
        <v>0</v>
      </c>
      <c r="CP13" s="1241">
        <v>10</v>
      </c>
      <c r="CQ13" s="1238">
        <v>45930</v>
      </c>
      <c r="CR13" s="1239">
        <v>11570315320.68</v>
      </c>
      <c r="CS13" s="1241">
        <v>75865</v>
      </c>
      <c r="CT13" s="1239">
        <v>20809808.390000001</v>
      </c>
      <c r="CU13" s="1241">
        <v>149</v>
      </c>
      <c r="CV13" s="1239">
        <v>10684438.75</v>
      </c>
      <c r="CW13" s="1241">
        <v>56</v>
      </c>
      <c r="CX13" s="1239">
        <v>3548474.18</v>
      </c>
      <c r="CY13" s="1241">
        <v>32</v>
      </c>
      <c r="CZ13" s="1239">
        <v>3022878.48</v>
      </c>
      <c r="DA13" s="1241">
        <v>22</v>
      </c>
      <c r="DB13" s="1239">
        <v>1217894.76</v>
      </c>
      <c r="DC13" s="1241">
        <v>15</v>
      </c>
      <c r="DD13" s="1239">
        <v>1982216.38</v>
      </c>
      <c r="DE13" s="1241">
        <v>7</v>
      </c>
      <c r="DF13" s="1239">
        <v>152547.49</v>
      </c>
      <c r="DG13" s="1241">
        <v>2</v>
      </c>
      <c r="DH13" s="1239">
        <v>2040091.45</v>
      </c>
      <c r="DI13" s="1241">
        <v>5</v>
      </c>
      <c r="DJ13" s="1239">
        <v>87378.27</v>
      </c>
      <c r="DK13" s="1241">
        <v>1</v>
      </c>
      <c r="DL13" s="1239">
        <v>0</v>
      </c>
      <c r="DM13" s="1241">
        <v>0</v>
      </c>
      <c r="DN13" s="1239">
        <v>132098.12</v>
      </c>
      <c r="DO13" s="1241">
        <v>1</v>
      </c>
      <c r="DP13" s="1239">
        <v>0</v>
      </c>
      <c r="DQ13" s="1241">
        <v>0</v>
      </c>
      <c r="DR13" s="1239">
        <v>413299.32</v>
      </c>
      <c r="DS13" s="1241">
        <v>6</v>
      </c>
      <c r="DT13" s="1239">
        <v>0</v>
      </c>
      <c r="DU13" s="1241">
        <v>56</v>
      </c>
      <c r="DV13" s="1651">
        <v>1.6766E-2</v>
      </c>
      <c r="DW13" s="1238">
        <v>46203</v>
      </c>
      <c r="DX13" s="1328" t="s">
        <v>798</v>
      </c>
      <c r="DY13" t="s">
        <v>453</v>
      </c>
      <c r="DZ13" s="1239">
        <v>333221751.97000003</v>
      </c>
      <c r="EA13" s="1241">
        <v>1098</v>
      </c>
      <c r="EB13" s="1239">
        <v>461945756.39999998</v>
      </c>
    </row>
    <row r="14" spans="1:132">
      <c r="A14" s="1238">
        <v>46053</v>
      </c>
      <c r="B14" t="s">
        <v>711</v>
      </c>
      <c r="C14" s="1239">
        <v>11314220550.59</v>
      </c>
      <c r="D14" s="1239">
        <v>0</v>
      </c>
      <c r="E14" s="1239">
        <v>59269465.609999999</v>
      </c>
      <c r="F14" s="1239">
        <v>31941079.600000001</v>
      </c>
      <c r="G14" s="1239">
        <v>0</v>
      </c>
      <c r="H14" s="1239">
        <v>0</v>
      </c>
      <c r="I14" s="1239">
        <v>0</v>
      </c>
      <c r="J14" s="1239">
        <v>0</v>
      </c>
      <c r="K14" s="1239">
        <v>2770700.2</v>
      </c>
      <c r="L14" s="1239">
        <v>0</v>
      </c>
      <c r="M14" s="1239">
        <v>4660292.3099999996</v>
      </c>
      <c r="N14" s="1239">
        <v>498798.16</v>
      </c>
      <c r="O14" s="1239">
        <v>11215080214.709999</v>
      </c>
      <c r="P14" s="1239">
        <v>564136.54</v>
      </c>
      <c r="Q14" s="1239">
        <v>122020.02</v>
      </c>
      <c r="R14" s="1239">
        <v>0</v>
      </c>
      <c r="S14" s="1239">
        <v>246104.19</v>
      </c>
      <c r="T14" s="1239">
        <v>53257.49</v>
      </c>
      <c r="U14" s="1239">
        <v>0</v>
      </c>
      <c r="V14" s="1239">
        <v>182598.61</v>
      </c>
      <c r="W14" s="1239">
        <v>40030.28</v>
      </c>
      <c r="X14" s="1239">
        <v>0</v>
      </c>
      <c r="Y14" s="1239">
        <v>0</v>
      </c>
      <c r="Z14" s="1239">
        <v>0</v>
      </c>
      <c r="AA14" s="1239">
        <v>0</v>
      </c>
      <c r="AB14" s="1239">
        <v>0</v>
      </c>
      <c r="AC14" s="1239">
        <v>0</v>
      </c>
      <c r="AD14" s="1239">
        <v>0</v>
      </c>
      <c r="AE14" s="1239">
        <v>67809.8</v>
      </c>
      <c r="AF14" s="1239">
        <v>21320.78</v>
      </c>
      <c r="AG14" s="1239">
        <v>0</v>
      </c>
      <c r="AH14" s="1239">
        <v>0</v>
      </c>
      <c r="AI14" s="1239">
        <v>0</v>
      </c>
      <c r="AJ14" s="1239">
        <v>0</v>
      </c>
      <c r="AK14" s="1239">
        <v>16914.349999999999</v>
      </c>
      <c r="AL14" s="1239">
        <v>3106.28</v>
      </c>
      <c r="AM14" s="1239">
        <v>0</v>
      </c>
      <c r="AN14" s="1239">
        <v>0</v>
      </c>
      <c r="AO14" s="1239">
        <v>0</v>
      </c>
      <c r="AP14" s="1239">
        <v>0</v>
      </c>
      <c r="AQ14" s="1239">
        <v>542917.97</v>
      </c>
      <c r="AR14" s="1239">
        <v>110820.17</v>
      </c>
      <c r="AS14" s="1239">
        <v>0</v>
      </c>
      <c r="AT14" s="1239">
        <v>59023361.420000002</v>
      </c>
      <c r="AU14" s="1239">
        <v>182598.61</v>
      </c>
      <c r="AV14" s="1239">
        <v>31941079.600000001</v>
      </c>
      <c r="AW14" s="1239">
        <v>91147039.629999995</v>
      </c>
      <c r="AX14" s="1239">
        <v>15745434.960000001</v>
      </c>
      <c r="AY14" s="1239">
        <v>40030.28</v>
      </c>
      <c r="AZ14" s="1239">
        <v>0</v>
      </c>
      <c r="BA14" s="1239">
        <v>0</v>
      </c>
      <c r="BB14" s="1239">
        <v>0</v>
      </c>
      <c r="BC14" s="1239">
        <v>215553.44</v>
      </c>
      <c r="BD14" s="1239">
        <v>0</v>
      </c>
      <c r="BE14" s="1239">
        <v>0</v>
      </c>
      <c r="BF14" s="1239">
        <v>16001018.68</v>
      </c>
      <c r="BG14" s="1239">
        <v>0</v>
      </c>
      <c r="BH14" s="1239">
        <v>0</v>
      </c>
      <c r="BI14" s="1239">
        <v>0</v>
      </c>
      <c r="BJ14" s="1239">
        <v>107148058.31</v>
      </c>
      <c r="BK14" s="1239">
        <v>107148058.31</v>
      </c>
      <c r="BL14" s="1239">
        <v>12489714.529999999</v>
      </c>
      <c r="BM14" s="1239">
        <v>12489714.529999999</v>
      </c>
      <c r="BN14" s="1239">
        <v>4225.8599999999997</v>
      </c>
      <c r="BO14" s="1239">
        <v>360.65</v>
      </c>
      <c r="BP14" s="1238">
        <v>45900</v>
      </c>
      <c r="BQ14" s="1241">
        <v>2</v>
      </c>
      <c r="BR14" s="1239">
        <v>275408</v>
      </c>
      <c r="BS14" s="1239">
        <v>152.67000000000002</v>
      </c>
      <c r="BT14" s="1239">
        <v>0</v>
      </c>
      <c r="BU14" s="1241">
        <v>22</v>
      </c>
      <c r="BV14" s="1239">
        <v>4528335.8899999997</v>
      </c>
      <c r="BW14" s="1239">
        <v>3529.58</v>
      </c>
      <c r="BX14" s="1239">
        <v>0</v>
      </c>
      <c r="BY14" s="1241">
        <v>0</v>
      </c>
      <c r="BZ14" s="1239">
        <v>0</v>
      </c>
      <c r="CA14" s="1239">
        <v>0</v>
      </c>
      <c r="CB14" s="1239">
        <v>0</v>
      </c>
      <c r="CC14" s="1239">
        <v>4803743.8899999997</v>
      </c>
      <c r="CD14" s="1239">
        <v>3682.25</v>
      </c>
      <c r="CE14" s="1239">
        <v>0</v>
      </c>
      <c r="CF14" s="1241">
        <v>24</v>
      </c>
      <c r="CG14" s="1239">
        <v>0</v>
      </c>
      <c r="CH14" s="1239">
        <v>0</v>
      </c>
      <c r="CI14" s="1239">
        <v>0</v>
      </c>
      <c r="CJ14" s="1239">
        <v>0</v>
      </c>
      <c r="CK14" s="1241">
        <v>0</v>
      </c>
      <c r="CL14" s="1239">
        <v>615408.64000000001</v>
      </c>
      <c r="CM14" s="1239">
        <v>467.13</v>
      </c>
      <c r="CN14" s="1239">
        <v>2943.67</v>
      </c>
      <c r="CO14" s="1239">
        <v>173771.76800000001</v>
      </c>
      <c r="CP14" s="1241">
        <v>5</v>
      </c>
      <c r="CQ14" s="1238">
        <v>45900</v>
      </c>
      <c r="CR14" s="1239">
        <v>7384905193.1400003</v>
      </c>
      <c r="CS14" s="1241">
        <v>54241</v>
      </c>
      <c r="CT14" s="1239">
        <v>24062889.48</v>
      </c>
      <c r="CU14" s="1241">
        <v>166</v>
      </c>
      <c r="CV14" s="1239">
        <v>9283792.9700000007</v>
      </c>
      <c r="CW14" s="1241">
        <v>62</v>
      </c>
      <c r="CX14" s="1239">
        <v>4698441.28</v>
      </c>
      <c r="CY14" s="1241">
        <v>35</v>
      </c>
      <c r="CZ14" s="1239">
        <v>1919487.61</v>
      </c>
      <c r="DA14" s="1241">
        <v>23</v>
      </c>
      <c r="DB14" s="1239">
        <v>2386547.66</v>
      </c>
      <c r="DC14" s="1241">
        <v>11</v>
      </c>
      <c r="DD14" s="1239">
        <v>948584.7</v>
      </c>
      <c r="DE14" s="1241">
        <v>4</v>
      </c>
      <c r="DF14" s="1239">
        <v>2236676.54</v>
      </c>
      <c r="DG14" s="1241">
        <v>7</v>
      </c>
      <c r="DH14" s="1239">
        <v>125860.31</v>
      </c>
      <c r="DI14" s="1241">
        <v>2</v>
      </c>
      <c r="DJ14" s="1239">
        <v>0</v>
      </c>
      <c r="DK14" s="1241">
        <v>0</v>
      </c>
      <c r="DL14" s="1239">
        <v>132661.79</v>
      </c>
      <c r="DM14" s="1241">
        <v>1</v>
      </c>
      <c r="DN14" s="1239">
        <v>70762.37</v>
      </c>
      <c r="DO14" s="1241">
        <v>1</v>
      </c>
      <c r="DP14" s="1239">
        <v>0</v>
      </c>
      <c r="DQ14" s="1241">
        <v>0</v>
      </c>
      <c r="DR14" s="1239">
        <v>324731.81</v>
      </c>
      <c r="DS14" s="1241">
        <v>4</v>
      </c>
      <c r="DT14" s="1239">
        <v>0</v>
      </c>
      <c r="DU14" s="1241">
        <v>50</v>
      </c>
      <c r="DV14" s="1651">
        <v>1.4878000000000001E-2</v>
      </c>
      <c r="DW14" s="1238">
        <v>46203</v>
      </c>
      <c r="DX14" s="1328" t="s">
        <v>799</v>
      </c>
      <c r="DY14" t="s">
        <v>454</v>
      </c>
      <c r="DZ14" s="1239">
        <v>279299004.67000002</v>
      </c>
      <c r="EA14" s="1241">
        <v>793</v>
      </c>
      <c r="EB14" s="1239">
        <v>374511808.33999997</v>
      </c>
    </row>
    <row r="15" spans="1:132">
      <c r="A15" s="1238">
        <v>46053</v>
      </c>
      <c r="B15" t="s">
        <v>340</v>
      </c>
      <c r="C15" s="1239">
        <v>616282.82999999996</v>
      </c>
      <c r="D15" s="1239">
        <v>0</v>
      </c>
      <c r="E15" s="1239">
        <v>1008097.03</v>
      </c>
      <c r="F15" s="1239">
        <v>0</v>
      </c>
      <c r="G15" s="1239">
        <v>0</v>
      </c>
      <c r="H15" s="1239">
        <v>0</v>
      </c>
      <c r="I15" s="1239">
        <v>0</v>
      </c>
      <c r="J15" s="1239">
        <v>0</v>
      </c>
      <c r="K15" s="1239">
        <v>2770700.2</v>
      </c>
      <c r="L15" s="1239">
        <v>0</v>
      </c>
      <c r="M15" s="1239">
        <v>615513.06000000006</v>
      </c>
      <c r="N15" s="1239">
        <v>0</v>
      </c>
      <c r="O15" s="1239">
        <v>1763372.94</v>
      </c>
      <c r="P15" s="1239">
        <v>379759.33</v>
      </c>
      <c r="Q15" s="1239">
        <v>749.6</v>
      </c>
      <c r="R15" s="1239">
        <v>0</v>
      </c>
      <c r="S15" s="1239">
        <v>189245.87</v>
      </c>
      <c r="T15" s="1239">
        <v>2156.38</v>
      </c>
      <c r="U15" s="1239">
        <v>0</v>
      </c>
      <c r="V15" s="1239">
        <v>12981.68</v>
      </c>
      <c r="W15" s="1239">
        <v>12222.33</v>
      </c>
      <c r="X15" s="1239">
        <v>0</v>
      </c>
      <c r="Y15" s="1239">
        <v>0</v>
      </c>
      <c r="Z15" s="1239">
        <v>0</v>
      </c>
      <c r="AA15" s="1239">
        <v>0</v>
      </c>
      <c r="AB15" s="1239">
        <v>0</v>
      </c>
      <c r="AC15" s="1239">
        <v>0</v>
      </c>
      <c r="AD15" s="1239">
        <v>0</v>
      </c>
      <c r="AE15" s="1239">
        <v>67809.8</v>
      </c>
      <c r="AF15" s="1239">
        <v>21320.78</v>
      </c>
      <c r="AG15" s="1239">
        <v>0</v>
      </c>
      <c r="AH15" s="1239">
        <v>0</v>
      </c>
      <c r="AI15" s="1239">
        <v>0</v>
      </c>
      <c r="AJ15" s="1239">
        <v>0</v>
      </c>
      <c r="AK15" s="1239">
        <v>379759.33</v>
      </c>
      <c r="AL15" s="1239">
        <v>749.6</v>
      </c>
      <c r="AM15" s="1239">
        <v>0</v>
      </c>
      <c r="AN15" s="1239">
        <v>0</v>
      </c>
      <c r="AO15" s="1239">
        <v>0</v>
      </c>
      <c r="AP15" s="1239">
        <v>0</v>
      </c>
      <c r="AQ15" s="1239">
        <v>244073.99</v>
      </c>
      <c r="AR15" s="1239">
        <v>11254.83</v>
      </c>
      <c r="AS15" s="1239">
        <v>0</v>
      </c>
      <c r="AT15" s="1239">
        <v>818851.16</v>
      </c>
      <c r="AU15" s="1239">
        <v>12981.68</v>
      </c>
      <c r="AV15" s="1239">
        <v>0</v>
      </c>
      <c r="AW15" s="1239">
        <v>831832.84</v>
      </c>
      <c r="AX15" s="1239">
        <v>3629.41</v>
      </c>
      <c r="AY15" s="1239">
        <v>12222.33</v>
      </c>
      <c r="AZ15" s="1239">
        <v>0</v>
      </c>
      <c r="BA15" s="1239">
        <v>0</v>
      </c>
      <c r="BB15" s="1239">
        <v>0</v>
      </c>
      <c r="BC15" s="1239">
        <v>0</v>
      </c>
      <c r="BD15" s="1239">
        <v>0</v>
      </c>
      <c r="BE15" s="1239">
        <v>0</v>
      </c>
      <c r="BF15" s="1239">
        <v>15851.74</v>
      </c>
      <c r="BG15" s="1239">
        <v>0</v>
      </c>
      <c r="BH15" s="1239">
        <v>0</v>
      </c>
      <c r="BI15" s="1239">
        <v>0</v>
      </c>
      <c r="BJ15" s="1239">
        <v>847684.58</v>
      </c>
      <c r="BK15" s="1239">
        <v>847684.58</v>
      </c>
      <c r="BL15" s="1239">
        <v>2297.0100000000002</v>
      </c>
      <c r="BM15" s="1239">
        <v>2297.0100000000002</v>
      </c>
      <c r="BN15" s="1239">
        <v>658.41</v>
      </c>
      <c r="BO15" s="1239">
        <v>0</v>
      </c>
      <c r="BP15" s="1238">
        <v>45869</v>
      </c>
      <c r="BQ15" s="1241">
        <v>0</v>
      </c>
      <c r="BR15" s="1239">
        <v>0</v>
      </c>
      <c r="BS15" s="1239">
        <v>0</v>
      </c>
      <c r="BT15" s="1239">
        <v>0</v>
      </c>
      <c r="BU15" s="1241">
        <v>19</v>
      </c>
      <c r="BV15" s="1239">
        <v>3048750.8400000008</v>
      </c>
      <c r="BW15" s="1239">
        <v>3700.88</v>
      </c>
      <c r="BX15" s="1239">
        <v>0</v>
      </c>
      <c r="BY15" s="1241">
        <v>0</v>
      </c>
      <c r="BZ15" s="1239">
        <v>0</v>
      </c>
      <c r="CA15" s="1239">
        <v>0</v>
      </c>
      <c r="CB15" s="1239">
        <v>0</v>
      </c>
      <c r="CC15" s="1239">
        <v>3048750.8400000008</v>
      </c>
      <c r="CD15" s="1239">
        <v>3700.88</v>
      </c>
      <c r="CE15" s="1239">
        <v>0</v>
      </c>
      <c r="CF15" s="1241">
        <v>19</v>
      </c>
      <c r="CG15" s="1239">
        <v>0</v>
      </c>
      <c r="CH15" s="1239">
        <v>0</v>
      </c>
      <c r="CI15" s="1239">
        <v>0</v>
      </c>
      <c r="CJ15" s="1239">
        <v>0</v>
      </c>
      <c r="CK15" s="1241">
        <v>0</v>
      </c>
      <c r="CL15" s="1239">
        <v>180060.56</v>
      </c>
      <c r="CM15" s="1239">
        <v>192.42</v>
      </c>
      <c r="CN15" s="1239">
        <v>0</v>
      </c>
      <c r="CO15" s="1239">
        <v>19118.566800000001</v>
      </c>
      <c r="CP15" s="1241">
        <v>3</v>
      </c>
      <c r="CQ15" s="1238">
        <v>45869</v>
      </c>
      <c r="CR15" s="1239">
        <v>7454588609.0799999</v>
      </c>
      <c r="CS15" s="1241">
        <v>54516</v>
      </c>
      <c r="CT15" s="1239">
        <v>23850789</v>
      </c>
      <c r="CU15" s="1241">
        <v>151</v>
      </c>
      <c r="CV15" s="1239">
        <v>12696531.630000001</v>
      </c>
      <c r="CW15" s="1241">
        <v>69</v>
      </c>
      <c r="CX15" s="1239">
        <v>3191368.02</v>
      </c>
      <c r="CY15" s="1241">
        <v>34</v>
      </c>
      <c r="CZ15" s="1239">
        <v>2435825.7400000002</v>
      </c>
      <c r="DA15" s="1241">
        <v>13</v>
      </c>
      <c r="DB15" s="1239">
        <v>1284920.02</v>
      </c>
      <c r="DC15" s="1241">
        <v>7</v>
      </c>
      <c r="DD15" s="1239">
        <v>2815372.28</v>
      </c>
      <c r="DE15" s="1241">
        <v>8</v>
      </c>
      <c r="DF15" s="1239">
        <v>334090.07</v>
      </c>
      <c r="DG15" s="1241">
        <v>4</v>
      </c>
      <c r="DH15" s="1239">
        <v>0</v>
      </c>
      <c r="DI15" s="1241">
        <v>0</v>
      </c>
      <c r="DJ15" s="1239">
        <v>133224.76</v>
      </c>
      <c r="DK15" s="1241">
        <v>1</v>
      </c>
      <c r="DL15" s="1239">
        <v>71349.88</v>
      </c>
      <c r="DM15" s="1241">
        <v>1</v>
      </c>
      <c r="DN15" s="1239">
        <v>0</v>
      </c>
      <c r="DO15" s="1241">
        <v>0</v>
      </c>
      <c r="DP15" s="1239">
        <v>0</v>
      </c>
      <c r="DQ15" s="1241">
        <v>0</v>
      </c>
      <c r="DR15" s="1239">
        <v>616580.66</v>
      </c>
      <c r="DS15" s="1241">
        <v>5</v>
      </c>
      <c r="DT15" s="1239">
        <v>0</v>
      </c>
      <c r="DU15" s="1241">
        <v>46</v>
      </c>
      <c r="DV15" s="1651">
        <v>1.4878000000000001E-2</v>
      </c>
      <c r="DW15" s="1238">
        <v>46203</v>
      </c>
      <c r="DX15" s="1328" t="s">
        <v>800</v>
      </c>
      <c r="DY15" t="s">
        <v>455</v>
      </c>
      <c r="DZ15" s="1239">
        <v>296373628.31999999</v>
      </c>
      <c r="EA15" s="1241">
        <v>725</v>
      </c>
      <c r="EB15" s="1239">
        <v>377622582.00999999</v>
      </c>
    </row>
    <row r="16" spans="1:132">
      <c r="A16" s="1238">
        <v>46022</v>
      </c>
      <c r="B16" t="s">
        <v>711</v>
      </c>
      <c r="C16" s="1239">
        <v>11410540020.709999</v>
      </c>
      <c r="D16" s="1239">
        <v>0</v>
      </c>
      <c r="E16" s="1239">
        <v>58524038.359999999</v>
      </c>
      <c r="F16" s="1239">
        <v>28299915.91</v>
      </c>
      <c r="G16" s="1239">
        <v>0</v>
      </c>
      <c r="H16" s="1239">
        <v>0</v>
      </c>
      <c r="I16" s="1239">
        <v>0</v>
      </c>
      <c r="J16" s="1239">
        <v>0</v>
      </c>
      <c r="K16" s="1239">
        <v>998490.2</v>
      </c>
      <c r="L16" s="1239">
        <v>0</v>
      </c>
      <c r="M16" s="1239">
        <v>6666114.5899999999</v>
      </c>
      <c r="N16" s="1239">
        <v>1830911.06</v>
      </c>
      <c r="O16" s="1239">
        <v>11314220550.59</v>
      </c>
      <c r="P16" s="1239">
        <v>556760.09</v>
      </c>
      <c r="Q16" s="1239">
        <v>115694.64</v>
      </c>
      <c r="R16" s="1239">
        <v>0</v>
      </c>
      <c r="S16" s="1239">
        <v>212463.82</v>
      </c>
      <c r="T16" s="1239">
        <v>47612.74</v>
      </c>
      <c r="U16" s="1239">
        <v>0</v>
      </c>
      <c r="V16" s="1239">
        <v>202390.91</v>
      </c>
      <c r="W16" s="1239">
        <v>39626.28</v>
      </c>
      <c r="X16" s="1239">
        <v>0</v>
      </c>
      <c r="Y16" s="1239">
        <v>0</v>
      </c>
      <c r="Z16" s="1239">
        <v>0</v>
      </c>
      <c r="AA16" s="1239">
        <v>0</v>
      </c>
      <c r="AB16" s="1239">
        <v>0</v>
      </c>
      <c r="AC16" s="1239">
        <v>0</v>
      </c>
      <c r="AD16" s="1239">
        <v>0</v>
      </c>
      <c r="AE16" s="1239">
        <v>1027.08</v>
      </c>
      <c r="AF16" s="1239">
        <v>531</v>
      </c>
      <c r="AG16" s="1239">
        <v>0</v>
      </c>
      <c r="AH16" s="1239">
        <v>0</v>
      </c>
      <c r="AI16" s="1239">
        <v>0</v>
      </c>
      <c r="AJ16" s="1239">
        <v>0</v>
      </c>
      <c r="AK16" s="1239">
        <v>1669.38</v>
      </c>
      <c r="AL16" s="1239">
        <v>1130.08</v>
      </c>
      <c r="AM16" s="1239">
        <v>0</v>
      </c>
      <c r="AN16" s="1239">
        <v>0</v>
      </c>
      <c r="AO16" s="1239">
        <v>0</v>
      </c>
      <c r="AP16" s="1239">
        <v>0</v>
      </c>
      <c r="AQ16" s="1239">
        <v>564136.54</v>
      </c>
      <c r="AR16" s="1239">
        <v>122020.02</v>
      </c>
      <c r="AS16" s="1239">
        <v>0</v>
      </c>
      <c r="AT16" s="1239">
        <v>58311574.539999999</v>
      </c>
      <c r="AU16" s="1239">
        <v>202390.91</v>
      </c>
      <c r="AV16" s="1239">
        <v>28299915.91</v>
      </c>
      <c r="AW16" s="1239">
        <v>86813881.359999999</v>
      </c>
      <c r="AX16" s="1239">
        <v>15890388.619999999</v>
      </c>
      <c r="AY16" s="1239">
        <v>39626.28</v>
      </c>
      <c r="AZ16" s="1239">
        <v>0</v>
      </c>
      <c r="BA16" s="1239">
        <v>0</v>
      </c>
      <c r="BB16" s="1239">
        <v>0</v>
      </c>
      <c r="BC16" s="1239">
        <v>165882.74</v>
      </c>
      <c r="BD16" s="1239">
        <v>0</v>
      </c>
      <c r="BE16" s="1239">
        <v>0</v>
      </c>
      <c r="BF16" s="1239">
        <v>16095897.640000001</v>
      </c>
      <c r="BG16" s="1239">
        <v>0</v>
      </c>
      <c r="BH16" s="1239">
        <v>0</v>
      </c>
      <c r="BI16" s="1239">
        <v>0</v>
      </c>
      <c r="BJ16" s="1239">
        <v>102909779</v>
      </c>
      <c r="BK16" s="1239">
        <v>102909779</v>
      </c>
      <c r="BL16" s="1239">
        <v>12559387.16</v>
      </c>
      <c r="BM16" s="1239">
        <v>12559387.16</v>
      </c>
      <c r="BN16" s="1239">
        <v>6379.13</v>
      </c>
      <c r="BO16" s="1239">
        <v>1588.53</v>
      </c>
      <c r="BP16" s="1238">
        <v>45838</v>
      </c>
      <c r="BQ16" s="1241">
        <v>0</v>
      </c>
      <c r="BR16" s="1239">
        <v>0</v>
      </c>
      <c r="BS16" s="1239">
        <v>0</v>
      </c>
      <c r="BT16" s="1239">
        <v>0</v>
      </c>
      <c r="BU16" s="1241">
        <v>25</v>
      </c>
      <c r="BV16" s="1239">
        <v>6188091.2599999988</v>
      </c>
      <c r="BW16" s="1239">
        <v>4150.1000000000004</v>
      </c>
      <c r="BX16" s="1239">
        <v>0</v>
      </c>
      <c r="BY16" s="1241">
        <v>0</v>
      </c>
      <c r="BZ16" s="1239">
        <v>0</v>
      </c>
      <c r="CA16" s="1239">
        <v>0</v>
      </c>
      <c r="CB16" s="1239">
        <v>0</v>
      </c>
      <c r="CC16" s="1239">
        <v>6188091.2599999988</v>
      </c>
      <c r="CD16" s="1239">
        <v>4150.1000000000004</v>
      </c>
      <c r="CE16" s="1239">
        <v>0</v>
      </c>
      <c r="CF16" s="1241">
        <v>25</v>
      </c>
      <c r="CG16" s="1239">
        <v>0</v>
      </c>
      <c r="CH16" s="1239">
        <v>0</v>
      </c>
      <c r="CI16" s="1239">
        <v>0</v>
      </c>
      <c r="CJ16" s="1239">
        <v>0</v>
      </c>
      <c r="CK16" s="1241">
        <v>0</v>
      </c>
      <c r="CL16" s="1239">
        <v>714376.95000000007</v>
      </c>
      <c r="CM16" s="1239">
        <v>975.79</v>
      </c>
      <c r="CN16" s="1239">
        <v>0</v>
      </c>
      <c r="CO16" s="1239">
        <v>0</v>
      </c>
      <c r="CP16" s="1241">
        <v>10</v>
      </c>
      <c r="CQ16" s="1238">
        <v>45838</v>
      </c>
      <c r="CR16" s="1239">
        <v>7520827672.6000004</v>
      </c>
      <c r="CS16" s="1241">
        <v>54742</v>
      </c>
      <c r="CT16" s="1239">
        <v>29661773.43</v>
      </c>
      <c r="CU16" s="1241">
        <v>181</v>
      </c>
      <c r="CV16" s="1239">
        <v>8846201.8499999996</v>
      </c>
      <c r="CW16" s="1241">
        <v>66</v>
      </c>
      <c r="CX16" s="1239">
        <v>4724255.96</v>
      </c>
      <c r="CY16" s="1241">
        <v>29</v>
      </c>
      <c r="CZ16" s="1239">
        <v>1839709.39</v>
      </c>
      <c r="DA16" s="1241">
        <v>12</v>
      </c>
      <c r="DB16" s="1239">
        <v>3312110.58</v>
      </c>
      <c r="DC16" s="1241">
        <v>11</v>
      </c>
      <c r="DD16" s="1239">
        <v>587739.22</v>
      </c>
      <c r="DE16" s="1241">
        <v>6</v>
      </c>
      <c r="DF16" s="1239">
        <v>0</v>
      </c>
      <c r="DG16" s="1241">
        <v>0</v>
      </c>
      <c r="DH16" s="1239">
        <v>133787.03</v>
      </c>
      <c r="DI16" s="1241">
        <v>1</v>
      </c>
      <c r="DJ16" s="1239">
        <v>71936.929999999993</v>
      </c>
      <c r="DK16" s="1241">
        <v>1</v>
      </c>
      <c r="DL16" s="1239">
        <v>0</v>
      </c>
      <c r="DM16" s="1241">
        <v>0</v>
      </c>
      <c r="DN16" s="1239">
        <v>0</v>
      </c>
      <c r="DO16" s="1241">
        <v>0</v>
      </c>
      <c r="DP16" s="1239">
        <v>0</v>
      </c>
      <c r="DQ16" s="1241">
        <v>0</v>
      </c>
      <c r="DR16" s="1239">
        <v>180457.8</v>
      </c>
      <c r="DS16" s="1241">
        <v>3</v>
      </c>
      <c r="DT16" s="1239">
        <v>0</v>
      </c>
      <c r="DU16" s="1241">
        <v>41</v>
      </c>
      <c r="DV16" s="1651">
        <v>1.4874E-2</v>
      </c>
      <c r="DW16" s="1238">
        <v>46203</v>
      </c>
      <c r="DX16" s="1328" t="s">
        <v>801</v>
      </c>
      <c r="DY16" t="s">
        <v>456</v>
      </c>
      <c r="DZ16" s="1239">
        <v>294292419.60000002</v>
      </c>
      <c r="EA16" s="1241">
        <v>639</v>
      </c>
      <c r="EB16" s="1239">
        <v>365639675.94999999</v>
      </c>
    </row>
    <row r="17" spans="1:132">
      <c r="A17" s="1238">
        <v>46022</v>
      </c>
      <c r="B17" t="s">
        <v>340</v>
      </c>
      <c r="C17" s="1239">
        <v>253797.1</v>
      </c>
      <c r="D17" s="1239">
        <v>0</v>
      </c>
      <c r="E17" s="1239">
        <v>382967.3</v>
      </c>
      <c r="F17" s="1239">
        <v>0</v>
      </c>
      <c r="G17" s="1239">
        <v>0</v>
      </c>
      <c r="H17" s="1239">
        <v>0</v>
      </c>
      <c r="I17" s="1239">
        <v>0</v>
      </c>
      <c r="J17" s="1239">
        <v>0</v>
      </c>
      <c r="K17" s="1239">
        <v>998490.2</v>
      </c>
      <c r="L17" s="1239">
        <v>0</v>
      </c>
      <c r="M17" s="1239">
        <v>253037.17</v>
      </c>
      <c r="N17" s="1239">
        <v>0</v>
      </c>
      <c r="O17" s="1239">
        <v>616282.82999999996</v>
      </c>
      <c r="P17" s="1239">
        <v>5018.46</v>
      </c>
      <c r="Q17" s="1239">
        <v>1157.96</v>
      </c>
      <c r="R17" s="1239">
        <v>0</v>
      </c>
      <c r="S17" s="1239">
        <v>378732.25</v>
      </c>
      <c r="T17" s="1239">
        <v>220.5</v>
      </c>
      <c r="U17" s="1239">
        <v>0</v>
      </c>
      <c r="V17" s="1239">
        <v>3983.18</v>
      </c>
      <c r="W17" s="1239">
        <v>1123.48</v>
      </c>
      <c r="X17" s="1239">
        <v>0</v>
      </c>
      <c r="Y17" s="1239">
        <v>0</v>
      </c>
      <c r="Z17" s="1239">
        <v>0</v>
      </c>
      <c r="AA17" s="1239">
        <v>0</v>
      </c>
      <c r="AB17" s="1239">
        <v>0</v>
      </c>
      <c r="AC17" s="1239">
        <v>0</v>
      </c>
      <c r="AD17" s="1239">
        <v>0</v>
      </c>
      <c r="AE17" s="1239">
        <v>1027.08</v>
      </c>
      <c r="AF17" s="1239">
        <v>531</v>
      </c>
      <c r="AG17" s="1239">
        <v>0</v>
      </c>
      <c r="AH17" s="1239">
        <v>0</v>
      </c>
      <c r="AI17" s="1239">
        <v>0</v>
      </c>
      <c r="AJ17" s="1239">
        <v>0</v>
      </c>
      <c r="AK17" s="1239">
        <v>1035.28</v>
      </c>
      <c r="AL17" s="1239">
        <v>36.380000000000003</v>
      </c>
      <c r="AM17" s="1239">
        <v>0</v>
      </c>
      <c r="AN17" s="1239">
        <v>0</v>
      </c>
      <c r="AO17" s="1239">
        <v>0</v>
      </c>
      <c r="AP17" s="1239">
        <v>0</v>
      </c>
      <c r="AQ17" s="1239">
        <v>379759.33</v>
      </c>
      <c r="AR17" s="1239">
        <v>749.6</v>
      </c>
      <c r="AS17" s="1239">
        <v>0</v>
      </c>
      <c r="AT17" s="1239">
        <v>4235.05</v>
      </c>
      <c r="AU17" s="1239">
        <v>3983.18</v>
      </c>
      <c r="AV17" s="1239">
        <v>0</v>
      </c>
      <c r="AW17" s="1239">
        <v>8218.23</v>
      </c>
      <c r="AX17" s="1239">
        <v>975.5</v>
      </c>
      <c r="AY17" s="1239">
        <v>1123.48</v>
      </c>
      <c r="AZ17" s="1239">
        <v>0</v>
      </c>
      <c r="BA17" s="1239">
        <v>0</v>
      </c>
      <c r="BB17" s="1239">
        <v>0</v>
      </c>
      <c r="BC17" s="1239">
        <v>0</v>
      </c>
      <c r="BD17" s="1239">
        <v>0</v>
      </c>
      <c r="BE17" s="1239">
        <v>0</v>
      </c>
      <c r="BF17" s="1239">
        <v>2098.98</v>
      </c>
      <c r="BG17" s="1239">
        <v>0</v>
      </c>
      <c r="BH17" s="1239">
        <v>0</v>
      </c>
      <c r="BI17" s="1239">
        <v>0</v>
      </c>
      <c r="BJ17" s="1239">
        <v>10317.209999999999</v>
      </c>
      <c r="BK17" s="1239">
        <v>10317.209999999999</v>
      </c>
      <c r="BL17" s="1239">
        <v>860.52</v>
      </c>
      <c r="BM17" s="1239">
        <v>860.52</v>
      </c>
      <c r="BN17" s="1239">
        <v>194.13</v>
      </c>
      <c r="BO17" s="1239">
        <v>0</v>
      </c>
      <c r="BP17" s="1238">
        <v>45808</v>
      </c>
      <c r="BQ17" s="1241">
        <v>2</v>
      </c>
      <c r="BR17" s="1239">
        <v>322233.44</v>
      </c>
      <c r="BS17" s="1239">
        <v>284.75</v>
      </c>
      <c r="BT17" s="1239">
        <v>0</v>
      </c>
      <c r="BU17" s="1241">
        <v>21</v>
      </c>
      <c r="BV17" s="1239">
        <v>3429887.7700000005</v>
      </c>
      <c r="BW17" s="1239">
        <v>2942.6600000000003</v>
      </c>
      <c r="BX17" s="1239">
        <v>0</v>
      </c>
      <c r="BY17" s="1241">
        <v>0</v>
      </c>
      <c r="BZ17" s="1239">
        <v>0</v>
      </c>
      <c r="CA17" s="1239">
        <v>0</v>
      </c>
      <c r="CB17" s="1239">
        <v>0</v>
      </c>
      <c r="CC17" s="1239">
        <v>3752121.2100000004</v>
      </c>
      <c r="CD17" s="1239">
        <v>3227.4100000000003</v>
      </c>
      <c r="CE17" s="1239">
        <v>1342.65</v>
      </c>
      <c r="CF17" s="1241">
        <v>23</v>
      </c>
      <c r="CG17" s="1239">
        <v>0</v>
      </c>
      <c r="CH17" s="1239">
        <v>0</v>
      </c>
      <c r="CI17" s="1239">
        <v>0</v>
      </c>
      <c r="CJ17" s="1239">
        <v>0</v>
      </c>
      <c r="CK17" s="1241">
        <v>0</v>
      </c>
      <c r="CL17" s="1239">
        <v>1227113.95</v>
      </c>
      <c r="CM17" s="1239">
        <v>1398.9199999999998</v>
      </c>
      <c r="CN17" s="1239">
        <v>0</v>
      </c>
      <c r="CO17" s="1239">
        <v>7044.9869000000008</v>
      </c>
      <c r="CP17" s="1241">
        <v>10</v>
      </c>
      <c r="CQ17" s="1238">
        <v>45808</v>
      </c>
      <c r="CR17" s="1239">
        <v>7591031347.8900003</v>
      </c>
      <c r="CS17" s="1241">
        <v>54983</v>
      </c>
      <c r="CT17" s="1239">
        <v>24995335.219999999</v>
      </c>
      <c r="CU17" s="1241">
        <v>161</v>
      </c>
      <c r="CV17" s="1239">
        <v>10648567.65</v>
      </c>
      <c r="CW17" s="1241">
        <v>67</v>
      </c>
      <c r="CX17" s="1239">
        <v>3293113.43</v>
      </c>
      <c r="CY17" s="1241">
        <v>24</v>
      </c>
      <c r="CZ17" s="1239">
        <v>3890820.76</v>
      </c>
      <c r="DA17" s="1241">
        <v>15</v>
      </c>
      <c r="DB17" s="1239">
        <v>1109888.26</v>
      </c>
      <c r="DC17" s="1241">
        <v>9</v>
      </c>
      <c r="DD17" s="1239">
        <v>0</v>
      </c>
      <c r="DE17" s="1241">
        <v>0</v>
      </c>
      <c r="DF17" s="1239">
        <v>134348.59</v>
      </c>
      <c r="DG17" s="1241">
        <v>1</v>
      </c>
      <c r="DH17" s="1239">
        <v>72523.520000000004</v>
      </c>
      <c r="DI17" s="1241">
        <v>1</v>
      </c>
      <c r="DJ17" s="1239">
        <v>0</v>
      </c>
      <c r="DK17" s="1241">
        <v>0</v>
      </c>
      <c r="DL17" s="1239">
        <v>0</v>
      </c>
      <c r="DM17" s="1241">
        <v>0</v>
      </c>
      <c r="DN17" s="1239">
        <v>0</v>
      </c>
      <c r="DO17" s="1241">
        <v>0</v>
      </c>
      <c r="DP17" s="1239">
        <v>0</v>
      </c>
      <c r="DQ17" s="1241">
        <v>0</v>
      </c>
      <c r="DR17" s="1239">
        <v>719043.86</v>
      </c>
      <c r="DS17" s="1241">
        <v>10</v>
      </c>
      <c r="DT17" s="1239">
        <v>0</v>
      </c>
      <c r="DU17" s="1241">
        <v>38</v>
      </c>
      <c r="DV17" s="1651">
        <v>1.4872E-2</v>
      </c>
      <c r="DW17" s="1238">
        <v>46203</v>
      </c>
      <c r="DX17" s="1328" t="s">
        <v>802</v>
      </c>
      <c r="DY17" t="s">
        <v>457</v>
      </c>
      <c r="DZ17" s="1239">
        <v>330927232.57999998</v>
      </c>
      <c r="EA17" s="1241">
        <v>670</v>
      </c>
      <c r="EB17" s="1239">
        <v>414994334.18000001</v>
      </c>
    </row>
    <row r="18" spans="1:132">
      <c r="A18" s="1238">
        <v>45991</v>
      </c>
      <c r="B18" t="s">
        <v>711</v>
      </c>
      <c r="C18" s="1239">
        <v>11501221849.950001</v>
      </c>
      <c r="D18" s="1239">
        <v>0</v>
      </c>
      <c r="E18" s="1239">
        <v>59631882.020000003</v>
      </c>
      <c r="F18" s="1239">
        <v>24036133.25</v>
      </c>
      <c r="G18" s="1239">
        <v>0</v>
      </c>
      <c r="H18" s="1239">
        <v>0</v>
      </c>
      <c r="I18" s="1239">
        <v>0</v>
      </c>
      <c r="J18" s="1239">
        <v>0</v>
      </c>
      <c r="K18" s="1239">
        <v>563823.34</v>
      </c>
      <c r="L18" s="1239">
        <v>0</v>
      </c>
      <c r="M18" s="1239">
        <v>4522273.3600000003</v>
      </c>
      <c r="N18" s="1239">
        <v>1927717.27</v>
      </c>
      <c r="O18" s="1239">
        <v>11410540020.709999</v>
      </c>
      <c r="P18" s="1239">
        <v>401562.93</v>
      </c>
      <c r="Q18" s="1239">
        <v>77747.23</v>
      </c>
      <c r="R18" s="1239">
        <v>0</v>
      </c>
      <c r="S18" s="1239">
        <v>274989.53000000003</v>
      </c>
      <c r="T18" s="1239">
        <v>60552.51</v>
      </c>
      <c r="U18" s="1239">
        <v>0</v>
      </c>
      <c r="V18" s="1239">
        <v>114071.03999999999</v>
      </c>
      <c r="W18" s="1239">
        <v>21453.08</v>
      </c>
      <c r="X18" s="1239">
        <v>0</v>
      </c>
      <c r="Y18" s="1239">
        <v>0</v>
      </c>
      <c r="Z18" s="1239">
        <v>0</v>
      </c>
      <c r="AA18" s="1239">
        <v>0</v>
      </c>
      <c r="AB18" s="1239">
        <v>0</v>
      </c>
      <c r="AC18" s="1239">
        <v>0</v>
      </c>
      <c r="AD18" s="1239">
        <v>0</v>
      </c>
      <c r="AE18" s="1239">
        <v>5721.33</v>
      </c>
      <c r="AF18" s="1239">
        <v>1152.02</v>
      </c>
      <c r="AG18" s="1239">
        <v>0</v>
      </c>
      <c r="AH18" s="1239">
        <v>0</v>
      </c>
      <c r="AI18" s="1239">
        <v>0</v>
      </c>
      <c r="AJ18" s="1239">
        <v>0</v>
      </c>
      <c r="AK18" s="1239">
        <v>0</v>
      </c>
      <c r="AL18" s="1239">
        <v>0</v>
      </c>
      <c r="AM18" s="1239">
        <v>0</v>
      </c>
      <c r="AN18" s="1239">
        <v>0</v>
      </c>
      <c r="AO18" s="1239">
        <v>0</v>
      </c>
      <c r="AP18" s="1239">
        <v>0</v>
      </c>
      <c r="AQ18" s="1239">
        <v>556760.09</v>
      </c>
      <c r="AR18" s="1239">
        <v>115694.64</v>
      </c>
      <c r="AS18" s="1239">
        <v>0</v>
      </c>
      <c r="AT18" s="1239">
        <v>59356892.490000002</v>
      </c>
      <c r="AU18" s="1239">
        <v>114071.03999999999</v>
      </c>
      <c r="AV18" s="1239">
        <v>24036133.25</v>
      </c>
      <c r="AW18" s="1239">
        <v>83507096.780000001</v>
      </c>
      <c r="AX18" s="1239">
        <v>16018641.640000001</v>
      </c>
      <c r="AY18" s="1239">
        <v>21453.08</v>
      </c>
      <c r="AZ18" s="1239">
        <v>0</v>
      </c>
      <c r="BA18" s="1239">
        <v>0</v>
      </c>
      <c r="BB18" s="1239">
        <v>0</v>
      </c>
      <c r="BC18" s="1239">
        <v>171150.36</v>
      </c>
      <c r="BD18" s="1239">
        <v>0</v>
      </c>
      <c r="BE18" s="1239">
        <v>0</v>
      </c>
      <c r="BF18" s="1239">
        <v>16211245.08</v>
      </c>
      <c r="BG18" s="1239">
        <v>0</v>
      </c>
      <c r="BH18" s="1239">
        <v>0</v>
      </c>
      <c r="BI18" s="1239">
        <v>0</v>
      </c>
      <c r="BJ18" s="1239">
        <v>99718341.859999999</v>
      </c>
      <c r="BK18" s="1239">
        <v>99718341.859999999</v>
      </c>
      <c r="BL18" s="1239">
        <v>12539551.01</v>
      </c>
      <c r="BM18" s="1239">
        <v>12539551.01</v>
      </c>
      <c r="BN18" s="1239">
        <v>4966.18</v>
      </c>
      <c r="BO18" s="1239">
        <v>1664.76</v>
      </c>
      <c r="BP18" s="1238">
        <v>45777</v>
      </c>
      <c r="BQ18" s="1241">
        <v>1</v>
      </c>
      <c r="BR18" s="1239">
        <v>78474.25</v>
      </c>
      <c r="BS18" s="1239">
        <v>75.2</v>
      </c>
      <c r="BT18" s="1239">
        <v>0</v>
      </c>
      <c r="BU18" s="1241">
        <v>21</v>
      </c>
      <c r="BV18" s="1239">
        <v>4040646.3600000003</v>
      </c>
      <c r="BW18" s="1239">
        <v>2824.41</v>
      </c>
      <c r="BX18" s="1239">
        <v>0</v>
      </c>
      <c r="BY18" s="1241">
        <v>0</v>
      </c>
      <c r="BZ18" s="1239">
        <v>0</v>
      </c>
      <c r="CA18" s="1239">
        <v>0</v>
      </c>
      <c r="CB18" s="1239">
        <v>0</v>
      </c>
      <c r="CC18" s="1239">
        <v>4119120.6100000003</v>
      </c>
      <c r="CD18" s="1239">
        <v>2899.6099999999997</v>
      </c>
      <c r="CE18" s="1239">
        <v>0</v>
      </c>
      <c r="CF18" s="1241">
        <v>22</v>
      </c>
      <c r="CG18" s="1239">
        <v>0</v>
      </c>
      <c r="CH18" s="1239">
        <v>0</v>
      </c>
      <c r="CI18" s="1239">
        <v>0</v>
      </c>
      <c r="CJ18" s="1239">
        <v>0</v>
      </c>
      <c r="CK18" s="1241">
        <v>0</v>
      </c>
      <c r="CL18" s="1239">
        <v>279860.35000000003</v>
      </c>
      <c r="CM18" s="1239">
        <v>140.32</v>
      </c>
      <c r="CN18" s="1239">
        <v>2841.66</v>
      </c>
      <c r="CO18" s="1239">
        <v>0</v>
      </c>
      <c r="CP18" s="1241">
        <v>4</v>
      </c>
      <c r="CQ18" s="1238">
        <v>45777</v>
      </c>
      <c r="CR18" s="1239">
        <v>7661667205.3900003</v>
      </c>
      <c r="CS18" s="1241">
        <v>55229</v>
      </c>
      <c r="CT18" s="1239">
        <v>26057469.039999999</v>
      </c>
      <c r="CU18" s="1241">
        <v>151</v>
      </c>
      <c r="CV18" s="1239">
        <v>6202320.4100000001</v>
      </c>
      <c r="CW18" s="1241">
        <v>49</v>
      </c>
      <c r="CX18" s="1239">
        <v>4750524.0199999996</v>
      </c>
      <c r="CY18" s="1241">
        <v>24</v>
      </c>
      <c r="CZ18" s="1239">
        <v>1645759.45</v>
      </c>
      <c r="DA18" s="1241">
        <v>13</v>
      </c>
      <c r="DB18" s="1239">
        <v>322362.76</v>
      </c>
      <c r="DC18" s="1241">
        <v>4</v>
      </c>
      <c r="DD18" s="1239">
        <v>134909.45000000001</v>
      </c>
      <c r="DE18" s="1241">
        <v>1</v>
      </c>
      <c r="DF18" s="1239">
        <v>93928.09</v>
      </c>
      <c r="DG18" s="1241">
        <v>2</v>
      </c>
      <c r="DH18" s="1239">
        <v>0</v>
      </c>
      <c r="DI18" s="1241">
        <v>0</v>
      </c>
      <c r="DJ18" s="1239">
        <v>0</v>
      </c>
      <c r="DK18" s="1241">
        <v>0</v>
      </c>
      <c r="DL18" s="1239">
        <v>0</v>
      </c>
      <c r="DM18" s="1241">
        <v>0</v>
      </c>
      <c r="DN18" s="1239">
        <v>0</v>
      </c>
      <c r="DO18" s="1241">
        <v>0</v>
      </c>
      <c r="DP18" s="1239">
        <v>0</v>
      </c>
      <c r="DQ18" s="1241">
        <v>0</v>
      </c>
      <c r="DR18" s="1239">
        <v>1231515.1100000001</v>
      </c>
      <c r="DS18" s="1241">
        <v>10</v>
      </c>
      <c r="DT18" s="1239">
        <v>0</v>
      </c>
      <c r="DU18" s="1241">
        <v>28</v>
      </c>
      <c r="DV18" s="1651">
        <v>1.4867999999999999E-2</v>
      </c>
      <c r="DW18" s="1238">
        <v>46203</v>
      </c>
      <c r="DX18" s="1328" t="s">
        <v>803</v>
      </c>
      <c r="DY18" t="s">
        <v>458</v>
      </c>
      <c r="DZ18" s="1239">
        <v>247983715.72</v>
      </c>
      <c r="EA18" s="1241">
        <v>468</v>
      </c>
      <c r="EB18" s="1239">
        <v>313892456.75</v>
      </c>
    </row>
    <row r="19" spans="1:132">
      <c r="A19" s="1238">
        <v>45991</v>
      </c>
      <c r="B19" t="s">
        <v>340</v>
      </c>
      <c r="C19" s="1239">
        <v>210535.09</v>
      </c>
      <c r="D19" s="1239">
        <v>0</v>
      </c>
      <c r="E19" s="1239">
        <v>310026.23999999999</v>
      </c>
      <c r="F19" s="1239">
        <v>0</v>
      </c>
      <c r="G19" s="1239">
        <v>0</v>
      </c>
      <c r="H19" s="1239">
        <v>0</v>
      </c>
      <c r="I19" s="1239">
        <v>0</v>
      </c>
      <c r="J19" s="1239">
        <v>0</v>
      </c>
      <c r="K19" s="1239">
        <v>563823.34</v>
      </c>
      <c r="L19" s="1239">
        <v>0</v>
      </c>
      <c r="M19" s="1239">
        <v>210535.09</v>
      </c>
      <c r="N19" s="1239">
        <v>0</v>
      </c>
      <c r="O19" s="1239">
        <v>253797.1</v>
      </c>
      <c r="P19" s="1239">
        <v>19395.57</v>
      </c>
      <c r="Q19" s="1239">
        <v>192.91</v>
      </c>
      <c r="R19" s="1239">
        <v>0</v>
      </c>
      <c r="S19" s="1239">
        <v>1321.45</v>
      </c>
      <c r="T19" s="1239">
        <v>370.57</v>
      </c>
      <c r="U19" s="1239">
        <v>0</v>
      </c>
      <c r="V19" s="1239">
        <v>2024.32</v>
      </c>
      <c r="W19" s="1239">
        <v>364.63</v>
      </c>
      <c r="X19" s="1239">
        <v>0</v>
      </c>
      <c r="Y19" s="1239">
        <v>0</v>
      </c>
      <c r="Z19" s="1239">
        <v>0</v>
      </c>
      <c r="AA19" s="1239">
        <v>0</v>
      </c>
      <c r="AB19" s="1239">
        <v>0</v>
      </c>
      <c r="AC19" s="1239">
        <v>0</v>
      </c>
      <c r="AD19" s="1239">
        <v>0</v>
      </c>
      <c r="AE19" s="1239">
        <v>5721.33</v>
      </c>
      <c r="AF19" s="1239">
        <v>1152.02</v>
      </c>
      <c r="AG19" s="1239">
        <v>0</v>
      </c>
      <c r="AH19" s="1239">
        <v>0</v>
      </c>
      <c r="AI19" s="1239">
        <v>0</v>
      </c>
      <c r="AJ19" s="1239">
        <v>0</v>
      </c>
      <c r="AK19" s="1239">
        <v>19395.57</v>
      </c>
      <c r="AL19" s="1239">
        <v>192.91</v>
      </c>
      <c r="AM19" s="1239">
        <v>0</v>
      </c>
      <c r="AN19" s="1239">
        <v>0</v>
      </c>
      <c r="AO19" s="1239">
        <v>0</v>
      </c>
      <c r="AP19" s="1239">
        <v>0</v>
      </c>
      <c r="AQ19" s="1239">
        <v>5018.46</v>
      </c>
      <c r="AR19" s="1239">
        <v>1157.96</v>
      </c>
      <c r="AS19" s="1239">
        <v>0</v>
      </c>
      <c r="AT19" s="1239">
        <v>308704.78999999998</v>
      </c>
      <c r="AU19" s="1239">
        <v>2024.32</v>
      </c>
      <c r="AV19" s="1239">
        <v>0</v>
      </c>
      <c r="AW19" s="1239">
        <v>310729.11</v>
      </c>
      <c r="AX19" s="1239">
        <v>530.45000000000005</v>
      </c>
      <c r="AY19" s="1239">
        <v>364.63</v>
      </c>
      <c r="AZ19" s="1239">
        <v>0</v>
      </c>
      <c r="BA19" s="1239">
        <v>0</v>
      </c>
      <c r="BB19" s="1239">
        <v>0</v>
      </c>
      <c r="BC19" s="1239">
        <v>0</v>
      </c>
      <c r="BD19" s="1239">
        <v>0</v>
      </c>
      <c r="BE19" s="1239">
        <v>0</v>
      </c>
      <c r="BF19" s="1239">
        <v>895.08</v>
      </c>
      <c r="BG19" s="1239">
        <v>0</v>
      </c>
      <c r="BH19" s="1239">
        <v>0</v>
      </c>
      <c r="BI19" s="1239">
        <v>0</v>
      </c>
      <c r="BJ19" s="1239">
        <v>311624.19</v>
      </c>
      <c r="BK19" s="1239">
        <v>311624.19</v>
      </c>
      <c r="BL19" s="1239">
        <v>194.86</v>
      </c>
      <c r="BM19" s="1239">
        <v>194.86</v>
      </c>
      <c r="BN19" s="1239">
        <v>0</v>
      </c>
      <c r="BO19" s="1239">
        <v>0</v>
      </c>
      <c r="BP19" s="1238">
        <v>45747</v>
      </c>
      <c r="BQ19" s="1241">
        <v>0</v>
      </c>
      <c r="BR19" s="1239">
        <v>0</v>
      </c>
      <c r="BS19" s="1239">
        <v>0</v>
      </c>
      <c r="BT19" s="1239">
        <v>0</v>
      </c>
      <c r="BU19" s="1241">
        <v>19</v>
      </c>
      <c r="BV19" s="1239">
        <v>1994383.5400000005</v>
      </c>
      <c r="BW19" s="1239">
        <v>1968.1099999999997</v>
      </c>
      <c r="BX19" s="1239">
        <v>0</v>
      </c>
      <c r="BY19" s="1241">
        <v>0</v>
      </c>
      <c r="BZ19" s="1239">
        <v>0</v>
      </c>
      <c r="CA19" s="1239">
        <v>0</v>
      </c>
      <c r="CB19" s="1239">
        <v>0</v>
      </c>
      <c r="CC19" s="1239">
        <v>1994383.5400000005</v>
      </c>
      <c r="CD19" s="1239">
        <v>1968.1099999999997</v>
      </c>
      <c r="CE19" s="1239">
        <v>0</v>
      </c>
      <c r="CF19" s="1241">
        <v>19</v>
      </c>
      <c r="CG19" s="1239">
        <v>0</v>
      </c>
      <c r="CH19" s="1239">
        <v>0</v>
      </c>
      <c r="CI19" s="1239">
        <v>0</v>
      </c>
      <c r="CJ19" s="1239">
        <v>0</v>
      </c>
      <c r="CK19" s="1241">
        <v>0</v>
      </c>
      <c r="CL19" s="1239">
        <v>206709.84000000003</v>
      </c>
      <c r="CM19" s="1239">
        <v>359.76</v>
      </c>
      <c r="CN19" s="1239">
        <v>0</v>
      </c>
      <c r="CO19" s="1239">
        <v>0</v>
      </c>
      <c r="CP19" s="1241">
        <v>2</v>
      </c>
      <c r="CQ19" s="1238">
        <v>45747</v>
      </c>
      <c r="CR19" s="1239">
        <v>7746846469.2600002</v>
      </c>
      <c r="CS19" s="1241">
        <v>55539</v>
      </c>
      <c r="CT19" s="1239">
        <v>3235865.67</v>
      </c>
      <c r="CU19" s="1241">
        <v>28</v>
      </c>
      <c r="CV19" s="1239">
        <v>7173558.7999999998</v>
      </c>
      <c r="CW19" s="1241">
        <v>40</v>
      </c>
      <c r="CX19" s="1239">
        <v>2613714.33</v>
      </c>
      <c r="CY19" s="1241">
        <v>20</v>
      </c>
      <c r="CZ19" s="1239">
        <v>1665753.94</v>
      </c>
      <c r="DA19" s="1241">
        <v>11</v>
      </c>
      <c r="DB19" s="1239">
        <v>954168.5</v>
      </c>
      <c r="DC19" s="1241">
        <v>7</v>
      </c>
      <c r="DD19" s="1239">
        <v>94749.83</v>
      </c>
      <c r="DE19" s="1241">
        <v>2</v>
      </c>
      <c r="DF19" s="1239">
        <v>0</v>
      </c>
      <c r="DG19" s="1241">
        <v>0</v>
      </c>
      <c r="DH19" s="1239">
        <v>0</v>
      </c>
      <c r="DI19" s="1241">
        <v>0</v>
      </c>
      <c r="DJ19" s="1239">
        <v>0</v>
      </c>
      <c r="DK19" s="1241">
        <v>0</v>
      </c>
      <c r="DL19" s="1239">
        <v>0</v>
      </c>
      <c r="DM19" s="1241">
        <v>0</v>
      </c>
      <c r="DN19" s="1239">
        <v>0</v>
      </c>
      <c r="DO19" s="1241">
        <v>0</v>
      </c>
      <c r="DP19" s="1239">
        <v>0</v>
      </c>
      <c r="DQ19" s="1241">
        <v>0</v>
      </c>
      <c r="DR19" s="1239">
        <v>279860.34999999998</v>
      </c>
      <c r="DS19" s="1241">
        <v>4</v>
      </c>
      <c r="DT19" s="1239">
        <v>0</v>
      </c>
      <c r="DU19" s="1241">
        <v>18</v>
      </c>
      <c r="DV19" s="1651">
        <v>1.4862E-2</v>
      </c>
      <c r="DW19" s="1238">
        <v>46203</v>
      </c>
      <c r="DX19" s="1328" t="s">
        <v>804</v>
      </c>
      <c r="DY19" t="s">
        <v>459</v>
      </c>
      <c r="DZ19" s="1239">
        <v>202962525.22999999</v>
      </c>
      <c r="EA19" s="1241">
        <v>351</v>
      </c>
      <c r="EB19" s="1239">
        <v>252887931.08000001</v>
      </c>
    </row>
    <row r="20" spans="1:132">
      <c r="A20" s="1238">
        <v>45961</v>
      </c>
      <c r="B20" t="s">
        <v>711</v>
      </c>
      <c r="C20" s="1239">
        <v>11613993146.950001</v>
      </c>
      <c r="D20" s="1239">
        <v>0</v>
      </c>
      <c r="E20" s="1239">
        <v>60920128.090000004</v>
      </c>
      <c r="F20" s="1239">
        <v>30948441.43</v>
      </c>
      <c r="G20" s="1239">
        <v>0</v>
      </c>
      <c r="H20" s="1239">
        <v>0</v>
      </c>
      <c r="I20" s="1239">
        <v>0</v>
      </c>
      <c r="J20" s="1239">
        <v>0</v>
      </c>
      <c r="K20" s="1239">
        <v>229091.41</v>
      </c>
      <c r="L20" s="1239">
        <v>0</v>
      </c>
      <c r="M20" s="1239">
        <v>17011954.719999999</v>
      </c>
      <c r="N20" s="1239">
        <v>3661681.35</v>
      </c>
      <c r="O20" s="1239">
        <v>11501221849.950001</v>
      </c>
      <c r="P20" s="1239">
        <v>337301.18</v>
      </c>
      <c r="Q20" s="1239">
        <v>63173.58</v>
      </c>
      <c r="R20" s="1239">
        <v>0</v>
      </c>
      <c r="S20" s="1239">
        <v>218614.39</v>
      </c>
      <c r="T20" s="1239">
        <v>39904.74</v>
      </c>
      <c r="U20" s="1239">
        <v>0</v>
      </c>
      <c r="V20" s="1239">
        <v>149461.65</v>
      </c>
      <c r="W20" s="1239">
        <v>24638.29</v>
      </c>
      <c r="X20" s="1239">
        <v>0</v>
      </c>
      <c r="Y20" s="1239">
        <v>0</v>
      </c>
      <c r="Z20" s="1239">
        <v>0</v>
      </c>
      <c r="AA20" s="1239">
        <v>0</v>
      </c>
      <c r="AB20" s="1239">
        <v>0</v>
      </c>
      <c r="AC20" s="1239">
        <v>0</v>
      </c>
      <c r="AD20" s="1239">
        <v>0</v>
      </c>
      <c r="AE20" s="1239">
        <v>1821.86</v>
      </c>
      <c r="AF20" s="1239">
        <v>166.55</v>
      </c>
      <c r="AG20" s="1239">
        <v>0</v>
      </c>
      <c r="AH20" s="1239">
        <v>0</v>
      </c>
      <c r="AI20" s="1239">
        <v>0</v>
      </c>
      <c r="AJ20" s="1239">
        <v>0</v>
      </c>
      <c r="AK20" s="1239">
        <v>3069.13</v>
      </c>
      <c r="AL20" s="1239">
        <v>526.25</v>
      </c>
      <c r="AM20" s="1239">
        <v>0</v>
      </c>
      <c r="AN20" s="1239">
        <v>0</v>
      </c>
      <c r="AO20" s="1239">
        <v>0</v>
      </c>
      <c r="AP20" s="1239">
        <v>0</v>
      </c>
      <c r="AQ20" s="1239">
        <v>401562.93</v>
      </c>
      <c r="AR20" s="1239">
        <v>77747.23</v>
      </c>
      <c r="AS20" s="1239">
        <v>0</v>
      </c>
      <c r="AT20" s="1239">
        <v>60701513.700000003</v>
      </c>
      <c r="AU20" s="1239">
        <v>149461.65</v>
      </c>
      <c r="AV20" s="1239">
        <v>30948441.43</v>
      </c>
      <c r="AW20" s="1239">
        <v>91799416.780000001</v>
      </c>
      <c r="AX20" s="1239">
        <v>10924064.09</v>
      </c>
      <c r="AY20" s="1239">
        <v>24638.29</v>
      </c>
      <c r="AZ20" s="1239">
        <v>0</v>
      </c>
      <c r="BA20" s="1239">
        <v>0</v>
      </c>
      <c r="BB20" s="1239">
        <v>0</v>
      </c>
      <c r="BC20" s="1239">
        <v>193654.97</v>
      </c>
      <c r="BD20" s="1239">
        <v>0</v>
      </c>
      <c r="BE20" s="1239">
        <v>0</v>
      </c>
      <c r="BF20" s="1239">
        <v>11142357.35</v>
      </c>
      <c r="BG20" s="1239">
        <v>0</v>
      </c>
      <c r="BH20" s="1239">
        <v>0</v>
      </c>
      <c r="BI20" s="1239">
        <v>0</v>
      </c>
      <c r="BJ20" s="1239">
        <v>102941774.13</v>
      </c>
      <c r="BK20" s="1239">
        <v>102941774.13</v>
      </c>
      <c r="BL20" s="1239">
        <v>12775388.98</v>
      </c>
      <c r="BM20" s="1239">
        <v>12775388.98</v>
      </c>
      <c r="BN20" s="1239">
        <v>14593.86</v>
      </c>
      <c r="BO20" s="1239">
        <v>3195.85</v>
      </c>
      <c r="BP20" s="1238">
        <v>45716</v>
      </c>
      <c r="BQ20" s="1241">
        <v>0</v>
      </c>
      <c r="BR20" s="1239">
        <v>0</v>
      </c>
      <c r="BS20" s="1239">
        <v>0</v>
      </c>
      <c r="BT20" s="1239">
        <v>0</v>
      </c>
      <c r="BU20" s="1241">
        <v>20</v>
      </c>
      <c r="BV20" s="1239">
        <v>4466570.6999999993</v>
      </c>
      <c r="BW20" s="1239">
        <v>3668.8299999999995</v>
      </c>
      <c r="BX20" s="1239">
        <v>0</v>
      </c>
      <c r="BY20" s="1241">
        <v>0</v>
      </c>
      <c r="BZ20" s="1239">
        <v>0</v>
      </c>
      <c r="CA20" s="1239">
        <v>0</v>
      </c>
      <c r="CB20" s="1239">
        <v>0</v>
      </c>
      <c r="CC20" s="1239">
        <v>4466570.6999999993</v>
      </c>
      <c r="CD20" s="1239">
        <v>3668.8299999999995</v>
      </c>
      <c r="CE20" s="1239">
        <v>0</v>
      </c>
      <c r="CF20" s="1241">
        <v>20</v>
      </c>
      <c r="CG20" s="1239">
        <v>0</v>
      </c>
      <c r="CH20" s="1239">
        <v>0</v>
      </c>
      <c r="CI20" s="1239">
        <v>0</v>
      </c>
      <c r="CJ20" s="1239">
        <v>0</v>
      </c>
      <c r="CK20" s="1241">
        <v>0</v>
      </c>
      <c r="CL20" s="1239">
        <v>409364.52000000008</v>
      </c>
      <c r="CM20" s="1239">
        <v>168.14</v>
      </c>
      <c r="CN20" s="1239">
        <v>0</v>
      </c>
      <c r="CO20" s="1239">
        <v>0</v>
      </c>
      <c r="CP20" s="1241">
        <v>6</v>
      </c>
      <c r="CQ20" s="1238">
        <v>45716</v>
      </c>
      <c r="CR20" s="1239">
        <v>7790721274.6099997</v>
      </c>
      <c r="CS20" s="1241">
        <v>55610</v>
      </c>
      <c r="CT20" s="1239">
        <v>17680350.039999999</v>
      </c>
      <c r="CU20" s="1241">
        <v>118</v>
      </c>
      <c r="CV20" s="1239">
        <v>9154659.6799999997</v>
      </c>
      <c r="CW20" s="1241">
        <v>50</v>
      </c>
      <c r="CX20" s="1239">
        <v>2833646.73</v>
      </c>
      <c r="CY20" s="1241">
        <v>19</v>
      </c>
      <c r="CZ20" s="1239">
        <v>1167432.8400000001</v>
      </c>
      <c r="DA20" s="1241">
        <v>10</v>
      </c>
      <c r="DB20" s="1239">
        <v>283323.56</v>
      </c>
      <c r="DC20" s="1241">
        <v>4</v>
      </c>
      <c r="DD20" s="1239">
        <v>0</v>
      </c>
      <c r="DE20" s="1241">
        <v>0</v>
      </c>
      <c r="DF20" s="1239">
        <v>0</v>
      </c>
      <c r="DG20" s="1241">
        <v>0</v>
      </c>
      <c r="DH20" s="1239">
        <v>0</v>
      </c>
      <c r="DI20" s="1241">
        <v>0</v>
      </c>
      <c r="DJ20" s="1239">
        <v>0</v>
      </c>
      <c r="DK20" s="1241">
        <v>0</v>
      </c>
      <c r="DL20" s="1239">
        <v>0</v>
      </c>
      <c r="DM20" s="1241">
        <v>0</v>
      </c>
      <c r="DN20" s="1239">
        <v>0</v>
      </c>
      <c r="DO20" s="1241">
        <v>0</v>
      </c>
      <c r="DP20" s="1239">
        <v>0</v>
      </c>
      <c r="DQ20" s="1241">
        <v>0</v>
      </c>
      <c r="DR20" s="1239">
        <v>207269.66</v>
      </c>
      <c r="DS20" s="1241">
        <v>2</v>
      </c>
      <c r="DT20" s="1239">
        <v>0</v>
      </c>
      <c r="DU20" s="1241">
        <v>14</v>
      </c>
      <c r="DV20" s="1651">
        <v>1.4862999999999999E-2</v>
      </c>
      <c r="DW20" s="1238">
        <v>46203</v>
      </c>
      <c r="DX20" s="1328" t="s">
        <v>805</v>
      </c>
      <c r="DY20" t="s">
        <v>460</v>
      </c>
      <c r="DZ20" s="1239">
        <v>169836556.65000001</v>
      </c>
      <c r="EA20" s="1241">
        <v>281</v>
      </c>
      <c r="EB20" s="1239">
        <v>216248567.83000001</v>
      </c>
    </row>
    <row r="21" spans="1:132">
      <c r="A21" s="1238">
        <v>45961</v>
      </c>
      <c r="B21" t="s">
        <v>340</v>
      </c>
      <c r="C21" s="1239">
        <v>0</v>
      </c>
      <c r="D21" s="1239">
        <v>0</v>
      </c>
      <c r="E21" s="1239">
        <v>18556.32</v>
      </c>
      <c r="F21" s="1239">
        <v>0</v>
      </c>
      <c r="G21" s="1239">
        <v>0</v>
      </c>
      <c r="H21" s="1239">
        <v>0</v>
      </c>
      <c r="I21" s="1239">
        <v>0</v>
      </c>
      <c r="J21" s="1239">
        <v>0</v>
      </c>
      <c r="K21" s="1239">
        <v>229091.41</v>
      </c>
      <c r="L21" s="1239">
        <v>0</v>
      </c>
      <c r="M21" s="1239">
        <v>0</v>
      </c>
      <c r="N21" s="1239">
        <v>0</v>
      </c>
      <c r="O21" s="1239">
        <v>210535.09</v>
      </c>
      <c r="P21" s="1239">
        <v>0</v>
      </c>
      <c r="Q21" s="1239">
        <v>0</v>
      </c>
      <c r="R21" s="1239">
        <v>0</v>
      </c>
      <c r="S21" s="1239">
        <v>17573.71</v>
      </c>
      <c r="T21" s="1239">
        <v>26.36</v>
      </c>
      <c r="U21" s="1239">
        <v>0</v>
      </c>
      <c r="V21" s="1239">
        <v>0</v>
      </c>
      <c r="W21" s="1239">
        <v>0</v>
      </c>
      <c r="X21" s="1239">
        <v>0</v>
      </c>
      <c r="Y21" s="1239">
        <v>0</v>
      </c>
      <c r="Z21" s="1239">
        <v>0</v>
      </c>
      <c r="AA21" s="1239">
        <v>0</v>
      </c>
      <c r="AB21" s="1239">
        <v>0</v>
      </c>
      <c r="AC21" s="1239">
        <v>0</v>
      </c>
      <c r="AD21" s="1239">
        <v>0</v>
      </c>
      <c r="AE21" s="1239">
        <v>1821.86</v>
      </c>
      <c r="AF21" s="1239">
        <v>166.55</v>
      </c>
      <c r="AG21" s="1239">
        <v>0</v>
      </c>
      <c r="AH21" s="1239">
        <v>0</v>
      </c>
      <c r="AI21" s="1239">
        <v>0</v>
      </c>
      <c r="AJ21" s="1239">
        <v>0</v>
      </c>
      <c r="AK21" s="1239">
        <v>0</v>
      </c>
      <c r="AL21" s="1239">
        <v>0</v>
      </c>
      <c r="AM21" s="1239">
        <v>0</v>
      </c>
      <c r="AN21" s="1239">
        <v>0</v>
      </c>
      <c r="AO21" s="1239">
        <v>0</v>
      </c>
      <c r="AP21" s="1239">
        <v>0</v>
      </c>
      <c r="AQ21" s="1239">
        <v>19395.57</v>
      </c>
      <c r="AR21" s="1239">
        <v>192.91</v>
      </c>
      <c r="AS21" s="1239">
        <v>0</v>
      </c>
      <c r="AT21" s="1239">
        <v>982.61</v>
      </c>
      <c r="AU21" s="1239">
        <v>0</v>
      </c>
      <c r="AV21" s="1239">
        <v>0</v>
      </c>
      <c r="AW21" s="1239">
        <v>982.61</v>
      </c>
      <c r="AX21" s="1239">
        <v>154.58000000000001</v>
      </c>
      <c r="AY21" s="1239">
        <v>0</v>
      </c>
      <c r="AZ21" s="1239">
        <v>0</v>
      </c>
      <c r="BA21" s="1239">
        <v>0</v>
      </c>
      <c r="BB21" s="1239">
        <v>0</v>
      </c>
      <c r="BC21" s="1239">
        <v>0</v>
      </c>
      <c r="BD21" s="1239">
        <v>0</v>
      </c>
      <c r="BE21" s="1239">
        <v>0</v>
      </c>
      <c r="BF21" s="1239">
        <v>154.58000000000001</v>
      </c>
      <c r="BG21" s="1239">
        <v>0</v>
      </c>
      <c r="BH21" s="1239">
        <v>0</v>
      </c>
      <c r="BI21" s="1239">
        <v>0</v>
      </c>
      <c r="BJ21" s="1239">
        <v>1137.19</v>
      </c>
      <c r="BK21" s="1239">
        <v>1137.19</v>
      </c>
      <c r="BL21" s="1239">
        <v>0</v>
      </c>
      <c r="BM21" s="1239">
        <v>0</v>
      </c>
      <c r="BN21" s="1239">
        <v>0</v>
      </c>
      <c r="BO21" s="1239">
        <v>0</v>
      </c>
      <c r="BP21" s="1238">
        <v>45688</v>
      </c>
      <c r="BQ21" s="1241">
        <v>1</v>
      </c>
      <c r="BR21" s="1239">
        <v>72001.25</v>
      </c>
      <c r="BS21" s="1239">
        <v>50.4</v>
      </c>
      <c r="BT21" s="1239">
        <v>0</v>
      </c>
      <c r="BU21" s="1241">
        <v>20</v>
      </c>
      <c r="BV21" s="1239">
        <v>3671628.52</v>
      </c>
      <c r="BW21" s="1239">
        <v>3756.21</v>
      </c>
      <c r="BX21" s="1239">
        <v>0</v>
      </c>
      <c r="BY21" s="1241">
        <v>0</v>
      </c>
      <c r="BZ21" s="1239">
        <v>0</v>
      </c>
      <c r="CA21" s="1239">
        <v>0</v>
      </c>
      <c r="CB21" s="1239">
        <v>0</v>
      </c>
      <c r="CC21" s="1239">
        <v>3743629.77</v>
      </c>
      <c r="CD21" s="1239">
        <v>3806.61</v>
      </c>
      <c r="CE21" s="1239">
        <v>0</v>
      </c>
      <c r="CF21" s="1241">
        <v>21</v>
      </c>
      <c r="CG21" s="1239">
        <v>0</v>
      </c>
      <c r="CH21" s="1239">
        <v>0</v>
      </c>
      <c r="CI21" s="1239">
        <v>0</v>
      </c>
      <c r="CJ21" s="1239">
        <v>0</v>
      </c>
      <c r="CK21" s="1241">
        <v>0</v>
      </c>
      <c r="CL21" s="1239">
        <v>238668.41</v>
      </c>
      <c r="CM21" s="1239">
        <v>90.25</v>
      </c>
      <c r="CN21" s="1239">
        <v>0</v>
      </c>
      <c r="CO21" s="1239">
        <v>0</v>
      </c>
      <c r="CP21" s="1241">
        <v>2</v>
      </c>
      <c r="CQ21" s="1238">
        <v>45688</v>
      </c>
      <c r="CR21" s="1239">
        <v>7851886174.6700001</v>
      </c>
      <c r="CS21" s="1241">
        <v>55789</v>
      </c>
      <c r="CT21" s="1239">
        <v>19070387.640000001</v>
      </c>
      <c r="CU21" s="1241">
        <v>114</v>
      </c>
      <c r="CV21" s="1239">
        <v>7512666.54</v>
      </c>
      <c r="CW21" s="1241">
        <v>47</v>
      </c>
      <c r="CX21" s="1239">
        <v>2234762.4300000002</v>
      </c>
      <c r="CY21" s="1241">
        <v>22</v>
      </c>
      <c r="CZ21" s="1239">
        <v>1393735.6799999999</v>
      </c>
      <c r="DA21" s="1241">
        <v>8</v>
      </c>
      <c r="DB21" s="1239">
        <v>0</v>
      </c>
      <c r="DC21" s="1241">
        <v>0</v>
      </c>
      <c r="DD21" s="1239">
        <v>0</v>
      </c>
      <c r="DE21" s="1241">
        <v>0</v>
      </c>
      <c r="DF21" s="1239">
        <v>0</v>
      </c>
      <c r="DG21" s="1241">
        <v>0</v>
      </c>
      <c r="DH21" s="1239">
        <v>0</v>
      </c>
      <c r="DI21" s="1241">
        <v>0</v>
      </c>
      <c r="DJ21" s="1239">
        <v>0</v>
      </c>
      <c r="DK21" s="1241">
        <v>0</v>
      </c>
      <c r="DL21" s="1239">
        <v>0</v>
      </c>
      <c r="DM21" s="1241">
        <v>0</v>
      </c>
      <c r="DN21" s="1239">
        <v>0</v>
      </c>
      <c r="DO21" s="1241">
        <v>0</v>
      </c>
      <c r="DP21" s="1239">
        <v>0</v>
      </c>
      <c r="DQ21" s="1241">
        <v>0</v>
      </c>
      <c r="DR21" s="1239">
        <v>411276.35</v>
      </c>
      <c r="DS21" s="1241">
        <v>6</v>
      </c>
      <c r="DT21" s="1239">
        <v>0</v>
      </c>
      <c r="DU21" s="1241">
        <v>12</v>
      </c>
      <c r="DV21" s="1651">
        <v>1.4859000000000001E-2</v>
      </c>
      <c r="DW21" s="1238">
        <v>46203</v>
      </c>
      <c r="DX21" s="1328" t="s">
        <v>806</v>
      </c>
      <c r="DY21" t="s">
        <v>461</v>
      </c>
      <c r="DZ21" s="1239">
        <v>145147300.53</v>
      </c>
      <c r="EA21" s="1241">
        <v>228</v>
      </c>
      <c r="EB21" s="1239">
        <v>186495698.65000001</v>
      </c>
    </row>
    <row r="22" spans="1:132">
      <c r="A22" s="1238">
        <v>45930</v>
      </c>
      <c r="B22" t="s">
        <v>711</v>
      </c>
      <c r="C22" s="1239">
        <v>7430770897.8500004</v>
      </c>
      <c r="D22" s="1239">
        <v>4246326267.73</v>
      </c>
      <c r="E22" s="1239">
        <v>40886125.289999999</v>
      </c>
      <c r="F22" s="1239">
        <v>18140271.010000002</v>
      </c>
      <c r="G22" s="1239">
        <v>0</v>
      </c>
      <c r="H22" s="1239">
        <v>0</v>
      </c>
      <c r="I22" s="1239">
        <v>0</v>
      </c>
      <c r="J22" s="1239">
        <v>0</v>
      </c>
      <c r="K22" s="1239">
        <v>414679.66</v>
      </c>
      <c r="L22" s="1239">
        <v>0</v>
      </c>
      <c r="M22" s="1239">
        <v>3662942.67</v>
      </c>
      <c r="N22" s="1239">
        <v>0</v>
      </c>
      <c r="O22" s="1239">
        <v>11613993146.950001</v>
      </c>
      <c r="P22" s="1239">
        <v>556818.38</v>
      </c>
      <c r="Q22" s="1239">
        <v>104028.52</v>
      </c>
      <c r="R22" s="1239">
        <v>0</v>
      </c>
      <c r="S22" s="1239">
        <v>127109.58</v>
      </c>
      <c r="T22" s="1239">
        <v>23600.81</v>
      </c>
      <c r="U22" s="1239">
        <v>0</v>
      </c>
      <c r="V22" s="1239">
        <v>343243.5</v>
      </c>
      <c r="W22" s="1239">
        <v>64031.839999999997</v>
      </c>
      <c r="X22" s="1239">
        <v>0</v>
      </c>
      <c r="Y22" s="1239">
        <v>339.56</v>
      </c>
      <c r="Z22" s="1239">
        <v>57.87</v>
      </c>
      <c r="AA22" s="1239">
        <v>0</v>
      </c>
      <c r="AB22" s="1239">
        <v>0</v>
      </c>
      <c r="AC22" s="1239">
        <v>0</v>
      </c>
      <c r="AD22" s="1239">
        <v>0</v>
      </c>
      <c r="AE22" s="1239">
        <v>1384.77</v>
      </c>
      <c r="AF22" s="1239">
        <v>342.25</v>
      </c>
      <c r="AG22" s="1239">
        <v>0</v>
      </c>
      <c r="AH22" s="1239">
        <v>0</v>
      </c>
      <c r="AI22" s="1239">
        <v>0</v>
      </c>
      <c r="AJ22" s="1239">
        <v>0</v>
      </c>
      <c r="AK22" s="1239">
        <v>1658.95</v>
      </c>
      <c r="AL22" s="1239">
        <v>23.79</v>
      </c>
      <c r="AM22" s="1239">
        <v>0</v>
      </c>
      <c r="AN22" s="1239">
        <v>0</v>
      </c>
      <c r="AO22" s="1239">
        <v>0</v>
      </c>
      <c r="AP22" s="1239">
        <v>0</v>
      </c>
      <c r="AQ22" s="1239">
        <v>337301.18</v>
      </c>
      <c r="AR22" s="1239">
        <v>63173.58</v>
      </c>
      <c r="AS22" s="1239">
        <v>0</v>
      </c>
      <c r="AT22" s="1239">
        <v>40759015.710000001</v>
      </c>
      <c r="AU22" s="1239">
        <v>343243.5</v>
      </c>
      <c r="AV22" s="1239">
        <v>18140271.010000002</v>
      </c>
      <c r="AW22" s="1239">
        <v>59242530.219999999</v>
      </c>
      <c r="AX22" s="1239">
        <v>9190680.4800000004</v>
      </c>
      <c r="AY22" s="1239">
        <v>64031.839999999997</v>
      </c>
      <c r="AZ22" s="1239">
        <v>0</v>
      </c>
      <c r="BA22" s="1239">
        <v>0</v>
      </c>
      <c r="BB22" s="1239">
        <v>0</v>
      </c>
      <c r="BC22" s="1239">
        <v>81035.69</v>
      </c>
      <c r="BD22" s="1239">
        <v>0</v>
      </c>
      <c r="BE22" s="1239">
        <v>0</v>
      </c>
      <c r="BF22" s="1239">
        <v>9335748.0099999998</v>
      </c>
      <c r="BG22" s="1239">
        <v>0</v>
      </c>
      <c r="BH22" s="1239">
        <v>0</v>
      </c>
      <c r="BI22" s="1239">
        <v>0</v>
      </c>
      <c r="BJ22" s="1239">
        <v>68578278.230000004</v>
      </c>
      <c r="BK22" s="1239">
        <v>68578278.230000004</v>
      </c>
      <c r="BL22" s="1239">
        <v>12728722.32</v>
      </c>
      <c r="BM22" s="1239">
        <v>12728722.32</v>
      </c>
      <c r="BN22" s="1239">
        <v>3334.52</v>
      </c>
      <c r="BO22" s="1239">
        <v>0</v>
      </c>
      <c r="BP22" s="1238">
        <v>45657</v>
      </c>
      <c r="BQ22" s="1241">
        <v>2</v>
      </c>
      <c r="BR22" s="1239">
        <v>574406.91999999993</v>
      </c>
      <c r="BS22" s="1239">
        <v>417.5</v>
      </c>
      <c r="BT22" s="1239">
        <v>0</v>
      </c>
      <c r="BU22" s="1241">
        <v>6</v>
      </c>
      <c r="BV22" s="1239">
        <v>820697.87</v>
      </c>
      <c r="BW22" s="1239">
        <v>1068.02</v>
      </c>
      <c r="BX22" s="1239">
        <v>0</v>
      </c>
      <c r="BY22" s="1241">
        <v>14</v>
      </c>
      <c r="BZ22" s="1239">
        <v>1995804.8499999996</v>
      </c>
      <c r="CA22" s="1239">
        <v>1808.9099999999996</v>
      </c>
      <c r="CB22" s="1239">
        <v>0</v>
      </c>
      <c r="CC22" s="1239">
        <v>3390909.6399999997</v>
      </c>
      <c r="CD22" s="1239">
        <v>3294.4299999999994</v>
      </c>
      <c r="CE22" s="1239">
        <v>0</v>
      </c>
      <c r="CF22" s="1241">
        <v>22</v>
      </c>
      <c r="CG22" s="1239">
        <v>0</v>
      </c>
      <c r="CH22" s="1239">
        <v>0</v>
      </c>
      <c r="CI22" s="1239">
        <v>0</v>
      </c>
      <c r="CJ22" s="1239">
        <v>0</v>
      </c>
      <c r="CK22" s="1241">
        <v>0</v>
      </c>
      <c r="CL22" s="1239">
        <v>254831.75</v>
      </c>
      <c r="CM22" s="1239">
        <v>459.87</v>
      </c>
      <c r="CN22" s="1239">
        <v>0</v>
      </c>
      <c r="CO22" s="1239">
        <v>10910.39</v>
      </c>
      <c r="CP22" s="1241">
        <v>2</v>
      </c>
      <c r="CQ22" s="1238">
        <v>45657</v>
      </c>
      <c r="CR22" s="1239">
        <v>7913177373.5100002</v>
      </c>
      <c r="CS22" s="1241">
        <v>55965</v>
      </c>
      <c r="CT22" s="1239">
        <v>20261511.460000001</v>
      </c>
      <c r="CU22" s="1241">
        <v>126</v>
      </c>
      <c r="CV22" s="1239">
        <v>6209398.6799999997</v>
      </c>
      <c r="CW22" s="1241">
        <v>39</v>
      </c>
      <c r="CX22" s="1239">
        <v>2583394.5499999998</v>
      </c>
      <c r="CY22" s="1241">
        <v>20</v>
      </c>
      <c r="CZ22" s="1239">
        <v>0</v>
      </c>
      <c r="DA22" s="1241">
        <v>0</v>
      </c>
      <c r="DB22" s="1239">
        <v>0</v>
      </c>
      <c r="DC22" s="1241">
        <v>0</v>
      </c>
      <c r="DD22" s="1239">
        <v>0</v>
      </c>
      <c r="DE22" s="1241">
        <v>0</v>
      </c>
      <c r="DF22" s="1239">
        <v>0</v>
      </c>
      <c r="DG22" s="1241">
        <v>0</v>
      </c>
      <c r="DH22" s="1239">
        <v>0</v>
      </c>
      <c r="DI22" s="1241">
        <v>0</v>
      </c>
      <c r="DJ22" s="1239">
        <v>0</v>
      </c>
      <c r="DK22" s="1241">
        <v>0</v>
      </c>
      <c r="DL22" s="1239">
        <v>0</v>
      </c>
      <c r="DM22" s="1241">
        <v>0</v>
      </c>
      <c r="DN22" s="1239">
        <v>0</v>
      </c>
      <c r="DO22" s="1241">
        <v>0</v>
      </c>
      <c r="DP22" s="1239">
        <v>0</v>
      </c>
      <c r="DQ22" s="1241">
        <v>0</v>
      </c>
      <c r="DR22" s="1239">
        <v>238668.41</v>
      </c>
      <c r="DS22" s="1241">
        <v>3</v>
      </c>
      <c r="DT22" s="1239">
        <v>0</v>
      </c>
      <c r="DU22" s="1241">
        <v>6</v>
      </c>
      <c r="DV22" s="1651">
        <v>1.4859000000000001E-2</v>
      </c>
      <c r="DW22" s="1238">
        <v>46203</v>
      </c>
      <c r="DX22" s="1328" t="s">
        <v>807</v>
      </c>
      <c r="DY22" t="s">
        <v>462</v>
      </c>
      <c r="DZ22" s="1239">
        <v>106765926.75</v>
      </c>
      <c r="EA22" s="1241">
        <v>155</v>
      </c>
      <c r="EB22" s="1239">
        <v>135210843.62</v>
      </c>
    </row>
    <row r="23" spans="1:132">
      <c r="A23" s="1238">
        <v>45930</v>
      </c>
      <c r="B23" t="s">
        <v>340</v>
      </c>
      <c r="C23" s="1239">
        <v>324731.81</v>
      </c>
      <c r="D23" s="1239">
        <v>0</v>
      </c>
      <c r="E23" s="1239">
        <v>1380.34</v>
      </c>
      <c r="F23" s="1239">
        <v>0</v>
      </c>
      <c r="G23" s="1239">
        <v>0</v>
      </c>
      <c r="H23" s="1239">
        <v>0</v>
      </c>
      <c r="I23" s="1239">
        <v>0</v>
      </c>
      <c r="J23" s="1239">
        <v>0</v>
      </c>
      <c r="K23" s="1239">
        <v>414679.66</v>
      </c>
      <c r="L23" s="1239">
        <v>0</v>
      </c>
      <c r="M23" s="1239">
        <v>738031.13</v>
      </c>
      <c r="N23" s="1239">
        <v>0</v>
      </c>
      <c r="O23" s="1239">
        <v>0</v>
      </c>
      <c r="P23" s="1239">
        <v>0</v>
      </c>
      <c r="Q23" s="1239">
        <v>0</v>
      </c>
      <c r="R23" s="1239">
        <v>0</v>
      </c>
      <c r="S23" s="1239">
        <v>119.79</v>
      </c>
      <c r="T23" s="1239">
        <v>36.96</v>
      </c>
      <c r="U23" s="1239">
        <v>0</v>
      </c>
      <c r="V23" s="1239">
        <v>81.849999999999994</v>
      </c>
      <c r="W23" s="1239">
        <v>64.900000000000006</v>
      </c>
      <c r="X23" s="1239">
        <v>0</v>
      </c>
      <c r="Y23" s="1239">
        <v>0</v>
      </c>
      <c r="Z23" s="1239">
        <v>0</v>
      </c>
      <c r="AA23" s="1239">
        <v>0</v>
      </c>
      <c r="AB23" s="1239">
        <v>0</v>
      </c>
      <c r="AC23" s="1239">
        <v>0</v>
      </c>
      <c r="AD23" s="1239">
        <v>0</v>
      </c>
      <c r="AE23" s="1239">
        <v>1384.77</v>
      </c>
      <c r="AF23" s="1239">
        <v>342.25</v>
      </c>
      <c r="AG23" s="1239">
        <v>0</v>
      </c>
      <c r="AH23" s="1239">
        <v>0</v>
      </c>
      <c r="AI23" s="1239">
        <v>0</v>
      </c>
      <c r="AJ23" s="1239">
        <v>0</v>
      </c>
      <c r="AK23" s="1239">
        <v>1422.71</v>
      </c>
      <c r="AL23" s="1239">
        <v>314.31</v>
      </c>
      <c r="AM23" s="1239">
        <v>0</v>
      </c>
      <c r="AN23" s="1239">
        <v>0</v>
      </c>
      <c r="AO23" s="1239">
        <v>0</v>
      </c>
      <c r="AP23" s="1239">
        <v>0</v>
      </c>
      <c r="AQ23" s="1239">
        <v>0</v>
      </c>
      <c r="AR23" s="1239">
        <v>0</v>
      </c>
      <c r="AS23" s="1239">
        <v>0</v>
      </c>
      <c r="AT23" s="1239">
        <v>1260.55</v>
      </c>
      <c r="AU23" s="1239">
        <v>81.849999999999994</v>
      </c>
      <c r="AV23" s="1239">
        <v>0</v>
      </c>
      <c r="AW23" s="1239">
        <v>1342.4</v>
      </c>
      <c r="AX23" s="1239">
        <v>381.28</v>
      </c>
      <c r="AY23" s="1239">
        <v>64.900000000000006</v>
      </c>
      <c r="AZ23" s="1239">
        <v>0</v>
      </c>
      <c r="BA23" s="1239">
        <v>0</v>
      </c>
      <c r="BB23" s="1239">
        <v>0</v>
      </c>
      <c r="BC23" s="1239">
        <v>0</v>
      </c>
      <c r="BD23" s="1239">
        <v>0</v>
      </c>
      <c r="BE23" s="1239">
        <v>0</v>
      </c>
      <c r="BF23" s="1239">
        <v>446.18</v>
      </c>
      <c r="BG23" s="1239">
        <v>0</v>
      </c>
      <c r="BH23" s="1239">
        <v>0</v>
      </c>
      <c r="BI23" s="1239">
        <v>0</v>
      </c>
      <c r="BJ23" s="1239">
        <v>1788.58</v>
      </c>
      <c r="BK23" s="1239">
        <v>1788.58</v>
      </c>
      <c r="BL23" s="1239">
        <v>228.31</v>
      </c>
      <c r="BM23" s="1239">
        <v>228.31</v>
      </c>
      <c r="BN23" s="1239">
        <v>228.31</v>
      </c>
      <c r="BO23" s="1239">
        <v>0</v>
      </c>
      <c r="BP23" s="1238">
        <v>45626</v>
      </c>
      <c r="BQ23" s="1241">
        <v>4</v>
      </c>
      <c r="BR23" s="1239">
        <v>408945.69999999995</v>
      </c>
      <c r="BS23" s="1239">
        <v>436.15000000000003</v>
      </c>
      <c r="BT23" s="1239">
        <v>0</v>
      </c>
      <c r="BU23" s="1241">
        <v>22</v>
      </c>
      <c r="BV23" s="1239">
        <v>2678021.54</v>
      </c>
      <c r="BW23" s="1239">
        <v>1937.04</v>
      </c>
      <c r="BX23" s="1239">
        <v>0</v>
      </c>
      <c r="BY23" s="1241">
        <v>0</v>
      </c>
      <c r="BZ23" s="1239">
        <v>0</v>
      </c>
      <c r="CA23" s="1239">
        <v>0</v>
      </c>
      <c r="CB23" s="1239">
        <v>0</v>
      </c>
      <c r="CC23" s="1239">
        <v>3086967.2399999998</v>
      </c>
      <c r="CD23" s="1239">
        <v>2373.19</v>
      </c>
      <c r="CE23" s="1239">
        <v>0</v>
      </c>
      <c r="CF23" s="1241">
        <v>26</v>
      </c>
      <c r="CG23" s="1239">
        <v>0</v>
      </c>
      <c r="CH23" s="1239">
        <v>0</v>
      </c>
      <c r="CI23" s="1239">
        <v>0</v>
      </c>
      <c r="CJ23" s="1239">
        <v>0</v>
      </c>
      <c r="CK23" s="1241">
        <v>0</v>
      </c>
      <c r="CL23" s="1239">
        <v>63768.42</v>
      </c>
      <c r="CM23" s="1239">
        <v>101.85</v>
      </c>
      <c r="CN23" s="1239">
        <v>0</v>
      </c>
      <c r="CO23" s="1239">
        <v>0</v>
      </c>
      <c r="CP23" s="1241">
        <v>1</v>
      </c>
      <c r="CQ23" s="1238">
        <v>45626</v>
      </c>
      <c r="CR23" s="1239">
        <v>8038993600.0500002</v>
      </c>
      <c r="CS23" s="1241">
        <v>56548</v>
      </c>
      <c r="CT23" s="1239">
        <v>17650355.260000002</v>
      </c>
      <c r="CU23" s="1241">
        <v>111</v>
      </c>
      <c r="CV23" s="1239">
        <v>6034476.1200000001</v>
      </c>
      <c r="CW23" s="1241">
        <v>31</v>
      </c>
      <c r="CX23" s="1239">
        <v>0</v>
      </c>
      <c r="CY23" s="1241">
        <v>0</v>
      </c>
      <c r="CZ23" s="1239">
        <v>0</v>
      </c>
      <c r="DA23" s="1241">
        <v>0</v>
      </c>
      <c r="DB23" s="1239">
        <v>0</v>
      </c>
      <c r="DC23" s="1241">
        <v>0</v>
      </c>
      <c r="DD23" s="1239">
        <v>0</v>
      </c>
      <c r="DE23" s="1241">
        <v>0</v>
      </c>
      <c r="DF23" s="1239">
        <v>0</v>
      </c>
      <c r="DG23" s="1241">
        <v>0</v>
      </c>
      <c r="DH23" s="1239">
        <v>0</v>
      </c>
      <c r="DI23" s="1241">
        <v>0</v>
      </c>
      <c r="DJ23" s="1239">
        <v>0</v>
      </c>
      <c r="DK23" s="1241">
        <v>0</v>
      </c>
      <c r="DL23" s="1239">
        <v>0</v>
      </c>
      <c r="DM23" s="1241">
        <v>0</v>
      </c>
      <c r="DN23" s="1239">
        <v>0</v>
      </c>
      <c r="DO23" s="1241">
        <v>0</v>
      </c>
      <c r="DP23" s="1239">
        <v>0</v>
      </c>
      <c r="DQ23" s="1241">
        <v>0</v>
      </c>
      <c r="DR23" s="1239">
        <v>256996.09</v>
      </c>
      <c r="DS23" s="1241">
        <v>2</v>
      </c>
      <c r="DT23" s="1239">
        <v>0</v>
      </c>
      <c r="DU23" s="1241">
        <v>3</v>
      </c>
      <c r="DV23" s="1651">
        <v>1.4836999999999999E-2</v>
      </c>
      <c r="DW23" s="1238">
        <v>46203</v>
      </c>
      <c r="DX23" s="1328" t="s">
        <v>808</v>
      </c>
      <c r="DY23" t="s">
        <v>463</v>
      </c>
      <c r="DZ23" s="1239">
        <v>94063009.700000003</v>
      </c>
      <c r="EA23" s="1241">
        <v>130</v>
      </c>
      <c r="EB23" s="1239">
        <v>119277167.25</v>
      </c>
    </row>
    <row r="24" spans="1:132">
      <c r="A24" s="1238">
        <v>45900</v>
      </c>
      <c r="B24" t="s">
        <v>711</v>
      </c>
      <c r="C24" s="1239">
        <v>7501402080.4799995</v>
      </c>
      <c r="D24" s="1239">
        <v>0</v>
      </c>
      <c r="E24" s="1239">
        <v>41134016</v>
      </c>
      <c r="F24" s="1239">
        <v>24368146.75</v>
      </c>
      <c r="G24" s="1239">
        <v>0</v>
      </c>
      <c r="H24" s="1239">
        <v>0</v>
      </c>
      <c r="I24" s="1239">
        <v>0</v>
      </c>
      <c r="J24" s="1239">
        <v>0</v>
      </c>
      <c r="K24" s="1239">
        <v>325275.99</v>
      </c>
      <c r="L24" s="1239">
        <v>0</v>
      </c>
      <c r="M24" s="1239">
        <v>4803743.8899999997</v>
      </c>
      <c r="N24" s="1239">
        <v>0</v>
      </c>
      <c r="O24" s="1239">
        <v>7430770897.8500004</v>
      </c>
      <c r="P24" s="1239">
        <v>486832.33</v>
      </c>
      <c r="Q24" s="1239">
        <v>104936.02</v>
      </c>
      <c r="R24" s="1239">
        <v>0</v>
      </c>
      <c r="S24" s="1239">
        <v>209210.51</v>
      </c>
      <c r="T24" s="1239">
        <v>35903.72</v>
      </c>
      <c r="U24" s="1239">
        <v>0</v>
      </c>
      <c r="V24" s="1239">
        <v>139224.46</v>
      </c>
      <c r="W24" s="1239">
        <v>36811.22</v>
      </c>
      <c r="X24" s="1239">
        <v>0</v>
      </c>
      <c r="Y24" s="1239">
        <v>0</v>
      </c>
      <c r="Z24" s="1239">
        <v>0</v>
      </c>
      <c r="AA24" s="1239">
        <v>0</v>
      </c>
      <c r="AB24" s="1239">
        <v>0</v>
      </c>
      <c r="AC24" s="1239">
        <v>0</v>
      </c>
      <c r="AD24" s="1239">
        <v>0</v>
      </c>
      <c r="AE24" s="1239">
        <v>0</v>
      </c>
      <c r="AF24" s="1239">
        <v>0</v>
      </c>
      <c r="AG24" s="1239">
        <v>0</v>
      </c>
      <c r="AH24" s="1239">
        <v>0</v>
      </c>
      <c r="AI24" s="1239">
        <v>0</v>
      </c>
      <c r="AJ24" s="1239">
        <v>0</v>
      </c>
      <c r="AK24" s="1239">
        <v>0</v>
      </c>
      <c r="AL24" s="1239">
        <v>0</v>
      </c>
      <c r="AM24" s="1239">
        <v>0</v>
      </c>
      <c r="AN24" s="1239">
        <v>0</v>
      </c>
      <c r="AO24" s="1239">
        <v>0</v>
      </c>
      <c r="AP24" s="1239">
        <v>0</v>
      </c>
      <c r="AQ24" s="1239">
        <v>556818.38</v>
      </c>
      <c r="AR24" s="1239">
        <v>104028.52</v>
      </c>
      <c r="AS24" s="1239">
        <v>0</v>
      </c>
      <c r="AT24" s="1239">
        <v>40924805.490000002</v>
      </c>
      <c r="AU24" s="1239">
        <v>139224.46</v>
      </c>
      <c r="AV24" s="1239">
        <v>24368146.75</v>
      </c>
      <c r="AW24" s="1239">
        <v>65432176.700000003</v>
      </c>
      <c r="AX24" s="1239">
        <v>9263814.8399999999</v>
      </c>
      <c r="AY24" s="1239">
        <v>36811.22</v>
      </c>
      <c r="AZ24" s="1239">
        <v>0</v>
      </c>
      <c r="BA24" s="1239">
        <v>0</v>
      </c>
      <c r="BB24" s="1239">
        <v>0</v>
      </c>
      <c r="BC24" s="1239">
        <v>98997.19</v>
      </c>
      <c r="BD24" s="1239">
        <v>0</v>
      </c>
      <c r="BE24" s="1239">
        <v>0</v>
      </c>
      <c r="BF24" s="1239">
        <v>9399623.25</v>
      </c>
      <c r="BG24" s="1239">
        <v>0</v>
      </c>
      <c r="BH24" s="1239">
        <v>0</v>
      </c>
      <c r="BI24" s="1239">
        <v>0</v>
      </c>
      <c r="BJ24" s="1239">
        <v>74831799.950000003</v>
      </c>
      <c r="BK24" s="1239">
        <v>74831799.950000003</v>
      </c>
      <c r="BL24" s="1239">
        <v>7344940.4400000004</v>
      </c>
      <c r="BM24" s="1239">
        <v>7344940.4400000004</v>
      </c>
      <c r="BN24" s="1239">
        <v>3682.25</v>
      </c>
      <c r="BO24" s="1239">
        <v>0</v>
      </c>
      <c r="BP24" s="1238">
        <v>45596</v>
      </c>
      <c r="BQ24" s="1241">
        <v>0</v>
      </c>
      <c r="BR24" s="1239">
        <v>0</v>
      </c>
      <c r="BS24" s="1239">
        <v>0</v>
      </c>
      <c r="BT24" s="1239">
        <v>0</v>
      </c>
      <c r="BU24" s="1241">
        <v>2</v>
      </c>
      <c r="BV24" s="1239">
        <v>262375.61</v>
      </c>
      <c r="BW24" s="1239">
        <v>232.45</v>
      </c>
      <c r="BX24" s="1239">
        <v>0</v>
      </c>
      <c r="BY24" s="1241">
        <v>10</v>
      </c>
      <c r="BZ24" s="1239">
        <v>1276580.07</v>
      </c>
      <c r="CA24" s="1239">
        <v>1196.04</v>
      </c>
      <c r="CB24" s="1239">
        <v>0</v>
      </c>
      <c r="CC24" s="1239">
        <v>1538955.6800000002</v>
      </c>
      <c r="CD24" s="1239">
        <v>1428.49</v>
      </c>
      <c r="CE24" s="1239">
        <v>0</v>
      </c>
      <c r="CF24" s="1241">
        <v>12</v>
      </c>
      <c r="CG24" s="1239">
        <v>0</v>
      </c>
      <c r="CH24" s="1239">
        <v>0</v>
      </c>
      <c r="CI24" s="1239">
        <v>0</v>
      </c>
      <c r="CJ24" s="1239">
        <v>0</v>
      </c>
      <c r="CK24" s="1241">
        <v>0</v>
      </c>
      <c r="CL24" s="1239">
        <v>0</v>
      </c>
      <c r="CM24" s="1239">
        <v>0</v>
      </c>
      <c r="CN24" s="1239">
        <v>0</v>
      </c>
      <c r="CO24" s="1239">
        <v>0</v>
      </c>
      <c r="CP24" s="1241">
        <v>0</v>
      </c>
      <c r="CQ24" s="1238">
        <v>45596</v>
      </c>
      <c r="CR24" s="1239">
        <v>8120798931.6599998</v>
      </c>
      <c r="CS24" s="1241">
        <v>56839</v>
      </c>
      <c r="CT24" s="1239">
        <v>0</v>
      </c>
      <c r="CU24" s="1241">
        <v>0</v>
      </c>
      <c r="CV24" s="1239">
        <v>0</v>
      </c>
      <c r="CW24" s="1241">
        <v>0</v>
      </c>
      <c r="CX24" s="1239">
        <v>0</v>
      </c>
      <c r="CY24" s="1241">
        <v>0</v>
      </c>
      <c r="CZ24" s="1239">
        <v>0</v>
      </c>
      <c r="DA24" s="1241">
        <v>0</v>
      </c>
      <c r="DB24" s="1239">
        <v>0</v>
      </c>
      <c r="DC24" s="1241">
        <v>0</v>
      </c>
      <c r="DD24" s="1239">
        <v>0</v>
      </c>
      <c r="DE24" s="1241">
        <v>0</v>
      </c>
      <c r="DF24" s="1239">
        <v>0</v>
      </c>
      <c r="DG24" s="1241">
        <v>0</v>
      </c>
      <c r="DH24" s="1239">
        <v>0</v>
      </c>
      <c r="DI24" s="1241">
        <v>0</v>
      </c>
      <c r="DJ24" s="1239">
        <v>0</v>
      </c>
      <c r="DK24" s="1241">
        <v>0</v>
      </c>
      <c r="DL24" s="1239">
        <v>0</v>
      </c>
      <c r="DM24" s="1241">
        <v>0</v>
      </c>
      <c r="DN24" s="1239">
        <v>0</v>
      </c>
      <c r="DO24" s="1241">
        <v>0</v>
      </c>
      <c r="DP24" s="1239">
        <v>0</v>
      </c>
      <c r="DQ24" s="1241">
        <v>0</v>
      </c>
      <c r="DR24" s="1239">
        <v>65384.86</v>
      </c>
      <c r="DS24" s="1241">
        <v>1</v>
      </c>
      <c r="DT24" s="1239">
        <v>0</v>
      </c>
      <c r="DU24" s="1241">
        <v>1</v>
      </c>
      <c r="DV24" s="1651">
        <v>1.4827809999999999E-2</v>
      </c>
      <c r="DW24" s="1238">
        <v>46203</v>
      </c>
      <c r="DX24" s="1328" t="s">
        <v>809</v>
      </c>
      <c r="DY24" t="s">
        <v>464</v>
      </c>
      <c r="DZ24" s="1239">
        <v>73725222.680000007</v>
      </c>
      <c r="EA24" s="1241">
        <v>98</v>
      </c>
      <c r="EB24" s="1239">
        <v>95211801.579999998</v>
      </c>
    </row>
    <row r="25" spans="1:132">
      <c r="A25" s="1238">
        <v>45900</v>
      </c>
      <c r="B25" t="s">
        <v>340</v>
      </c>
      <c r="C25" s="1239">
        <v>616580.66</v>
      </c>
      <c r="D25" s="1239">
        <v>0</v>
      </c>
      <c r="E25" s="1239">
        <v>1716.2</v>
      </c>
      <c r="F25" s="1239">
        <v>0</v>
      </c>
      <c r="G25" s="1239">
        <v>0</v>
      </c>
      <c r="H25" s="1239">
        <v>0</v>
      </c>
      <c r="I25" s="1239">
        <v>0</v>
      </c>
      <c r="J25" s="1239">
        <v>0</v>
      </c>
      <c r="K25" s="1239">
        <v>325275.99</v>
      </c>
      <c r="L25" s="1239">
        <v>0</v>
      </c>
      <c r="M25" s="1239">
        <v>615408.64000000001</v>
      </c>
      <c r="N25" s="1239">
        <v>0</v>
      </c>
      <c r="O25" s="1239">
        <v>324731.81</v>
      </c>
      <c r="P25" s="1239">
        <v>2694.84</v>
      </c>
      <c r="Q25" s="1239">
        <v>248.83</v>
      </c>
      <c r="R25" s="1239">
        <v>0</v>
      </c>
      <c r="S25" s="1239">
        <v>0</v>
      </c>
      <c r="T25" s="1239">
        <v>0</v>
      </c>
      <c r="U25" s="1239">
        <v>0</v>
      </c>
      <c r="V25" s="1239">
        <v>0</v>
      </c>
      <c r="W25" s="1239">
        <v>0</v>
      </c>
      <c r="X25" s="1239">
        <v>0</v>
      </c>
      <c r="Y25" s="1239">
        <v>0</v>
      </c>
      <c r="Z25" s="1239">
        <v>0</v>
      </c>
      <c r="AA25" s="1239">
        <v>0</v>
      </c>
      <c r="AB25" s="1239">
        <v>0</v>
      </c>
      <c r="AC25" s="1239">
        <v>0</v>
      </c>
      <c r="AD25" s="1239">
        <v>0</v>
      </c>
      <c r="AE25" s="1239">
        <v>0</v>
      </c>
      <c r="AF25" s="1239">
        <v>0</v>
      </c>
      <c r="AG25" s="1239">
        <v>0</v>
      </c>
      <c r="AH25" s="1239">
        <v>0</v>
      </c>
      <c r="AI25" s="1239">
        <v>0</v>
      </c>
      <c r="AJ25" s="1239">
        <v>0</v>
      </c>
      <c r="AK25" s="1239">
        <v>2694.84</v>
      </c>
      <c r="AL25" s="1239">
        <v>248.83</v>
      </c>
      <c r="AM25" s="1239">
        <v>0</v>
      </c>
      <c r="AN25" s="1239">
        <v>0</v>
      </c>
      <c r="AO25" s="1239">
        <v>0</v>
      </c>
      <c r="AP25" s="1239">
        <v>0</v>
      </c>
      <c r="AQ25" s="1239">
        <v>0</v>
      </c>
      <c r="AR25" s="1239">
        <v>0</v>
      </c>
      <c r="AS25" s="1239">
        <v>0</v>
      </c>
      <c r="AT25" s="1239">
        <v>1716.2</v>
      </c>
      <c r="AU25" s="1239">
        <v>0</v>
      </c>
      <c r="AV25" s="1239">
        <v>0</v>
      </c>
      <c r="AW25" s="1239">
        <v>1716.2</v>
      </c>
      <c r="AX25" s="1239">
        <v>756.14</v>
      </c>
      <c r="AY25" s="1239">
        <v>0</v>
      </c>
      <c r="AZ25" s="1239">
        <v>0</v>
      </c>
      <c r="BA25" s="1239">
        <v>0</v>
      </c>
      <c r="BB25" s="1239">
        <v>0</v>
      </c>
      <c r="BC25" s="1239">
        <v>0</v>
      </c>
      <c r="BD25" s="1239">
        <v>0</v>
      </c>
      <c r="BE25" s="1239">
        <v>0</v>
      </c>
      <c r="BF25" s="1239">
        <v>756.14</v>
      </c>
      <c r="BG25" s="1239">
        <v>0</v>
      </c>
      <c r="BH25" s="1239">
        <v>0</v>
      </c>
      <c r="BI25" s="1239">
        <v>0</v>
      </c>
      <c r="BJ25" s="1239">
        <v>2472.34</v>
      </c>
      <c r="BK25" s="1239">
        <v>2472.34</v>
      </c>
      <c r="BL25" s="1239">
        <v>710.4</v>
      </c>
      <c r="BM25" s="1239">
        <v>710.4</v>
      </c>
      <c r="BN25" s="1239">
        <v>467.13</v>
      </c>
      <c r="BO25" s="1239">
        <v>0</v>
      </c>
      <c r="BP25" s="1238">
        <v>45565</v>
      </c>
      <c r="BQ25" s="1241">
        <v>0</v>
      </c>
      <c r="BR25" s="1239">
        <v>0</v>
      </c>
      <c r="BS25" s="1239">
        <v>0</v>
      </c>
      <c r="BT25" s="1239">
        <v>0</v>
      </c>
      <c r="BU25" s="1241">
        <v>0</v>
      </c>
      <c r="BV25" s="1239">
        <v>0</v>
      </c>
      <c r="BW25" s="1239">
        <v>0</v>
      </c>
      <c r="BX25" s="1239">
        <v>0</v>
      </c>
      <c r="BY25" s="1241">
        <v>0</v>
      </c>
      <c r="BZ25" s="1239">
        <v>0</v>
      </c>
      <c r="CA25" s="1239">
        <v>0</v>
      </c>
      <c r="CB25" s="1239">
        <v>0</v>
      </c>
      <c r="CC25" s="1239">
        <v>0</v>
      </c>
      <c r="CD25" s="1239">
        <v>0</v>
      </c>
      <c r="CE25" s="1239">
        <v>0</v>
      </c>
      <c r="CF25" s="1241">
        <v>0</v>
      </c>
      <c r="CG25" s="1239">
        <v>0</v>
      </c>
      <c r="CH25" s="1239">
        <v>0</v>
      </c>
      <c r="CI25" s="1239">
        <v>0</v>
      </c>
      <c r="CJ25" s="1239">
        <v>0</v>
      </c>
      <c r="CK25" s="1241">
        <v>0</v>
      </c>
      <c r="CL25" s="1239">
        <v>0</v>
      </c>
      <c r="CM25" s="1239">
        <v>0</v>
      </c>
      <c r="CN25" s="1239">
        <v>0</v>
      </c>
      <c r="CO25" s="1239">
        <v>0</v>
      </c>
      <c r="CP25" s="1241">
        <v>0</v>
      </c>
      <c r="CQ25" s="1238">
        <v>45565</v>
      </c>
      <c r="CR25" s="1239">
        <v>8182368484.4700003</v>
      </c>
      <c r="CS25" s="1241">
        <v>56971</v>
      </c>
      <c r="CT25" s="1239">
        <v>0</v>
      </c>
      <c r="CU25" s="1241">
        <v>0</v>
      </c>
      <c r="CV25" s="1239">
        <v>0</v>
      </c>
      <c r="CW25" s="1241">
        <v>0</v>
      </c>
      <c r="CX25" s="1239">
        <v>0</v>
      </c>
      <c r="CY25" s="1241">
        <v>0</v>
      </c>
      <c r="CZ25" s="1239">
        <v>0</v>
      </c>
      <c r="DA25" s="1241">
        <v>0</v>
      </c>
      <c r="DB25" s="1239">
        <v>0</v>
      </c>
      <c r="DC25" s="1241">
        <v>0</v>
      </c>
      <c r="DD25" s="1239">
        <v>0</v>
      </c>
      <c r="DE25" s="1241">
        <v>0</v>
      </c>
      <c r="DF25" s="1239">
        <v>0</v>
      </c>
      <c r="DG25" s="1241">
        <v>0</v>
      </c>
      <c r="DH25" s="1239">
        <v>0</v>
      </c>
      <c r="DI25" s="1241">
        <v>0</v>
      </c>
      <c r="DJ25" s="1239">
        <v>0</v>
      </c>
      <c r="DK25" s="1241">
        <v>0</v>
      </c>
      <c r="DL25" s="1239">
        <v>0</v>
      </c>
      <c r="DM25" s="1241">
        <v>0</v>
      </c>
      <c r="DN25" s="1239">
        <v>0</v>
      </c>
      <c r="DO25" s="1241">
        <v>0</v>
      </c>
      <c r="DP25" s="1239">
        <v>0</v>
      </c>
      <c r="DQ25" s="1241">
        <v>0</v>
      </c>
      <c r="DR25" s="1239">
        <v>0</v>
      </c>
      <c r="DS25" s="1241">
        <v>0</v>
      </c>
      <c r="DT25" s="1239">
        <v>0</v>
      </c>
      <c r="DU25" s="1241">
        <v>0</v>
      </c>
      <c r="DV25" s="1651">
        <v>1.4832E-2</v>
      </c>
      <c r="DW25" s="1238">
        <v>46203</v>
      </c>
      <c r="DX25" s="1328" t="s">
        <v>810</v>
      </c>
      <c r="DY25" t="s">
        <v>465</v>
      </c>
      <c r="DZ25" s="1239">
        <v>83925511.260000005</v>
      </c>
      <c r="EA25" s="1241">
        <v>106</v>
      </c>
      <c r="EB25" s="1239">
        <v>107514003.29000001</v>
      </c>
    </row>
    <row r="26" spans="1:132">
      <c r="A26" s="1238">
        <v>45869</v>
      </c>
      <c r="B26" t="s">
        <v>711</v>
      </c>
      <c r="C26" s="1239">
        <v>7570005186.9899998</v>
      </c>
      <c r="D26" s="1239">
        <v>0</v>
      </c>
      <c r="E26" s="1239">
        <v>41404450.689999998</v>
      </c>
      <c r="F26" s="1239">
        <v>23530806</v>
      </c>
      <c r="G26" s="1239">
        <v>0</v>
      </c>
      <c r="H26" s="1239">
        <v>0</v>
      </c>
      <c r="I26" s="1239">
        <v>0</v>
      </c>
      <c r="J26" s="1239">
        <v>0</v>
      </c>
      <c r="K26" s="1239">
        <v>619098.98</v>
      </c>
      <c r="L26" s="1239">
        <v>0</v>
      </c>
      <c r="M26" s="1239">
        <v>3048750.84</v>
      </c>
      <c r="N26" s="1239">
        <v>0</v>
      </c>
      <c r="O26" s="1239">
        <v>7501402080.4799995</v>
      </c>
      <c r="P26" s="1239">
        <v>468786.21</v>
      </c>
      <c r="Q26" s="1239">
        <v>91992.76</v>
      </c>
      <c r="R26" s="1239">
        <v>0</v>
      </c>
      <c r="S26" s="1239">
        <v>185325.96</v>
      </c>
      <c r="T26" s="1239">
        <v>45370.559999999998</v>
      </c>
      <c r="U26" s="1239">
        <v>0</v>
      </c>
      <c r="V26" s="1239">
        <v>164764.35</v>
      </c>
      <c r="W26" s="1239">
        <v>32176.720000000001</v>
      </c>
      <c r="X26" s="1239">
        <v>0</v>
      </c>
      <c r="Y26" s="1239">
        <v>0</v>
      </c>
      <c r="Z26" s="1239">
        <v>0</v>
      </c>
      <c r="AA26" s="1239">
        <v>0</v>
      </c>
      <c r="AB26" s="1239">
        <v>0</v>
      </c>
      <c r="AC26" s="1239">
        <v>0</v>
      </c>
      <c r="AD26" s="1239">
        <v>0</v>
      </c>
      <c r="AE26" s="1239">
        <v>2515.4899999999998</v>
      </c>
      <c r="AF26" s="1239">
        <v>250.58</v>
      </c>
      <c r="AG26" s="1239">
        <v>0</v>
      </c>
      <c r="AH26" s="1239">
        <v>0</v>
      </c>
      <c r="AI26" s="1239">
        <v>0</v>
      </c>
      <c r="AJ26" s="1239">
        <v>0</v>
      </c>
      <c r="AK26" s="1239">
        <v>0</v>
      </c>
      <c r="AL26" s="1239">
        <v>0</v>
      </c>
      <c r="AM26" s="1239">
        <v>0</v>
      </c>
      <c r="AN26" s="1239">
        <v>0</v>
      </c>
      <c r="AO26" s="1239">
        <v>0</v>
      </c>
      <c r="AP26" s="1239">
        <v>0</v>
      </c>
      <c r="AQ26" s="1239">
        <v>486832.33</v>
      </c>
      <c r="AR26" s="1239">
        <v>104936.02</v>
      </c>
      <c r="AS26" s="1239">
        <v>0</v>
      </c>
      <c r="AT26" s="1239">
        <v>41219124.729999997</v>
      </c>
      <c r="AU26" s="1239">
        <v>164764.35</v>
      </c>
      <c r="AV26" s="1239">
        <v>23530806</v>
      </c>
      <c r="AW26" s="1239">
        <v>64914695.079999998</v>
      </c>
      <c r="AX26" s="1239">
        <v>9325630.4000000004</v>
      </c>
      <c r="AY26" s="1239">
        <v>32176.720000000001</v>
      </c>
      <c r="AZ26" s="1239">
        <v>0</v>
      </c>
      <c r="BA26" s="1239">
        <v>0</v>
      </c>
      <c r="BB26" s="1239">
        <v>0</v>
      </c>
      <c r="BC26" s="1239">
        <v>100154.2</v>
      </c>
      <c r="BD26" s="1239">
        <v>0</v>
      </c>
      <c r="BE26" s="1239">
        <v>0</v>
      </c>
      <c r="BF26" s="1239">
        <v>9457961.3200000003</v>
      </c>
      <c r="BG26" s="1239">
        <v>0</v>
      </c>
      <c r="BH26" s="1239">
        <v>0</v>
      </c>
      <c r="BI26" s="1239">
        <v>0</v>
      </c>
      <c r="BJ26" s="1239">
        <v>74372656.400000006</v>
      </c>
      <c r="BK26" s="1239">
        <v>74372656.400000006</v>
      </c>
      <c r="BL26" s="1239">
        <v>7414518.2800000003</v>
      </c>
      <c r="BM26" s="1239">
        <v>7414518.2800000003</v>
      </c>
      <c r="BN26" s="1239">
        <v>3700.88</v>
      </c>
      <c r="BO26" s="1239">
        <v>0</v>
      </c>
      <c r="DW26" s="1238">
        <v>46203</v>
      </c>
      <c r="DX26" s="1328" t="s">
        <v>811</v>
      </c>
      <c r="DY26" t="s">
        <v>466</v>
      </c>
      <c r="DZ26" s="1239">
        <v>50067437.43</v>
      </c>
      <c r="EA26" s="1241">
        <v>59</v>
      </c>
      <c r="EB26" s="1239">
        <v>63203581.439999998</v>
      </c>
    </row>
    <row r="27" spans="1:132">
      <c r="A27" s="1238">
        <v>45869</v>
      </c>
      <c r="B27" t="s">
        <v>340</v>
      </c>
      <c r="C27" s="1239">
        <v>180457.8</v>
      </c>
      <c r="D27" s="1239">
        <v>0</v>
      </c>
      <c r="E27" s="1239">
        <v>2915.56</v>
      </c>
      <c r="F27" s="1239">
        <v>0</v>
      </c>
      <c r="G27" s="1239">
        <v>0</v>
      </c>
      <c r="H27" s="1239">
        <v>0</v>
      </c>
      <c r="I27" s="1239">
        <v>0</v>
      </c>
      <c r="J27" s="1239">
        <v>0</v>
      </c>
      <c r="K27" s="1239">
        <v>619098.98</v>
      </c>
      <c r="L27" s="1239">
        <v>0</v>
      </c>
      <c r="M27" s="1239">
        <v>180060.56</v>
      </c>
      <c r="N27" s="1239">
        <v>0</v>
      </c>
      <c r="O27" s="1239">
        <v>616580.66</v>
      </c>
      <c r="P27" s="1239">
        <v>2013.48</v>
      </c>
      <c r="Q27" s="1239">
        <v>100.74</v>
      </c>
      <c r="R27" s="1239">
        <v>0</v>
      </c>
      <c r="S27" s="1239">
        <v>179.35</v>
      </c>
      <c r="T27" s="1239">
        <v>0</v>
      </c>
      <c r="U27" s="1239">
        <v>0</v>
      </c>
      <c r="V27" s="1239">
        <v>2013.48</v>
      </c>
      <c r="W27" s="1239">
        <v>102.49</v>
      </c>
      <c r="X27" s="1239">
        <v>0</v>
      </c>
      <c r="Y27" s="1239">
        <v>0</v>
      </c>
      <c r="Z27" s="1239">
        <v>0</v>
      </c>
      <c r="AA27" s="1239">
        <v>0</v>
      </c>
      <c r="AB27" s="1239">
        <v>0</v>
      </c>
      <c r="AC27" s="1239">
        <v>0</v>
      </c>
      <c r="AD27" s="1239">
        <v>0</v>
      </c>
      <c r="AE27" s="1239">
        <v>2515.4899999999998</v>
      </c>
      <c r="AF27" s="1239">
        <v>250.58</v>
      </c>
      <c r="AG27" s="1239">
        <v>0</v>
      </c>
      <c r="AH27" s="1239">
        <v>0</v>
      </c>
      <c r="AI27" s="1239">
        <v>0</v>
      </c>
      <c r="AJ27" s="1239">
        <v>0</v>
      </c>
      <c r="AK27" s="1239">
        <v>0</v>
      </c>
      <c r="AL27" s="1239">
        <v>0</v>
      </c>
      <c r="AM27" s="1239">
        <v>0</v>
      </c>
      <c r="AN27" s="1239">
        <v>0</v>
      </c>
      <c r="AO27" s="1239">
        <v>0</v>
      </c>
      <c r="AP27" s="1239">
        <v>0</v>
      </c>
      <c r="AQ27" s="1239">
        <v>2694.84</v>
      </c>
      <c r="AR27" s="1239">
        <v>248.83</v>
      </c>
      <c r="AS27" s="1239">
        <v>0</v>
      </c>
      <c r="AT27" s="1239">
        <v>2736.21</v>
      </c>
      <c r="AU27" s="1239">
        <v>2013.48</v>
      </c>
      <c r="AV27" s="1239">
        <v>0</v>
      </c>
      <c r="AW27" s="1239">
        <v>4749.6899999999996</v>
      </c>
      <c r="AX27" s="1239">
        <v>984.03</v>
      </c>
      <c r="AY27" s="1239">
        <v>102.49</v>
      </c>
      <c r="AZ27" s="1239">
        <v>0</v>
      </c>
      <c r="BA27" s="1239">
        <v>0</v>
      </c>
      <c r="BB27" s="1239">
        <v>0</v>
      </c>
      <c r="BC27" s="1239">
        <v>0</v>
      </c>
      <c r="BD27" s="1239">
        <v>0</v>
      </c>
      <c r="BE27" s="1239">
        <v>0</v>
      </c>
      <c r="BF27" s="1239">
        <v>1086.52</v>
      </c>
      <c r="BG27" s="1239">
        <v>0</v>
      </c>
      <c r="BH27" s="1239">
        <v>0</v>
      </c>
      <c r="BI27" s="1239">
        <v>0</v>
      </c>
      <c r="BJ27" s="1239">
        <v>5836.21</v>
      </c>
      <c r="BK27" s="1239">
        <v>5836.21</v>
      </c>
      <c r="BL27" s="1239">
        <v>664.4</v>
      </c>
      <c r="BM27" s="1239">
        <v>664.4</v>
      </c>
      <c r="BN27" s="1239">
        <v>192.42</v>
      </c>
      <c r="BO27" s="1239">
        <v>0</v>
      </c>
      <c r="DW27" s="1238">
        <v>46203</v>
      </c>
      <c r="DX27" s="1328" t="s">
        <v>812</v>
      </c>
      <c r="DY27" t="s">
        <v>467</v>
      </c>
      <c r="DZ27" s="1239">
        <v>55281250.159999996</v>
      </c>
      <c r="EA27" s="1241">
        <v>67</v>
      </c>
      <c r="EB27" s="1239">
        <v>74746557.75</v>
      </c>
    </row>
    <row r="28" spans="1:132">
      <c r="A28" s="1238">
        <v>45838</v>
      </c>
      <c r="B28" t="s">
        <v>711</v>
      </c>
      <c r="C28" s="1239">
        <v>7635175945.3199997</v>
      </c>
      <c r="D28" s="1239">
        <v>0</v>
      </c>
      <c r="E28" s="1239">
        <v>41396387.259999998</v>
      </c>
      <c r="F28" s="1239">
        <v>17402933.100000001</v>
      </c>
      <c r="G28" s="1239">
        <v>0</v>
      </c>
      <c r="H28" s="1239">
        <v>0</v>
      </c>
      <c r="I28" s="1239">
        <v>0</v>
      </c>
      <c r="J28" s="1239">
        <v>0</v>
      </c>
      <c r="K28" s="1239">
        <v>183346.71</v>
      </c>
      <c r="L28" s="1239">
        <v>0</v>
      </c>
      <c r="M28" s="1239">
        <v>6188091.2599999998</v>
      </c>
      <c r="N28" s="1239">
        <v>0</v>
      </c>
      <c r="O28" s="1239">
        <v>7570005186.9899998</v>
      </c>
      <c r="P28" s="1239">
        <v>384443.79</v>
      </c>
      <c r="Q28" s="1239">
        <v>77984.66</v>
      </c>
      <c r="R28" s="1239">
        <v>0</v>
      </c>
      <c r="S28" s="1239">
        <v>215287.02</v>
      </c>
      <c r="T28" s="1239">
        <v>40982.550000000003</v>
      </c>
      <c r="U28" s="1239">
        <v>0</v>
      </c>
      <c r="V28" s="1239">
        <v>129163.94</v>
      </c>
      <c r="W28" s="1239">
        <v>26974.45</v>
      </c>
      <c r="X28" s="1239">
        <v>0</v>
      </c>
      <c r="Y28" s="1239">
        <v>0</v>
      </c>
      <c r="Z28" s="1239">
        <v>0</v>
      </c>
      <c r="AA28" s="1239">
        <v>0</v>
      </c>
      <c r="AB28" s="1239">
        <v>0</v>
      </c>
      <c r="AC28" s="1239">
        <v>0</v>
      </c>
      <c r="AD28" s="1239">
        <v>0</v>
      </c>
      <c r="AE28" s="1239">
        <v>1780.66</v>
      </c>
      <c r="AF28" s="1239">
        <v>0</v>
      </c>
      <c r="AG28" s="1239">
        <v>0</v>
      </c>
      <c r="AH28" s="1239">
        <v>0</v>
      </c>
      <c r="AI28" s="1239">
        <v>0</v>
      </c>
      <c r="AJ28" s="1239">
        <v>0</v>
      </c>
      <c r="AK28" s="1239">
        <v>0</v>
      </c>
      <c r="AL28" s="1239">
        <v>0</v>
      </c>
      <c r="AM28" s="1239">
        <v>0</v>
      </c>
      <c r="AN28" s="1239">
        <v>0</v>
      </c>
      <c r="AO28" s="1239">
        <v>0</v>
      </c>
      <c r="AP28" s="1239">
        <v>0</v>
      </c>
      <c r="AQ28" s="1239">
        <v>468786.21</v>
      </c>
      <c r="AR28" s="1239">
        <v>91992.76</v>
      </c>
      <c r="AS28" s="1239">
        <v>0</v>
      </c>
      <c r="AT28" s="1239">
        <v>41181100.240000002</v>
      </c>
      <c r="AU28" s="1239">
        <v>129163.94</v>
      </c>
      <c r="AV28" s="1239">
        <v>17402933.100000001</v>
      </c>
      <c r="AW28" s="1239">
        <v>58713197.280000001</v>
      </c>
      <c r="AX28" s="1239">
        <v>9425318.9800000004</v>
      </c>
      <c r="AY28" s="1239">
        <v>26974.45</v>
      </c>
      <c r="AZ28" s="1239">
        <v>0</v>
      </c>
      <c r="BA28" s="1239">
        <v>0</v>
      </c>
      <c r="BB28" s="1239">
        <v>0</v>
      </c>
      <c r="BC28" s="1239">
        <v>89792.07</v>
      </c>
      <c r="BD28" s="1239">
        <v>0</v>
      </c>
      <c r="BE28" s="1239">
        <v>0</v>
      </c>
      <c r="BF28" s="1239">
        <v>9542085.5</v>
      </c>
      <c r="BG28" s="1239">
        <v>0</v>
      </c>
      <c r="BH28" s="1239">
        <v>0</v>
      </c>
      <c r="BI28" s="1239">
        <v>0</v>
      </c>
      <c r="BJ28" s="1239">
        <v>68255282.780000001</v>
      </c>
      <c r="BK28" s="1239">
        <v>68255282.780000001</v>
      </c>
      <c r="BL28" s="1239">
        <v>7406086.4199999999</v>
      </c>
      <c r="BM28" s="1239">
        <v>7406086.4199999999</v>
      </c>
      <c r="BN28" s="1239">
        <v>4150.1000000000004</v>
      </c>
      <c r="BO28" s="1239">
        <v>0</v>
      </c>
      <c r="DW28" s="1238">
        <v>46203</v>
      </c>
      <c r="DX28" s="1328" t="s">
        <v>813</v>
      </c>
      <c r="DY28" t="s">
        <v>468</v>
      </c>
      <c r="DZ28" s="1239">
        <v>42739383.960000001</v>
      </c>
      <c r="EA28" s="1241">
        <v>46</v>
      </c>
      <c r="EB28" s="1239">
        <v>53802893.189999998</v>
      </c>
    </row>
    <row r="29" spans="1:132">
      <c r="A29" s="1238">
        <v>45838</v>
      </c>
      <c r="B29" t="s">
        <v>340</v>
      </c>
      <c r="C29" s="1239">
        <v>719043.86</v>
      </c>
      <c r="D29" s="1239">
        <v>0</v>
      </c>
      <c r="E29" s="1239">
        <v>7555.82</v>
      </c>
      <c r="F29" s="1239">
        <v>0</v>
      </c>
      <c r="G29" s="1239">
        <v>0</v>
      </c>
      <c r="H29" s="1239">
        <v>0</v>
      </c>
      <c r="I29" s="1239">
        <v>0</v>
      </c>
      <c r="J29" s="1239">
        <v>0</v>
      </c>
      <c r="K29" s="1239">
        <v>183346.71</v>
      </c>
      <c r="L29" s="1239">
        <v>0</v>
      </c>
      <c r="M29" s="1239">
        <v>714376.95</v>
      </c>
      <c r="N29" s="1239">
        <v>0</v>
      </c>
      <c r="O29" s="1239">
        <v>180457.8</v>
      </c>
      <c r="P29" s="1239">
        <v>0</v>
      </c>
      <c r="Q29" s="1239">
        <v>0</v>
      </c>
      <c r="R29" s="1239">
        <v>0</v>
      </c>
      <c r="S29" s="1239">
        <v>232.82</v>
      </c>
      <c r="T29" s="1239">
        <v>100.74</v>
      </c>
      <c r="U29" s="1239">
        <v>0</v>
      </c>
      <c r="V29" s="1239">
        <v>0</v>
      </c>
      <c r="W29" s="1239">
        <v>0</v>
      </c>
      <c r="X29" s="1239">
        <v>0</v>
      </c>
      <c r="Y29" s="1239">
        <v>0</v>
      </c>
      <c r="Z29" s="1239">
        <v>0</v>
      </c>
      <c r="AA29" s="1239">
        <v>0</v>
      </c>
      <c r="AB29" s="1239">
        <v>0</v>
      </c>
      <c r="AC29" s="1239">
        <v>0</v>
      </c>
      <c r="AD29" s="1239">
        <v>0</v>
      </c>
      <c r="AE29" s="1239">
        <v>1780.66</v>
      </c>
      <c r="AF29" s="1239">
        <v>0</v>
      </c>
      <c r="AG29" s="1239">
        <v>0</v>
      </c>
      <c r="AH29" s="1239">
        <v>0</v>
      </c>
      <c r="AI29" s="1239">
        <v>0</v>
      </c>
      <c r="AJ29" s="1239">
        <v>0</v>
      </c>
      <c r="AK29" s="1239">
        <v>0</v>
      </c>
      <c r="AL29" s="1239">
        <v>0</v>
      </c>
      <c r="AM29" s="1239">
        <v>0</v>
      </c>
      <c r="AN29" s="1239">
        <v>0</v>
      </c>
      <c r="AO29" s="1239">
        <v>0</v>
      </c>
      <c r="AP29" s="1239">
        <v>0</v>
      </c>
      <c r="AQ29" s="1239">
        <v>2013.48</v>
      </c>
      <c r="AR29" s="1239">
        <v>100.74</v>
      </c>
      <c r="AS29" s="1239">
        <v>0</v>
      </c>
      <c r="AT29" s="1239">
        <v>7323</v>
      </c>
      <c r="AU29" s="1239">
        <v>0</v>
      </c>
      <c r="AV29" s="1239">
        <v>0</v>
      </c>
      <c r="AW29" s="1239">
        <v>7323</v>
      </c>
      <c r="AX29" s="1239">
        <v>1442.27</v>
      </c>
      <c r="AY29" s="1239">
        <v>0</v>
      </c>
      <c r="AZ29" s="1239">
        <v>0</v>
      </c>
      <c r="BA29" s="1239">
        <v>0</v>
      </c>
      <c r="BB29" s="1239">
        <v>0</v>
      </c>
      <c r="BC29" s="1239">
        <v>0</v>
      </c>
      <c r="BD29" s="1239">
        <v>0</v>
      </c>
      <c r="BE29" s="1239">
        <v>0</v>
      </c>
      <c r="BF29" s="1239">
        <v>1442.27</v>
      </c>
      <c r="BG29" s="1239">
        <v>0</v>
      </c>
      <c r="BH29" s="1239">
        <v>0</v>
      </c>
      <c r="BI29" s="1239">
        <v>0</v>
      </c>
      <c r="BJ29" s="1239">
        <v>8765.27</v>
      </c>
      <c r="BK29" s="1239">
        <v>8765.27</v>
      </c>
      <c r="BL29" s="1239">
        <v>1168.56</v>
      </c>
      <c r="BM29" s="1239">
        <v>1168.56</v>
      </c>
      <c r="BN29" s="1239">
        <v>975.79</v>
      </c>
      <c r="BO29" s="1239">
        <v>0</v>
      </c>
      <c r="DW29" s="1238">
        <v>46203</v>
      </c>
      <c r="DX29" s="1328" t="s">
        <v>814</v>
      </c>
      <c r="DY29" t="s">
        <v>469</v>
      </c>
      <c r="DZ29" s="1239">
        <v>46536070.100000001</v>
      </c>
      <c r="EA29" s="1241">
        <v>53</v>
      </c>
      <c r="EB29" s="1239">
        <v>64202436.490000002</v>
      </c>
    </row>
    <row r="30" spans="1:132">
      <c r="A30" s="1238">
        <v>45808</v>
      </c>
      <c r="B30" t="s">
        <v>711</v>
      </c>
      <c r="C30" s="1239">
        <v>7700874478.6099997</v>
      </c>
      <c r="D30" s="1239">
        <v>0</v>
      </c>
      <c r="E30" s="1239">
        <v>41702863.289999999</v>
      </c>
      <c r="F30" s="1239">
        <v>19519847.550000001</v>
      </c>
      <c r="G30" s="1239">
        <v>0</v>
      </c>
      <c r="H30" s="1239">
        <v>0</v>
      </c>
      <c r="I30" s="1239">
        <v>0</v>
      </c>
      <c r="J30" s="1239">
        <v>0</v>
      </c>
      <c r="K30" s="1239">
        <v>723701.24</v>
      </c>
      <c r="L30" s="1239">
        <v>0</v>
      </c>
      <c r="M30" s="1239">
        <v>3752121.21</v>
      </c>
      <c r="N30" s="1239">
        <v>0</v>
      </c>
      <c r="O30" s="1239">
        <v>7635175945.3199997</v>
      </c>
      <c r="P30" s="1239">
        <v>301091.21000000002</v>
      </c>
      <c r="Q30" s="1239">
        <v>58617.81</v>
      </c>
      <c r="R30" s="1239">
        <v>0</v>
      </c>
      <c r="S30" s="1239">
        <v>188255.53</v>
      </c>
      <c r="T30" s="1239">
        <v>37467.33</v>
      </c>
      <c r="U30" s="1239">
        <v>0</v>
      </c>
      <c r="V30" s="1239">
        <v>103621.29</v>
      </c>
      <c r="W30" s="1239">
        <v>18039.490000000002</v>
      </c>
      <c r="X30" s="1239">
        <v>0</v>
      </c>
      <c r="Y30" s="1239">
        <v>0</v>
      </c>
      <c r="Z30" s="1239">
        <v>0</v>
      </c>
      <c r="AA30" s="1239">
        <v>0</v>
      </c>
      <c r="AB30" s="1239">
        <v>0</v>
      </c>
      <c r="AC30" s="1239">
        <v>0</v>
      </c>
      <c r="AD30" s="1239">
        <v>0</v>
      </c>
      <c r="AE30" s="1239">
        <v>0</v>
      </c>
      <c r="AF30" s="1239">
        <v>0</v>
      </c>
      <c r="AG30" s="1239">
        <v>0</v>
      </c>
      <c r="AH30" s="1239">
        <v>0</v>
      </c>
      <c r="AI30" s="1239">
        <v>0</v>
      </c>
      <c r="AJ30" s="1239">
        <v>0</v>
      </c>
      <c r="AK30" s="1239">
        <v>1281.6600000000001</v>
      </c>
      <c r="AL30" s="1239">
        <v>60.99</v>
      </c>
      <c r="AM30" s="1239">
        <v>0</v>
      </c>
      <c r="AN30" s="1239">
        <v>0</v>
      </c>
      <c r="AO30" s="1239">
        <v>0</v>
      </c>
      <c r="AP30" s="1239">
        <v>0</v>
      </c>
      <c r="AQ30" s="1239">
        <v>384443.79</v>
      </c>
      <c r="AR30" s="1239">
        <v>77984.66</v>
      </c>
      <c r="AS30" s="1239">
        <v>0</v>
      </c>
      <c r="AT30" s="1239">
        <v>41514607.759999998</v>
      </c>
      <c r="AU30" s="1239">
        <v>103621.29</v>
      </c>
      <c r="AV30" s="1239">
        <v>19519847.550000001</v>
      </c>
      <c r="AW30" s="1239">
        <v>61138076.600000001</v>
      </c>
      <c r="AX30" s="1239">
        <v>9486828.6500000004</v>
      </c>
      <c r="AY30" s="1239">
        <v>18039.490000000002</v>
      </c>
      <c r="AZ30" s="1239">
        <v>0</v>
      </c>
      <c r="BA30" s="1239">
        <v>0</v>
      </c>
      <c r="BB30" s="1239">
        <v>0</v>
      </c>
      <c r="BC30" s="1239">
        <v>66814.11</v>
      </c>
      <c r="BD30" s="1239">
        <v>0</v>
      </c>
      <c r="BE30" s="1239">
        <v>0</v>
      </c>
      <c r="BF30" s="1239">
        <v>9571682.25</v>
      </c>
      <c r="BG30" s="1239">
        <v>0</v>
      </c>
      <c r="BH30" s="1239">
        <v>0</v>
      </c>
      <c r="BI30" s="1239">
        <v>0</v>
      </c>
      <c r="BJ30" s="1239">
        <v>70709758.849999994</v>
      </c>
      <c r="BK30" s="1239">
        <v>70709758.849999994</v>
      </c>
      <c r="BL30" s="1239">
        <v>7545687.3099999996</v>
      </c>
      <c r="BM30" s="1239">
        <v>7545687.3099999996</v>
      </c>
      <c r="BN30" s="1239">
        <v>3227.41</v>
      </c>
      <c r="BO30" s="1239">
        <v>0</v>
      </c>
      <c r="DW30" s="1238">
        <v>46203</v>
      </c>
      <c r="DX30" s="1328" t="s">
        <v>815</v>
      </c>
      <c r="DY30" t="s">
        <v>470</v>
      </c>
      <c r="DZ30" s="1239">
        <v>36405956.140000001</v>
      </c>
      <c r="EA30" s="1241">
        <v>38</v>
      </c>
      <c r="EB30" s="1239">
        <v>48250707.43</v>
      </c>
    </row>
    <row r="31" spans="1:132">
      <c r="A31" s="1238">
        <v>45808</v>
      </c>
      <c r="B31" t="s">
        <v>340</v>
      </c>
      <c r="C31" s="1239">
        <v>1231515.1100000001</v>
      </c>
      <c r="D31" s="1239">
        <v>0</v>
      </c>
      <c r="E31" s="1239">
        <v>9058.5400000000009</v>
      </c>
      <c r="F31" s="1239">
        <v>0</v>
      </c>
      <c r="G31" s="1239">
        <v>0</v>
      </c>
      <c r="H31" s="1239">
        <v>0</v>
      </c>
      <c r="I31" s="1239">
        <v>0</v>
      </c>
      <c r="J31" s="1239">
        <v>0</v>
      </c>
      <c r="K31" s="1239">
        <v>723701.24</v>
      </c>
      <c r="L31" s="1239">
        <v>0</v>
      </c>
      <c r="M31" s="1239">
        <v>1227113.95</v>
      </c>
      <c r="N31" s="1239">
        <v>0</v>
      </c>
      <c r="O31" s="1239">
        <v>719043.86</v>
      </c>
      <c r="P31" s="1239">
        <v>1846.72</v>
      </c>
      <c r="Q31" s="1239">
        <v>375.72</v>
      </c>
      <c r="R31" s="1239">
        <v>0</v>
      </c>
      <c r="S31" s="1239">
        <v>0</v>
      </c>
      <c r="T31" s="1239">
        <v>0</v>
      </c>
      <c r="U31" s="1239">
        <v>0</v>
      </c>
      <c r="V31" s="1239">
        <v>1846.72</v>
      </c>
      <c r="W31" s="1239">
        <v>375.72</v>
      </c>
      <c r="X31" s="1239">
        <v>0</v>
      </c>
      <c r="Y31" s="1239">
        <v>0</v>
      </c>
      <c r="Z31" s="1239">
        <v>0</v>
      </c>
      <c r="AA31" s="1239">
        <v>0</v>
      </c>
      <c r="AB31" s="1239">
        <v>0</v>
      </c>
      <c r="AC31" s="1239">
        <v>0</v>
      </c>
      <c r="AD31" s="1239">
        <v>0</v>
      </c>
      <c r="AE31" s="1239">
        <v>0</v>
      </c>
      <c r="AF31" s="1239">
        <v>0</v>
      </c>
      <c r="AG31" s="1239">
        <v>0</v>
      </c>
      <c r="AH31" s="1239">
        <v>0</v>
      </c>
      <c r="AI31" s="1239">
        <v>0</v>
      </c>
      <c r="AJ31" s="1239">
        <v>0</v>
      </c>
      <c r="AK31" s="1239">
        <v>0</v>
      </c>
      <c r="AL31" s="1239">
        <v>0</v>
      </c>
      <c r="AM31" s="1239">
        <v>0</v>
      </c>
      <c r="AN31" s="1239">
        <v>0</v>
      </c>
      <c r="AO31" s="1239">
        <v>0</v>
      </c>
      <c r="AP31" s="1239">
        <v>0</v>
      </c>
      <c r="AQ31" s="1239">
        <v>0</v>
      </c>
      <c r="AR31" s="1239">
        <v>0</v>
      </c>
      <c r="AS31" s="1239">
        <v>0</v>
      </c>
      <c r="AT31" s="1239">
        <v>9058.5400000000009</v>
      </c>
      <c r="AU31" s="1239">
        <v>1846.72</v>
      </c>
      <c r="AV31" s="1239">
        <v>0</v>
      </c>
      <c r="AW31" s="1239">
        <v>10905.26</v>
      </c>
      <c r="AX31" s="1239">
        <v>2777.64</v>
      </c>
      <c r="AY31" s="1239">
        <v>375.72</v>
      </c>
      <c r="AZ31" s="1239">
        <v>0</v>
      </c>
      <c r="BA31" s="1239">
        <v>0</v>
      </c>
      <c r="BB31" s="1239">
        <v>0</v>
      </c>
      <c r="BC31" s="1239">
        <v>0</v>
      </c>
      <c r="BD31" s="1239">
        <v>0</v>
      </c>
      <c r="BE31" s="1239">
        <v>0</v>
      </c>
      <c r="BF31" s="1239">
        <v>3153.36</v>
      </c>
      <c r="BG31" s="1239">
        <v>0</v>
      </c>
      <c r="BH31" s="1239">
        <v>0</v>
      </c>
      <c r="BI31" s="1239">
        <v>0</v>
      </c>
      <c r="BJ31" s="1239">
        <v>14058.62</v>
      </c>
      <c r="BK31" s="1239">
        <v>14058.62</v>
      </c>
      <c r="BL31" s="1239">
        <v>2433.9</v>
      </c>
      <c r="BM31" s="1239">
        <v>2433.9</v>
      </c>
      <c r="BN31" s="1239">
        <v>1398.92</v>
      </c>
      <c r="BO31" s="1239">
        <v>0</v>
      </c>
      <c r="DW31" s="1238">
        <v>46203</v>
      </c>
      <c r="DX31" s="1328" t="s">
        <v>816</v>
      </c>
      <c r="DY31" t="s">
        <v>471</v>
      </c>
      <c r="DZ31" s="1239">
        <v>50983779.219999999</v>
      </c>
      <c r="EA31" s="1241">
        <v>48</v>
      </c>
      <c r="EB31" s="1239">
        <v>63148357.460000001</v>
      </c>
    </row>
    <row r="32" spans="1:132">
      <c r="A32" s="1238">
        <v>45777</v>
      </c>
      <c r="B32" t="s">
        <v>711</v>
      </c>
      <c r="C32" s="1239">
        <v>7762584280.3299999</v>
      </c>
      <c r="D32" s="1239">
        <v>0</v>
      </c>
      <c r="E32" s="1239">
        <v>41510862.210000001</v>
      </c>
      <c r="F32" s="1239">
        <v>14842897.939999999</v>
      </c>
      <c r="G32" s="1239">
        <v>0</v>
      </c>
      <c r="H32" s="1239">
        <v>0</v>
      </c>
      <c r="I32" s="1239">
        <v>0</v>
      </c>
      <c r="J32" s="1239">
        <v>0</v>
      </c>
      <c r="K32" s="1239">
        <v>1236920.96</v>
      </c>
      <c r="L32" s="1239">
        <v>0</v>
      </c>
      <c r="M32" s="1239">
        <v>4119120.61</v>
      </c>
      <c r="N32" s="1239">
        <v>0</v>
      </c>
      <c r="O32" s="1239">
        <v>7700874478.6099997</v>
      </c>
      <c r="P32" s="1239">
        <v>163151.37</v>
      </c>
      <c r="Q32" s="1239">
        <v>48664.54</v>
      </c>
      <c r="R32" s="1239">
        <v>0</v>
      </c>
      <c r="S32" s="1239">
        <v>203012.38</v>
      </c>
      <c r="T32" s="1239">
        <v>37302.400000000001</v>
      </c>
      <c r="U32" s="1239">
        <v>0</v>
      </c>
      <c r="V32" s="1239">
        <v>63727.519999999997</v>
      </c>
      <c r="W32" s="1239">
        <v>27098.03</v>
      </c>
      <c r="X32" s="1239">
        <v>0</v>
      </c>
      <c r="Y32" s="1239">
        <v>0</v>
      </c>
      <c r="Z32" s="1239">
        <v>0</v>
      </c>
      <c r="AA32" s="1239">
        <v>0</v>
      </c>
      <c r="AB32" s="1239">
        <v>0</v>
      </c>
      <c r="AC32" s="1239">
        <v>0</v>
      </c>
      <c r="AD32" s="1239">
        <v>0</v>
      </c>
      <c r="AE32" s="1239">
        <v>1345.02</v>
      </c>
      <c r="AF32" s="1239">
        <v>251.1</v>
      </c>
      <c r="AG32" s="1239">
        <v>0</v>
      </c>
      <c r="AH32" s="1239">
        <v>0</v>
      </c>
      <c r="AI32" s="1239">
        <v>0</v>
      </c>
      <c r="AJ32" s="1239">
        <v>0</v>
      </c>
      <c r="AK32" s="1239">
        <v>0</v>
      </c>
      <c r="AL32" s="1239">
        <v>0</v>
      </c>
      <c r="AM32" s="1239">
        <v>0</v>
      </c>
      <c r="AN32" s="1239">
        <v>0</v>
      </c>
      <c r="AO32" s="1239">
        <v>0</v>
      </c>
      <c r="AP32" s="1239">
        <v>0</v>
      </c>
      <c r="AQ32" s="1239">
        <v>301091.21000000002</v>
      </c>
      <c r="AR32" s="1239">
        <v>58617.81</v>
      </c>
      <c r="AS32" s="1239">
        <v>0</v>
      </c>
      <c r="AT32" s="1239">
        <v>41307849.829999998</v>
      </c>
      <c r="AU32" s="1239">
        <v>63727.519999999997</v>
      </c>
      <c r="AV32" s="1239">
        <v>14842897.939999999</v>
      </c>
      <c r="AW32" s="1239">
        <v>56214475.289999999</v>
      </c>
      <c r="AX32" s="1239">
        <v>9577619.2100000009</v>
      </c>
      <c r="AY32" s="1239">
        <v>27098.03</v>
      </c>
      <c r="AZ32" s="1239">
        <v>0</v>
      </c>
      <c r="BA32" s="1239">
        <v>0</v>
      </c>
      <c r="BB32" s="1239">
        <v>0</v>
      </c>
      <c r="BC32" s="1239">
        <v>63036.82</v>
      </c>
      <c r="BD32" s="1239">
        <v>0</v>
      </c>
      <c r="BE32" s="1239">
        <v>0</v>
      </c>
      <c r="BF32" s="1239">
        <v>9667754.0600000005</v>
      </c>
      <c r="BG32" s="1239">
        <v>0</v>
      </c>
      <c r="BH32" s="1239">
        <v>0</v>
      </c>
      <c r="BI32" s="1239">
        <v>0</v>
      </c>
      <c r="BJ32" s="1239">
        <v>65882229.350000001</v>
      </c>
      <c r="BK32" s="1239">
        <v>65882229.350000001</v>
      </c>
      <c r="BL32" s="1239">
        <v>7532055.3600000003</v>
      </c>
      <c r="BM32" s="1239">
        <v>7532055.3600000003</v>
      </c>
      <c r="BN32" s="1239">
        <v>2899.61</v>
      </c>
      <c r="BO32" s="1239">
        <v>0</v>
      </c>
      <c r="DW32" s="1238">
        <v>46203</v>
      </c>
      <c r="DX32" s="1328" t="s">
        <v>817</v>
      </c>
      <c r="DY32" t="s">
        <v>472</v>
      </c>
      <c r="DZ32" s="1239">
        <v>30903115.66</v>
      </c>
      <c r="EA32" s="1241">
        <v>30</v>
      </c>
      <c r="EB32" s="1239">
        <v>41213010.939999998</v>
      </c>
    </row>
    <row r="33" spans="1:132">
      <c r="A33" s="1238">
        <v>45777</v>
      </c>
      <c r="B33" t="s">
        <v>340</v>
      </c>
      <c r="C33" s="1239">
        <v>279860.34999999998</v>
      </c>
      <c r="D33" s="1239">
        <v>0</v>
      </c>
      <c r="E33" s="1239">
        <v>5405.85</v>
      </c>
      <c r="F33" s="1239">
        <v>0</v>
      </c>
      <c r="G33" s="1239">
        <v>0</v>
      </c>
      <c r="H33" s="1239">
        <v>0</v>
      </c>
      <c r="I33" s="1239">
        <v>0</v>
      </c>
      <c r="J33" s="1239">
        <v>0</v>
      </c>
      <c r="K33" s="1239">
        <v>1236920.96</v>
      </c>
      <c r="L33" s="1239">
        <v>0</v>
      </c>
      <c r="M33" s="1239">
        <v>279860.34999999998</v>
      </c>
      <c r="N33" s="1239">
        <v>0</v>
      </c>
      <c r="O33" s="1239">
        <v>1231515.1100000001</v>
      </c>
      <c r="P33" s="1239">
        <v>1664.98</v>
      </c>
      <c r="Q33" s="1239">
        <v>438.03</v>
      </c>
      <c r="R33" s="1239">
        <v>0</v>
      </c>
      <c r="S33" s="1239">
        <v>1057.32</v>
      </c>
      <c r="T33" s="1239">
        <v>307.64999999999998</v>
      </c>
      <c r="U33" s="1239">
        <v>0</v>
      </c>
      <c r="V33" s="1239">
        <v>0</v>
      </c>
      <c r="W33" s="1239">
        <v>0</v>
      </c>
      <c r="X33" s="1239">
        <v>0</v>
      </c>
      <c r="Y33" s="1239">
        <v>0</v>
      </c>
      <c r="Z33" s="1239">
        <v>0</v>
      </c>
      <c r="AA33" s="1239">
        <v>0</v>
      </c>
      <c r="AB33" s="1239">
        <v>0</v>
      </c>
      <c r="AC33" s="1239">
        <v>0</v>
      </c>
      <c r="AD33" s="1239">
        <v>0</v>
      </c>
      <c r="AE33" s="1239">
        <v>1345.02</v>
      </c>
      <c r="AF33" s="1239">
        <v>251.1</v>
      </c>
      <c r="AG33" s="1239">
        <v>0</v>
      </c>
      <c r="AH33" s="1239">
        <v>0</v>
      </c>
      <c r="AI33" s="1239">
        <v>0</v>
      </c>
      <c r="AJ33" s="1239">
        <v>0</v>
      </c>
      <c r="AK33" s="1239">
        <v>2220.6</v>
      </c>
      <c r="AL33" s="1239">
        <v>621.05999999999995</v>
      </c>
      <c r="AM33" s="1239">
        <v>0</v>
      </c>
      <c r="AN33" s="1239">
        <v>0</v>
      </c>
      <c r="AO33" s="1239">
        <v>0</v>
      </c>
      <c r="AP33" s="1239">
        <v>0</v>
      </c>
      <c r="AQ33" s="1239">
        <v>1846.72</v>
      </c>
      <c r="AR33" s="1239">
        <v>375.72</v>
      </c>
      <c r="AS33" s="1239">
        <v>0</v>
      </c>
      <c r="AT33" s="1239">
        <v>4348.53</v>
      </c>
      <c r="AU33" s="1239">
        <v>0</v>
      </c>
      <c r="AV33" s="1239">
        <v>0</v>
      </c>
      <c r="AW33" s="1239">
        <v>4348.53</v>
      </c>
      <c r="AX33" s="1239">
        <v>1458.97</v>
      </c>
      <c r="AY33" s="1239">
        <v>0</v>
      </c>
      <c r="AZ33" s="1239">
        <v>0</v>
      </c>
      <c r="BA33" s="1239">
        <v>0</v>
      </c>
      <c r="BB33" s="1239">
        <v>0</v>
      </c>
      <c r="BC33" s="1239">
        <v>0</v>
      </c>
      <c r="BD33" s="1239">
        <v>0</v>
      </c>
      <c r="BE33" s="1239">
        <v>0</v>
      </c>
      <c r="BF33" s="1239">
        <v>1458.97</v>
      </c>
      <c r="BG33" s="1239">
        <v>0</v>
      </c>
      <c r="BH33" s="1239">
        <v>0</v>
      </c>
      <c r="BI33" s="1239">
        <v>0</v>
      </c>
      <c r="BJ33" s="1239">
        <v>5807.5</v>
      </c>
      <c r="BK33" s="1239">
        <v>5807.5</v>
      </c>
      <c r="BL33" s="1239">
        <v>1545.96</v>
      </c>
      <c r="BM33" s="1239">
        <v>1545.96</v>
      </c>
      <c r="BN33" s="1239">
        <v>140.32</v>
      </c>
      <c r="BO33" s="1239">
        <v>0</v>
      </c>
      <c r="DW33" s="1238">
        <v>46203</v>
      </c>
      <c r="DX33" s="1328" t="s">
        <v>818</v>
      </c>
      <c r="DY33" t="s">
        <v>473</v>
      </c>
      <c r="DZ33" s="1239">
        <v>23725432.48</v>
      </c>
      <c r="EA33" s="1241">
        <v>21</v>
      </c>
      <c r="EB33" s="1239">
        <v>29769442.82</v>
      </c>
    </row>
    <row r="34" spans="1:132">
      <c r="A34" s="1238">
        <v>45747</v>
      </c>
      <c r="B34" t="s">
        <v>711</v>
      </c>
      <c r="C34" s="1239">
        <v>7821840687.46</v>
      </c>
      <c r="D34" s="1239">
        <v>0</v>
      </c>
      <c r="E34" s="1239">
        <v>41439704.270000003</v>
      </c>
      <c r="F34" s="1239">
        <v>15107591.52</v>
      </c>
      <c r="G34" s="1239">
        <v>0</v>
      </c>
      <c r="H34" s="1239">
        <v>0</v>
      </c>
      <c r="I34" s="1239">
        <v>0</v>
      </c>
      <c r="J34" s="1239">
        <v>0</v>
      </c>
      <c r="K34" s="1239">
        <v>394532.89</v>
      </c>
      <c r="L34" s="1239">
        <v>0</v>
      </c>
      <c r="M34" s="1239">
        <v>1994383.54</v>
      </c>
      <c r="N34" s="1239">
        <v>320194.90999999997</v>
      </c>
      <c r="O34" s="1239">
        <v>7762584280.3299999</v>
      </c>
      <c r="P34" s="1239">
        <v>236010.43</v>
      </c>
      <c r="Q34" s="1239">
        <v>48694.12</v>
      </c>
      <c r="R34" s="1239">
        <v>0</v>
      </c>
      <c r="S34" s="1239">
        <v>38751.35</v>
      </c>
      <c r="T34" s="1239">
        <v>26348.73</v>
      </c>
      <c r="U34" s="1239">
        <v>0</v>
      </c>
      <c r="V34" s="1239">
        <v>110479.05</v>
      </c>
      <c r="W34" s="1239">
        <v>26077.64</v>
      </c>
      <c r="X34" s="1239">
        <v>0</v>
      </c>
      <c r="Y34" s="1239">
        <v>0</v>
      </c>
      <c r="Z34" s="1239">
        <v>0</v>
      </c>
      <c r="AA34" s="1239">
        <v>0</v>
      </c>
      <c r="AB34" s="1239">
        <v>0</v>
      </c>
      <c r="AC34" s="1239">
        <v>0</v>
      </c>
      <c r="AD34" s="1239">
        <v>0</v>
      </c>
      <c r="AE34" s="1239">
        <v>1131.3599999999999</v>
      </c>
      <c r="AF34" s="1239">
        <v>300.67</v>
      </c>
      <c r="AG34" s="1239">
        <v>0</v>
      </c>
      <c r="AH34" s="1239">
        <v>0</v>
      </c>
      <c r="AI34" s="1239">
        <v>0</v>
      </c>
      <c r="AJ34" s="1239">
        <v>0</v>
      </c>
      <c r="AK34" s="1239">
        <v>0</v>
      </c>
      <c r="AL34" s="1239">
        <v>0</v>
      </c>
      <c r="AM34" s="1239">
        <v>0</v>
      </c>
      <c r="AN34" s="1239">
        <v>0</v>
      </c>
      <c r="AO34" s="1239">
        <v>0</v>
      </c>
      <c r="AP34" s="1239">
        <v>0</v>
      </c>
      <c r="AQ34" s="1239">
        <v>163151.37</v>
      </c>
      <c r="AR34" s="1239">
        <v>48664.54</v>
      </c>
      <c r="AS34" s="1239">
        <v>0</v>
      </c>
      <c r="AT34" s="1239">
        <v>41400952.920000002</v>
      </c>
      <c r="AU34" s="1239">
        <v>110479.05</v>
      </c>
      <c r="AV34" s="1239">
        <v>15107591.52</v>
      </c>
      <c r="AW34" s="1239">
        <v>56619023.490000002</v>
      </c>
      <c r="AX34" s="1239">
        <v>9615918.6699999999</v>
      </c>
      <c r="AY34" s="1239">
        <v>26077.64</v>
      </c>
      <c r="AZ34" s="1239">
        <v>0</v>
      </c>
      <c r="BA34" s="1239">
        <v>0</v>
      </c>
      <c r="BB34" s="1239">
        <v>0</v>
      </c>
      <c r="BC34" s="1239">
        <v>76072.649999999994</v>
      </c>
      <c r="BD34" s="1239">
        <v>0</v>
      </c>
      <c r="BE34" s="1239">
        <v>0</v>
      </c>
      <c r="BF34" s="1239">
        <v>9718068.9600000009</v>
      </c>
      <c r="BG34" s="1239">
        <v>0</v>
      </c>
      <c r="BH34" s="1239">
        <v>0</v>
      </c>
      <c r="BI34" s="1239">
        <v>0</v>
      </c>
      <c r="BJ34" s="1239">
        <v>66337092.450000003</v>
      </c>
      <c r="BK34" s="1239">
        <v>66337092.450000003</v>
      </c>
      <c r="BL34" s="1239">
        <v>7640469.7000000002</v>
      </c>
      <c r="BM34" s="1239">
        <v>7640469.7000000002</v>
      </c>
      <c r="BN34" s="1239">
        <v>1968.11</v>
      </c>
      <c r="BO34" s="1239">
        <v>170.77</v>
      </c>
      <c r="DW34" s="1238">
        <v>46203</v>
      </c>
      <c r="DX34" s="1328" t="s">
        <v>819</v>
      </c>
      <c r="DY34" t="s">
        <v>474</v>
      </c>
      <c r="DZ34" s="1239">
        <v>23481367.5</v>
      </c>
      <c r="EA34" s="1241">
        <v>21</v>
      </c>
      <c r="EB34" s="1239">
        <v>30888712.059999999</v>
      </c>
    </row>
    <row r="35" spans="1:132">
      <c r="A35" s="1238">
        <v>45747</v>
      </c>
      <c r="B35" t="s">
        <v>340</v>
      </c>
      <c r="C35" s="1239">
        <v>207269.66</v>
      </c>
      <c r="D35" s="1239">
        <v>0</v>
      </c>
      <c r="E35" s="1239">
        <v>115232.36</v>
      </c>
      <c r="F35" s="1239">
        <v>0</v>
      </c>
      <c r="G35" s="1239">
        <v>0</v>
      </c>
      <c r="H35" s="1239">
        <v>0</v>
      </c>
      <c r="I35" s="1239">
        <v>0</v>
      </c>
      <c r="J35" s="1239">
        <v>0</v>
      </c>
      <c r="K35" s="1239">
        <v>394532.89</v>
      </c>
      <c r="L35" s="1239">
        <v>0</v>
      </c>
      <c r="M35" s="1239">
        <v>206709.84</v>
      </c>
      <c r="N35" s="1239">
        <v>0</v>
      </c>
      <c r="O35" s="1239">
        <v>279860.34999999998</v>
      </c>
      <c r="P35" s="1239">
        <v>0</v>
      </c>
      <c r="Q35" s="1239">
        <v>0</v>
      </c>
      <c r="R35" s="1239">
        <v>0</v>
      </c>
      <c r="S35" s="1239">
        <v>533.62</v>
      </c>
      <c r="T35" s="1239">
        <v>137.36000000000001</v>
      </c>
      <c r="U35" s="1239">
        <v>0</v>
      </c>
      <c r="V35" s="1239">
        <v>0</v>
      </c>
      <c r="W35" s="1239">
        <v>0</v>
      </c>
      <c r="X35" s="1239">
        <v>0</v>
      </c>
      <c r="Y35" s="1239">
        <v>0</v>
      </c>
      <c r="Z35" s="1239">
        <v>0</v>
      </c>
      <c r="AA35" s="1239">
        <v>0</v>
      </c>
      <c r="AB35" s="1239">
        <v>0</v>
      </c>
      <c r="AC35" s="1239">
        <v>0</v>
      </c>
      <c r="AD35" s="1239">
        <v>0</v>
      </c>
      <c r="AE35" s="1239">
        <v>1131.3599999999999</v>
      </c>
      <c r="AF35" s="1239">
        <v>300.67</v>
      </c>
      <c r="AG35" s="1239">
        <v>0</v>
      </c>
      <c r="AH35" s="1239">
        <v>0</v>
      </c>
      <c r="AI35" s="1239">
        <v>0</v>
      </c>
      <c r="AJ35" s="1239">
        <v>0</v>
      </c>
      <c r="AK35" s="1239">
        <v>0</v>
      </c>
      <c r="AL35" s="1239">
        <v>0</v>
      </c>
      <c r="AM35" s="1239">
        <v>0</v>
      </c>
      <c r="AN35" s="1239">
        <v>0</v>
      </c>
      <c r="AO35" s="1239">
        <v>0</v>
      </c>
      <c r="AP35" s="1239">
        <v>0</v>
      </c>
      <c r="AQ35" s="1239">
        <v>1664.98</v>
      </c>
      <c r="AR35" s="1239">
        <v>438.03</v>
      </c>
      <c r="AS35" s="1239">
        <v>0</v>
      </c>
      <c r="AT35" s="1239">
        <v>114698.74</v>
      </c>
      <c r="AU35" s="1239">
        <v>0</v>
      </c>
      <c r="AV35" s="1239">
        <v>0</v>
      </c>
      <c r="AW35" s="1239">
        <v>114698.74</v>
      </c>
      <c r="AX35" s="1239">
        <v>883.23</v>
      </c>
      <c r="AY35" s="1239">
        <v>0</v>
      </c>
      <c r="AZ35" s="1239">
        <v>0</v>
      </c>
      <c r="BA35" s="1239">
        <v>0</v>
      </c>
      <c r="BB35" s="1239">
        <v>0</v>
      </c>
      <c r="BC35" s="1239">
        <v>0</v>
      </c>
      <c r="BD35" s="1239">
        <v>0</v>
      </c>
      <c r="BE35" s="1239">
        <v>0</v>
      </c>
      <c r="BF35" s="1239">
        <v>883.23</v>
      </c>
      <c r="BG35" s="1239">
        <v>0</v>
      </c>
      <c r="BH35" s="1239">
        <v>0</v>
      </c>
      <c r="BI35" s="1239">
        <v>0</v>
      </c>
      <c r="BJ35" s="1239">
        <v>115581.97</v>
      </c>
      <c r="BK35" s="1239">
        <v>115581.97</v>
      </c>
      <c r="BL35" s="1239">
        <v>507.36</v>
      </c>
      <c r="BM35" s="1239">
        <v>507.36</v>
      </c>
      <c r="BN35" s="1239">
        <v>359.76</v>
      </c>
      <c r="BO35" s="1239">
        <v>0</v>
      </c>
      <c r="DW35" s="1238">
        <v>46203</v>
      </c>
      <c r="DX35" s="1328" t="s">
        <v>820</v>
      </c>
      <c r="DY35" t="s">
        <v>475</v>
      </c>
      <c r="DZ35" s="1239">
        <v>296953213.81</v>
      </c>
      <c r="EA35" s="1241">
        <v>207</v>
      </c>
      <c r="EB35" s="1239">
        <v>391295724.06999999</v>
      </c>
    </row>
    <row r="36" spans="1:132">
      <c r="A36" s="1238">
        <v>45716</v>
      </c>
      <c r="B36" t="s">
        <v>711</v>
      </c>
      <c r="C36" s="1239">
        <v>7882097726.96</v>
      </c>
      <c r="D36" s="1239">
        <v>0</v>
      </c>
      <c r="E36" s="1239">
        <v>41925555.68</v>
      </c>
      <c r="F36" s="1239">
        <v>13656654.539999999</v>
      </c>
      <c r="G36" s="1239">
        <v>0</v>
      </c>
      <c r="H36" s="1239">
        <v>0</v>
      </c>
      <c r="I36" s="1239">
        <v>0</v>
      </c>
      <c r="J36" s="1239">
        <v>0</v>
      </c>
      <c r="K36" s="1239">
        <v>208258.58</v>
      </c>
      <c r="L36" s="1239">
        <v>0</v>
      </c>
      <c r="M36" s="1239">
        <v>4466570.7</v>
      </c>
      <c r="N36" s="1239">
        <v>0</v>
      </c>
      <c r="O36" s="1239">
        <v>7821840687.46</v>
      </c>
      <c r="P36" s="1239">
        <v>206735.54</v>
      </c>
      <c r="Q36" s="1239">
        <v>41688.910000000003</v>
      </c>
      <c r="R36" s="1239">
        <v>0</v>
      </c>
      <c r="S36" s="1239">
        <v>128060.42</v>
      </c>
      <c r="T36" s="1239">
        <v>27565.85</v>
      </c>
      <c r="U36" s="1239">
        <v>0</v>
      </c>
      <c r="V36" s="1239">
        <v>98785.53</v>
      </c>
      <c r="W36" s="1239">
        <v>20560.64</v>
      </c>
      <c r="X36" s="1239">
        <v>0</v>
      </c>
      <c r="Y36" s="1239">
        <v>0</v>
      </c>
      <c r="Z36" s="1239">
        <v>0</v>
      </c>
      <c r="AA36" s="1239">
        <v>0</v>
      </c>
      <c r="AB36" s="1239">
        <v>0</v>
      </c>
      <c r="AC36" s="1239">
        <v>0</v>
      </c>
      <c r="AD36" s="1239">
        <v>0</v>
      </c>
      <c r="AE36" s="1239">
        <v>0</v>
      </c>
      <c r="AF36" s="1239">
        <v>0</v>
      </c>
      <c r="AG36" s="1239">
        <v>0</v>
      </c>
      <c r="AH36" s="1239">
        <v>0</v>
      </c>
      <c r="AI36" s="1239">
        <v>0</v>
      </c>
      <c r="AJ36" s="1239">
        <v>0</v>
      </c>
      <c r="AK36" s="1239">
        <v>0</v>
      </c>
      <c r="AL36" s="1239">
        <v>0</v>
      </c>
      <c r="AM36" s="1239">
        <v>0</v>
      </c>
      <c r="AN36" s="1239">
        <v>0</v>
      </c>
      <c r="AO36" s="1239">
        <v>0</v>
      </c>
      <c r="AP36" s="1239">
        <v>0</v>
      </c>
      <c r="AQ36" s="1239">
        <v>236010.43</v>
      </c>
      <c r="AR36" s="1239">
        <v>48694.12</v>
      </c>
      <c r="AS36" s="1239">
        <v>0</v>
      </c>
      <c r="AT36" s="1239">
        <v>41797495.259999998</v>
      </c>
      <c r="AU36" s="1239">
        <v>98785.53</v>
      </c>
      <c r="AV36" s="1239">
        <v>13656654.539999999</v>
      </c>
      <c r="AW36" s="1239">
        <v>55552935.329999998</v>
      </c>
      <c r="AX36" s="1239">
        <v>9736215.1199999992</v>
      </c>
      <c r="AY36" s="1239">
        <v>20560.64</v>
      </c>
      <c r="AZ36" s="1239">
        <v>0</v>
      </c>
      <c r="BA36" s="1239">
        <v>0</v>
      </c>
      <c r="BB36" s="1239">
        <v>0</v>
      </c>
      <c r="BC36" s="1239">
        <v>55144.93</v>
      </c>
      <c r="BD36" s="1239">
        <v>0</v>
      </c>
      <c r="BE36" s="1239">
        <v>0</v>
      </c>
      <c r="BF36" s="1239">
        <v>9811920.6899999995</v>
      </c>
      <c r="BG36" s="1239">
        <v>0</v>
      </c>
      <c r="BH36" s="1239">
        <v>0</v>
      </c>
      <c r="BI36" s="1239">
        <v>0</v>
      </c>
      <c r="BJ36" s="1239">
        <v>65364856.020000003</v>
      </c>
      <c r="BK36" s="1239">
        <v>65364856.020000003</v>
      </c>
      <c r="BL36" s="1239">
        <v>7458308.79</v>
      </c>
      <c r="BM36" s="1239">
        <v>7458308.79</v>
      </c>
      <c r="BN36" s="1239">
        <v>3668.83</v>
      </c>
      <c r="BO36" s="1239">
        <v>0</v>
      </c>
      <c r="DW36" s="1238">
        <v>46203</v>
      </c>
      <c r="DX36" s="1328" t="s">
        <v>2083</v>
      </c>
      <c r="DY36" t="s">
        <v>2084</v>
      </c>
      <c r="DZ36" s="1239">
        <v>10270.41</v>
      </c>
      <c r="EA36" s="1241">
        <v>0</v>
      </c>
      <c r="EB36" s="1239">
        <v>0</v>
      </c>
    </row>
    <row r="37" spans="1:132">
      <c r="A37" s="1238">
        <v>45716</v>
      </c>
      <c r="B37" t="s">
        <v>340</v>
      </c>
      <c r="C37" s="1239">
        <v>411276.35</v>
      </c>
      <c r="D37" s="1239">
        <v>0</v>
      </c>
      <c r="E37" s="1239">
        <v>2900.75</v>
      </c>
      <c r="F37" s="1239">
        <v>0</v>
      </c>
      <c r="G37" s="1239">
        <v>0</v>
      </c>
      <c r="H37" s="1239">
        <v>0</v>
      </c>
      <c r="I37" s="1239">
        <v>0</v>
      </c>
      <c r="J37" s="1239">
        <v>0</v>
      </c>
      <c r="K37" s="1239">
        <v>208258.58</v>
      </c>
      <c r="L37" s="1239">
        <v>0</v>
      </c>
      <c r="M37" s="1239">
        <v>409364.52</v>
      </c>
      <c r="N37" s="1239">
        <v>0</v>
      </c>
      <c r="O37" s="1239">
        <v>207269.66</v>
      </c>
      <c r="P37" s="1239">
        <v>0</v>
      </c>
      <c r="Q37" s="1239">
        <v>0</v>
      </c>
      <c r="R37" s="1239">
        <v>0</v>
      </c>
      <c r="S37" s="1239">
        <v>0</v>
      </c>
      <c r="T37" s="1239">
        <v>0</v>
      </c>
      <c r="U37" s="1239">
        <v>0</v>
      </c>
      <c r="V37" s="1239">
        <v>0</v>
      </c>
      <c r="W37" s="1239">
        <v>0</v>
      </c>
      <c r="X37" s="1239">
        <v>0</v>
      </c>
      <c r="Y37" s="1239">
        <v>0</v>
      </c>
      <c r="Z37" s="1239">
        <v>0</v>
      </c>
      <c r="AA37" s="1239">
        <v>0</v>
      </c>
      <c r="AB37" s="1239">
        <v>0</v>
      </c>
      <c r="AC37" s="1239">
        <v>0</v>
      </c>
      <c r="AD37" s="1239">
        <v>0</v>
      </c>
      <c r="AE37" s="1239">
        <v>0</v>
      </c>
      <c r="AF37" s="1239">
        <v>0</v>
      </c>
      <c r="AG37" s="1239">
        <v>0</v>
      </c>
      <c r="AH37" s="1239">
        <v>0</v>
      </c>
      <c r="AI37" s="1239">
        <v>0</v>
      </c>
      <c r="AJ37" s="1239">
        <v>0</v>
      </c>
      <c r="AK37" s="1239">
        <v>0</v>
      </c>
      <c r="AL37" s="1239">
        <v>0</v>
      </c>
      <c r="AM37" s="1239">
        <v>0</v>
      </c>
      <c r="AN37" s="1239">
        <v>0</v>
      </c>
      <c r="AO37" s="1239">
        <v>0</v>
      </c>
      <c r="AP37" s="1239">
        <v>0</v>
      </c>
      <c r="AQ37" s="1239">
        <v>0</v>
      </c>
      <c r="AR37" s="1239">
        <v>0</v>
      </c>
      <c r="AS37" s="1239">
        <v>0</v>
      </c>
      <c r="AT37" s="1239">
        <v>2900.75</v>
      </c>
      <c r="AU37" s="1239">
        <v>0</v>
      </c>
      <c r="AV37" s="1239">
        <v>0</v>
      </c>
      <c r="AW37" s="1239">
        <v>2900.75</v>
      </c>
      <c r="AX37" s="1239">
        <v>689.6</v>
      </c>
      <c r="AY37" s="1239">
        <v>0</v>
      </c>
      <c r="AZ37" s="1239">
        <v>0</v>
      </c>
      <c r="BA37" s="1239">
        <v>0</v>
      </c>
      <c r="BB37" s="1239">
        <v>0</v>
      </c>
      <c r="BC37" s="1239">
        <v>0</v>
      </c>
      <c r="BD37" s="1239">
        <v>0</v>
      </c>
      <c r="BE37" s="1239">
        <v>0</v>
      </c>
      <c r="BF37" s="1239">
        <v>689.6</v>
      </c>
      <c r="BG37" s="1239">
        <v>0</v>
      </c>
      <c r="BH37" s="1239">
        <v>0</v>
      </c>
      <c r="BI37" s="1239">
        <v>0</v>
      </c>
      <c r="BJ37" s="1239">
        <v>3590.35</v>
      </c>
      <c r="BK37" s="1239">
        <v>3590.35</v>
      </c>
      <c r="BL37" s="1239">
        <v>522.92999999999995</v>
      </c>
      <c r="BM37" s="1239">
        <v>522.92999999999995</v>
      </c>
      <c r="BN37" s="1239">
        <v>168.14</v>
      </c>
      <c r="BO37" s="1239">
        <v>0</v>
      </c>
      <c r="DW37" s="1238">
        <v>46203</v>
      </c>
      <c r="DX37" s="1328" t="s">
        <v>2085</v>
      </c>
      <c r="DY37" t="s">
        <v>2086</v>
      </c>
      <c r="DZ37" s="1239">
        <v>202895.37</v>
      </c>
      <c r="EA37" s="1241">
        <v>0</v>
      </c>
      <c r="EB37" s="1239">
        <v>0</v>
      </c>
    </row>
    <row r="38" spans="1:132">
      <c r="A38" s="1238">
        <v>45688</v>
      </c>
      <c r="B38" t="s">
        <v>711</v>
      </c>
      <c r="C38" s="1239">
        <v>7942231678.1999998</v>
      </c>
      <c r="D38" s="1239">
        <v>0</v>
      </c>
      <c r="E38" s="1239">
        <v>42177775.649999999</v>
      </c>
      <c r="F38" s="1239">
        <v>13800626.789999999</v>
      </c>
      <c r="G38" s="1239">
        <v>0</v>
      </c>
      <c r="H38" s="1239">
        <v>0</v>
      </c>
      <c r="I38" s="1239">
        <v>0</v>
      </c>
      <c r="J38" s="1239">
        <v>0</v>
      </c>
      <c r="K38" s="1239">
        <v>411919.03</v>
      </c>
      <c r="L38" s="1239">
        <v>0</v>
      </c>
      <c r="M38" s="1239">
        <v>3743629.77</v>
      </c>
      <c r="N38" s="1239">
        <v>0</v>
      </c>
      <c r="O38" s="1239">
        <v>7882097726.96</v>
      </c>
      <c r="P38" s="1239">
        <v>172771.65</v>
      </c>
      <c r="Q38" s="1239">
        <v>38241.730000000003</v>
      </c>
      <c r="R38" s="1239">
        <v>0</v>
      </c>
      <c r="S38" s="1239">
        <v>106679.76</v>
      </c>
      <c r="T38" s="1239">
        <v>21253.25</v>
      </c>
      <c r="U38" s="1239">
        <v>0</v>
      </c>
      <c r="V38" s="1239">
        <v>71746.8</v>
      </c>
      <c r="W38" s="1239">
        <v>17792.560000000001</v>
      </c>
      <c r="X38" s="1239">
        <v>0</v>
      </c>
      <c r="Y38" s="1239">
        <v>0</v>
      </c>
      <c r="Z38" s="1239">
        <v>0</v>
      </c>
      <c r="AA38" s="1239">
        <v>0</v>
      </c>
      <c r="AB38" s="1239">
        <v>0</v>
      </c>
      <c r="AC38" s="1239">
        <v>0</v>
      </c>
      <c r="AD38" s="1239">
        <v>0</v>
      </c>
      <c r="AE38" s="1239">
        <v>969.07</v>
      </c>
      <c r="AF38" s="1239">
        <v>13.51</v>
      </c>
      <c r="AG38" s="1239">
        <v>0</v>
      </c>
      <c r="AH38" s="1239">
        <v>0</v>
      </c>
      <c r="AI38" s="1239">
        <v>0</v>
      </c>
      <c r="AJ38" s="1239">
        <v>0</v>
      </c>
      <c r="AK38" s="1239">
        <v>0</v>
      </c>
      <c r="AL38" s="1239">
        <v>0</v>
      </c>
      <c r="AM38" s="1239">
        <v>0</v>
      </c>
      <c r="AN38" s="1239">
        <v>0</v>
      </c>
      <c r="AO38" s="1239">
        <v>0</v>
      </c>
      <c r="AP38" s="1239">
        <v>0</v>
      </c>
      <c r="AQ38" s="1239">
        <v>206735.54</v>
      </c>
      <c r="AR38" s="1239">
        <v>41688.910000000003</v>
      </c>
      <c r="AS38" s="1239">
        <v>0</v>
      </c>
      <c r="AT38" s="1239">
        <v>42071095.890000001</v>
      </c>
      <c r="AU38" s="1239">
        <v>71746.8</v>
      </c>
      <c r="AV38" s="1239">
        <v>13800626.789999999</v>
      </c>
      <c r="AW38" s="1239">
        <v>55943469.479999997</v>
      </c>
      <c r="AX38" s="1239">
        <v>9811566.0999999996</v>
      </c>
      <c r="AY38" s="1239">
        <v>17792.560000000001</v>
      </c>
      <c r="AZ38" s="1239">
        <v>0</v>
      </c>
      <c r="BA38" s="1239">
        <v>0</v>
      </c>
      <c r="BB38" s="1239">
        <v>0</v>
      </c>
      <c r="BC38" s="1239">
        <v>75181.8</v>
      </c>
      <c r="BD38" s="1239">
        <v>0</v>
      </c>
      <c r="BE38" s="1239">
        <v>0</v>
      </c>
      <c r="BF38" s="1239">
        <v>9904540.4600000009</v>
      </c>
      <c r="BG38" s="1239">
        <v>0</v>
      </c>
      <c r="BH38" s="1239">
        <v>0</v>
      </c>
      <c r="BI38" s="1239">
        <v>0</v>
      </c>
      <c r="BJ38" s="1239">
        <v>65848009.939999998</v>
      </c>
      <c r="BK38" s="1239">
        <v>65848009.939999998</v>
      </c>
      <c r="BL38" s="1239">
        <v>7755240.1500000004</v>
      </c>
      <c r="BM38" s="1239">
        <v>7755240.1500000004</v>
      </c>
      <c r="BN38" s="1239">
        <v>3806.61</v>
      </c>
      <c r="BO38" s="1239">
        <v>0</v>
      </c>
      <c r="DW38" s="1238">
        <v>46203</v>
      </c>
      <c r="DX38" s="1328" t="s">
        <v>2087</v>
      </c>
      <c r="DY38" t="s">
        <v>432</v>
      </c>
      <c r="DZ38" s="1239">
        <v>3400000</v>
      </c>
      <c r="EA38" s="1241">
        <v>0</v>
      </c>
      <c r="EB38" s="1239">
        <v>0</v>
      </c>
    </row>
    <row r="39" spans="1:132">
      <c r="A39" s="1238">
        <v>45688</v>
      </c>
      <c r="B39" t="s">
        <v>340</v>
      </c>
      <c r="C39" s="1239">
        <v>238668.41</v>
      </c>
      <c r="D39" s="1239">
        <v>0</v>
      </c>
      <c r="E39" s="1239">
        <v>642.67999999999995</v>
      </c>
      <c r="F39" s="1239">
        <v>0</v>
      </c>
      <c r="G39" s="1239">
        <v>0</v>
      </c>
      <c r="H39" s="1239">
        <v>0</v>
      </c>
      <c r="I39" s="1239">
        <v>0</v>
      </c>
      <c r="J39" s="1239">
        <v>0</v>
      </c>
      <c r="K39" s="1239">
        <v>411919.03</v>
      </c>
      <c r="L39" s="1239">
        <v>0</v>
      </c>
      <c r="M39" s="1239">
        <v>238668.41</v>
      </c>
      <c r="N39" s="1239">
        <v>0</v>
      </c>
      <c r="O39" s="1239">
        <v>411276.35</v>
      </c>
      <c r="P39" s="1239">
        <v>0</v>
      </c>
      <c r="Q39" s="1239">
        <v>0</v>
      </c>
      <c r="R39" s="1239">
        <v>0</v>
      </c>
      <c r="S39" s="1239">
        <v>0</v>
      </c>
      <c r="T39" s="1239">
        <v>0</v>
      </c>
      <c r="U39" s="1239">
        <v>0</v>
      </c>
      <c r="V39" s="1239">
        <v>969.07</v>
      </c>
      <c r="W39" s="1239">
        <v>13.51</v>
      </c>
      <c r="X39" s="1239">
        <v>0</v>
      </c>
      <c r="Y39" s="1239">
        <v>0</v>
      </c>
      <c r="Z39" s="1239">
        <v>0</v>
      </c>
      <c r="AA39" s="1239">
        <v>0</v>
      </c>
      <c r="AB39" s="1239">
        <v>0</v>
      </c>
      <c r="AC39" s="1239">
        <v>0</v>
      </c>
      <c r="AD39" s="1239">
        <v>0</v>
      </c>
      <c r="AE39" s="1239">
        <v>969.07</v>
      </c>
      <c r="AF39" s="1239">
        <v>13.51</v>
      </c>
      <c r="AG39" s="1239">
        <v>0</v>
      </c>
      <c r="AH39" s="1239">
        <v>0</v>
      </c>
      <c r="AI39" s="1239">
        <v>0</v>
      </c>
      <c r="AJ39" s="1239">
        <v>0</v>
      </c>
      <c r="AK39" s="1239">
        <v>0</v>
      </c>
      <c r="AL39" s="1239">
        <v>0</v>
      </c>
      <c r="AM39" s="1239">
        <v>0</v>
      </c>
      <c r="AN39" s="1239">
        <v>0</v>
      </c>
      <c r="AO39" s="1239">
        <v>0</v>
      </c>
      <c r="AP39" s="1239">
        <v>0</v>
      </c>
      <c r="AQ39" s="1239">
        <v>0</v>
      </c>
      <c r="AR39" s="1239">
        <v>0</v>
      </c>
      <c r="AS39" s="1239">
        <v>0</v>
      </c>
      <c r="AT39" s="1239">
        <v>642.67999999999995</v>
      </c>
      <c r="AU39" s="1239">
        <v>969.07</v>
      </c>
      <c r="AV39" s="1239">
        <v>0</v>
      </c>
      <c r="AW39" s="1239">
        <v>1611.75</v>
      </c>
      <c r="AX39" s="1239">
        <v>12.58</v>
      </c>
      <c r="AY39" s="1239">
        <v>13.51</v>
      </c>
      <c r="AZ39" s="1239">
        <v>0</v>
      </c>
      <c r="BA39" s="1239">
        <v>0</v>
      </c>
      <c r="BB39" s="1239">
        <v>0</v>
      </c>
      <c r="BC39" s="1239">
        <v>0</v>
      </c>
      <c r="BD39" s="1239">
        <v>0</v>
      </c>
      <c r="BE39" s="1239">
        <v>0</v>
      </c>
      <c r="BF39" s="1239">
        <v>26.09</v>
      </c>
      <c r="BG39" s="1239">
        <v>0</v>
      </c>
      <c r="BH39" s="1239">
        <v>0</v>
      </c>
      <c r="BI39" s="1239">
        <v>0</v>
      </c>
      <c r="BJ39" s="1239">
        <v>1637.84</v>
      </c>
      <c r="BK39" s="1239">
        <v>1637.84</v>
      </c>
      <c r="BL39" s="1239">
        <v>284.77999999999997</v>
      </c>
      <c r="BM39" s="1239">
        <v>284.77999999999997</v>
      </c>
      <c r="BN39" s="1239">
        <v>90.25</v>
      </c>
      <c r="BO39" s="1239">
        <v>0</v>
      </c>
      <c r="DW39" s="1238">
        <v>46203</v>
      </c>
      <c r="DX39" s="1328" t="s">
        <v>821</v>
      </c>
      <c r="DY39" t="s">
        <v>445</v>
      </c>
      <c r="DZ39" s="1239">
        <v>421683279.88</v>
      </c>
      <c r="EA39" s="1241">
        <v>14439</v>
      </c>
      <c r="EB39" s="1239">
        <v>1283815066.5899999</v>
      </c>
    </row>
    <row r="40" spans="1:132">
      <c r="A40" s="1238">
        <v>45657</v>
      </c>
      <c r="B40" t="s">
        <v>711</v>
      </c>
      <c r="C40" s="1239">
        <v>8062678431.4300003</v>
      </c>
      <c r="D40" s="1239">
        <v>0</v>
      </c>
      <c r="E40" s="1239">
        <v>41765874.259999998</v>
      </c>
      <c r="F40" s="1239">
        <v>14770590.32</v>
      </c>
      <c r="G40" s="1239">
        <v>0</v>
      </c>
      <c r="H40" s="1239">
        <v>0</v>
      </c>
      <c r="I40" s="1239">
        <v>0</v>
      </c>
      <c r="J40" s="1239">
        <v>0</v>
      </c>
      <c r="K40" s="1239">
        <v>282412.90999999997</v>
      </c>
      <c r="L40" s="1239">
        <v>0</v>
      </c>
      <c r="M40" s="1239">
        <v>3390909.64</v>
      </c>
      <c r="N40" s="1239">
        <v>60236966.100000001</v>
      </c>
      <c r="O40" s="1239">
        <v>7942231678.1999998</v>
      </c>
      <c r="P40" s="1239">
        <v>129108.29</v>
      </c>
      <c r="Q40" s="1239">
        <v>24117.33</v>
      </c>
      <c r="R40" s="1239">
        <v>0</v>
      </c>
      <c r="S40" s="1239">
        <v>122480.08</v>
      </c>
      <c r="T40" s="1239">
        <v>29989.43</v>
      </c>
      <c r="U40" s="1239">
        <v>0</v>
      </c>
      <c r="V40" s="1239">
        <v>77115.009999999995</v>
      </c>
      <c r="W40" s="1239">
        <v>15738.69</v>
      </c>
      <c r="X40" s="1239">
        <v>0</v>
      </c>
      <c r="Y40" s="1239">
        <v>0</v>
      </c>
      <c r="Z40" s="1239">
        <v>0</v>
      </c>
      <c r="AA40" s="1239">
        <v>0</v>
      </c>
      <c r="AB40" s="1239">
        <v>0</v>
      </c>
      <c r="AC40" s="1239">
        <v>0</v>
      </c>
      <c r="AD40" s="1239">
        <v>0</v>
      </c>
      <c r="AE40" s="1239">
        <v>0</v>
      </c>
      <c r="AF40" s="1239">
        <v>0</v>
      </c>
      <c r="AG40" s="1239">
        <v>0</v>
      </c>
      <c r="AH40" s="1239">
        <v>0</v>
      </c>
      <c r="AI40" s="1239">
        <v>0</v>
      </c>
      <c r="AJ40" s="1239">
        <v>0</v>
      </c>
      <c r="AK40" s="1239">
        <v>0</v>
      </c>
      <c r="AL40" s="1239">
        <v>0</v>
      </c>
      <c r="AM40" s="1239">
        <v>0</v>
      </c>
      <c r="AN40" s="1239">
        <v>1701.71</v>
      </c>
      <c r="AO40" s="1239">
        <v>126.34</v>
      </c>
      <c r="AP40" s="1239">
        <v>0</v>
      </c>
      <c r="AQ40" s="1239">
        <v>172771.65</v>
      </c>
      <c r="AR40" s="1239">
        <v>38241.730000000003</v>
      </c>
      <c r="AS40" s="1239">
        <v>0</v>
      </c>
      <c r="AT40" s="1239">
        <v>41643394.18</v>
      </c>
      <c r="AU40" s="1239">
        <v>77115.009999999995</v>
      </c>
      <c r="AV40" s="1239">
        <v>14770590.32</v>
      </c>
      <c r="AW40" s="1239">
        <v>56491099.509999998</v>
      </c>
      <c r="AX40" s="1239">
        <v>9926226.8000000007</v>
      </c>
      <c r="AY40" s="1239">
        <v>15738.69</v>
      </c>
      <c r="AZ40" s="1239">
        <v>0</v>
      </c>
      <c r="BA40" s="1239">
        <v>0</v>
      </c>
      <c r="BB40" s="1239">
        <v>0</v>
      </c>
      <c r="BC40" s="1239">
        <v>68938.8</v>
      </c>
      <c r="BD40" s="1239">
        <v>0</v>
      </c>
      <c r="BE40" s="1239">
        <v>0</v>
      </c>
      <c r="BF40" s="1239">
        <v>10010904.289999999</v>
      </c>
      <c r="BG40" s="1239">
        <v>0</v>
      </c>
      <c r="BH40" s="1239">
        <v>0</v>
      </c>
      <c r="BI40" s="1239">
        <v>0</v>
      </c>
      <c r="BJ40" s="1239">
        <v>66502003.799999997</v>
      </c>
      <c r="BK40" s="1239">
        <v>66502003.799999997</v>
      </c>
      <c r="BL40" s="1239">
        <v>7868933.2199999997</v>
      </c>
      <c r="BM40" s="1239">
        <v>7868933.2199999997</v>
      </c>
      <c r="BN40" s="1239">
        <v>3294.4299999999994</v>
      </c>
      <c r="BO40" s="1239">
        <v>55421.15999999996</v>
      </c>
      <c r="DW40" s="1238">
        <v>46203</v>
      </c>
      <c r="DX40" s="1328" t="s">
        <v>822</v>
      </c>
      <c r="DY40" t="s">
        <v>446</v>
      </c>
      <c r="DZ40" s="1239">
        <v>1445040810.6500001</v>
      </c>
      <c r="EA40" s="1241">
        <v>19186</v>
      </c>
      <c r="EB40" s="1239">
        <v>2432819043.21</v>
      </c>
    </row>
    <row r="41" spans="1:132">
      <c r="A41" s="1238">
        <v>45657</v>
      </c>
      <c r="B41" t="s">
        <v>340</v>
      </c>
      <c r="C41" s="1239">
        <v>256996.09</v>
      </c>
      <c r="D41" s="1239">
        <v>0</v>
      </c>
      <c r="E41" s="1239">
        <v>45908.84</v>
      </c>
      <c r="F41" s="1239">
        <v>0</v>
      </c>
      <c r="G41" s="1239">
        <v>0</v>
      </c>
      <c r="H41" s="1239">
        <v>0</v>
      </c>
      <c r="I41" s="1239">
        <v>0</v>
      </c>
      <c r="J41" s="1239">
        <v>0</v>
      </c>
      <c r="K41" s="1239">
        <v>282412.90999999997</v>
      </c>
      <c r="L41" s="1239">
        <v>0</v>
      </c>
      <c r="M41" s="1239">
        <v>254831.75</v>
      </c>
      <c r="N41" s="1239">
        <v>0</v>
      </c>
      <c r="O41" s="1239">
        <v>238668.41</v>
      </c>
      <c r="P41" s="1239">
        <v>3909.79</v>
      </c>
      <c r="Q41" s="1239">
        <v>230.22</v>
      </c>
      <c r="R41" s="1239">
        <v>0</v>
      </c>
      <c r="S41" s="1239">
        <v>0</v>
      </c>
      <c r="T41" s="1239">
        <v>0</v>
      </c>
      <c r="U41" s="1239">
        <v>0</v>
      </c>
      <c r="V41" s="1239">
        <v>3909.79</v>
      </c>
      <c r="W41" s="1239">
        <v>230.22</v>
      </c>
      <c r="X41" s="1239">
        <v>0</v>
      </c>
      <c r="Y41" s="1239">
        <v>0</v>
      </c>
      <c r="Z41" s="1239">
        <v>0</v>
      </c>
      <c r="AA41" s="1239">
        <v>0</v>
      </c>
      <c r="AB41" s="1239">
        <v>0</v>
      </c>
      <c r="AC41" s="1239">
        <v>0</v>
      </c>
      <c r="AD41" s="1239">
        <v>0</v>
      </c>
      <c r="AE41" s="1239">
        <v>0</v>
      </c>
      <c r="AF41" s="1239">
        <v>0</v>
      </c>
      <c r="AG41" s="1239">
        <v>0</v>
      </c>
      <c r="AH41" s="1239">
        <v>0</v>
      </c>
      <c r="AI41" s="1239">
        <v>0</v>
      </c>
      <c r="AJ41" s="1239">
        <v>0</v>
      </c>
      <c r="AK41" s="1239">
        <v>0</v>
      </c>
      <c r="AL41" s="1239">
        <v>0</v>
      </c>
      <c r="AM41" s="1239">
        <v>0</v>
      </c>
      <c r="AN41" s="1239">
        <v>0</v>
      </c>
      <c r="AO41" s="1239">
        <v>0</v>
      </c>
      <c r="AP41" s="1239">
        <v>0</v>
      </c>
      <c r="AQ41" s="1239">
        <v>0</v>
      </c>
      <c r="AR41" s="1239">
        <v>0</v>
      </c>
      <c r="AS41" s="1239">
        <v>0</v>
      </c>
      <c r="AT41" s="1239">
        <v>45908.84</v>
      </c>
      <c r="AU41" s="1239">
        <v>3909.79</v>
      </c>
      <c r="AV41" s="1239">
        <v>0</v>
      </c>
      <c r="AW41" s="1239">
        <v>49818.63</v>
      </c>
      <c r="AX41" s="1239">
        <v>866</v>
      </c>
      <c r="AY41" s="1239">
        <v>230.22</v>
      </c>
      <c r="AZ41" s="1239">
        <v>0</v>
      </c>
      <c r="BA41" s="1239">
        <v>0</v>
      </c>
      <c r="BB41" s="1239">
        <v>0</v>
      </c>
      <c r="BC41" s="1239">
        <v>0</v>
      </c>
      <c r="BD41" s="1239">
        <v>0</v>
      </c>
      <c r="BE41" s="1239">
        <v>0</v>
      </c>
      <c r="BF41" s="1239">
        <v>1096.22</v>
      </c>
      <c r="BG41" s="1239">
        <v>0</v>
      </c>
      <c r="BH41" s="1239">
        <v>0</v>
      </c>
      <c r="BI41" s="1239">
        <v>0</v>
      </c>
      <c r="BJ41" s="1239">
        <v>50914.85</v>
      </c>
      <c r="BK41" s="1239">
        <v>50914.85</v>
      </c>
      <c r="BL41" s="1239">
        <v>555.51</v>
      </c>
      <c r="BM41" s="1239">
        <v>555.51</v>
      </c>
      <c r="BN41" s="1239">
        <v>459.87</v>
      </c>
      <c r="BO41" s="1239">
        <v>0</v>
      </c>
      <c r="DW41" s="1238">
        <v>46203</v>
      </c>
      <c r="DX41" s="1328" t="s">
        <v>823</v>
      </c>
      <c r="DY41" t="s">
        <v>447</v>
      </c>
      <c r="DZ41" s="1239">
        <v>2172733374.46</v>
      </c>
      <c r="EA41" s="1241">
        <v>17619</v>
      </c>
      <c r="EB41" s="1239">
        <v>2833523223.4000001</v>
      </c>
    </row>
    <row r="42" spans="1:132">
      <c r="A42" s="1238">
        <v>45626</v>
      </c>
      <c r="B42" t="s">
        <v>711</v>
      </c>
      <c r="C42" s="1239">
        <v>8120798931.6599998</v>
      </c>
      <c r="D42" s="1239">
        <v>0</v>
      </c>
      <c r="E42" s="1239">
        <v>41993813.539999999</v>
      </c>
      <c r="F42" s="1239">
        <v>12780562.119999999</v>
      </c>
      <c r="G42" s="1239">
        <v>0</v>
      </c>
      <c r="H42" s="1239">
        <v>0</v>
      </c>
      <c r="I42" s="1239">
        <v>0</v>
      </c>
      <c r="J42" s="1239">
        <v>0</v>
      </c>
      <c r="K42" s="1239">
        <v>259157.33</v>
      </c>
      <c r="L42" s="1239">
        <v>0</v>
      </c>
      <c r="M42" s="1239">
        <v>3086967.24</v>
      </c>
      <c r="N42" s="1239">
        <v>0</v>
      </c>
      <c r="O42" s="1239">
        <v>8062678431.4300003</v>
      </c>
      <c r="P42" s="1239">
        <v>0</v>
      </c>
      <c r="Q42" s="1239">
        <v>0</v>
      </c>
      <c r="R42" s="1239">
        <v>0</v>
      </c>
      <c r="S42" s="1239">
        <v>129108.29</v>
      </c>
      <c r="T42" s="1239">
        <v>24117.33</v>
      </c>
      <c r="U42" s="1239">
        <v>0</v>
      </c>
      <c r="V42" s="1239">
        <v>0</v>
      </c>
      <c r="W42" s="1239">
        <v>0</v>
      </c>
      <c r="X42" s="1239">
        <v>0</v>
      </c>
      <c r="Y42" s="1239">
        <v>0</v>
      </c>
      <c r="Z42" s="1239">
        <v>0</v>
      </c>
      <c r="AA42" s="1239">
        <v>0</v>
      </c>
      <c r="AB42" s="1239">
        <v>0</v>
      </c>
      <c r="AC42" s="1239">
        <v>0</v>
      </c>
      <c r="AD42" s="1239">
        <v>0</v>
      </c>
      <c r="AE42" s="1239">
        <v>0</v>
      </c>
      <c r="AF42" s="1239">
        <v>0</v>
      </c>
      <c r="AG42" s="1239">
        <v>0</v>
      </c>
      <c r="AH42" s="1239">
        <v>0</v>
      </c>
      <c r="AI42" s="1239">
        <v>0</v>
      </c>
      <c r="AJ42" s="1239">
        <v>0</v>
      </c>
      <c r="AK42" s="1239">
        <v>0</v>
      </c>
      <c r="AL42" s="1239">
        <v>0</v>
      </c>
      <c r="AM42" s="1239">
        <v>0</v>
      </c>
      <c r="AN42" s="1239">
        <v>0</v>
      </c>
      <c r="AO42" s="1239">
        <v>0</v>
      </c>
      <c r="AP42" s="1239">
        <v>0</v>
      </c>
      <c r="AQ42" s="1239">
        <v>129108.29</v>
      </c>
      <c r="AR42" s="1239">
        <v>24117.33</v>
      </c>
      <c r="AS42" s="1239">
        <v>0</v>
      </c>
      <c r="AT42" s="1239">
        <v>41864705.25</v>
      </c>
      <c r="AU42" s="1239">
        <v>0</v>
      </c>
      <c r="AV42" s="1239">
        <v>12780562.119999999</v>
      </c>
      <c r="AW42" s="1239">
        <v>54645267.369999997</v>
      </c>
      <c r="AX42" s="1239">
        <v>10017515.09</v>
      </c>
      <c r="AY42" s="1239">
        <v>0</v>
      </c>
      <c r="AZ42" s="1239">
        <v>0</v>
      </c>
      <c r="BA42" s="1239">
        <v>0</v>
      </c>
      <c r="BB42" s="1239">
        <v>0</v>
      </c>
      <c r="BC42" s="1239">
        <v>56405.84</v>
      </c>
      <c r="BD42" s="1239">
        <v>0</v>
      </c>
      <c r="BE42" s="1239">
        <v>0</v>
      </c>
      <c r="BF42" s="1239">
        <v>10073920.93</v>
      </c>
      <c r="BG42" s="1239">
        <v>0</v>
      </c>
      <c r="BH42" s="1239">
        <v>0</v>
      </c>
      <c r="BI42" s="1239">
        <v>0</v>
      </c>
      <c r="BJ42" s="1239">
        <v>64719188.299999997</v>
      </c>
      <c r="BK42" s="1239">
        <v>64719188.299999997</v>
      </c>
      <c r="BL42" s="1239">
        <v>7863322.6900000004</v>
      </c>
      <c r="BM42" s="1239">
        <v>7863322.6900000004</v>
      </c>
      <c r="BN42" s="1239">
        <v>2373.19</v>
      </c>
      <c r="BO42" s="1239">
        <v>0</v>
      </c>
      <c r="DW42" s="1238">
        <v>46203</v>
      </c>
      <c r="DX42" s="1328" t="s">
        <v>824</v>
      </c>
      <c r="DY42" t="s">
        <v>448</v>
      </c>
      <c r="DZ42" s="1239">
        <v>1311852940.46</v>
      </c>
      <c r="EA42" s="1241">
        <v>7579</v>
      </c>
      <c r="EB42" s="1239">
        <v>1712532639.5599999</v>
      </c>
    </row>
    <row r="43" spans="1:132">
      <c r="A43" s="1238">
        <v>45626</v>
      </c>
      <c r="B43" t="s">
        <v>340</v>
      </c>
      <c r="C43" s="1239">
        <v>64473.05</v>
      </c>
      <c r="D43" s="1239">
        <v>0</v>
      </c>
      <c r="E43" s="1239">
        <v>2865.87</v>
      </c>
      <c r="F43" s="1239">
        <v>0</v>
      </c>
      <c r="G43" s="1239">
        <v>0</v>
      </c>
      <c r="H43" s="1239">
        <v>0</v>
      </c>
      <c r="I43" s="1239">
        <v>0</v>
      </c>
      <c r="J43" s="1239">
        <v>0</v>
      </c>
      <c r="K43" s="1239">
        <v>259157.33</v>
      </c>
      <c r="L43" s="1239">
        <v>0</v>
      </c>
      <c r="M43" s="1239">
        <v>63768.42</v>
      </c>
      <c r="N43" s="1239">
        <v>0</v>
      </c>
      <c r="O43" s="1239">
        <v>256996.09</v>
      </c>
      <c r="P43" s="1239">
        <v>0</v>
      </c>
      <c r="Q43" s="1239">
        <v>0</v>
      </c>
      <c r="R43" s="1239">
        <v>0</v>
      </c>
      <c r="S43" s="1239">
        <v>3909.79</v>
      </c>
      <c r="T43" s="1239">
        <v>230.22</v>
      </c>
      <c r="U43" s="1239">
        <v>0</v>
      </c>
      <c r="V43" s="1239">
        <v>0</v>
      </c>
      <c r="W43" s="1239">
        <v>0</v>
      </c>
      <c r="X43" s="1239">
        <v>0</v>
      </c>
      <c r="Y43" s="1239">
        <v>0</v>
      </c>
      <c r="Z43" s="1239">
        <v>0</v>
      </c>
      <c r="AA43" s="1239">
        <v>0</v>
      </c>
      <c r="AB43" s="1239">
        <v>0</v>
      </c>
      <c r="AC43" s="1239">
        <v>0</v>
      </c>
      <c r="AD43" s="1239">
        <v>0</v>
      </c>
      <c r="AE43" s="1239">
        <v>0</v>
      </c>
      <c r="AF43" s="1239">
        <v>0</v>
      </c>
      <c r="AG43" s="1239">
        <v>0</v>
      </c>
      <c r="AH43" s="1239">
        <v>0</v>
      </c>
      <c r="AI43" s="1239">
        <v>0</v>
      </c>
      <c r="AJ43" s="1239">
        <v>0</v>
      </c>
      <c r="AK43" s="1239">
        <v>0</v>
      </c>
      <c r="AL43" s="1239">
        <v>0</v>
      </c>
      <c r="AM43" s="1239">
        <v>0</v>
      </c>
      <c r="AN43" s="1239">
        <v>0</v>
      </c>
      <c r="AO43" s="1239">
        <v>0</v>
      </c>
      <c r="AP43" s="1239">
        <v>0</v>
      </c>
      <c r="AQ43" s="1239">
        <v>3909.79</v>
      </c>
      <c r="AR43" s="1239">
        <v>230.22</v>
      </c>
      <c r="AS43" s="1239">
        <v>0</v>
      </c>
      <c r="AT43" s="1239">
        <v>-1043.92</v>
      </c>
      <c r="AU43" s="1239">
        <v>0</v>
      </c>
      <c r="AV43" s="1239">
        <v>0</v>
      </c>
      <c r="AW43" s="1239">
        <v>-1043.92</v>
      </c>
      <c r="AX43" s="1239">
        <v>485.35</v>
      </c>
      <c r="AY43" s="1239">
        <v>0</v>
      </c>
      <c r="AZ43" s="1239">
        <v>0</v>
      </c>
      <c r="BA43" s="1239">
        <v>0</v>
      </c>
      <c r="BB43" s="1239">
        <v>0</v>
      </c>
      <c r="BC43" s="1239">
        <v>0</v>
      </c>
      <c r="BD43" s="1239">
        <v>0</v>
      </c>
      <c r="BE43" s="1239">
        <v>0</v>
      </c>
      <c r="BF43" s="1239">
        <v>485.35</v>
      </c>
      <c r="BG43" s="1239">
        <v>0</v>
      </c>
      <c r="BH43" s="1239">
        <v>0</v>
      </c>
      <c r="BI43" s="1239">
        <v>0</v>
      </c>
      <c r="BJ43" s="1239">
        <v>-558.57000000000005</v>
      </c>
      <c r="BK43" s="1239">
        <v>-558.57000000000005</v>
      </c>
      <c r="BL43" s="1239">
        <v>568.62</v>
      </c>
      <c r="BM43" s="1239">
        <v>568.62</v>
      </c>
      <c r="BN43" s="1239">
        <v>101.85</v>
      </c>
      <c r="BO43" s="1239">
        <v>0</v>
      </c>
      <c r="DW43" s="1238">
        <v>46203</v>
      </c>
      <c r="DX43" s="1328" t="s">
        <v>825</v>
      </c>
      <c r="DY43" t="s">
        <v>449</v>
      </c>
      <c r="DZ43" s="1239">
        <v>1088113182.47</v>
      </c>
      <c r="EA43" s="1241">
        <v>4883</v>
      </c>
      <c r="EB43" s="1239">
        <v>1360298378.2</v>
      </c>
    </row>
    <row r="44" spans="1:132">
      <c r="A44" s="1238">
        <v>45596</v>
      </c>
      <c r="B44" t="s">
        <v>711</v>
      </c>
      <c r="C44" s="1239">
        <v>8182368484.4700003</v>
      </c>
      <c r="D44" s="1239">
        <v>0</v>
      </c>
      <c r="E44" s="1239">
        <v>42217161.75</v>
      </c>
      <c r="F44" s="1239">
        <v>12577297.26</v>
      </c>
      <c r="G44" s="1239">
        <v>0</v>
      </c>
      <c r="H44" s="1239">
        <v>0</v>
      </c>
      <c r="I44" s="1239">
        <v>0</v>
      </c>
      <c r="J44" s="1239">
        <v>0</v>
      </c>
      <c r="K44" s="1239">
        <v>65384.86</v>
      </c>
      <c r="L44" s="1239">
        <v>0</v>
      </c>
      <c r="M44" s="1239">
        <v>1682935.28</v>
      </c>
      <c r="N44" s="1239">
        <v>5026773.66</v>
      </c>
      <c r="O44" s="1239">
        <v>8120798931.6599998</v>
      </c>
      <c r="P44" s="1239">
        <v>0</v>
      </c>
      <c r="Q44" s="1239">
        <v>0</v>
      </c>
      <c r="R44" s="1239">
        <v>0</v>
      </c>
      <c r="S44" s="1239">
        <v>0</v>
      </c>
      <c r="T44" s="1239">
        <v>0</v>
      </c>
      <c r="U44" s="1239">
        <v>0</v>
      </c>
      <c r="V44" s="1239">
        <v>0</v>
      </c>
      <c r="W44" s="1239">
        <v>0</v>
      </c>
      <c r="X44" s="1239">
        <v>0</v>
      </c>
      <c r="Y44" s="1239">
        <v>0</v>
      </c>
      <c r="Z44" s="1239">
        <v>0</v>
      </c>
      <c r="AA44" s="1239">
        <v>0</v>
      </c>
      <c r="AB44" s="1239">
        <v>0</v>
      </c>
      <c r="AC44" s="1239">
        <v>0</v>
      </c>
      <c r="AD44" s="1239">
        <v>0</v>
      </c>
      <c r="AE44" s="1239">
        <v>0</v>
      </c>
      <c r="AF44" s="1239">
        <v>0</v>
      </c>
      <c r="AG44" s="1239">
        <v>0</v>
      </c>
      <c r="AH44" s="1239">
        <v>0</v>
      </c>
      <c r="AI44" s="1239">
        <v>0</v>
      </c>
      <c r="AJ44" s="1239">
        <v>0</v>
      </c>
      <c r="AK44" s="1239">
        <v>0</v>
      </c>
      <c r="AL44" s="1239">
        <v>0</v>
      </c>
      <c r="AM44" s="1239">
        <v>0</v>
      </c>
      <c r="AN44" s="1239">
        <v>0</v>
      </c>
      <c r="AO44" s="1239">
        <v>0</v>
      </c>
      <c r="AP44" s="1239">
        <v>0</v>
      </c>
      <c r="AQ44" s="1239">
        <v>0</v>
      </c>
      <c r="AR44" s="1239">
        <v>0</v>
      </c>
      <c r="AS44" s="1239">
        <v>0</v>
      </c>
      <c r="AT44" s="1239">
        <v>42217161.75</v>
      </c>
      <c r="AU44" s="1239">
        <v>0</v>
      </c>
      <c r="AV44" s="1239">
        <v>12577297.26</v>
      </c>
      <c r="AW44" s="1239">
        <v>54794459.009999998</v>
      </c>
      <c r="AX44" s="1239">
        <v>2544753.75</v>
      </c>
      <c r="AY44" s="1239">
        <v>0</v>
      </c>
      <c r="AZ44" s="1239">
        <v>0</v>
      </c>
      <c r="BA44" s="1239">
        <v>0</v>
      </c>
      <c r="BB44" s="1239">
        <v>0</v>
      </c>
      <c r="BC44" s="1239">
        <v>52923.47</v>
      </c>
      <c r="BD44" s="1239">
        <v>0</v>
      </c>
      <c r="BE44" s="1239">
        <v>0</v>
      </c>
      <c r="BF44" s="1239">
        <v>2597677.2200000002</v>
      </c>
      <c r="BG44" s="1239">
        <v>0</v>
      </c>
      <c r="BH44" s="1239">
        <v>0</v>
      </c>
      <c r="BI44" s="1239">
        <v>0</v>
      </c>
      <c r="BJ44" s="1239">
        <v>57392136.229999997</v>
      </c>
      <c r="BK44" s="1239">
        <v>57392136.229999997</v>
      </c>
      <c r="BL44" s="1239">
        <v>8000386.2400000002</v>
      </c>
      <c r="BM44" s="1239">
        <v>8000386.2400000002</v>
      </c>
      <c r="BN44" s="1239">
        <v>1527.8999999999999</v>
      </c>
      <c r="BO44" s="1239">
        <v>4927.7599999999993</v>
      </c>
      <c r="DW44" s="1238">
        <v>46203</v>
      </c>
      <c r="DX44" s="1328" t="s">
        <v>826</v>
      </c>
      <c r="DY44" t="s">
        <v>450</v>
      </c>
      <c r="DZ44" s="1239">
        <v>760755350.82000005</v>
      </c>
      <c r="EA44" s="1241">
        <v>2793</v>
      </c>
      <c r="EB44" s="1239">
        <v>934488978.62</v>
      </c>
    </row>
    <row r="45" spans="1:132">
      <c r="A45" s="1238">
        <v>45596</v>
      </c>
      <c r="B45" t="s">
        <v>340</v>
      </c>
      <c r="C45" s="1239">
        <v>0</v>
      </c>
      <c r="D45" s="1239">
        <v>0</v>
      </c>
      <c r="E45" s="1239">
        <v>911.81</v>
      </c>
      <c r="F45" s="1239">
        <v>0</v>
      </c>
      <c r="G45" s="1239">
        <v>0</v>
      </c>
      <c r="H45" s="1239">
        <v>0</v>
      </c>
      <c r="I45" s="1239">
        <v>0</v>
      </c>
      <c r="J45" s="1239">
        <v>0</v>
      </c>
      <c r="K45" s="1239">
        <v>65384.86</v>
      </c>
      <c r="L45" s="1239">
        <v>0</v>
      </c>
      <c r="M45" s="1239">
        <v>0</v>
      </c>
      <c r="N45" s="1239">
        <v>0</v>
      </c>
      <c r="O45" s="1239">
        <v>64473.05</v>
      </c>
      <c r="P45" s="1239">
        <v>0</v>
      </c>
      <c r="Q45" s="1239">
        <v>0</v>
      </c>
      <c r="R45" s="1239">
        <v>0</v>
      </c>
      <c r="S45" s="1239">
        <v>0</v>
      </c>
      <c r="T45" s="1239">
        <v>0</v>
      </c>
      <c r="U45" s="1239">
        <v>0</v>
      </c>
      <c r="V45" s="1239">
        <v>0</v>
      </c>
      <c r="W45" s="1239">
        <v>0</v>
      </c>
      <c r="X45" s="1239">
        <v>0</v>
      </c>
      <c r="Y45" s="1239">
        <v>0</v>
      </c>
      <c r="Z45" s="1239">
        <v>0</v>
      </c>
      <c r="AA45" s="1239">
        <v>0</v>
      </c>
      <c r="AB45" s="1239">
        <v>0</v>
      </c>
      <c r="AC45" s="1239">
        <v>0</v>
      </c>
      <c r="AD45" s="1239">
        <v>0</v>
      </c>
      <c r="AE45" s="1239">
        <v>0</v>
      </c>
      <c r="AF45" s="1239">
        <v>0</v>
      </c>
      <c r="AG45" s="1239">
        <v>0</v>
      </c>
      <c r="AH45" s="1239">
        <v>0</v>
      </c>
      <c r="AI45" s="1239">
        <v>0</v>
      </c>
      <c r="AJ45" s="1239">
        <v>0</v>
      </c>
      <c r="AK45" s="1239">
        <v>0</v>
      </c>
      <c r="AL45" s="1239">
        <v>0</v>
      </c>
      <c r="AM45" s="1239">
        <v>0</v>
      </c>
      <c r="AN45" s="1239">
        <v>0</v>
      </c>
      <c r="AO45" s="1239">
        <v>0</v>
      </c>
      <c r="AP45" s="1239">
        <v>0</v>
      </c>
      <c r="AQ45" s="1239">
        <v>0</v>
      </c>
      <c r="AR45" s="1239">
        <v>0</v>
      </c>
      <c r="AS45" s="1239">
        <v>0</v>
      </c>
      <c r="AT45" s="1239">
        <v>911.81</v>
      </c>
      <c r="AU45" s="1239">
        <v>0</v>
      </c>
      <c r="AV45" s="1239">
        <v>0</v>
      </c>
      <c r="AW45" s="1239">
        <v>911.81</v>
      </c>
      <c r="AX45" s="1239">
        <v>31.79</v>
      </c>
      <c r="AY45" s="1239">
        <v>0</v>
      </c>
      <c r="AZ45" s="1239">
        <v>0</v>
      </c>
      <c r="BA45" s="1239">
        <v>0</v>
      </c>
      <c r="BB45" s="1239">
        <v>0</v>
      </c>
      <c r="BC45" s="1239">
        <v>0</v>
      </c>
      <c r="BD45" s="1239">
        <v>0</v>
      </c>
      <c r="BE45" s="1239">
        <v>0</v>
      </c>
      <c r="BF45" s="1239">
        <v>0</v>
      </c>
      <c r="BG45" s="1239">
        <v>0</v>
      </c>
      <c r="BH45" s="1239">
        <v>0</v>
      </c>
      <c r="BI45" s="1239">
        <v>0</v>
      </c>
      <c r="BJ45" s="1239">
        <v>943.6</v>
      </c>
      <c r="BK45" s="1239">
        <v>943.6</v>
      </c>
      <c r="BL45" s="1239">
        <v>0</v>
      </c>
      <c r="BM45" s="1239">
        <v>0</v>
      </c>
      <c r="BN45" s="1239">
        <v>0</v>
      </c>
      <c r="BO45" s="1239">
        <v>0</v>
      </c>
      <c r="DW45" s="1238">
        <v>46203</v>
      </c>
      <c r="DX45" s="1328" t="s">
        <v>827</v>
      </c>
      <c r="DY45" t="s">
        <v>451</v>
      </c>
      <c r="DZ45" s="1239">
        <v>499398486.92000002</v>
      </c>
      <c r="EA45" s="1241">
        <v>1547</v>
      </c>
      <c r="EB45" s="1239">
        <v>614318187.95000005</v>
      </c>
    </row>
    <row r="46" spans="1:132">
      <c r="A46" s="1238">
        <v>45565</v>
      </c>
      <c r="B46" t="s">
        <v>711</v>
      </c>
      <c r="C46" s="1239">
        <v>0</v>
      </c>
      <c r="D46" s="1239">
        <v>8182368484.4700003</v>
      </c>
      <c r="E46" s="1239">
        <v>0</v>
      </c>
      <c r="F46" s="1239">
        <v>0</v>
      </c>
      <c r="G46" s="1239">
        <v>0</v>
      </c>
      <c r="H46" s="1239">
        <v>0</v>
      </c>
      <c r="I46" s="1239">
        <v>0</v>
      </c>
      <c r="J46" s="1239">
        <v>0</v>
      </c>
      <c r="K46" s="1239">
        <v>0</v>
      </c>
      <c r="L46" s="1239">
        <v>0</v>
      </c>
      <c r="M46" s="1239">
        <v>0</v>
      </c>
      <c r="N46" s="1239">
        <v>0</v>
      </c>
      <c r="O46" s="1239">
        <v>8182368484.4700003</v>
      </c>
      <c r="P46" s="1239">
        <v>0</v>
      </c>
      <c r="Q46" s="1239">
        <v>0</v>
      </c>
      <c r="R46" s="1239">
        <v>0</v>
      </c>
      <c r="S46" s="1239">
        <v>0</v>
      </c>
      <c r="T46" s="1239">
        <v>0</v>
      </c>
      <c r="U46" s="1239">
        <v>0</v>
      </c>
      <c r="V46" s="1239">
        <v>0</v>
      </c>
      <c r="W46" s="1239">
        <v>0</v>
      </c>
      <c r="X46" s="1239">
        <v>0</v>
      </c>
      <c r="Y46" s="1239">
        <v>0</v>
      </c>
      <c r="Z46" s="1239">
        <v>0</v>
      </c>
      <c r="AA46" s="1239">
        <v>0</v>
      </c>
      <c r="AB46" s="1239">
        <v>0</v>
      </c>
      <c r="AC46" s="1239">
        <v>0</v>
      </c>
      <c r="AD46" s="1239">
        <v>0</v>
      </c>
      <c r="AE46" s="1239">
        <v>0</v>
      </c>
      <c r="AF46" s="1239">
        <v>0</v>
      </c>
      <c r="AG46" s="1239">
        <v>0</v>
      </c>
      <c r="AH46" s="1239">
        <v>0</v>
      </c>
      <c r="AI46" s="1239">
        <v>0</v>
      </c>
      <c r="AJ46" s="1239">
        <v>0</v>
      </c>
      <c r="AK46" s="1239">
        <v>0</v>
      </c>
      <c r="AL46" s="1239">
        <v>0</v>
      </c>
      <c r="AM46" s="1239">
        <v>0</v>
      </c>
      <c r="AN46" s="1239">
        <v>0</v>
      </c>
      <c r="AO46" s="1239">
        <v>0</v>
      </c>
      <c r="AP46" s="1239">
        <v>0</v>
      </c>
      <c r="AQ46" s="1239">
        <v>0</v>
      </c>
      <c r="AR46" s="1239">
        <v>0</v>
      </c>
      <c r="AS46" s="1239">
        <v>0</v>
      </c>
      <c r="AT46" s="1239">
        <v>0</v>
      </c>
      <c r="AU46" s="1239">
        <v>0</v>
      </c>
      <c r="AV46" s="1239">
        <v>0</v>
      </c>
      <c r="AW46" s="1239">
        <v>0</v>
      </c>
      <c r="AX46" s="1239">
        <v>0</v>
      </c>
      <c r="AY46" s="1239">
        <v>0</v>
      </c>
      <c r="AZ46" s="1239">
        <v>0</v>
      </c>
      <c r="BA46" s="1239">
        <v>0</v>
      </c>
      <c r="BB46" s="1239">
        <v>0</v>
      </c>
      <c r="BC46" s="1239">
        <v>0</v>
      </c>
      <c r="BD46" s="1239">
        <v>0</v>
      </c>
      <c r="BE46" s="1239">
        <v>0</v>
      </c>
      <c r="BF46" s="1239">
        <v>0</v>
      </c>
      <c r="BG46" s="1239">
        <v>0</v>
      </c>
      <c r="BH46" s="1239">
        <v>0</v>
      </c>
      <c r="BI46" s="1239">
        <v>0</v>
      </c>
      <c r="BJ46" s="1239">
        <v>0</v>
      </c>
      <c r="BK46" s="1239">
        <v>0</v>
      </c>
      <c r="BL46" s="1239">
        <v>8022567.3799999999</v>
      </c>
      <c r="BM46" s="1239">
        <v>8022567.3799999999</v>
      </c>
      <c r="BN46" s="1239">
        <v>0</v>
      </c>
      <c r="BO46" s="1239">
        <v>0</v>
      </c>
      <c r="DW46" s="1238">
        <v>46203</v>
      </c>
      <c r="DX46" s="1328" t="s">
        <v>828</v>
      </c>
      <c r="DY46" t="s">
        <v>452</v>
      </c>
      <c r="DZ46" s="1239">
        <v>332991900.62</v>
      </c>
      <c r="EA46" s="1241">
        <v>894</v>
      </c>
      <c r="EB46" s="1239">
        <v>408673007.47000003</v>
      </c>
    </row>
    <row r="47" spans="1:132">
      <c r="A47" s="1238">
        <v>45565</v>
      </c>
      <c r="B47" t="s">
        <v>340</v>
      </c>
      <c r="C47" s="1239">
        <v>0</v>
      </c>
      <c r="D47" s="1239">
        <v>0</v>
      </c>
      <c r="E47" s="1239">
        <v>0</v>
      </c>
      <c r="F47" s="1239">
        <v>0</v>
      </c>
      <c r="G47" s="1239">
        <v>0</v>
      </c>
      <c r="H47" s="1239">
        <v>0</v>
      </c>
      <c r="I47" s="1239">
        <v>0</v>
      </c>
      <c r="J47" s="1239">
        <v>0</v>
      </c>
      <c r="K47" s="1239">
        <v>0</v>
      </c>
      <c r="L47" s="1239">
        <v>0</v>
      </c>
      <c r="M47" s="1239">
        <v>0</v>
      </c>
      <c r="N47" s="1239">
        <v>0</v>
      </c>
      <c r="O47" s="1239">
        <v>0</v>
      </c>
      <c r="P47" s="1239">
        <v>0</v>
      </c>
      <c r="Q47" s="1239">
        <v>0</v>
      </c>
      <c r="R47" s="1239">
        <v>0</v>
      </c>
      <c r="S47" s="1239">
        <v>0</v>
      </c>
      <c r="T47" s="1239">
        <v>0</v>
      </c>
      <c r="U47" s="1239">
        <v>0</v>
      </c>
      <c r="V47" s="1239">
        <v>0</v>
      </c>
      <c r="W47" s="1239">
        <v>0</v>
      </c>
      <c r="X47" s="1239">
        <v>0</v>
      </c>
      <c r="Y47" s="1239">
        <v>0</v>
      </c>
      <c r="Z47" s="1239">
        <v>0</v>
      </c>
      <c r="AA47" s="1239">
        <v>0</v>
      </c>
      <c r="AB47" s="1239">
        <v>0</v>
      </c>
      <c r="AC47" s="1239">
        <v>0</v>
      </c>
      <c r="AD47" s="1239">
        <v>0</v>
      </c>
      <c r="AE47" s="1239">
        <v>0</v>
      </c>
      <c r="AF47" s="1239">
        <v>0</v>
      </c>
      <c r="AG47" s="1239">
        <v>0</v>
      </c>
      <c r="AH47" s="1239">
        <v>0</v>
      </c>
      <c r="AI47" s="1239">
        <v>0</v>
      </c>
      <c r="AJ47" s="1239">
        <v>0</v>
      </c>
      <c r="AK47" s="1239">
        <v>0</v>
      </c>
      <c r="AL47" s="1239">
        <v>0</v>
      </c>
      <c r="AM47" s="1239">
        <v>0</v>
      </c>
      <c r="AN47" s="1239">
        <v>0</v>
      </c>
      <c r="AO47" s="1239">
        <v>0</v>
      </c>
      <c r="AP47" s="1239">
        <v>0</v>
      </c>
      <c r="AQ47" s="1239">
        <v>0</v>
      </c>
      <c r="AR47" s="1239">
        <v>0</v>
      </c>
      <c r="AS47" s="1239">
        <v>0</v>
      </c>
      <c r="AT47" s="1239">
        <v>0</v>
      </c>
      <c r="AU47" s="1239">
        <v>0</v>
      </c>
      <c r="AV47" s="1239">
        <v>0</v>
      </c>
      <c r="AW47" s="1239">
        <v>0</v>
      </c>
      <c r="AX47" s="1239">
        <v>0</v>
      </c>
      <c r="AY47" s="1239">
        <v>0</v>
      </c>
      <c r="AZ47" s="1239">
        <v>0</v>
      </c>
      <c r="BA47" s="1239">
        <v>0</v>
      </c>
      <c r="BB47" s="1239">
        <v>0</v>
      </c>
      <c r="BC47" s="1239">
        <v>0</v>
      </c>
      <c r="BD47" s="1239">
        <v>0</v>
      </c>
      <c r="BE47" s="1239">
        <v>0</v>
      </c>
      <c r="BF47" s="1239">
        <v>0</v>
      </c>
      <c r="BG47" s="1239">
        <v>0</v>
      </c>
      <c r="BH47" s="1239">
        <v>0</v>
      </c>
      <c r="BI47" s="1239">
        <v>0</v>
      </c>
      <c r="BJ47" s="1239">
        <v>0</v>
      </c>
      <c r="BK47" s="1239">
        <v>0</v>
      </c>
      <c r="BL47" s="1239">
        <v>0</v>
      </c>
      <c r="BM47" s="1239">
        <v>0</v>
      </c>
      <c r="BN47" s="1239">
        <v>0</v>
      </c>
      <c r="BO47" s="1239">
        <v>0</v>
      </c>
      <c r="DW47" s="1238">
        <v>46203</v>
      </c>
      <c r="DX47" s="1328" t="s">
        <v>829</v>
      </c>
      <c r="DY47" t="s">
        <v>453</v>
      </c>
      <c r="DZ47" s="1239">
        <v>252000073.91</v>
      </c>
      <c r="EA47" s="1241">
        <v>593</v>
      </c>
      <c r="EB47" s="1239">
        <v>313610586.25</v>
      </c>
    </row>
    <row r="48" spans="1:132">
      <c r="DW48" s="1238">
        <v>46203</v>
      </c>
      <c r="DX48" s="1328" t="s">
        <v>830</v>
      </c>
      <c r="DY48" t="s">
        <v>454</v>
      </c>
      <c r="DZ48" s="1239">
        <v>389650490.12</v>
      </c>
      <c r="EA48" s="1241">
        <v>819</v>
      </c>
      <c r="EB48" s="1239">
        <v>481597397.38</v>
      </c>
    </row>
    <row r="49" spans="127:132">
      <c r="DW49" s="1238">
        <v>46203</v>
      </c>
      <c r="DX49" s="1328" t="s">
        <v>831</v>
      </c>
      <c r="DY49" t="s">
        <v>455</v>
      </c>
      <c r="DZ49" s="1239">
        <v>345122112.80000001</v>
      </c>
      <c r="EA49" s="1241">
        <v>660</v>
      </c>
      <c r="EB49" s="1239">
        <v>415432157.99000001</v>
      </c>
    </row>
    <row r="50" spans="127:132">
      <c r="DW50" s="1238">
        <v>46203</v>
      </c>
      <c r="DX50" s="1328" t="s">
        <v>832</v>
      </c>
      <c r="DY50" t="s">
        <v>456</v>
      </c>
      <c r="DZ50" s="1239">
        <v>291238788.24000001</v>
      </c>
      <c r="EA50" s="1241">
        <v>507</v>
      </c>
      <c r="EB50" s="1239">
        <v>348881245.51999998</v>
      </c>
    </row>
    <row r="51" spans="127:132">
      <c r="DW51" s="1238">
        <v>46203</v>
      </c>
      <c r="DX51" s="1328" t="s">
        <v>833</v>
      </c>
      <c r="DY51" t="s">
        <v>457</v>
      </c>
      <c r="DZ51" s="1239">
        <v>241332939.28</v>
      </c>
      <c r="EA51" s="1241">
        <v>387</v>
      </c>
      <c r="EB51" s="1239">
        <v>289478600.92000002</v>
      </c>
    </row>
    <row r="52" spans="127:132">
      <c r="DW52" s="1238">
        <v>46203</v>
      </c>
      <c r="DX52" s="1328" t="s">
        <v>834</v>
      </c>
      <c r="DY52" t="s">
        <v>458</v>
      </c>
      <c r="DZ52" s="1239">
        <v>162843690.18000001</v>
      </c>
      <c r="EA52" s="1241">
        <v>242</v>
      </c>
      <c r="EB52" s="1239">
        <v>191596016.03</v>
      </c>
    </row>
    <row r="53" spans="127:132">
      <c r="DW53" s="1238">
        <v>46203</v>
      </c>
      <c r="DX53" s="1328" t="s">
        <v>835</v>
      </c>
      <c r="DY53" t="s">
        <v>459</v>
      </c>
      <c r="DZ53" s="1239">
        <v>122422182.97</v>
      </c>
      <c r="EA53" s="1241">
        <v>169</v>
      </c>
      <c r="EB53" s="1239">
        <v>141850834.58000001</v>
      </c>
    </row>
    <row r="54" spans="127:132">
      <c r="DW54" s="1238">
        <v>46203</v>
      </c>
      <c r="DX54" s="1328" t="s">
        <v>836</v>
      </c>
      <c r="DY54" t="s">
        <v>460</v>
      </c>
      <c r="DZ54" s="1239">
        <v>114353475.73</v>
      </c>
      <c r="EA54" s="1241">
        <v>148</v>
      </c>
      <c r="EB54" s="1239">
        <v>134747697.86000001</v>
      </c>
    </row>
    <row r="55" spans="127:132">
      <c r="DW55" s="1238">
        <v>46203</v>
      </c>
      <c r="DX55" s="1328" t="s">
        <v>837</v>
      </c>
      <c r="DY55" t="s">
        <v>461</v>
      </c>
      <c r="DZ55" s="1239">
        <v>94030232.950000003</v>
      </c>
      <c r="EA55" s="1241">
        <v>114</v>
      </c>
      <c r="EB55" s="1239">
        <v>116279880.28</v>
      </c>
    </row>
    <row r="56" spans="127:132">
      <c r="DW56" s="1238">
        <v>46203</v>
      </c>
      <c r="DX56" s="1328" t="s">
        <v>838</v>
      </c>
      <c r="DY56" t="s">
        <v>462</v>
      </c>
      <c r="DZ56" s="1239">
        <v>83000301.079999998</v>
      </c>
      <c r="EA56" s="1241">
        <v>95</v>
      </c>
      <c r="EB56" s="1239">
        <v>99188930.450000003</v>
      </c>
    </row>
    <row r="57" spans="127:132">
      <c r="DW57" s="1238">
        <v>46203</v>
      </c>
      <c r="DX57" s="1328" t="s">
        <v>839</v>
      </c>
      <c r="DY57" t="s">
        <v>463</v>
      </c>
      <c r="DZ57" s="1239">
        <v>69708017.319999993</v>
      </c>
      <c r="EA57" s="1241">
        <v>75</v>
      </c>
      <c r="EB57" s="1239">
        <v>86167669.129999995</v>
      </c>
    </row>
    <row r="58" spans="127:132">
      <c r="DW58" s="1238">
        <v>46203</v>
      </c>
      <c r="DX58" s="1328" t="s">
        <v>840</v>
      </c>
      <c r="DY58" t="s">
        <v>464</v>
      </c>
      <c r="DZ58" s="1239">
        <v>58369916.899999999</v>
      </c>
      <c r="EA58" s="1241">
        <v>60</v>
      </c>
      <c r="EB58" s="1239">
        <v>68637304.200000003</v>
      </c>
    </row>
    <row r="59" spans="127:132">
      <c r="DW59" s="1238">
        <v>46203</v>
      </c>
      <c r="DX59" s="1328" t="s">
        <v>841</v>
      </c>
      <c r="DY59" t="s">
        <v>465</v>
      </c>
      <c r="DZ59" s="1239">
        <v>44039880.810000002</v>
      </c>
      <c r="EA59" s="1241">
        <v>43</v>
      </c>
      <c r="EB59" s="1239">
        <v>51979851.07</v>
      </c>
    </row>
    <row r="60" spans="127:132">
      <c r="DW60" s="1238">
        <v>46203</v>
      </c>
      <c r="DX60" s="1328" t="s">
        <v>842</v>
      </c>
      <c r="DY60" t="s">
        <v>466</v>
      </c>
      <c r="DZ60" s="1239">
        <v>40888199.630000003</v>
      </c>
      <c r="EA60" s="1241">
        <v>38</v>
      </c>
      <c r="EB60" s="1239">
        <v>48827393.93</v>
      </c>
    </row>
    <row r="61" spans="127:132">
      <c r="DW61" s="1238">
        <v>46203</v>
      </c>
      <c r="DX61" s="1328" t="s">
        <v>843</v>
      </c>
      <c r="DY61" t="s">
        <v>467</v>
      </c>
      <c r="DZ61" s="1239">
        <v>34875513.649999999</v>
      </c>
      <c r="EA61" s="1241">
        <v>31</v>
      </c>
      <c r="EB61" s="1239">
        <v>40777409.07</v>
      </c>
    </row>
    <row r="62" spans="127:132">
      <c r="DW62" s="1238">
        <v>46203</v>
      </c>
      <c r="DX62" s="1328" t="s">
        <v>844</v>
      </c>
      <c r="DY62" t="s">
        <v>468</v>
      </c>
      <c r="DZ62" s="1239">
        <v>30492851.16</v>
      </c>
      <c r="EA62" s="1241">
        <v>26</v>
      </c>
      <c r="EB62" s="1239">
        <v>36151724.840000004</v>
      </c>
    </row>
    <row r="63" spans="127:132">
      <c r="DW63" s="1238">
        <v>46203</v>
      </c>
      <c r="DX63" s="1328" t="s">
        <v>845</v>
      </c>
      <c r="DY63" t="s">
        <v>469</v>
      </c>
      <c r="DZ63" s="1239">
        <v>36722956.729999997</v>
      </c>
      <c r="EA63" s="1241">
        <v>30</v>
      </c>
      <c r="EB63" s="1239">
        <v>45994347</v>
      </c>
    </row>
    <row r="64" spans="127:132">
      <c r="DW64" s="1238">
        <v>46203</v>
      </c>
      <c r="DX64" s="1328" t="s">
        <v>846</v>
      </c>
      <c r="DY64" t="s">
        <v>470</v>
      </c>
      <c r="DZ64" s="1239">
        <v>41984400.119999997</v>
      </c>
      <c r="EA64" s="1241">
        <v>33</v>
      </c>
      <c r="EB64" s="1239">
        <v>51016029.600000001</v>
      </c>
    </row>
    <row r="65" spans="127:132">
      <c r="DW65" s="1238">
        <v>46203</v>
      </c>
      <c r="DX65" s="1328" t="s">
        <v>847</v>
      </c>
      <c r="DY65" t="s">
        <v>471</v>
      </c>
      <c r="DZ65" s="1239">
        <v>27895469.940000001</v>
      </c>
      <c r="EA65" s="1241">
        <v>21</v>
      </c>
      <c r="EB65" s="1239">
        <v>34242162.780000001</v>
      </c>
    </row>
    <row r="66" spans="127:132">
      <c r="DW66" s="1238">
        <v>46203</v>
      </c>
      <c r="DX66" s="1328" t="s">
        <v>848</v>
      </c>
      <c r="DY66" t="s">
        <v>472</v>
      </c>
      <c r="DZ66" s="1239">
        <v>27435420.219999999</v>
      </c>
      <c r="EA66" s="1241">
        <v>20</v>
      </c>
      <c r="EB66" s="1239">
        <v>33103641.969999999</v>
      </c>
    </row>
    <row r="67" spans="127:132">
      <c r="DW67" s="1238">
        <v>46203</v>
      </c>
      <c r="DX67" s="1328" t="s">
        <v>849</v>
      </c>
      <c r="DY67" t="s">
        <v>473</v>
      </c>
      <c r="DZ67" s="1239">
        <v>31378609.140000001</v>
      </c>
      <c r="EA67" s="1241">
        <v>22</v>
      </c>
      <c r="EB67" s="1239">
        <v>38711472.119999997</v>
      </c>
    </row>
    <row r="68" spans="127:132">
      <c r="DW68" s="1238">
        <v>46203</v>
      </c>
      <c r="DX68" s="1328" t="s">
        <v>850</v>
      </c>
      <c r="DY68" t="s">
        <v>474</v>
      </c>
      <c r="DZ68" s="1239">
        <v>23569916.379999999</v>
      </c>
      <c r="EA68" s="1241">
        <v>16</v>
      </c>
      <c r="EB68" s="1239">
        <v>29734260.260000002</v>
      </c>
    </row>
    <row r="69" spans="127:132">
      <c r="DW69" s="1238">
        <v>46203</v>
      </c>
      <c r="DX69" s="1328" t="s">
        <v>851</v>
      </c>
      <c r="DY69" t="s">
        <v>475</v>
      </c>
      <c r="DZ69" s="1239">
        <v>135484962.27000001</v>
      </c>
      <c r="EA69" s="1241">
        <v>79</v>
      </c>
      <c r="EB69" s="1239">
        <v>166973391.36000001</v>
      </c>
    </row>
    <row r="70" spans="127:132">
      <c r="DW70" s="1238">
        <v>46203</v>
      </c>
      <c r="DX70" s="1328" t="s">
        <v>2088</v>
      </c>
      <c r="DY70" t="s">
        <v>2084</v>
      </c>
      <c r="DZ70" s="1239">
        <v>133.44999999999999</v>
      </c>
      <c r="EA70" s="1241">
        <v>0</v>
      </c>
      <c r="EB70" s="1239">
        <v>0</v>
      </c>
    </row>
    <row r="71" spans="127:132">
      <c r="DW71" s="1238">
        <v>46203</v>
      </c>
      <c r="DX71" s="1328" t="s">
        <v>2089</v>
      </c>
      <c r="DY71" t="s">
        <v>2086</v>
      </c>
      <c r="DZ71" s="1239">
        <v>146678.39999999999</v>
      </c>
      <c r="EA71" s="1241">
        <v>0</v>
      </c>
      <c r="EB71" s="1239">
        <v>0</v>
      </c>
    </row>
    <row r="72" spans="127:132">
      <c r="DW72" s="1238">
        <v>46203</v>
      </c>
      <c r="DX72" s="1328" t="s">
        <v>2090</v>
      </c>
      <c r="DY72" t="s">
        <v>432</v>
      </c>
      <c r="DZ72" s="1239">
        <v>2349919.2200000002</v>
      </c>
      <c r="EA72" s="1241">
        <v>0</v>
      </c>
      <c r="EB72" s="1239">
        <v>0</v>
      </c>
    </row>
    <row r="73" spans="127:132">
      <c r="DW73" s="1238">
        <v>46203</v>
      </c>
      <c r="DX73" s="1328" t="s">
        <v>852</v>
      </c>
      <c r="DY73" t="s">
        <v>480</v>
      </c>
      <c r="DZ73" s="1239">
        <v>1292391.3799999999</v>
      </c>
      <c r="EA73" s="1241">
        <v>25</v>
      </c>
      <c r="EB73" s="1239">
        <v>1999462.25</v>
      </c>
    </row>
    <row r="74" spans="127:132">
      <c r="DW74" s="1238">
        <v>46203</v>
      </c>
      <c r="DX74" s="1328" t="s">
        <v>853</v>
      </c>
      <c r="DY74" t="s">
        <v>481</v>
      </c>
      <c r="DZ74" s="1239">
        <v>11259777.279999999</v>
      </c>
      <c r="EA74" s="1241">
        <v>217</v>
      </c>
      <c r="EB74" s="1239">
        <v>20840150.649999999</v>
      </c>
    </row>
    <row r="75" spans="127:132">
      <c r="DW75" s="1238">
        <v>46203</v>
      </c>
      <c r="DX75" s="1328" t="s">
        <v>854</v>
      </c>
      <c r="DY75" t="s">
        <v>482</v>
      </c>
      <c r="DZ75" s="1239">
        <v>44500478.100000001</v>
      </c>
      <c r="EA75" s="1241">
        <v>598</v>
      </c>
      <c r="EB75" s="1239">
        <v>72106461.840000004</v>
      </c>
    </row>
    <row r="76" spans="127:132">
      <c r="DW76" s="1238">
        <v>46203</v>
      </c>
      <c r="DX76" s="1328" t="s">
        <v>855</v>
      </c>
      <c r="DY76" t="s">
        <v>483</v>
      </c>
      <c r="DZ76" s="1239">
        <v>117253234.12</v>
      </c>
      <c r="EA76" s="1241">
        <v>1188</v>
      </c>
      <c r="EB76" s="1239">
        <v>178140959.08000001</v>
      </c>
    </row>
    <row r="77" spans="127:132">
      <c r="DW77" s="1238">
        <v>46203</v>
      </c>
      <c r="DX77" s="1328" t="s">
        <v>856</v>
      </c>
      <c r="DY77" t="s">
        <v>484</v>
      </c>
      <c r="DZ77" s="1239">
        <v>186077212.80000001</v>
      </c>
      <c r="EA77" s="1241">
        <v>1708</v>
      </c>
      <c r="EB77" s="1239">
        <v>284713792.55000001</v>
      </c>
    </row>
    <row r="78" spans="127:132">
      <c r="DW78" s="1238">
        <v>46203</v>
      </c>
      <c r="DX78" s="1328" t="s">
        <v>857</v>
      </c>
      <c r="DY78" t="s">
        <v>485</v>
      </c>
      <c r="DZ78" s="1239">
        <v>341791022.58999997</v>
      </c>
      <c r="EA78" s="1241">
        <v>2758</v>
      </c>
      <c r="EB78" s="1239">
        <v>502814649.26999998</v>
      </c>
    </row>
    <row r="79" spans="127:132">
      <c r="DW79" s="1238">
        <v>46203</v>
      </c>
      <c r="DX79" s="1328" t="s">
        <v>858</v>
      </c>
      <c r="DY79" t="s">
        <v>486</v>
      </c>
      <c r="DZ79" s="1239">
        <v>526534101.75999999</v>
      </c>
      <c r="EA79" s="1241">
        <v>3735</v>
      </c>
      <c r="EB79" s="1239">
        <v>752754570.15999997</v>
      </c>
    </row>
    <row r="80" spans="127:132">
      <c r="DW80" s="1238">
        <v>46203</v>
      </c>
      <c r="DX80" s="1328" t="s">
        <v>859</v>
      </c>
      <c r="DY80" t="s">
        <v>487</v>
      </c>
      <c r="DZ80" s="1239">
        <v>794943177.58000004</v>
      </c>
      <c r="EA80" s="1241">
        <v>5042</v>
      </c>
      <c r="EB80" s="1239">
        <v>1101747888.9400001</v>
      </c>
    </row>
    <row r="81" spans="127:132">
      <c r="DW81" s="1238">
        <v>46203</v>
      </c>
      <c r="DX81" s="1328" t="s">
        <v>860</v>
      </c>
      <c r="DY81" t="s">
        <v>488</v>
      </c>
      <c r="DZ81" s="1239">
        <v>1271239108.6099999</v>
      </c>
      <c r="EA81" s="1241">
        <v>7566</v>
      </c>
      <c r="EB81" s="1239">
        <v>1746300469.1800001</v>
      </c>
    </row>
    <row r="82" spans="127:132">
      <c r="DW82" s="1238">
        <v>46203</v>
      </c>
      <c r="DX82" s="1328" t="s">
        <v>861</v>
      </c>
      <c r="DY82" t="s">
        <v>489</v>
      </c>
      <c r="DZ82" s="1239">
        <v>2428943169.2399998</v>
      </c>
      <c r="EA82" s="1241">
        <v>13757</v>
      </c>
      <c r="EB82" s="1239">
        <v>3176224289.02</v>
      </c>
    </row>
    <row r="83" spans="127:132">
      <c r="DW83" s="1238">
        <v>46203</v>
      </c>
      <c r="DX83" s="1328" t="s">
        <v>862</v>
      </c>
      <c r="DY83" t="s">
        <v>490</v>
      </c>
      <c r="DZ83" s="1239">
        <v>4178129707.9400001</v>
      </c>
      <c r="EA83" s="1241">
        <v>29066</v>
      </c>
      <c r="EB83" s="1239">
        <v>5779623772.71</v>
      </c>
    </row>
    <row r="84" spans="127:132">
      <c r="DW84" s="1238">
        <v>46203</v>
      </c>
      <c r="DX84" s="1328" t="s">
        <v>863</v>
      </c>
      <c r="DY84" t="s">
        <v>1198</v>
      </c>
      <c r="DZ84" s="1239">
        <v>829446346.40999997</v>
      </c>
      <c r="EA84" s="1241">
        <v>7508</v>
      </c>
      <c r="EB84" s="1239">
        <v>1228182063.9400001</v>
      </c>
    </row>
    <row r="85" spans="127:132">
      <c r="DW85" s="1238">
        <v>46203</v>
      </c>
      <c r="DX85" s="1328" t="s">
        <v>2091</v>
      </c>
      <c r="DY85" t="s">
        <v>2084</v>
      </c>
      <c r="DZ85" s="1239">
        <v>3.2</v>
      </c>
      <c r="EA85" s="1241">
        <v>0</v>
      </c>
      <c r="EB85" s="1239">
        <v>0</v>
      </c>
    </row>
    <row r="86" spans="127:132">
      <c r="DW86" s="1238">
        <v>46203</v>
      </c>
      <c r="DX86" s="1328" t="s">
        <v>2092</v>
      </c>
      <c r="DY86" t="s">
        <v>2086</v>
      </c>
      <c r="DZ86" s="1239">
        <v>92.44</v>
      </c>
      <c r="EA86" s="1241">
        <v>0</v>
      </c>
      <c r="EB86" s="1239">
        <v>0</v>
      </c>
    </row>
    <row r="87" spans="127:132">
      <c r="DW87" s="1238">
        <v>46203</v>
      </c>
      <c r="DX87" s="1328" t="s">
        <v>2093</v>
      </c>
      <c r="DY87" t="s">
        <v>432</v>
      </c>
      <c r="DZ87" s="1239">
        <v>120</v>
      </c>
      <c r="EA87" s="1241">
        <v>0</v>
      </c>
      <c r="EB87" s="1239">
        <v>0</v>
      </c>
    </row>
    <row r="88" spans="127:132">
      <c r="DW88" s="1238">
        <v>46203</v>
      </c>
      <c r="DX88" s="1328" t="s">
        <v>864</v>
      </c>
      <c r="DY88" t="s">
        <v>480</v>
      </c>
      <c r="DZ88" s="1239">
        <v>45994452.590000004</v>
      </c>
      <c r="EA88" s="1241">
        <v>2234</v>
      </c>
      <c r="EB88" s="1239">
        <v>310102003.31999999</v>
      </c>
    </row>
    <row r="89" spans="127:132">
      <c r="DW89" s="1238">
        <v>46203</v>
      </c>
      <c r="DX89" s="1328" t="s">
        <v>865</v>
      </c>
      <c r="DY89" t="s">
        <v>481</v>
      </c>
      <c r="DZ89" s="1239">
        <v>170547784.44999999</v>
      </c>
      <c r="EA89" s="1241">
        <v>3523</v>
      </c>
      <c r="EB89" s="1239">
        <v>521498000.83999997</v>
      </c>
    </row>
    <row r="90" spans="127:132">
      <c r="DW90" s="1238">
        <v>46203</v>
      </c>
      <c r="DX90" s="1328" t="s">
        <v>866</v>
      </c>
      <c r="DY90" t="s">
        <v>482</v>
      </c>
      <c r="DZ90" s="1239">
        <v>371027522.02999997</v>
      </c>
      <c r="EA90" s="1241">
        <v>4924</v>
      </c>
      <c r="EB90" s="1239">
        <v>811061124.58000004</v>
      </c>
    </row>
    <row r="91" spans="127:132">
      <c r="DW91" s="1238">
        <v>46203</v>
      </c>
      <c r="DX91" s="1328" t="s">
        <v>867</v>
      </c>
      <c r="DY91" t="s">
        <v>483</v>
      </c>
      <c r="DZ91" s="1239">
        <v>650530921.10000002</v>
      </c>
      <c r="EA91" s="1241">
        <v>6174</v>
      </c>
      <c r="EB91" s="1239">
        <v>1154284302.8199999</v>
      </c>
    </row>
    <row r="92" spans="127:132">
      <c r="DW92" s="1238">
        <v>46203</v>
      </c>
      <c r="DX92" s="1328" t="s">
        <v>868</v>
      </c>
      <c r="DY92" t="s">
        <v>484</v>
      </c>
      <c r="DZ92" s="1239">
        <v>980465347.39999998</v>
      </c>
      <c r="EA92" s="1241">
        <v>7498</v>
      </c>
      <c r="EB92" s="1239">
        <v>1532656535.9400001</v>
      </c>
    </row>
    <row r="93" spans="127:132">
      <c r="DW93" s="1238">
        <v>46203</v>
      </c>
      <c r="DX93" s="1328" t="s">
        <v>869</v>
      </c>
      <c r="DY93" t="s">
        <v>485</v>
      </c>
      <c r="DZ93" s="1239">
        <v>1270190481.51</v>
      </c>
      <c r="EA93" s="1241">
        <v>8561</v>
      </c>
      <c r="EB93" s="1239">
        <v>1810540311.23</v>
      </c>
    </row>
    <row r="94" spans="127:132">
      <c r="DW94" s="1238">
        <v>46203</v>
      </c>
      <c r="DX94" s="1328" t="s">
        <v>870</v>
      </c>
      <c r="DY94" t="s">
        <v>486</v>
      </c>
      <c r="DZ94" s="1239">
        <v>1533783413.99</v>
      </c>
      <c r="EA94" s="1241">
        <v>9222</v>
      </c>
      <c r="EB94" s="1239">
        <v>2053887284.23</v>
      </c>
    </row>
    <row r="95" spans="127:132">
      <c r="DW95" s="1238">
        <v>46203</v>
      </c>
      <c r="DX95" s="1328" t="s">
        <v>871</v>
      </c>
      <c r="DY95" t="s">
        <v>487</v>
      </c>
      <c r="DZ95" s="1239">
        <v>1799692133.0799999</v>
      </c>
      <c r="EA95" s="1241">
        <v>10215</v>
      </c>
      <c r="EB95" s="1239">
        <v>2261070601.3099999</v>
      </c>
    </row>
    <row r="96" spans="127:132">
      <c r="DW96" s="1238">
        <v>46203</v>
      </c>
      <c r="DX96" s="1328" t="s">
        <v>872</v>
      </c>
      <c r="DY96" t="s">
        <v>488</v>
      </c>
      <c r="DZ96" s="1239">
        <v>1939596798.28</v>
      </c>
      <c r="EA96" s="1241">
        <v>10341</v>
      </c>
      <c r="EB96" s="1239">
        <v>2270562154.23</v>
      </c>
    </row>
    <row r="97" spans="127:132">
      <c r="DW97" s="1238">
        <v>46203</v>
      </c>
      <c r="DX97" s="1328" t="s">
        <v>873</v>
      </c>
      <c r="DY97" t="s">
        <v>489</v>
      </c>
      <c r="DZ97" s="1239">
        <v>1615213383.6900001</v>
      </c>
      <c r="EA97" s="1241">
        <v>8453</v>
      </c>
      <c r="EB97" s="1239">
        <v>1749209924.98</v>
      </c>
    </row>
    <row r="98" spans="127:132">
      <c r="DW98" s="1238">
        <v>46203</v>
      </c>
      <c r="DX98" s="1328" t="s">
        <v>874</v>
      </c>
      <c r="DY98" t="s">
        <v>490</v>
      </c>
      <c r="DZ98" s="1239">
        <v>354367489.69</v>
      </c>
      <c r="EA98" s="1241">
        <v>2023</v>
      </c>
      <c r="EB98" s="1239">
        <v>370576286.11000001</v>
      </c>
    </row>
    <row r="99" spans="127:132">
      <c r="DW99" s="1238">
        <v>46203</v>
      </c>
      <c r="DX99" s="1328" t="s">
        <v>875</v>
      </c>
      <c r="DY99" t="s">
        <v>1198</v>
      </c>
      <c r="DZ99" s="1239">
        <v>0</v>
      </c>
      <c r="EA99" s="1241">
        <v>0</v>
      </c>
      <c r="EB99" s="1239">
        <v>0</v>
      </c>
    </row>
    <row r="100" spans="127:132">
      <c r="DW100" s="1238">
        <v>46203</v>
      </c>
      <c r="DX100" s="1328" t="s">
        <v>2094</v>
      </c>
      <c r="DY100" t="s">
        <v>2084</v>
      </c>
      <c r="DZ100" s="1239">
        <v>0.02</v>
      </c>
      <c r="EA100" s="1241">
        <v>0</v>
      </c>
      <c r="EB100" s="1239">
        <v>0</v>
      </c>
    </row>
    <row r="101" spans="127:132">
      <c r="DW101" s="1238">
        <v>46203</v>
      </c>
      <c r="DX101" s="1328" t="s">
        <v>2095</v>
      </c>
      <c r="DY101" t="s">
        <v>2086</v>
      </c>
      <c r="DZ101" s="1239">
        <v>68.91</v>
      </c>
      <c r="EA101" s="1241">
        <v>0</v>
      </c>
      <c r="EB101" s="1239">
        <v>0</v>
      </c>
    </row>
    <row r="102" spans="127:132">
      <c r="DW102" s="1238">
        <v>46203</v>
      </c>
      <c r="DX102" s="1328" t="s">
        <v>2096</v>
      </c>
      <c r="DY102" t="s">
        <v>432</v>
      </c>
      <c r="DZ102" s="1239">
        <v>118.79</v>
      </c>
      <c r="EA102" s="1241">
        <v>0</v>
      </c>
      <c r="EB102" s="1239">
        <v>0</v>
      </c>
    </row>
    <row r="103" spans="127:132">
      <c r="DW103" s="1238">
        <v>46203</v>
      </c>
      <c r="DX103" s="1328" t="s">
        <v>876</v>
      </c>
      <c r="DY103" t="s">
        <v>492</v>
      </c>
      <c r="DZ103" s="1239">
        <v>806087.48</v>
      </c>
      <c r="EA103" s="1241">
        <v>9</v>
      </c>
      <c r="EB103" s="1239">
        <v>1106752</v>
      </c>
    </row>
    <row r="104" spans="127:132">
      <c r="DW104" s="1238">
        <v>46203</v>
      </c>
      <c r="DX104" s="1328" t="s">
        <v>877</v>
      </c>
      <c r="DY104" t="s">
        <v>493</v>
      </c>
      <c r="DZ104" s="1239">
        <v>1267586.3</v>
      </c>
      <c r="EA104" s="1241">
        <v>37</v>
      </c>
      <c r="EB104" s="1239">
        <v>2811339.2</v>
      </c>
    </row>
    <row r="105" spans="127:132">
      <c r="DW105" s="1238">
        <v>46203</v>
      </c>
      <c r="DX105" s="1328" t="s">
        <v>878</v>
      </c>
      <c r="DY105" t="s">
        <v>494</v>
      </c>
      <c r="DZ105" s="1239">
        <v>2513951.4700000002</v>
      </c>
      <c r="EA105" s="1241">
        <v>76</v>
      </c>
      <c r="EB105" s="1239">
        <v>6588655.75</v>
      </c>
    </row>
    <row r="106" spans="127:132">
      <c r="DW106" s="1238">
        <v>46203</v>
      </c>
      <c r="DX106" s="1328" t="s">
        <v>879</v>
      </c>
      <c r="DY106" t="s">
        <v>495</v>
      </c>
      <c r="DZ106" s="1239">
        <v>11629887.359999999</v>
      </c>
      <c r="EA106" s="1241">
        <v>285</v>
      </c>
      <c r="EB106" s="1239">
        <v>25705598.82</v>
      </c>
    </row>
    <row r="107" spans="127:132">
      <c r="DW107" s="1238">
        <v>46203</v>
      </c>
      <c r="DX107" s="1328" t="s">
        <v>880</v>
      </c>
      <c r="DY107" t="s">
        <v>496</v>
      </c>
      <c r="DZ107" s="1239">
        <v>9917791.0999999996</v>
      </c>
      <c r="EA107" s="1241">
        <v>233</v>
      </c>
      <c r="EB107" s="1239">
        <v>28136754.969999999</v>
      </c>
    </row>
    <row r="108" spans="127:132">
      <c r="DW108" s="1238">
        <v>46203</v>
      </c>
      <c r="DX108" s="1328" t="s">
        <v>881</v>
      </c>
      <c r="DY108" t="s">
        <v>497</v>
      </c>
      <c r="DZ108" s="1239">
        <v>14353356.460000001</v>
      </c>
      <c r="EA108" s="1241">
        <v>370</v>
      </c>
      <c r="EB108" s="1239">
        <v>44028224.25</v>
      </c>
    </row>
    <row r="109" spans="127:132">
      <c r="DW109" s="1238">
        <v>46203</v>
      </c>
      <c r="DX109" s="1328" t="s">
        <v>882</v>
      </c>
      <c r="DY109" t="s">
        <v>498</v>
      </c>
      <c r="DZ109" s="1239">
        <v>137980971</v>
      </c>
      <c r="EA109" s="1241">
        <v>2392</v>
      </c>
      <c r="EB109" s="1239">
        <v>304296229.62</v>
      </c>
    </row>
    <row r="110" spans="127:132">
      <c r="DW110" s="1238">
        <v>46203</v>
      </c>
      <c r="DX110" s="1328" t="s">
        <v>883</v>
      </c>
      <c r="DY110" t="s">
        <v>499</v>
      </c>
      <c r="DZ110" s="1239">
        <v>33317101.109999999</v>
      </c>
      <c r="EA110" s="1241">
        <v>612</v>
      </c>
      <c r="EB110" s="1239">
        <v>89246263.25</v>
      </c>
    </row>
    <row r="111" spans="127:132">
      <c r="DW111" s="1238">
        <v>46203</v>
      </c>
      <c r="DX111" s="1328" t="s">
        <v>884</v>
      </c>
      <c r="DY111" t="s">
        <v>500</v>
      </c>
      <c r="DZ111" s="1239">
        <v>159007099.58000001</v>
      </c>
      <c r="EA111" s="1241">
        <v>2363</v>
      </c>
      <c r="EB111" s="1239">
        <v>334853547.37</v>
      </c>
    </row>
    <row r="112" spans="127:132">
      <c r="DW112" s="1238">
        <v>46203</v>
      </c>
      <c r="DX112" s="1328" t="s">
        <v>885</v>
      </c>
      <c r="DY112" t="s">
        <v>501</v>
      </c>
      <c r="DZ112" s="1239">
        <v>72981124.370000005</v>
      </c>
      <c r="EA112" s="1241">
        <v>954</v>
      </c>
      <c r="EB112" s="1239">
        <v>154408769.77000001</v>
      </c>
    </row>
    <row r="113" spans="127:132">
      <c r="DW113" s="1238">
        <v>46203</v>
      </c>
      <c r="DX113" s="1328" t="s">
        <v>886</v>
      </c>
      <c r="DY113" t="s">
        <v>502</v>
      </c>
      <c r="DZ113" s="1239">
        <v>103632440.27</v>
      </c>
      <c r="EA113" s="1241">
        <v>1244</v>
      </c>
      <c r="EB113" s="1239">
        <v>208056280.13999999</v>
      </c>
    </row>
    <row r="114" spans="127:132">
      <c r="DW114" s="1238">
        <v>46203</v>
      </c>
      <c r="DX114" s="1328" t="s">
        <v>887</v>
      </c>
      <c r="DY114" t="s">
        <v>503</v>
      </c>
      <c r="DZ114" s="1239">
        <v>798266537.39999998</v>
      </c>
      <c r="EA114" s="1241">
        <v>8845</v>
      </c>
      <c r="EB114" s="1239">
        <v>1430272043.4200001</v>
      </c>
    </row>
    <row r="115" spans="127:132">
      <c r="DW115" s="1238">
        <v>46203</v>
      </c>
      <c r="DX115" s="1328" t="s">
        <v>888</v>
      </c>
      <c r="DY115" t="s">
        <v>504</v>
      </c>
      <c r="DZ115" s="1239">
        <v>148752115.52000001</v>
      </c>
      <c r="EA115" s="1241">
        <v>1421</v>
      </c>
      <c r="EB115" s="1239">
        <v>254411523.75</v>
      </c>
    </row>
    <row r="116" spans="127:132">
      <c r="DW116" s="1238">
        <v>46203</v>
      </c>
      <c r="DX116" s="1328" t="s">
        <v>889</v>
      </c>
      <c r="DY116" t="s">
        <v>505</v>
      </c>
      <c r="DZ116" s="1239">
        <v>324581908.79000002</v>
      </c>
      <c r="EA116" s="1241">
        <v>2889</v>
      </c>
      <c r="EB116" s="1239">
        <v>526780485.73000002</v>
      </c>
    </row>
    <row r="117" spans="127:132">
      <c r="DW117" s="1238">
        <v>46203</v>
      </c>
      <c r="DX117" s="1328" t="s">
        <v>890</v>
      </c>
      <c r="DY117" t="s">
        <v>506</v>
      </c>
      <c r="DZ117" s="1239">
        <v>231458975.94</v>
      </c>
      <c r="EA117" s="1241">
        <v>1709</v>
      </c>
      <c r="EB117" s="1239">
        <v>363639203.44</v>
      </c>
    </row>
    <row r="118" spans="127:132">
      <c r="DW118" s="1238">
        <v>46203</v>
      </c>
      <c r="DX118" s="1328" t="s">
        <v>891</v>
      </c>
      <c r="DY118" t="s">
        <v>507</v>
      </c>
      <c r="DZ118" s="1239">
        <v>209080176.96000001</v>
      </c>
      <c r="EA118" s="1241">
        <v>1423</v>
      </c>
      <c r="EB118" s="1239">
        <v>315887408.42000002</v>
      </c>
    </row>
    <row r="119" spans="127:132">
      <c r="DW119" s="1238">
        <v>46203</v>
      </c>
      <c r="DX119" s="1328" t="s">
        <v>892</v>
      </c>
      <c r="DY119" t="s">
        <v>508</v>
      </c>
      <c r="DZ119" s="1239">
        <v>2678048371.25</v>
      </c>
      <c r="EA119" s="1241">
        <v>18712</v>
      </c>
      <c r="EB119" s="1239">
        <v>3749025127.21</v>
      </c>
    </row>
    <row r="120" spans="127:132">
      <c r="DW120" s="1238">
        <v>46203</v>
      </c>
      <c r="DX120" s="1328" t="s">
        <v>893</v>
      </c>
      <c r="DY120" t="s">
        <v>509</v>
      </c>
      <c r="DZ120" s="1239">
        <v>294356038.19</v>
      </c>
      <c r="EA120" s="1241">
        <v>1824</v>
      </c>
      <c r="EB120" s="1239">
        <v>408888941.85000002</v>
      </c>
    </row>
    <row r="121" spans="127:132">
      <c r="DW121" s="1238">
        <v>46203</v>
      </c>
      <c r="DX121" s="1328" t="s">
        <v>894</v>
      </c>
      <c r="DY121" t="s">
        <v>510</v>
      </c>
      <c r="DZ121" s="1239">
        <v>469767936.62</v>
      </c>
      <c r="EA121" s="1241">
        <v>2657</v>
      </c>
      <c r="EB121" s="1239">
        <v>611255129.66999996</v>
      </c>
    </row>
    <row r="122" spans="127:132">
      <c r="DW122" s="1238">
        <v>46203</v>
      </c>
      <c r="DX122" s="1328" t="s">
        <v>895</v>
      </c>
      <c r="DY122" t="s">
        <v>511</v>
      </c>
      <c r="DZ122" s="1239">
        <v>205518406.56999999</v>
      </c>
      <c r="EA122" s="1241">
        <v>1108</v>
      </c>
      <c r="EB122" s="1239">
        <v>253863065.43000001</v>
      </c>
    </row>
    <row r="123" spans="127:132">
      <c r="DW123" s="1238">
        <v>46203</v>
      </c>
      <c r="DX123" s="1328" t="s">
        <v>896</v>
      </c>
      <c r="DY123" t="s">
        <v>512</v>
      </c>
      <c r="DZ123" s="1239">
        <v>156930930.62</v>
      </c>
      <c r="EA123" s="1241">
        <v>779</v>
      </c>
      <c r="EB123" s="1239">
        <v>192975406.33000001</v>
      </c>
    </row>
    <row r="124" spans="127:132">
      <c r="DW124" s="1238">
        <v>46203</v>
      </c>
      <c r="DX124" s="1328" t="s">
        <v>897</v>
      </c>
      <c r="DY124" t="s">
        <v>513</v>
      </c>
      <c r="DZ124" s="1239">
        <v>4095110068.2800002</v>
      </c>
      <c r="EA124" s="1241">
        <v>20196</v>
      </c>
      <c r="EB124" s="1239">
        <v>4840425659.8100004</v>
      </c>
    </row>
    <row r="125" spans="127:132">
      <c r="DW125" s="1238">
        <v>46203</v>
      </c>
      <c r="DX125" s="1328" t="s">
        <v>898</v>
      </c>
      <c r="DY125" t="s">
        <v>514</v>
      </c>
      <c r="DZ125" s="1239">
        <v>174565652.78</v>
      </c>
      <c r="EA125" s="1241">
        <v>946</v>
      </c>
      <c r="EB125" s="1239">
        <v>218295952.91999999</v>
      </c>
    </row>
    <row r="126" spans="127:132">
      <c r="DW126" s="1238">
        <v>46203</v>
      </c>
      <c r="DX126" s="1328" t="s">
        <v>899</v>
      </c>
      <c r="DY126" t="s">
        <v>515</v>
      </c>
      <c r="DZ126" s="1239">
        <v>340662430.23000002</v>
      </c>
      <c r="EA126" s="1241">
        <v>1614</v>
      </c>
      <c r="EB126" s="1239">
        <v>404510028.58999997</v>
      </c>
    </row>
    <row r="127" spans="127:132">
      <c r="DW127" s="1238">
        <v>46203</v>
      </c>
      <c r="DX127" s="1328" t="s">
        <v>900</v>
      </c>
      <c r="DY127" t="s">
        <v>516</v>
      </c>
      <c r="DZ127" s="1239">
        <v>28861171.449999999</v>
      </c>
      <c r="EA127" s="1241">
        <v>173</v>
      </c>
      <c r="EB127" s="1239">
        <v>34105597.469999999</v>
      </c>
    </row>
    <row r="128" spans="127:132">
      <c r="DW128" s="1238">
        <v>46203</v>
      </c>
      <c r="DX128" s="1328" t="s">
        <v>901</v>
      </c>
      <c r="DY128" t="s">
        <v>517</v>
      </c>
      <c r="DZ128" s="1239">
        <v>3168477.96</v>
      </c>
      <c r="EA128" s="1241">
        <v>28</v>
      </c>
      <c r="EB128" s="1239">
        <v>4315648.33</v>
      </c>
    </row>
    <row r="129" spans="127:132">
      <c r="DW129" s="1238">
        <v>46203</v>
      </c>
      <c r="DX129" s="1328" t="s">
        <v>902</v>
      </c>
      <c r="DY129" t="s">
        <v>518</v>
      </c>
      <c r="DZ129" s="1239">
        <v>24873132.75</v>
      </c>
      <c r="EA129" s="1241">
        <v>269</v>
      </c>
      <c r="EB129" s="1239">
        <v>37558892.079999998</v>
      </c>
    </row>
    <row r="130" spans="127:132">
      <c r="DW130" s="1238">
        <v>46203</v>
      </c>
      <c r="DX130" s="1328" t="s">
        <v>2097</v>
      </c>
      <c r="DY130" t="s">
        <v>2084</v>
      </c>
      <c r="DZ130" s="1239">
        <v>0</v>
      </c>
      <c r="EA130" s="1241">
        <v>0</v>
      </c>
      <c r="EB130" s="1239">
        <v>0</v>
      </c>
    </row>
    <row r="131" spans="127:132">
      <c r="DW131" s="1238">
        <v>46203</v>
      </c>
      <c r="DX131" s="1328" t="s">
        <v>2098</v>
      </c>
      <c r="DY131" t="s">
        <v>2086</v>
      </c>
      <c r="DZ131" s="1239">
        <v>21.59</v>
      </c>
      <c r="EA131" s="1241">
        <v>0</v>
      </c>
      <c r="EB131" s="1239">
        <v>0</v>
      </c>
    </row>
    <row r="132" spans="127:132">
      <c r="DW132" s="1238">
        <v>46203</v>
      </c>
      <c r="DX132" s="1328" t="s">
        <v>2099</v>
      </c>
      <c r="DY132" t="s">
        <v>432</v>
      </c>
      <c r="DZ132" s="1239">
        <v>32.83</v>
      </c>
      <c r="EA132" s="1241">
        <v>0</v>
      </c>
      <c r="EB132" s="1239">
        <v>0</v>
      </c>
    </row>
    <row r="133" spans="127:132">
      <c r="DW133" s="1238">
        <v>46203</v>
      </c>
      <c r="DX133" s="1328" t="s">
        <v>903</v>
      </c>
      <c r="DY133" t="s">
        <v>520</v>
      </c>
      <c r="DZ133" s="1239">
        <v>8396141.9900000002</v>
      </c>
      <c r="EA133" s="1241">
        <v>1160</v>
      </c>
      <c r="EB133" s="1239">
        <v>154129306.22</v>
      </c>
    </row>
    <row r="134" spans="127:132">
      <c r="DW134" s="1238">
        <v>46203</v>
      </c>
      <c r="DX134" s="1328" t="s">
        <v>904</v>
      </c>
      <c r="DY134" t="s">
        <v>521</v>
      </c>
      <c r="DZ134" s="1239">
        <v>25482170.379999999</v>
      </c>
      <c r="EA134" s="1241">
        <v>1436</v>
      </c>
      <c r="EB134" s="1239">
        <v>176443210.19999999</v>
      </c>
    </row>
    <row r="135" spans="127:132">
      <c r="DW135" s="1238">
        <v>46203</v>
      </c>
      <c r="DX135" s="1328" t="s">
        <v>905</v>
      </c>
      <c r="DY135" t="s">
        <v>522</v>
      </c>
      <c r="DZ135" s="1239">
        <v>53132184.100000001</v>
      </c>
      <c r="EA135" s="1241">
        <v>1729</v>
      </c>
      <c r="EB135" s="1239">
        <v>234334440.74000001</v>
      </c>
    </row>
    <row r="136" spans="127:132">
      <c r="DW136" s="1238">
        <v>46203</v>
      </c>
      <c r="DX136" s="1328" t="s">
        <v>906</v>
      </c>
      <c r="DY136" t="s">
        <v>523</v>
      </c>
      <c r="DZ136" s="1239">
        <v>81880695.489999995</v>
      </c>
      <c r="EA136" s="1241">
        <v>2024</v>
      </c>
      <c r="EB136" s="1239">
        <v>275259635.05000001</v>
      </c>
    </row>
    <row r="137" spans="127:132">
      <c r="DW137" s="1238">
        <v>46203</v>
      </c>
      <c r="DX137" s="1328" t="s">
        <v>907</v>
      </c>
      <c r="DY137" t="s">
        <v>524</v>
      </c>
      <c r="DZ137" s="1239">
        <v>126408655.17</v>
      </c>
      <c r="EA137" s="1241">
        <v>2433</v>
      </c>
      <c r="EB137" s="1239">
        <v>345009291.17000002</v>
      </c>
    </row>
    <row r="138" spans="127:132">
      <c r="DW138" s="1238">
        <v>46203</v>
      </c>
      <c r="DX138" s="1328" t="s">
        <v>908</v>
      </c>
      <c r="DY138" t="s">
        <v>493</v>
      </c>
      <c r="DZ138" s="1239">
        <v>174701764.63</v>
      </c>
      <c r="EA138" s="1241">
        <v>2848</v>
      </c>
      <c r="EB138" s="1239">
        <v>408564148.42000002</v>
      </c>
    </row>
    <row r="139" spans="127:132">
      <c r="DW139" s="1238">
        <v>46203</v>
      </c>
      <c r="DX139" s="1328" t="s">
        <v>909</v>
      </c>
      <c r="DY139" t="s">
        <v>494</v>
      </c>
      <c r="DZ139" s="1239">
        <v>197064729.69999999</v>
      </c>
      <c r="EA139" s="1241">
        <v>2761</v>
      </c>
      <c r="EB139" s="1239">
        <v>404308283.52999997</v>
      </c>
    </row>
    <row r="140" spans="127:132">
      <c r="DW140" s="1238">
        <v>46203</v>
      </c>
      <c r="DX140" s="1328" t="s">
        <v>910</v>
      </c>
      <c r="DY140" t="s">
        <v>495</v>
      </c>
      <c r="DZ140" s="1239">
        <v>257875734.74000001</v>
      </c>
      <c r="EA140" s="1241">
        <v>3048</v>
      </c>
      <c r="EB140" s="1239">
        <v>480399620.60000002</v>
      </c>
    </row>
    <row r="141" spans="127:132">
      <c r="DW141" s="1238">
        <v>46203</v>
      </c>
      <c r="DX141" s="1328" t="s">
        <v>911</v>
      </c>
      <c r="DY141" t="s">
        <v>496</v>
      </c>
      <c r="DZ141" s="1239">
        <v>338026066.61000001</v>
      </c>
      <c r="EA141" s="1241">
        <v>3490</v>
      </c>
      <c r="EB141" s="1239">
        <v>577543727.36000001</v>
      </c>
    </row>
    <row r="142" spans="127:132">
      <c r="DW142" s="1238">
        <v>46203</v>
      </c>
      <c r="DX142" s="1328" t="s">
        <v>912</v>
      </c>
      <c r="DY142" t="s">
        <v>497</v>
      </c>
      <c r="DZ142" s="1239">
        <v>349442725.17000002</v>
      </c>
      <c r="EA142" s="1241">
        <v>3353</v>
      </c>
      <c r="EB142" s="1239">
        <v>576303957.76999998</v>
      </c>
    </row>
    <row r="143" spans="127:132">
      <c r="DW143" s="1238">
        <v>46203</v>
      </c>
      <c r="DX143" s="1328" t="s">
        <v>913</v>
      </c>
      <c r="DY143" t="s">
        <v>498</v>
      </c>
      <c r="DZ143" s="1239">
        <v>427920351.11000001</v>
      </c>
      <c r="EA143" s="1241">
        <v>3653</v>
      </c>
      <c r="EB143" s="1239">
        <v>675044693.62</v>
      </c>
    </row>
    <row r="144" spans="127:132">
      <c r="DW144" s="1238">
        <v>46203</v>
      </c>
      <c r="DX144" s="1328" t="s">
        <v>914</v>
      </c>
      <c r="DY144" t="s">
        <v>499</v>
      </c>
      <c r="DZ144" s="1239">
        <v>456523741.05000001</v>
      </c>
      <c r="EA144" s="1241">
        <v>3514</v>
      </c>
      <c r="EB144" s="1239">
        <v>682463951.99000001</v>
      </c>
    </row>
    <row r="145" spans="127:132">
      <c r="DW145" s="1238">
        <v>46203</v>
      </c>
      <c r="DX145" s="1328" t="s">
        <v>1199</v>
      </c>
      <c r="DY145" t="s">
        <v>500</v>
      </c>
      <c r="DZ145" s="1239">
        <v>477434943.43000001</v>
      </c>
      <c r="EA145" s="1241">
        <v>3422</v>
      </c>
      <c r="EB145" s="1239">
        <v>678843789.08000004</v>
      </c>
    </row>
    <row r="146" spans="127:132">
      <c r="DW146" s="1238">
        <v>46203</v>
      </c>
      <c r="DX146" s="1328" t="s">
        <v>1200</v>
      </c>
      <c r="DY146" t="s">
        <v>501</v>
      </c>
      <c r="DZ146" s="1239">
        <v>637916554.10000002</v>
      </c>
      <c r="EA146" s="1241">
        <v>4062</v>
      </c>
      <c r="EB146" s="1239">
        <v>866687345.84000003</v>
      </c>
    </row>
    <row r="147" spans="127:132">
      <c r="DW147" s="1238">
        <v>46203</v>
      </c>
      <c r="DX147" s="1328" t="s">
        <v>1201</v>
      </c>
      <c r="DY147" t="s">
        <v>502</v>
      </c>
      <c r="DZ147" s="1239">
        <v>537210838.07000005</v>
      </c>
      <c r="EA147" s="1241">
        <v>3321</v>
      </c>
      <c r="EB147" s="1239">
        <v>707815075.83000004</v>
      </c>
    </row>
    <row r="148" spans="127:132">
      <c r="DW148" s="1238">
        <v>46203</v>
      </c>
      <c r="DX148" s="1328" t="s">
        <v>1202</v>
      </c>
      <c r="DY148" t="s">
        <v>503</v>
      </c>
      <c r="DZ148" s="1239">
        <v>715067811.22000003</v>
      </c>
      <c r="EA148" s="1241">
        <v>4050</v>
      </c>
      <c r="EB148" s="1239">
        <v>904498510.13</v>
      </c>
    </row>
    <row r="149" spans="127:132">
      <c r="DW149" s="1238">
        <v>46203</v>
      </c>
      <c r="DX149" s="1328" t="s">
        <v>1203</v>
      </c>
      <c r="DY149" t="s">
        <v>504</v>
      </c>
      <c r="DZ149" s="1239">
        <v>666901838.95000005</v>
      </c>
      <c r="EA149" s="1241">
        <v>3666</v>
      </c>
      <c r="EB149" s="1239">
        <v>810386057.88</v>
      </c>
    </row>
    <row r="150" spans="127:132">
      <c r="DW150" s="1238">
        <v>46203</v>
      </c>
      <c r="DX150" s="1328" t="s">
        <v>1204</v>
      </c>
      <c r="DY150" t="s">
        <v>505</v>
      </c>
      <c r="DZ150" s="1239">
        <v>570312659.12</v>
      </c>
      <c r="EA150" s="1241">
        <v>3146</v>
      </c>
      <c r="EB150" s="1239">
        <v>681123575.29999995</v>
      </c>
    </row>
    <row r="151" spans="127:132">
      <c r="DW151" s="1238">
        <v>46203</v>
      </c>
      <c r="DX151" s="1328" t="s">
        <v>1205</v>
      </c>
      <c r="DY151" t="s">
        <v>506</v>
      </c>
      <c r="DZ151" s="1239">
        <v>802965926.05999994</v>
      </c>
      <c r="EA151" s="1241">
        <v>4063</v>
      </c>
      <c r="EB151" s="1239">
        <v>945452361.02999997</v>
      </c>
    </row>
    <row r="152" spans="127:132">
      <c r="DW152" s="1238">
        <v>46203</v>
      </c>
      <c r="DX152" s="1328" t="s">
        <v>1206</v>
      </c>
      <c r="DY152" t="s">
        <v>507</v>
      </c>
      <c r="DZ152" s="1239">
        <v>497259537.45999998</v>
      </c>
      <c r="EA152" s="1241">
        <v>2362</v>
      </c>
      <c r="EB152" s="1239">
        <v>584194303.61000001</v>
      </c>
    </row>
    <row r="153" spans="127:132">
      <c r="DW153" s="1238">
        <v>46203</v>
      </c>
      <c r="DX153" s="1328" t="s">
        <v>1207</v>
      </c>
      <c r="DY153" s="1330" t="s">
        <v>508</v>
      </c>
      <c r="DZ153" s="1239">
        <v>984853940.75999999</v>
      </c>
      <c r="EA153" s="1241">
        <v>3954</v>
      </c>
      <c r="EB153" s="1239">
        <v>1150692615.6600001</v>
      </c>
    </row>
    <row r="154" spans="127:132">
      <c r="DW154" s="1238">
        <v>46203</v>
      </c>
      <c r="DX154" s="1328" t="s">
        <v>1208</v>
      </c>
      <c r="DY154" s="1330" t="s">
        <v>509</v>
      </c>
      <c r="DZ154" s="1239">
        <v>862130474.17999995</v>
      </c>
      <c r="EA154" s="1241">
        <v>3496</v>
      </c>
      <c r="EB154" s="1239">
        <v>962887862.60000002</v>
      </c>
    </row>
    <row r="155" spans="127:132">
      <c r="DW155" s="1238">
        <v>46203</v>
      </c>
      <c r="DX155" s="1328" t="s">
        <v>1209</v>
      </c>
      <c r="DY155" s="1330" t="s">
        <v>510</v>
      </c>
      <c r="DZ155" s="1239">
        <v>499519307.30000001</v>
      </c>
      <c r="EA155" s="1241">
        <v>2213</v>
      </c>
      <c r="EB155" s="1239">
        <v>540307085.48000002</v>
      </c>
    </row>
    <row r="156" spans="127:132">
      <c r="DW156" s="1238">
        <v>46203</v>
      </c>
      <c r="DX156" s="1328" t="s">
        <v>1210</v>
      </c>
      <c r="DY156" s="1330" t="s">
        <v>511</v>
      </c>
      <c r="DZ156" s="1239">
        <v>724500075.54999995</v>
      </c>
      <c r="EA156" s="1241">
        <v>2987</v>
      </c>
      <c r="EB156" s="1239">
        <v>756294052.88999999</v>
      </c>
    </row>
    <row r="157" spans="127:132">
      <c r="DW157" s="1238">
        <v>46203</v>
      </c>
      <c r="DX157" s="1328" t="s">
        <v>1211</v>
      </c>
      <c r="DY157" s="1330" t="s">
        <v>512</v>
      </c>
      <c r="DZ157" s="1239">
        <v>258015904.28</v>
      </c>
      <c r="EA157" s="1241">
        <v>975</v>
      </c>
      <c r="EB157" s="1239">
        <v>265966627.59</v>
      </c>
    </row>
    <row r="158" spans="127:132">
      <c r="DW158" s="1238">
        <v>46203</v>
      </c>
      <c r="DX158" s="1328" t="s">
        <v>1212</v>
      </c>
      <c r="DY158" s="1330" t="s">
        <v>1213</v>
      </c>
      <c r="DZ158" s="1239">
        <v>464957.19</v>
      </c>
      <c r="EA158" s="1241">
        <v>2</v>
      </c>
      <c r="EB158" s="1239">
        <v>495000</v>
      </c>
    </row>
    <row r="159" spans="127:132">
      <c r="DW159" s="1238">
        <v>46203</v>
      </c>
      <c r="DX159" s="1328" t="s">
        <v>2100</v>
      </c>
      <c r="DY159" s="1330" t="s">
        <v>2084</v>
      </c>
      <c r="DZ159" s="1239">
        <v>-1</v>
      </c>
      <c r="EA159" s="1241">
        <v>0</v>
      </c>
      <c r="EB159" s="1239">
        <v>0</v>
      </c>
    </row>
    <row r="160" spans="127:132">
      <c r="DW160" s="1238">
        <v>46203</v>
      </c>
      <c r="DX160" s="1328" t="s">
        <v>2101</v>
      </c>
      <c r="DY160" s="1330" t="s">
        <v>2086</v>
      </c>
      <c r="DZ160" s="1239">
        <v>16.190000000000001</v>
      </c>
      <c r="EA160" s="1241">
        <v>0</v>
      </c>
      <c r="EB160" s="1239">
        <v>0</v>
      </c>
    </row>
    <row r="161" spans="127:132">
      <c r="DW161" s="1238">
        <v>46203</v>
      </c>
      <c r="DX161" s="1328" t="s">
        <v>2102</v>
      </c>
      <c r="DY161" s="1330" t="s">
        <v>432</v>
      </c>
      <c r="DZ161" s="1239">
        <v>25.17</v>
      </c>
      <c r="EA161" s="1241">
        <v>0</v>
      </c>
      <c r="EB161" s="1239">
        <v>0</v>
      </c>
    </row>
    <row r="162" spans="127:132">
      <c r="DW162" s="1238">
        <v>46203</v>
      </c>
      <c r="DX162" s="1328" t="s">
        <v>915</v>
      </c>
      <c r="DY162" s="1330">
        <v>2010</v>
      </c>
      <c r="DZ162" s="1239">
        <v>80068505.079999998</v>
      </c>
      <c r="EA162" s="1241">
        <v>1586</v>
      </c>
      <c r="EB162" s="1239">
        <v>217688080.94</v>
      </c>
    </row>
    <row r="163" spans="127:132">
      <c r="DW163" s="1238">
        <v>46203</v>
      </c>
      <c r="DX163" s="1328" t="s">
        <v>916</v>
      </c>
      <c r="DY163" s="1330">
        <v>2011</v>
      </c>
      <c r="DZ163" s="1239">
        <v>71307707.200000003</v>
      </c>
      <c r="EA163" s="1241">
        <v>1403</v>
      </c>
      <c r="EB163" s="1239">
        <v>171381751.86000001</v>
      </c>
    </row>
    <row r="164" spans="127:132">
      <c r="DW164" s="1238">
        <v>46203</v>
      </c>
      <c r="DX164" s="1328" t="s">
        <v>1214</v>
      </c>
      <c r="DY164" s="1330">
        <v>2012</v>
      </c>
      <c r="DZ164" s="1239">
        <v>83637470.390000001</v>
      </c>
      <c r="EA164" s="1241">
        <v>1698</v>
      </c>
      <c r="EB164" s="1239">
        <v>212158022.94999999</v>
      </c>
    </row>
    <row r="165" spans="127:132">
      <c r="DW165" s="1238">
        <v>46203</v>
      </c>
      <c r="DX165" s="1328" t="s">
        <v>1215</v>
      </c>
      <c r="DY165">
        <v>2013</v>
      </c>
      <c r="DZ165" s="1239">
        <v>87205823.890000001</v>
      </c>
      <c r="EA165" s="1241">
        <v>1547</v>
      </c>
      <c r="EB165" s="1239">
        <v>233938099.25999999</v>
      </c>
    </row>
    <row r="166" spans="127:132">
      <c r="DW166" s="1238">
        <v>46203</v>
      </c>
      <c r="DX166" s="1328" t="s">
        <v>1216</v>
      </c>
      <c r="DY166">
        <v>2014</v>
      </c>
      <c r="DZ166" s="1239">
        <v>122848729.34</v>
      </c>
      <c r="EA166" s="1241">
        <v>1999</v>
      </c>
      <c r="EB166" s="1239">
        <v>301518745.56</v>
      </c>
    </row>
    <row r="167" spans="127:132">
      <c r="DW167" s="1238">
        <v>46203</v>
      </c>
      <c r="DX167" s="1328" t="s">
        <v>1217</v>
      </c>
      <c r="DY167">
        <v>2015</v>
      </c>
      <c r="DZ167" s="1239">
        <v>293429203.69</v>
      </c>
      <c r="EA167" s="1241">
        <v>3868</v>
      </c>
      <c r="EB167" s="1239">
        <v>642493509.15999997</v>
      </c>
    </row>
    <row r="168" spans="127:132">
      <c r="DW168" s="1238">
        <v>46203</v>
      </c>
      <c r="DX168" s="1328" t="s">
        <v>1218</v>
      </c>
      <c r="DY168">
        <v>2016</v>
      </c>
      <c r="DZ168" s="1239">
        <v>320275340.54000002</v>
      </c>
      <c r="EA168" s="1241">
        <v>3930</v>
      </c>
      <c r="EB168" s="1239">
        <v>640893491.53999996</v>
      </c>
    </row>
    <row r="169" spans="127:132">
      <c r="DW169" s="1238">
        <v>46203</v>
      </c>
      <c r="DX169" s="1328" t="s">
        <v>1219</v>
      </c>
      <c r="DY169">
        <v>2017</v>
      </c>
      <c r="DZ169" s="1239">
        <v>536459598.02999997</v>
      </c>
      <c r="EA169" s="1241">
        <v>5472</v>
      </c>
      <c r="EB169" s="1239">
        <v>980514627.44000006</v>
      </c>
    </row>
    <row r="170" spans="127:132">
      <c r="DW170" s="1238">
        <v>46203</v>
      </c>
      <c r="DX170" s="1328" t="s">
        <v>1220</v>
      </c>
      <c r="DY170">
        <v>2018</v>
      </c>
      <c r="DZ170" s="1239">
        <v>629429824.91999996</v>
      </c>
      <c r="EA170" s="1241">
        <v>5426</v>
      </c>
      <c r="EB170" s="1239">
        <v>1021753753.9400001</v>
      </c>
    </row>
    <row r="171" spans="127:132">
      <c r="DW171" s="1238">
        <v>46203</v>
      </c>
      <c r="DX171" s="1328" t="s">
        <v>1221</v>
      </c>
      <c r="DY171">
        <v>2019</v>
      </c>
      <c r="DZ171" s="1239">
        <v>1109190302.4300001</v>
      </c>
      <c r="EA171" s="1241">
        <v>7884</v>
      </c>
      <c r="EB171" s="1239">
        <v>1625283863.8299999</v>
      </c>
    </row>
    <row r="172" spans="127:132">
      <c r="DW172" s="1238">
        <v>46203</v>
      </c>
      <c r="DX172" s="1328" t="s">
        <v>1222</v>
      </c>
      <c r="DY172">
        <v>2020</v>
      </c>
      <c r="DZ172" s="1239">
        <v>1060800913.89</v>
      </c>
      <c r="EA172" s="1241">
        <v>6629</v>
      </c>
      <c r="EB172" s="1239">
        <v>1451821672.5699999</v>
      </c>
    </row>
    <row r="173" spans="127:132">
      <c r="DW173" s="1238">
        <v>46203</v>
      </c>
      <c r="DX173" s="1328" t="s">
        <v>1223</v>
      </c>
      <c r="DY173">
        <v>2021</v>
      </c>
      <c r="DZ173" s="1239">
        <v>1874258067.3199999</v>
      </c>
      <c r="EA173" s="1241">
        <v>9652</v>
      </c>
      <c r="EB173" s="1239">
        <v>2348281461.2600002</v>
      </c>
    </row>
    <row r="174" spans="127:132">
      <c r="DW174" s="1238">
        <v>46203</v>
      </c>
      <c r="DX174" s="1328" t="s">
        <v>1224</v>
      </c>
      <c r="DY174">
        <v>2022</v>
      </c>
      <c r="DZ174" s="1239">
        <v>2011377955.1199999</v>
      </c>
      <c r="EA174" s="1241">
        <v>9521</v>
      </c>
      <c r="EB174" s="1239">
        <v>2352646658.1100001</v>
      </c>
    </row>
    <row r="175" spans="127:132">
      <c r="DW175" s="1238">
        <v>46203</v>
      </c>
      <c r="DX175" s="1328" t="s">
        <v>1281</v>
      </c>
      <c r="DY175">
        <v>2023</v>
      </c>
      <c r="DZ175" s="1239">
        <v>718345298.70000005</v>
      </c>
      <c r="EA175" s="1241">
        <v>4103</v>
      </c>
      <c r="EB175" s="1239">
        <v>811959411.38</v>
      </c>
    </row>
    <row r="176" spans="127:132">
      <c r="DW176" s="1238">
        <v>46203</v>
      </c>
      <c r="DX176" s="1328" t="s">
        <v>1282</v>
      </c>
      <c r="DY176">
        <v>2024</v>
      </c>
      <c r="DZ176" s="1239">
        <v>770423812.76999998</v>
      </c>
      <c r="EA176" s="1241">
        <v>4268</v>
      </c>
      <c r="EB176" s="1239">
        <v>831136019.39999998</v>
      </c>
    </row>
    <row r="177" spans="127:132">
      <c r="DW177" s="1238">
        <v>46203</v>
      </c>
      <c r="DX177" s="1328" t="s">
        <v>2052</v>
      </c>
      <c r="DY177">
        <v>2025</v>
      </c>
      <c r="DZ177" s="1239">
        <v>962351174.5</v>
      </c>
      <c r="EA177" s="1241">
        <v>4182</v>
      </c>
      <c r="EB177" s="1239">
        <v>1001979360.39</v>
      </c>
    </row>
    <row r="178" spans="127:132">
      <c r="DW178" s="1238">
        <v>46203</v>
      </c>
      <c r="DX178" s="1328" t="s">
        <v>917</v>
      </c>
      <c r="DY178" t="s">
        <v>148</v>
      </c>
      <c r="DZ178" s="1239">
        <v>10731409727.809999</v>
      </c>
      <c r="EA178" s="1241">
        <v>73168</v>
      </c>
      <c r="EB178" s="1239">
        <v>14845448529.59</v>
      </c>
    </row>
    <row r="179" spans="127:132">
      <c r="DW179" s="1238">
        <v>46203</v>
      </c>
      <c r="DX179" s="1328" t="s">
        <v>918</v>
      </c>
      <c r="DY179" t="s">
        <v>1118</v>
      </c>
      <c r="DZ179" s="1239">
        <v>2635645073.7399998</v>
      </c>
      <c r="EA179" s="1241">
        <v>18445</v>
      </c>
      <c r="EB179" s="1239">
        <v>3857954126.5599999</v>
      </c>
    </row>
    <row r="180" spans="127:132">
      <c r="DW180" s="1238">
        <v>46203</v>
      </c>
      <c r="DX180" s="1328" t="s">
        <v>919</v>
      </c>
      <c r="DY180" t="s">
        <v>1119</v>
      </c>
      <c r="DZ180" s="1239">
        <v>3626624855.4400001</v>
      </c>
      <c r="EA180" s="1241">
        <v>23448</v>
      </c>
      <c r="EB180" s="1239">
        <v>5123298264.3599997</v>
      </c>
    </row>
    <row r="181" spans="127:132">
      <c r="DW181" s="1238">
        <v>46203</v>
      </c>
      <c r="DX181" s="1328" t="s">
        <v>920</v>
      </c>
      <c r="DY181" t="s">
        <v>1120</v>
      </c>
      <c r="DZ181" s="1239">
        <v>1551711654.4000001</v>
      </c>
      <c r="EA181" s="1241">
        <v>12430</v>
      </c>
      <c r="EB181" s="1239">
        <v>2333090368.8200002</v>
      </c>
    </row>
    <row r="182" spans="127:132">
      <c r="DW182" s="1238">
        <v>46203</v>
      </c>
      <c r="DX182" s="1328" t="s">
        <v>921</v>
      </c>
      <c r="DY182" t="s">
        <v>1121</v>
      </c>
      <c r="DZ182" s="1239">
        <v>613349108.02999997</v>
      </c>
      <c r="EA182" s="1241">
        <v>5310</v>
      </c>
      <c r="EB182" s="1239">
        <v>892123745.88</v>
      </c>
    </row>
    <row r="183" spans="127:132">
      <c r="DW183" s="1238">
        <v>46203</v>
      </c>
      <c r="DX183" s="1328" t="s">
        <v>922</v>
      </c>
      <c r="DY183" t="s">
        <v>1122</v>
      </c>
      <c r="DZ183" s="1239">
        <v>826159092.46000004</v>
      </c>
      <c r="EA183" s="1241">
        <v>4798</v>
      </c>
      <c r="EB183" s="1239">
        <v>974272285.38</v>
      </c>
    </row>
    <row r="184" spans="127:132">
      <c r="DW184" s="1238">
        <v>46203</v>
      </c>
      <c r="DX184" s="1328" t="s">
        <v>923</v>
      </c>
      <c r="DY184" t="s">
        <v>1123</v>
      </c>
      <c r="DZ184" s="1239">
        <v>737263051.41999996</v>
      </c>
      <c r="EA184" s="1241">
        <v>4129</v>
      </c>
      <c r="EB184" s="1239">
        <v>831030693.90999997</v>
      </c>
    </row>
    <row r="185" spans="127:132">
      <c r="DW185" s="1238">
        <v>46203</v>
      </c>
      <c r="DX185" s="1328" t="s">
        <v>924</v>
      </c>
      <c r="DY185" t="s">
        <v>1124</v>
      </c>
      <c r="DZ185" s="1239">
        <v>522411014.85000002</v>
      </c>
      <c r="EA185" s="1241">
        <v>2949</v>
      </c>
      <c r="EB185" s="1239">
        <v>585894626.05999994</v>
      </c>
    </row>
    <row r="186" spans="127:132">
      <c r="DW186" s="1238">
        <v>46203</v>
      </c>
      <c r="DX186" s="1328" t="s">
        <v>925</v>
      </c>
      <c r="DY186" t="s">
        <v>1125</v>
      </c>
      <c r="DZ186" s="1239">
        <v>174194627.63999999</v>
      </c>
      <c r="EA186" s="1241">
        <v>1298</v>
      </c>
      <c r="EB186" s="1239">
        <v>198277688.75</v>
      </c>
    </row>
    <row r="187" spans="127:132">
      <c r="DW187" s="1238">
        <v>46203</v>
      </c>
      <c r="DX187" s="1328" t="s">
        <v>926</v>
      </c>
      <c r="DY187" t="s">
        <v>1126</v>
      </c>
      <c r="DZ187" s="1239">
        <v>43616783.960000001</v>
      </c>
      <c r="EA187" s="1241">
        <v>355</v>
      </c>
      <c r="EB187" s="1239">
        <v>49052373.719999999</v>
      </c>
    </row>
    <row r="188" spans="127:132">
      <c r="DW188" s="1238">
        <v>46203</v>
      </c>
      <c r="DX188" s="1328" t="s">
        <v>927</v>
      </c>
      <c r="DY188" t="s">
        <v>1127</v>
      </c>
      <c r="DZ188" s="1239">
        <v>434465.87</v>
      </c>
      <c r="EA188" s="1241">
        <v>6</v>
      </c>
      <c r="EB188" s="1239">
        <v>454356.15</v>
      </c>
    </row>
    <row r="189" spans="127:132">
      <c r="DW189" s="1238">
        <v>46203</v>
      </c>
      <c r="DX189" s="1328" t="s">
        <v>2103</v>
      </c>
      <c r="DY189" t="s">
        <v>2084</v>
      </c>
      <c r="DZ189" s="1239">
        <v>0</v>
      </c>
      <c r="EA189" s="1241">
        <v>0</v>
      </c>
      <c r="EB189" s="1239">
        <v>0</v>
      </c>
    </row>
    <row r="190" spans="127:132">
      <c r="DW190" s="1238">
        <v>46203</v>
      </c>
      <c r="DX190" s="1328" t="s">
        <v>2104</v>
      </c>
      <c r="DY190" t="s">
        <v>2086</v>
      </c>
      <c r="DZ190" s="1239">
        <v>1.68</v>
      </c>
      <c r="EA190" s="1241">
        <v>0</v>
      </c>
      <c r="EB190" s="1239">
        <v>0</v>
      </c>
    </row>
    <row r="191" spans="127:132">
      <c r="DW191" s="1238">
        <v>46203</v>
      </c>
      <c r="DX191" s="1328" t="s">
        <v>2105</v>
      </c>
      <c r="DY191" t="s">
        <v>432</v>
      </c>
      <c r="DZ191" s="1239">
        <v>5.0999999999999996</v>
      </c>
      <c r="EA191" s="1241">
        <v>0</v>
      </c>
      <c r="EB191" s="1239">
        <v>0</v>
      </c>
    </row>
    <row r="192" spans="127:132">
      <c r="DW192" s="1238">
        <v>46203</v>
      </c>
      <c r="DX192" s="1328" t="s">
        <v>928</v>
      </c>
      <c r="DY192" t="s">
        <v>1225</v>
      </c>
      <c r="DZ192" s="1239">
        <v>53138625.259999998</v>
      </c>
      <c r="EA192" s="1241">
        <v>638</v>
      </c>
      <c r="EB192" s="1239">
        <v>85750426.329999998</v>
      </c>
    </row>
    <row r="193" spans="127:132">
      <c r="DW193" s="1238">
        <v>46203</v>
      </c>
      <c r="DX193" s="1328" t="s">
        <v>929</v>
      </c>
      <c r="DY193" t="s">
        <v>1226</v>
      </c>
      <c r="DZ193" s="1239">
        <v>161553713.91999999</v>
      </c>
      <c r="EA193" s="1241">
        <v>1616</v>
      </c>
      <c r="EB193" s="1239">
        <v>250555281.65000001</v>
      </c>
    </row>
    <row r="194" spans="127:132">
      <c r="DW194" s="1238">
        <v>46203</v>
      </c>
      <c r="DX194" s="1328" t="s">
        <v>930</v>
      </c>
      <c r="DY194" t="s">
        <v>1227</v>
      </c>
      <c r="DZ194" s="1239">
        <v>415282937.31</v>
      </c>
      <c r="EA194" s="1241">
        <v>3666</v>
      </c>
      <c r="EB194" s="1239">
        <v>614885135.78999996</v>
      </c>
    </row>
    <row r="195" spans="127:132">
      <c r="DW195" s="1238">
        <v>46203</v>
      </c>
      <c r="DX195" s="1328" t="s">
        <v>931</v>
      </c>
      <c r="DY195" t="s">
        <v>1228</v>
      </c>
      <c r="DZ195" s="1239">
        <v>1004189447.95</v>
      </c>
      <c r="EA195" s="1241">
        <v>8184</v>
      </c>
      <c r="EB195" s="1239">
        <v>1429865890.99</v>
      </c>
    </row>
    <row r="196" spans="127:132">
      <c r="DW196" s="1238">
        <v>46203</v>
      </c>
      <c r="DX196" s="1328" t="s">
        <v>1229</v>
      </c>
      <c r="DY196" t="s">
        <v>1230</v>
      </c>
      <c r="DZ196" s="1239">
        <v>1999944866.05</v>
      </c>
      <c r="EA196" s="1241">
        <v>14639</v>
      </c>
      <c r="EB196" s="1239">
        <v>2735700674.1100001</v>
      </c>
    </row>
    <row r="197" spans="127:132">
      <c r="DW197" s="1238">
        <v>46203</v>
      </c>
      <c r="DX197" s="1328" t="s">
        <v>1231</v>
      </c>
      <c r="DY197" t="s">
        <v>1232</v>
      </c>
      <c r="DZ197" s="1239">
        <v>3816538697.8699999</v>
      </c>
      <c r="EA197" s="1241">
        <v>23914</v>
      </c>
      <c r="EB197" s="1239">
        <v>4895612757.4499998</v>
      </c>
    </row>
    <row r="198" spans="127:132">
      <c r="DW198" s="1238">
        <v>46203</v>
      </c>
      <c r="DX198" s="1328" t="s">
        <v>1233</v>
      </c>
      <c r="DY198" t="s">
        <v>1234</v>
      </c>
      <c r="DZ198" s="1239">
        <v>1658789885.48</v>
      </c>
      <c r="EA198" s="1241">
        <v>10502</v>
      </c>
      <c r="EB198" s="1239">
        <v>2338189689.48</v>
      </c>
    </row>
    <row r="199" spans="127:132">
      <c r="DW199" s="1238">
        <v>46203</v>
      </c>
      <c r="DX199" s="1328" t="s">
        <v>1235</v>
      </c>
      <c r="DY199" t="s">
        <v>1236</v>
      </c>
      <c r="DZ199" s="1239">
        <v>825070429.49000001</v>
      </c>
      <c r="EA199" s="1241">
        <v>4862</v>
      </c>
      <c r="EB199" s="1239">
        <v>1218403384.97</v>
      </c>
    </row>
    <row r="200" spans="127:132">
      <c r="DW200" s="1238">
        <v>46203</v>
      </c>
      <c r="DX200" s="1328" t="s">
        <v>1237</v>
      </c>
      <c r="DY200" t="s">
        <v>1238</v>
      </c>
      <c r="DZ200" s="1239">
        <v>450808632.81999999</v>
      </c>
      <c r="EA200" s="1241">
        <v>2854</v>
      </c>
      <c r="EB200" s="1239">
        <v>708169124.05999994</v>
      </c>
    </row>
    <row r="201" spans="127:132">
      <c r="DW201" s="1238">
        <v>46203</v>
      </c>
      <c r="DX201" s="1328" t="s">
        <v>1239</v>
      </c>
      <c r="DY201" t="s">
        <v>1240</v>
      </c>
      <c r="DZ201" s="1239">
        <v>210447977.41</v>
      </c>
      <c r="EA201" s="1241">
        <v>1372</v>
      </c>
      <c r="EB201" s="1239">
        <v>341903695.49000001</v>
      </c>
    </row>
    <row r="202" spans="127:132">
      <c r="DW202" s="1238">
        <v>46203</v>
      </c>
      <c r="DX202" s="1328" t="s">
        <v>1241</v>
      </c>
      <c r="DY202" t="s">
        <v>1242</v>
      </c>
      <c r="DZ202" s="1239">
        <v>135644514.25</v>
      </c>
      <c r="EA202" s="1241">
        <v>921</v>
      </c>
      <c r="EB202" s="1239">
        <v>226412469.27000001</v>
      </c>
    </row>
    <row r="203" spans="127:132">
      <c r="DW203" s="1238">
        <v>46203</v>
      </c>
      <c r="DX203" s="1328" t="s">
        <v>2106</v>
      </c>
      <c r="DY203" t="s">
        <v>2084</v>
      </c>
      <c r="DZ203" s="1239">
        <v>0.34</v>
      </c>
      <c r="EA203" s="1241">
        <v>0</v>
      </c>
      <c r="EB203" s="1239">
        <v>0</v>
      </c>
    </row>
    <row r="204" spans="127:132">
      <c r="DW204" s="1238">
        <v>46203</v>
      </c>
      <c r="DX204" s="1328" t="s">
        <v>2107</v>
      </c>
      <c r="DY204" t="s">
        <v>2086</v>
      </c>
      <c r="DZ204" s="1239">
        <v>32.71</v>
      </c>
      <c r="EA204" s="1241">
        <v>0</v>
      </c>
      <c r="EB204" s="1239">
        <v>0</v>
      </c>
    </row>
    <row r="205" spans="127:132">
      <c r="DW205" s="1238">
        <v>46203</v>
      </c>
      <c r="DX205" s="1328" t="s">
        <v>2108</v>
      </c>
      <c r="DY205" t="s">
        <v>432</v>
      </c>
      <c r="DZ205" s="1239">
        <v>59.99</v>
      </c>
      <c r="EA205" s="1241">
        <v>0</v>
      </c>
      <c r="EB205" s="1239">
        <v>0</v>
      </c>
    </row>
    <row r="206" spans="127:132">
      <c r="DW206" s="1238">
        <v>46203</v>
      </c>
      <c r="DX206" s="1328" t="s">
        <v>932</v>
      </c>
      <c r="DY206" t="s">
        <v>530</v>
      </c>
      <c r="DZ206" s="1239">
        <v>4053698849.1900001</v>
      </c>
      <c r="EA206" s="1241">
        <v>23196</v>
      </c>
      <c r="EB206" s="1239">
        <v>5630096711.9099998</v>
      </c>
    </row>
    <row r="207" spans="127:132">
      <c r="DW207" s="1238">
        <v>46203</v>
      </c>
      <c r="DX207" s="1328" t="s">
        <v>933</v>
      </c>
      <c r="DY207" t="s">
        <v>531</v>
      </c>
      <c r="DZ207" s="1239">
        <v>319906832.13</v>
      </c>
      <c r="EA207" s="1241">
        <v>2822</v>
      </c>
      <c r="EB207" s="1239">
        <v>465248377.73000002</v>
      </c>
    </row>
    <row r="208" spans="127:132">
      <c r="DW208" s="1238">
        <v>46203</v>
      </c>
      <c r="DX208" s="1328" t="s">
        <v>934</v>
      </c>
      <c r="DY208" t="s">
        <v>532</v>
      </c>
      <c r="DZ208" s="1239">
        <v>1262335313.6099999</v>
      </c>
      <c r="EA208" s="1241">
        <v>10297</v>
      </c>
      <c r="EB208" s="1239">
        <v>1783067615.0899999</v>
      </c>
    </row>
    <row r="209" spans="127:132">
      <c r="DW209" s="1238">
        <v>46203</v>
      </c>
      <c r="DX209" s="1328" t="s">
        <v>935</v>
      </c>
      <c r="DY209" t="s">
        <v>533</v>
      </c>
      <c r="DZ209" s="1239">
        <v>467876725.73000002</v>
      </c>
      <c r="EA209" s="1241">
        <v>4004</v>
      </c>
      <c r="EB209" s="1239">
        <v>640370056.12</v>
      </c>
    </row>
    <row r="210" spans="127:132">
      <c r="DW210" s="1238">
        <v>46203</v>
      </c>
      <c r="DX210" s="1328" t="s">
        <v>936</v>
      </c>
      <c r="DY210" t="s">
        <v>534</v>
      </c>
      <c r="DZ210" s="1239">
        <v>137255600.61000001</v>
      </c>
      <c r="EA210" s="1241">
        <v>1295</v>
      </c>
      <c r="EB210" s="1239">
        <v>190559184.33000001</v>
      </c>
    </row>
    <row r="211" spans="127:132">
      <c r="DW211" s="1238">
        <v>46203</v>
      </c>
      <c r="DX211" s="1328" t="s">
        <v>937</v>
      </c>
      <c r="DY211" t="s">
        <v>535</v>
      </c>
      <c r="DZ211" s="1239">
        <v>348285924.24000001</v>
      </c>
      <c r="EA211" s="1241">
        <v>2722</v>
      </c>
      <c r="EB211" s="1239">
        <v>473454312.97000003</v>
      </c>
    </row>
    <row r="212" spans="127:132">
      <c r="DW212" s="1238">
        <v>46203</v>
      </c>
      <c r="DX212" s="1328" t="s">
        <v>938</v>
      </c>
      <c r="DY212" t="s">
        <v>536</v>
      </c>
      <c r="DZ212" s="1239">
        <v>275837247.93000001</v>
      </c>
      <c r="EA212" s="1241">
        <v>1993</v>
      </c>
      <c r="EB212" s="1239">
        <v>365413458.38</v>
      </c>
    </row>
    <row r="213" spans="127:132">
      <c r="DW213" s="1238">
        <v>46203</v>
      </c>
      <c r="DX213" s="1328" t="s">
        <v>939</v>
      </c>
      <c r="DY213" t="s">
        <v>537</v>
      </c>
      <c r="DZ213" s="1239">
        <v>772453968.23000002</v>
      </c>
      <c r="EA213" s="1241">
        <v>5458</v>
      </c>
      <c r="EB213" s="1239">
        <v>1045341677.08</v>
      </c>
    </row>
    <row r="214" spans="127:132">
      <c r="DW214" s="1238">
        <v>46203</v>
      </c>
      <c r="DX214" s="1328" t="s">
        <v>940</v>
      </c>
      <c r="DY214" t="s">
        <v>538</v>
      </c>
      <c r="DZ214" s="1239">
        <v>1028102222.1</v>
      </c>
      <c r="EA214" s="1241">
        <v>6858</v>
      </c>
      <c r="EB214" s="1239">
        <v>1413471887.4000001</v>
      </c>
    </row>
    <row r="215" spans="127:132">
      <c r="DW215" s="1238">
        <v>46203</v>
      </c>
      <c r="DX215" s="1328" t="s">
        <v>941</v>
      </c>
      <c r="DY215" t="s">
        <v>539</v>
      </c>
      <c r="DZ215" s="1239">
        <v>1162343300.6300001</v>
      </c>
      <c r="EA215" s="1241">
        <v>7128</v>
      </c>
      <c r="EB215" s="1239">
        <v>1579116804.0999999</v>
      </c>
    </row>
    <row r="216" spans="127:132">
      <c r="DW216" s="1238">
        <v>46203</v>
      </c>
      <c r="DX216" s="1328" t="s">
        <v>942</v>
      </c>
      <c r="DY216" t="s">
        <v>540</v>
      </c>
      <c r="DZ216" s="1239">
        <v>83456545.530000001</v>
      </c>
      <c r="EA216" s="1241">
        <v>567</v>
      </c>
      <c r="EB216" s="1239">
        <v>119926367.22</v>
      </c>
    </row>
    <row r="217" spans="127:132">
      <c r="DW217" s="1238">
        <v>46203</v>
      </c>
      <c r="DX217" s="1328" t="s">
        <v>943</v>
      </c>
      <c r="DY217" t="s">
        <v>541</v>
      </c>
      <c r="DZ217" s="1239">
        <v>159066852.41</v>
      </c>
      <c r="EA217" s="1241">
        <v>1555</v>
      </c>
      <c r="EB217" s="1239">
        <v>223876869.24000001</v>
      </c>
    </row>
    <row r="218" spans="127:132">
      <c r="DW218" s="1238">
        <v>46203</v>
      </c>
      <c r="DX218" s="1328" t="s">
        <v>944</v>
      </c>
      <c r="DY218" t="s">
        <v>542</v>
      </c>
      <c r="DZ218" s="1239">
        <v>660790345.47000003</v>
      </c>
      <c r="EA218" s="1241">
        <v>5273</v>
      </c>
      <c r="EB218" s="1239">
        <v>915505208.01999998</v>
      </c>
    </row>
    <row r="219" spans="127:132">
      <c r="DW219" s="1238">
        <v>46203</v>
      </c>
      <c r="DX219" s="1328" t="s">
        <v>945</v>
      </c>
      <c r="DY219" t="s">
        <v>544</v>
      </c>
      <c r="DZ219" s="1239">
        <v>1898483403.26</v>
      </c>
      <c r="EA219" s="1241">
        <v>15100</v>
      </c>
      <c r="EB219" s="1239">
        <v>2788393818.9400001</v>
      </c>
    </row>
    <row r="220" spans="127:132">
      <c r="DW220" s="1238">
        <v>46203</v>
      </c>
      <c r="DX220" s="1328" t="s">
        <v>946</v>
      </c>
      <c r="DY220" t="s">
        <v>545</v>
      </c>
      <c r="DZ220" s="1239">
        <v>1323018858.1700001</v>
      </c>
      <c r="EA220" s="1241">
        <v>10228</v>
      </c>
      <c r="EB220" s="1239">
        <v>2004212839.99</v>
      </c>
    </row>
    <row r="221" spans="127:132">
      <c r="DW221" s="1238">
        <v>46203</v>
      </c>
      <c r="DX221" s="1328" t="s">
        <v>947</v>
      </c>
      <c r="DY221" t="s">
        <v>546</v>
      </c>
      <c r="DZ221" s="1239">
        <v>7509907466.3800001</v>
      </c>
      <c r="EA221" s="1241">
        <v>47840</v>
      </c>
      <c r="EB221" s="1239">
        <v>10052841870.66</v>
      </c>
    </row>
    <row r="222" spans="127:132">
      <c r="DW222" s="1238">
        <v>46203</v>
      </c>
      <c r="DX222" s="1328" t="s">
        <v>948</v>
      </c>
      <c r="DY222" t="s">
        <v>1243</v>
      </c>
      <c r="DZ222" s="1239">
        <v>1131231414.8299999</v>
      </c>
      <c r="EA222" s="1241">
        <v>8467</v>
      </c>
      <c r="EB222" s="1239">
        <v>1769950736.23</v>
      </c>
    </row>
    <row r="223" spans="127:132">
      <c r="DW223" s="1238">
        <v>46203</v>
      </c>
      <c r="DX223" s="1328" t="s">
        <v>949</v>
      </c>
      <c r="DY223" t="s">
        <v>547</v>
      </c>
      <c r="DZ223" s="1239">
        <v>9600178312.9799995</v>
      </c>
      <c r="EA223" s="1241">
        <v>64701</v>
      </c>
      <c r="EB223" s="1239">
        <v>13075497793.360001</v>
      </c>
    </row>
    <row r="224" spans="127:132">
      <c r="DW224" s="1238">
        <v>46203</v>
      </c>
      <c r="DX224" s="1328" t="s">
        <v>1244</v>
      </c>
      <c r="DY224" t="s">
        <v>549</v>
      </c>
      <c r="DZ224" s="1239">
        <v>2383552.44</v>
      </c>
      <c r="EA224" s="1241">
        <v>2</v>
      </c>
      <c r="EB224" s="1239">
        <v>2700000</v>
      </c>
    </row>
    <row r="225" spans="127:132">
      <c r="DW225" s="1238">
        <v>46203</v>
      </c>
      <c r="DX225" s="1328" t="s">
        <v>1245</v>
      </c>
      <c r="DY225" t="s">
        <v>550</v>
      </c>
      <c r="DZ225" s="1239">
        <v>2349919.2200000002</v>
      </c>
      <c r="EA225" s="1241">
        <v>1</v>
      </c>
      <c r="EB225" s="1239">
        <v>2350000</v>
      </c>
    </row>
    <row r="226" spans="127:132">
      <c r="DW226" s="1238">
        <v>46203</v>
      </c>
      <c r="DX226" s="1328" t="s">
        <v>1246</v>
      </c>
      <c r="DY226" t="s">
        <v>551</v>
      </c>
      <c r="DZ226" s="1239">
        <v>2328326.27</v>
      </c>
      <c r="EA226" s="1241">
        <v>1</v>
      </c>
      <c r="EB226" s="1239">
        <v>2697000</v>
      </c>
    </row>
    <row r="227" spans="127:132">
      <c r="DW227" s="1238">
        <v>46203</v>
      </c>
      <c r="DX227" s="1328" t="s">
        <v>1247</v>
      </c>
      <c r="DY227" t="s">
        <v>552</v>
      </c>
      <c r="DZ227" s="1239">
        <v>2291913.96</v>
      </c>
      <c r="EA227" s="1241">
        <v>1</v>
      </c>
      <c r="EB227" s="1239">
        <v>2300000</v>
      </c>
    </row>
    <row r="228" spans="127:132">
      <c r="DW228" s="1238">
        <v>46203</v>
      </c>
      <c r="DX228" s="1328" t="s">
        <v>1248</v>
      </c>
      <c r="DY228" t="s">
        <v>553</v>
      </c>
      <c r="DZ228" s="1239">
        <v>2251245.14</v>
      </c>
      <c r="EA228" s="1241">
        <v>1</v>
      </c>
      <c r="EB228" s="1239">
        <v>2366816</v>
      </c>
    </row>
    <row r="229" spans="127:132">
      <c r="DW229" s="1238">
        <v>46203</v>
      </c>
      <c r="DX229" s="1328" t="s">
        <v>1249</v>
      </c>
      <c r="DY229" t="s">
        <v>554</v>
      </c>
      <c r="DZ229" s="1239">
        <v>2125029.14</v>
      </c>
      <c r="EA229" s="1241">
        <v>1</v>
      </c>
      <c r="EB229" s="1239">
        <v>2200000</v>
      </c>
    </row>
    <row r="230" spans="127:132">
      <c r="DW230" s="1238">
        <v>46203</v>
      </c>
      <c r="DX230" s="1328" t="s">
        <v>1250</v>
      </c>
      <c r="DY230" t="s">
        <v>555</v>
      </c>
      <c r="DZ230" s="1239">
        <v>2121801.94</v>
      </c>
      <c r="EA230" s="1241">
        <v>1</v>
      </c>
      <c r="EB230" s="1239">
        <v>2669400</v>
      </c>
    </row>
    <row r="231" spans="127:132">
      <c r="DW231" s="1238">
        <v>46203</v>
      </c>
      <c r="DX231" s="1328" t="s">
        <v>1251</v>
      </c>
      <c r="DY231" t="s">
        <v>556</v>
      </c>
      <c r="DZ231" s="1239">
        <v>2086127.91</v>
      </c>
      <c r="EA231" s="1241">
        <v>1</v>
      </c>
      <c r="EB231" s="1239">
        <v>2190000</v>
      </c>
    </row>
    <row r="232" spans="127:132">
      <c r="DW232" s="1238">
        <v>46203</v>
      </c>
      <c r="DX232" s="1328" t="s">
        <v>1252</v>
      </c>
      <c r="DY232" t="s">
        <v>557</v>
      </c>
      <c r="DZ232" s="1239">
        <v>2078606.46</v>
      </c>
      <c r="EA232" s="1241">
        <v>1</v>
      </c>
      <c r="EB232" s="1239">
        <v>2126000</v>
      </c>
    </row>
    <row r="233" spans="127:132">
      <c r="DW233" s="1238">
        <v>46203</v>
      </c>
      <c r="DX233" s="1328" t="s">
        <v>1253</v>
      </c>
      <c r="DY233" t="s">
        <v>558</v>
      </c>
      <c r="DZ233" s="1239">
        <v>2014154.78</v>
      </c>
      <c r="EA233" s="1241">
        <v>1</v>
      </c>
      <c r="EB233" s="1239">
        <v>2238286</v>
      </c>
    </row>
    <row r="234" spans="127:132">
      <c r="DW234" s="1238">
        <v>46203</v>
      </c>
      <c r="DX234" s="1328" t="s">
        <v>1254</v>
      </c>
      <c r="DY234" t="s">
        <v>559</v>
      </c>
      <c r="DZ234" s="1239">
        <v>2004791.23</v>
      </c>
      <c r="EA234" s="1241">
        <v>7</v>
      </c>
      <c r="EB234" s="1239">
        <v>2428700</v>
      </c>
    </row>
    <row r="235" spans="127:132">
      <c r="DW235" s="1238">
        <v>46203</v>
      </c>
      <c r="DX235" s="1328" t="s">
        <v>1255</v>
      </c>
      <c r="DY235" t="s">
        <v>560</v>
      </c>
      <c r="DZ235" s="1239">
        <v>1984343.36</v>
      </c>
      <c r="EA235" s="1241">
        <v>1</v>
      </c>
      <c r="EB235" s="1239">
        <v>2452107.0499999998</v>
      </c>
    </row>
    <row r="236" spans="127:132">
      <c r="DW236" s="1238">
        <v>46203</v>
      </c>
      <c r="DX236" s="1328" t="s">
        <v>1256</v>
      </c>
      <c r="DY236" t="s">
        <v>561</v>
      </c>
      <c r="DZ236" s="1239">
        <v>1978300.35</v>
      </c>
      <c r="EA236" s="1241">
        <v>1</v>
      </c>
      <c r="EB236" s="1239">
        <v>2488271</v>
      </c>
    </row>
    <row r="237" spans="127:132">
      <c r="DW237" s="1238">
        <v>46203</v>
      </c>
      <c r="DX237" s="1328" t="s">
        <v>1257</v>
      </c>
      <c r="DY237" t="s">
        <v>562</v>
      </c>
      <c r="DZ237" s="1239">
        <v>1968344.77</v>
      </c>
      <c r="EA237" s="1241">
        <v>1</v>
      </c>
      <c r="EB237" s="1239">
        <v>2318124</v>
      </c>
    </row>
    <row r="238" spans="127:132">
      <c r="DW238" s="1238">
        <v>46203</v>
      </c>
      <c r="DX238" s="1328" t="s">
        <v>1258</v>
      </c>
      <c r="DY238" t="s">
        <v>563</v>
      </c>
      <c r="DZ238" s="1239">
        <v>1962785.28</v>
      </c>
      <c r="EA238" s="1241">
        <v>1</v>
      </c>
      <c r="EB238" s="1239">
        <v>2116445.09</v>
      </c>
    </row>
    <row r="239" spans="127:132">
      <c r="DW239" s="1238">
        <v>46203</v>
      </c>
      <c r="DX239" s="1328" t="s">
        <v>1259</v>
      </c>
      <c r="DY239" t="s">
        <v>564</v>
      </c>
      <c r="DZ239" s="1239">
        <v>1948141.88</v>
      </c>
      <c r="EA239" s="1241">
        <v>1</v>
      </c>
      <c r="EB239" s="1239">
        <v>2268500</v>
      </c>
    </row>
    <row r="240" spans="127:132">
      <c r="DW240" s="1238">
        <v>46203</v>
      </c>
      <c r="DX240" s="1328" t="s">
        <v>1260</v>
      </c>
      <c r="DY240" t="s">
        <v>565</v>
      </c>
      <c r="DZ240" s="1239">
        <v>1944036.49</v>
      </c>
      <c r="EA240" s="1241">
        <v>2</v>
      </c>
      <c r="EB240" s="1239">
        <v>2000000</v>
      </c>
    </row>
    <row r="241" spans="127:132">
      <c r="DW241" s="1238">
        <v>46203</v>
      </c>
      <c r="DX241" s="1328" t="s">
        <v>1261</v>
      </c>
      <c r="DY241" t="s">
        <v>566</v>
      </c>
      <c r="DZ241" s="1239">
        <v>1939724.51</v>
      </c>
      <c r="EA241" s="1241">
        <v>1</v>
      </c>
      <c r="EB241" s="1239">
        <v>2259000</v>
      </c>
    </row>
    <row r="242" spans="127:132">
      <c r="DW242" s="1238">
        <v>46203</v>
      </c>
      <c r="DX242" s="1328" t="s">
        <v>1262</v>
      </c>
      <c r="DY242" t="s">
        <v>567</v>
      </c>
      <c r="DZ242" s="1239">
        <v>1912312.28</v>
      </c>
      <c r="EA242" s="1241">
        <v>1</v>
      </c>
      <c r="EB242" s="1239">
        <v>2339000</v>
      </c>
    </row>
    <row r="243" spans="127:132">
      <c r="DW243" s="1238">
        <v>46203</v>
      </c>
      <c r="DX243" s="1328" t="s">
        <v>1263</v>
      </c>
      <c r="DY243" t="s">
        <v>568</v>
      </c>
      <c r="DZ243" s="1239">
        <v>1820962.54</v>
      </c>
      <c r="EA243" s="1241">
        <v>2</v>
      </c>
      <c r="EB243" s="1239">
        <v>2357967.21</v>
      </c>
    </row>
    <row r="244" spans="127:132">
      <c r="DW244" s="1238">
        <v>46203</v>
      </c>
      <c r="DX244" s="1328" t="s">
        <v>106</v>
      </c>
      <c r="DY244" t="s">
        <v>1264</v>
      </c>
      <c r="DZ244" s="1239">
        <v>10731409727.809999</v>
      </c>
      <c r="EA244" s="1241">
        <v>73168</v>
      </c>
      <c r="EB244" s="1239">
        <v>14845448529.59</v>
      </c>
    </row>
    <row r="245" spans="127:132">
      <c r="DW245" s="1238">
        <v>46203</v>
      </c>
      <c r="DX245" s="1328" t="s">
        <v>1265</v>
      </c>
      <c r="DY245" t="s">
        <v>1266</v>
      </c>
      <c r="DZ245" s="1239">
        <v>7907950291.3900003</v>
      </c>
      <c r="EA245" s="1241">
        <v>49091</v>
      </c>
      <c r="EB245" s="1239">
        <v>10698360176.889999</v>
      </c>
    </row>
    <row r="246" spans="127:132">
      <c r="DW246" s="1238">
        <v>46203</v>
      </c>
      <c r="DX246" s="1328" t="s">
        <v>1267</v>
      </c>
      <c r="DY246" t="s">
        <v>1268</v>
      </c>
      <c r="DZ246" s="1239">
        <v>517370552.67000002</v>
      </c>
      <c r="EA246" s="1241">
        <v>3375</v>
      </c>
      <c r="EB246" s="1239">
        <v>756483551.73000002</v>
      </c>
    </row>
    <row r="247" spans="127:132">
      <c r="DW247" s="1238">
        <v>46203</v>
      </c>
      <c r="DX247" s="1328" t="s">
        <v>1269</v>
      </c>
      <c r="DY247" t="s">
        <v>1270</v>
      </c>
      <c r="DZ247" s="1239">
        <v>2306088883.75</v>
      </c>
      <c r="EA247" s="1241">
        <v>20702</v>
      </c>
      <c r="EB247" s="1239">
        <v>3390604800.9699998</v>
      </c>
    </row>
    <row r="248" spans="127:132">
      <c r="DW248" s="1238">
        <v>46203</v>
      </c>
      <c r="DX248" s="1328" t="s">
        <v>1271</v>
      </c>
      <c r="DY248" t="s">
        <v>570</v>
      </c>
      <c r="DZ248" s="1239">
        <v>9014359651.8999996</v>
      </c>
      <c r="EA248" s="1241">
        <v>59301</v>
      </c>
      <c r="EB248" s="1239">
        <v>12311837309.35</v>
      </c>
    </row>
    <row r="249" spans="127:132">
      <c r="DW249" s="1238">
        <v>46203</v>
      </c>
      <c r="DX249" s="1328" t="s">
        <v>1272</v>
      </c>
      <c r="DY249" t="s">
        <v>571</v>
      </c>
      <c r="DZ249" s="1239">
        <v>1106594092.8499999</v>
      </c>
      <c r="EA249" s="1241">
        <v>7509</v>
      </c>
      <c r="EB249" s="1239">
        <v>1454222652.3399999</v>
      </c>
    </row>
    <row r="250" spans="127:132">
      <c r="DW250" s="1238">
        <v>46203</v>
      </c>
      <c r="DX250" s="1328" t="s">
        <v>1273</v>
      </c>
      <c r="DY250" t="s">
        <v>572</v>
      </c>
      <c r="DZ250" s="1239">
        <v>0</v>
      </c>
      <c r="EA250" s="1241">
        <v>0</v>
      </c>
      <c r="EB250" s="1239">
        <v>0</v>
      </c>
    </row>
    <row r="251" spans="127:132">
      <c r="DW251" s="1238">
        <v>46203</v>
      </c>
      <c r="DX251" s="1328" t="s">
        <v>1276</v>
      </c>
      <c r="DY251" t="s">
        <v>547</v>
      </c>
      <c r="DZ251" s="1239">
        <v>610455983.05999994</v>
      </c>
      <c r="EA251" s="1241">
        <v>6358</v>
      </c>
      <c r="EB251" s="1239">
        <v>1079388567.9000001</v>
      </c>
    </row>
    <row r="252" spans="127:132">
      <c r="DW252" s="1238">
        <v>46203</v>
      </c>
      <c r="DX252" s="1328" t="s">
        <v>2109</v>
      </c>
      <c r="DY252" t="s">
        <v>2084</v>
      </c>
      <c r="DZ252" s="1239">
        <v>0.83</v>
      </c>
      <c r="EA252" s="1241">
        <v>0</v>
      </c>
      <c r="EB252" s="1239">
        <v>0</v>
      </c>
    </row>
    <row r="253" spans="127:132">
      <c r="DW253" s="1238">
        <v>46203</v>
      </c>
      <c r="DX253" s="1328" t="s">
        <v>2110</v>
      </c>
      <c r="DY253" t="s">
        <v>2086</v>
      </c>
      <c r="DZ253" s="1239">
        <v>5.49</v>
      </c>
      <c r="EA253" s="1241">
        <v>0</v>
      </c>
      <c r="EB253" s="1239">
        <v>0</v>
      </c>
    </row>
    <row r="254" spans="127:132">
      <c r="DW254" s="1238">
        <v>46203</v>
      </c>
      <c r="DX254" s="1328" t="s">
        <v>2111</v>
      </c>
      <c r="DY254" t="s">
        <v>432</v>
      </c>
      <c r="DZ254" s="1239">
        <v>16.5</v>
      </c>
      <c r="EA254" s="1241">
        <v>0</v>
      </c>
      <c r="EB254" s="1239">
        <v>0</v>
      </c>
    </row>
  </sheetData>
  <mergeCells count="88">
    <mergeCell ref="DX2:DX3"/>
    <mergeCell ref="DY2:DY3"/>
    <mergeCell ref="DZ2:DZ3"/>
    <mergeCell ref="EA2:EA3"/>
    <mergeCell ref="DB2:DB3"/>
    <mergeCell ref="DC2:DC3"/>
    <mergeCell ref="DD2:DD3"/>
    <mergeCell ref="DE2:DE3"/>
    <mergeCell ref="DH2:DH3"/>
    <mergeCell ref="DP2:DP3"/>
    <mergeCell ref="DQ2:DQ3"/>
    <mergeCell ref="DJ2:DJ3"/>
    <mergeCell ref="DK2:DK3"/>
    <mergeCell ref="DL2:DL3"/>
    <mergeCell ref="DM2:DM3"/>
    <mergeCell ref="DN2:DN3"/>
    <mergeCell ref="DW2:DW3"/>
    <mergeCell ref="CX2:CX3"/>
    <mergeCell ref="CY2:CY3"/>
    <mergeCell ref="DR2:DR3"/>
    <mergeCell ref="DS2:DS3"/>
    <mergeCell ref="DT2:DT3"/>
    <mergeCell ref="DU2:DU3"/>
    <mergeCell ref="DF2:DF3"/>
    <mergeCell ref="DG2:DG3"/>
    <mergeCell ref="CZ2:CZ3"/>
    <mergeCell ref="DA2:DA3"/>
    <mergeCell ref="DI2:DI3"/>
    <mergeCell ref="DO2:DO3"/>
    <mergeCell ref="DV2:DV3"/>
    <mergeCell ref="CW2:CW3"/>
    <mergeCell ref="BK2:BK3"/>
    <mergeCell ref="BL2:BL3"/>
    <mergeCell ref="BM2:BM3"/>
    <mergeCell ref="BN2:BN3"/>
    <mergeCell ref="BO2:BO3"/>
    <mergeCell ref="CQ2:CQ3"/>
    <mergeCell ref="BP2:BP3"/>
    <mergeCell ref="CR2:CR3"/>
    <mergeCell ref="CS2:CS3"/>
    <mergeCell ref="CT2:CT3"/>
    <mergeCell ref="CU2:CU3"/>
    <mergeCell ref="CV2:CV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W1:EA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9" zoomScale="85" zoomScaleNormal="85" workbookViewId="0"/>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228" t="s">
        <v>959</v>
      </c>
      <c r="C5" s="2229"/>
      <c r="D5" s="2229"/>
      <c r="E5" s="2229"/>
      <c r="F5" s="2229"/>
      <c r="G5" s="2229"/>
      <c r="H5" s="2229"/>
      <c r="I5" s="2229"/>
      <c r="J5" s="2229"/>
      <c r="K5" s="2229"/>
      <c r="L5" s="2229"/>
      <c r="M5" s="2229"/>
      <c r="N5" s="2229"/>
      <c r="O5" s="2229"/>
      <c r="P5" s="2229"/>
      <c r="Q5" s="2229"/>
    </row>
    <row r="7" spans="2:17" ht="15" thickBot="1"/>
    <row r="8" spans="2:17" ht="15.5" thickTop="1" thickBot="1">
      <c r="B8" s="1334" t="s">
        <v>960</v>
      </c>
      <c r="D8" s="2233" t="s">
        <v>955</v>
      </c>
      <c r="E8" s="2234"/>
      <c r="F8" s="2234"/>
      <c r="G8" s="2234"/>
      <c r="H8" s="2235"/>
    </row>
    <row r="9" spans="2:17" ht="15.5" thickTop="1" thickBot="1">
      <c r="B9" s="1333"/>
      <c r="D9" s="1330"/>
      <c r="E9" s="1330"/>
      <c r="F9" s="1330"/>
      <c r="G9" s="1330"/>
      <c r="H9" s="1330"/>
    </row>
    <row r="10" spans="2:17" ht="15.5" thickTop="1" thickBot="1">
      <c r="B10" s="1334" t="s">
        <v>99</v>
      </c>
      <c r="D10" s="2233" t="s">
        <v>956</v>
      </c>
      <c r="E10" s="2234"/>
      <c r="F10" s="2234"/>
      <c r="G10" s="2234"/>
      <c r="H10" s="2235"/>
    </row>
    <row r="11" spans="2:17" ht="15.5" thickTop="1" thickBot="1">
      <c r="B11" s="1333"/>
      <c r="D11" s="1330"/>
      <c r="E11" s="1330"/>
      <c r="F11" s="1330"/>
      <c r="G11" s="1330"/>
      <c r="H11" s="1330"/>
    </row>
    <row r="12" spans="2:17" ht="15.5" thickTop="1" thickBot="1">
      <c r="B12" s="1334" t="s">
        <v>3</v>
      </c>
      <c r="D12" s="2233" t="s">
        <v>957</v>
      </c>
      <c r="E12" s="2234"/>
      <c r="F12" s="2234"/>
      <c r="G12" s="2234"/>
      <c r="H12" s="2235"/>
    </row>
    <row r="13" spans="2:17" ht="15.5" thickTop="1" thickBot="1">
      <c r="B13" s="1333"/>
      <c r="D13" s="1330"/>
      <c r="E13" s="1330"/>
      <c r="F13" s="1330"/>
      <c r="G13" s="1330"/>
      <c r="H13" s="1330"/>
    </row>
    <row r="14" spans="2:17" ht="15.5" thickTop="1" thickBot="1">
      <c r="B14" s="1334" t="s">
        <v>4</v>
      </c>
      <c r="D14" s="2233" t="s">
        <v>961</v>
      </c>
      <c r="E14" s="2234"/>
      <c r="F14" s="2234"/>
      <c r="G14" s="2234"/>
      <c r="H14" s="2235"/>
    </row>
    <row r="15" spans="2:17" ht="15.5" thickTop="1" thickBot="1"/>
    <row r="16" spans="2:17" ht="15.5" thickTop="1" thickBot="1">
      <c r="B16" s="1334" t="s">
        <v>958</v>
      </c>
      <c r="D16" s="2233" t="s">
        <v>962</v>
      </c>
      <c r="E16" s="2234"/>
      <c r="F16" s="2234"/>
      <c r="G16" s="2234"/>
      <c r="H16" s="2235"/>
    </row>
    <row r="17" spans="2:11" ht="15.5" thickTop="1" thickBot="1"/>
    <row r="18" spans="2:11" ht="36.75" customHeight="1" thickTop="1" thickBot="1">
      <c r="B18" s="1334" t="s">
        <v>304</v>
      </c>
      <c r="D18" s="2230" t="s">
        <v>1310</v>
      </c>
      <c r="E18" s="2231"/>
      <c r="F18" s="2231"/>
      <c r="G18" s="2231"/>
      <c r="H18" s="2232"/>
    </row>
    <row r="19" spans="2:11" ht="15" thickTop="1"/>
    <row r="21" spans="2:11" ht="15" thickBot="1">
      <c r="G21" s="1703">
        <v>10</v>
      </c>
      <c r="H21" s="1703">
        <v>-5</v>
      </c>
      <c r="I21" s="1703">
        <v>-3</v>
      </c>
      <c r="J21" s="1703">
        <v>27</v>
      </c>
    </row>
    <row r="22" spans="2:11" ht="26.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5" thickBot="1">
      <c r="A4" s="1613" t="s">
        <v>1382</v>
      </c>
      <c r="B4" s="1613" t="s">
        <v>1383</v>
      </c>
      <c r="C4" s="1611" t="s">
        <v>1389</v>
      </c>
      <c r="D4" s="1620" t="s">
        <v>1390</v>
      </c>
      <c r="E4" s="1621" t="s">
        <v>1391</v>
      </c>
      <c r="F4" s="1622" t="s">
        <v>1387</v>
      </c>
      <c r="G4" s="1622" t="s">
        <v>1387</v>
      </c>
      <c r="H4" s="1623" t="s">
        <v>1392</v>
      </c>
      <c r="I4" s="1636">
        <f>'00 - Cover'!F16</f>
        <v>46203</v>
      </c>
    </row>
    <row r="5" spans="1:9" ht="26.5" thickBot="1">
      <c r="A5" s="1613" t="s">
        <v>1382</v>
      </c>
      <c r="B5" s="1613" t="s">
        <v>1383</v>
      </c>
      <c r="C5" s="1611" t="s">
        <v>1393</v>
      </c>
      <c r="D5" s="1620" t="s">
        <v>1394</v>
      </c>
      <c r="E5" s="1621" t="s">
        <v>1395</v>
      </c>
      <c r="F5" s="1622" t="s">
        <v>1387</v>
      </c>
      <c r="G5" s="1622" t="s">
        <v>1387</v>
      </c>
      <c r="H5" s="1623" t="s">
        <v>1396</v>
      </c>
      <c r="I5" s="1623" t="s">
        <v>1316</v>
      </c>
    </row>
    <row r="6" spans="1:9" ht="38" thickBot="1">
      <c r="A6" s="1613" t="s">
        <v>1382</v>
      </c>
      <c r="B6" s="1613" t="s">
        <v>1383</v>
      </c>
      <c r="C6" s="1611" t="s">
        <v>1397</v>
      </c>
      <c r="D6" s="1620" t="s">
        <v>1398</v>
      </c>
      <c r="E6" s="1621" t="s">
        <v>1399</v>
      </c>
      <c r="F6" s="1622" t="s">
        <v>1387</v>
      </c>
      <c r="G6" s="1622" t="s">
        <v>1387</v>
      </c>
      <c r="H6" s="1623" t="s">
        <v>1396</v>
      </c>
      <c r="I6" s="1623" t="s">
        <v>1825</v>
      </c>
    </row>
    <row r="7" spans="1:9" ht="26.5" thickBot="1">
      <c r="A7" s="1613" t="s">
        <v>1382</v>
      </c>
      <c r="B7" s="1613" t="s">
        <v>1383</v>
      </c>
      <c r="C7" s="1611" t="s">
        <v>1400</v>
      </c>
      <c r="D7" s="1620" t="s">
        <v>1401</v>
      </c>
      <c r="E7" s="1621" t="s">
        <v>1402</v>
      </c>
      <c r="F7" s="1622" t="s">
        <v>1387</v>
      </c>
      <c r="G7" s="1622" t="s">
        <v>1387</v>
      </c>
      <c r="H7" s="1623" t="s">
        <v>1403</v>
      </c>
      <c r="I7" s="1637" t="s">
        <v>1826</v>
      </c>
    </row>
    <row r="8" spans="1:9" ht="26.5" thickBot="1">
      <c r="A8" s="1613" t="s">
        <v>1382</v>
      </c>
      <c r="B8" s="1613" t="s">
        <v>1383</v>
      </c>
      <c r="C8" s="1611" t="s">
        <v>1404</v>
      </c>
      <c r="D8" s="1620" t="s">
        <v>1405</v>
      </c>
      <c r="E8" s="1621" t="s">
        <v>1406</v>
      </c>
      <c r="F8" s="1622" t="s">
        <v>1387</v>
      </c>
      <c r="G8" s="1622" t="s">
        <v>1387</v>
      </c>
      <c r="H8" s="1623" t="s">
        <v>1407</v>
      </c>
      <c r="I8" s="1638" t="s">
        <v>1947</v>
      </c>
    </row>
    <row r="9" spans="1:9" ht="29.5" thickBot="1">
      <c r="A9" s="1613" t="s">
        <v>1382</v>
      </c>
      <c r="B9" s="1613" t="s">
        <v>1383</v>
      </c>
      <c r="C9" s="1611" t="s">
        <v>1408</v>
      </c>
      <c r="D9" s="1620" t="s">
        <v>1409</v>
      </c>
      <c r="E9" s="1621" t="s">
        <v>1410</v>
      </c>
      <c r="F9" s="1622" t="s">
        <v>1387</v>
      </c>
      <c r="G9" s="1622" t="s">
        <v>1387</v>
      </c>
      <c r="H9" s="1623" t="s">
        <v>1403</v>
      </c>
      <c r="I9" s="1637" t="s">
        <v>1824</v>
      </c>
    </row>
    <row r="10" spans="1:9" ht="125.5" thickBot="1">
      <c r="A10" s="1613" t="s">
        <v>1382</v>
      </c>
      <c r="B10" s="1613" t="s">
        <v>1383</v>
      </c>
      <c r="C10" s="1611" t="s">
        <v>1411</v>
      </c>
      <c r="D10" s="1620" t="s">
        <v>1412</v>
      </c>
      <c r="E10" s="1621" t="s">
        <v>1413</v>
      </c>
      <c r="F10" s="1622" t="s">
        <v>1387</v>
      </c>
      <c r="G10" s="1622" t="s">
        <v>1387</v>
      </c>
      <c r="H10" s="1623" t="s">
        <v>1414</v>
      </c>
      <c r="I10" s="1623" t="s">
        <v>1827</v>
      </c>
    </row>
    <row r="11" spans="1:9" ht="125.5" thickBot="1">
      <c r="A11" s="1613" t="s">
        <v>1382</v>
      </c>
      <c r="B11" s="1613" t="s">
        <v>1383</v>
      </c>
      <c r="C11" s="1611" t="s">
        <v>1415</v>
      </c>
      <c r="D11" s="1620" t="s">
        <v>1416</v>
      </c>
      <c r="E11" s="1621" t="s">
        <v>1417</v>
      </c>
      <c r="F11" s="1622" t="s">
        <v>1387</v>
      </c>
      <c r="G11" s="1622" t="s">
        <v>1387</v>
      </c>
      <c r="H11" s="1623" t="s">
        <v>1414</v>
      </c>
      <c r="I11" s="1623" t="s">
        <v>1828</v>
      </c>
    </row>
    <row r="12" spans="1:9" ht="175.5" thickBot="1">
      <c r="A12" s="1613" t="s">
        <v>1382</v>
      </c>
      <c r="B12" s="1613" t="s">
        <v>1383</v>
      </c>
      <c r="C12" s="1611" t="s">
        <v>1418</v>
      </c>
      <c r="D12" s="1620" t="s">
        <v>1419</v>
      </c>
      <c r="E12" s="1621" t="s">
        <v>1420</v>
      </c>
      <c r="F12" s="1622" t="s">
        <v>1387</v>
      </c>
      <c r="G12" s="1622" t="s">
        <v>1387</v>
      </c>
      <c r="H12" s="1623" t="s">
        <v>1414</v>
      </c>
      <c r="I12" s="1623" t="s">
        <v>1829</v>
      </c>
    </row>
    <row r="13" spans="1:9" ht="38" thickBot="1">
      <c r="A13" s="1613" t="s">
        <v>1382</v>
      </c>
      <c r="B13" s="1613" t="s">
        <v>1383</v>
      </c>
      <c r="C13" s="1611" t="s">
        <v>1421</v>
      </c>
      <c r="D13" s="1620" t="s">
        <v>1422</v>
      </c>
      <c r="E13" s="1621" t="s">
        <v>1423</v>
      </c>
      <c r="F13" s="1622" t="s">
        <v>1387</v>
      </c>
      <c r="G13" s="1622" t="s">
        <v>1387</v>
      </c>
      <c r="H13" s="1623" t="s">
        <v>1424</v>
      </c>
      <c r="I13" s="1623" t="s">
        <v>1830</v>
      </c>
    </row>
    <row r="14" spans="1:9" ht="38" thickBot="1">
      <c r="A14" s="1613" t="s">
        <v>1382</v>
      </c>
      <c r="B14" s="1613" t="s">
        <v>1383</v>
      </c>
      <c r="C14" s="1611" t="s">
        <v>1425</v>
      </c>
      <c r="D14" s="1620" t="s">
        <v>1426</v>
      </c>
      <c r="E14" s="1621" t="s">
        <v>1427</v>
      </c>
      <c r="F14" s="1622" t="s">
        <v>1387</v>
      </c>
      <c r="G14" s="1622" t="s">
        <v>1387</v>
      </c>
      <c r="H14" s="1623" t="s">
        <v>1424</v>
      </c>
      <c r="I14" s="1623" t="s">
        <v>1831</v>
      </c>
    </row>
    <row r="15" spans="1:9" ht="26.5" thickBot="1">
      <c r="A15" s="1613" t="s">
        <v>1382</v>
      </c>
      <c r="B15" s="1613" t="s">
        <v>1383</v>
      </c>
      <c r="C15" s="1611" t="s">
        <v>1428</v>
      </c>
      <c r="D15" s="1620" t="s">
        <v>1429</v>
      </c>
      <c r="E15" s="1621" t="s">
        <v>1430</v>
      </c>
      <c r="F15" s="1622" t="s">
        <v>1387</v>
      </c>
      <c r="G15" s="1622" t="s">
        <v>1431</v>
      </c>
      <c r="H15" s="1623" t="s">
        <v>1392</v>
      </c>
      <c r="I15" s="1623" t="s">
        <v>1832</v>
      </c>
    </row>
    <row r="16" spans="1:9" ht="38" thickBot="1">
      <c r="A16" s="1613" t="s">
        <v>1382</v>
      </c>
      <c r="B16" s="1613" t="s">
        <v>1383</v>
      </c>
      <c r="C16" s="1611" t="s">
        <v>1432</v>
      </c>
      <c r="D16" s="1620" t="s">
        <v>1433</v>
      </c>
      <c r="E16" s="1621" t="s">
        <v>1434</v>
      </c>
      <c r="F16" s="1622" t="s">
        <v>1387</v>
      </c>
      <c r="G16" s="1622" t="s">
        <v>1431</v>
      </c>
      <c r="H16" s="1623" t="s">
        <v>1435</v>
      </c>
      <c r="I16" s="1639">
        <f>'03 - Monthly Collection'!AA13</f>
        <v>56341.16</v>
      </c>
    </row>
    <row r="17" spans="1:9" ht="15" thickBot="1">
      <c r="A17" s="1613"/>
      <c r="B17" s="1613"/>
      <c r="C17" s="1611"/>
      <c r="D17" s="1620"/>
      <c r="E17" s="1621"/>
      <c r="F17" s="1622"/>
      <c r="G17" s="1622"/>
      <c r="H17" s="1623"/>
      <c r="I17" s="1623" t="s">
        <v>308</v>
      </c>
    </row>
    <row r="18" spans="1:9" ht="38" thickBot="1">
      <c r="A18" s="1613" t="s">
        <v>1382</v>
      </c>
      <c r="B18" s="1613" t="s">
        <v>1383</v>
      </c>
      <c r="C18" s="1611" t="s">
        <v>1436</v>
      </c>
      <c r="D18" s="1620" t="s">
        <v>1437</v>
      </c>
      <c r="E18" s="1621" t="s">
        <v>1438</v>
      </c>
      <c r="F18" s="1622" t="s">
        <v>1387</v>
      </c>
      <c r="G18" s="1622" t="s">
        <v>1431</v>
      </c>
      <c r="H18" s="1623" t="s">
        <v>1435</v>
      </c>
      <c r="I18" s="1639">
        <f>'03 - Monthly Collection'!AJ13</f>
        <v>1030.72</v>
      </c>
    </row>
    <row r="19" spans="1:9" ht="15" thickBot="1">
      <c r="A19" s="1613"/>
      <c r="B19" s="1613"/>
      <c r="C19" s="1611"/>
      <c r="D19" s="1620"/>
      <c r="E19" s="1621"/>
      <c r="F19" s="1622"/>
      <c r="G19" s="1622"/>
      <c r="H19" s="1623"/>
      <c r="I19" s="1623" t="s">
        <v>308</v>
      </c>
    </row>
    <row r="20" spans="1:9" ht="38" thickBot="1">
      <c r="A20" s="1613" t="s">
        <v>1382</v>
      </c>
      <c r="B20" s="1613" t="s">
        <v>1383</v>
      </c>
      <c r="C20" s="1611" t="s">
        <v>1439</v>
      </c>
      <c r="D20" s="1620" t="s">
        <v>1440</v>
      </c>
      <c r="E20" s="1621" t="s">
        <v>1441</v>
      </c>
      <c r="F20" s="1622" t="s">
        <v>1387</v>
      </c>
      <c r="G20" s="1622" t="s">
        <v>1431</v>
      </c>
      <c r="H20" s="1623" t="s">
        <v>1435</v>
      </c>
      <c r="I20" s="1639">
        <f>'03 - Monthly Collection'!H13</f>
        <v>79467639.480000004</v>
      </c>
    </row>
    <row r="21" spans="1:9" ht="15" thickBot="1">
      <c r="A21" s="1613"/>
      <c r="B21" s="1613"/>
      <c r="C21" s="1611"/>
      <c r="D21" s="1620"/>
      <c r="E21" s="1621"/>
      <c r="F21" s="1622"/>
      <c r="G21" s="1622"/>
      <c r="H21" s="1623"/>
      <c r="I21" s="1623" t="s">
        <v>308</v>
      </c>
    </row>
    <row r="22" spans="1:9" ht="38"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27315950.300000001</v>
      </c>
    </row>
    <row r="23" spans="1:9" ht="15" thickBot="1">
      <c r="A23" s="1613"/>
      <c r="B23" s="1613"/>
      <c r="C23" s="1611"/>
      <c r="D23" s="1620"/>
      <c r="E23" s="1621"/>
      <c r="F23" s="1622"/>
      <c r="G23" s="1622"/>
      <c r="H23" s="1623"/>
      <c r="I23" s="1623" t="s">
        <v>308</v>
      </c>
    </row>
    <row r="24" spans="1:9" ht="26.5" thickBot="1">
      <c r="A24" s="1613" t="s">
        <v>1382</v>
      </c>
      <c r="B24" s="1613" t="s">
        <v>1383</v>
      </c>
      <c r="C24" s="1611" t="s">
        <v>1445</v>
      </c>
      <c r="D24" s="1620" t="s">
        <v>1446</v>
      </c>
      <c r="E24" s="1621" t="s">
        <v>1447</v>
      </c>
      <c r="F24" s="1622" t="s">
        <v>1387</v>
      </c>
      <c r="G24" s="1622" t="s">
        <v>1431</v>
      </c>
      <c r="H24" s="1623" t="s">
        <v>1424</v>
      </c>
      <c r="I24" s="1623" t="s">
        <v>1831</v>
      </c>
    </row>
    <row r="25" spans="1:9" ht="50.5" thickBot="1">
      <c r="A25" s="1613" t="s">
        <v>1382</v>
      </c>
      <c r="B25" s="1613" t="s">
        <v>1383</v>
      </c>
      <c r="C25" s="1611" t="s">
        <v>1448</v>
      </c>
      <c r="D25" s="1620" t="s">
        <v>1449</v>
      </c>
      <c r="E25" s="1621" t="s">
        <v>1450</v>
      </c>
      <c r="F25" s="1622" t="s">
        <v>1387</v>
      </c>
      <c r="G25" s="1622" t="s">
        <v>1387</v>
      </c>
      <c r="H25" s="1623" t="s">
        <v>1435</v>
      </c>
      <c r="I25" s="1639">
        <f>'15 - Priority of Payments'!J35</f>
        <v>7364299.2012008429</v>
      </c>
    </row>
    <row r="26" spans="1:9" ht="15" thickBot="1">
      <c r="A26" s="1613"/>
      <c r="B26" s="1613"/>
      <c r="C26" s="1611"/>
      <c r="D26" s="1620"/>
      <c r="E26" s="1621"/>
      <c r="F26" s="1622"/>
      <c r="G26" s="1622"/>
      <c r="H26" s="1623"/>
      <c r="I26" s="1623" t="s">
        <v>308</v>
      </c>
    </row>
    <row r="27" spans="1:9" ht="26.5" thickBot="1">
      <c r="A27" s="1613" t="s">
        <v>1382</v>
      </c>
      <c r="B27" s="1613" t="s">
        <v>1383</v>
      </c>
      <c r="C27" s="1611" t="s">
        <v>1451</v>
      </c>
      <c r="D27" s="1624" t="s">
        <v>1452</v>
      </c>
      <c r="E27" s="1621" t="s">
        <v>1453</v>
      </c>
      <c r="F27" s="1622" t="s">
        <v>1387</v>
      </c>
      <c r="G27" s="1622" t="s">
        <v>1387</v>
      </c>
      <c r="H27" s="1622" t="s">
        <v>1424</v>
      </c>
      <c r="I27" s="1623" t="s">
        <v>1831</v>
      </c>
    </row>
    <row r="28" spans="1:9" ht="50.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1.5321910757900647</v>
      </c>
    </row>
    <row r="29" spans="1:9" ht="75.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2.3881637095322095</v>
      </c>
    </row>
    <row r="30" spans="1:9" ht="38" thickBot="1">
      <c r="A30" s="1613" t="s">
        <v>1382</v>
      </c>
      <c r="B30" s="1613" t="s">
        <v>1383</v>
      </c>
      <c r="C30" s="1611" t="s">
        <v>1461</v>
      </c>
      <c r="D30" s="1620" t="s">
        <v>1462</v>
      </c>
      <c r="E30" s="1621" t="s">
        <v>1463</v>
      </c>
      <c r="F30" s="1622" t="s">
        <v>1387</v>
      </c>
      <c r="G30" s="1622" t="s">
        <v>1387</v>
      </c>
      <c r="H30" s="1623" t="s">
        <v>1435</v>
      </c>
      <c r="I30" s="1644">
        <v>0</v>
      </c>
    </row>
    <row r="31" spans="1:9" ht="15" thickBot="1">
      <c r="A31" s="1613"/>
      <c r="B31" s="1613"/>
      <c r="C31" s="1611"/>
      <c r="D31" s="1620"/>
      <c r="E31" s="1621"/>
      <c r="F31" s="1622"/>
      <c r="G31" s="1622"/>
      <c r="H31" s="1623"/>
      <c r="I31" s="1623" t="s">
        <v>308</v>
      </c>
    </row>
    <row r="32" spans="1:9" ht="50.5" thickBot="1">
      <c r="A32" s="1613" t="s">
        <v>1382</v>
      </c>
      <c r="B32" s="1613" t="s">
        <v>1383</v>
      </c>
      <c r="C32" s="1611" t="s">
        <v>1464</v>
      </c>
      <c r="D32" s="1620" t="s">
        <v>1465</v>
      </c>
      <c r="E32" s="1621" t="s">
        <v>1466</v>
      </c>
      <c r="F32" s="1622" t="s">
        <v>1387</v>
      </c>
      <c r="G32" s="1622" t="s">
        <v>1387</v>
      </c>
      <c r="H32" s="1623" t="s">
        <v>1435</v>
      </c>
      <c r="I32" s="1644">
        <v>0</v>
      </c>
    </row>
    <row r="33" spans="1:9" ht="15" thickBot="1">
      <c r="A33" s="1613"/>
      <c r="B33" s="1613"/>
      <c r="C33" s="1611"/>
      <c r="D33" s="1620"/>
      <c r="E33" s="1621"/>
      <c r="F33" s="1622"/>
      <c r="G33" s="1622"/>
      <c r="H33" s="1623"/>
      <c r="I33" s="1623" t="s">
        <v>308</v>
      </c>
    </row>
    <row r="34" spans="1:9" ht="50.5" thickBot="1">
      <c r="A34" s="1613" t="s">
        <v>1382</v>
      </c>
      <c r="B34" s="1613" t="s">
        <v>1383</v>
      </c>
      <c r="C34" s="1611" t="s">
        <v>1467</v>
      </c>
      <c r="D34" s="1620" t="s">
        <v>1468</v>
      </c>
      <c r="E34" s="1621" t="s">
        <v>1469</v>
      </c>
      <c r="F34" s="1622" t="s">
        <v>1431</v>
      </c>
      <c r="G34" s="1622" t="s">
        <v>1431</v>
      </c>
      <c r="H34" s="1623" t="s">
        <v>1435</v>
      </c>
      <c r="I34" s="1639">
        <f>'02 - Monthly Asset Follow up'!M17</f>
        <v>6910945.4800000004</v>
      </c>
    </row>
    <row r="35" spans="1:9" ht="15" thickBot="1">
      <c r="A35" s="1613"/>
      <c r="B35" s="1613"/>
      <c r="C35" s="1611"/>
      <c r="D35" s="1620"/>
      <c r="E35" s="1621"/>
      <c r="F35" s="1622"/>
      <c r="G35" s="1622"/>
      <c r="H35" s="1623"/>
      <c r="I35" s="1623" t="s">
        <v>308</v>
      </c>
    </row>
    <row r="36" spans="1:9" ht="88" thickBot="1">
      <c r="A36" s="1613" t="s">
        <v>1382</v>
      </c>
      <c r="B36" s="1613" t="s">
        <v>1383</v>
      </c>
      <c r="C36" s="1611" t="s">
        <v>1470</v>
      </c>
      <c r="D36" s="1620" t="s">
        <v>1471</v>
      </c>
      <c r="E36" s="1621" t="s">
        <v>1472</v>
      </c>
      <c r="F36" s="1622" t="s">
        <v>1387</v>
      </c>
      <c r="G36" s="1622" t="s">
        <v>1387</v>
      </c>
      <c r="H36" s="1623" t="s">
        <v>1435</v>
      </c>
      <c r="I36" s="1623">
        <v>0</v>
      </c>
    </row>
    <row r="37" spans="1:9" ht="15" thickBot="1">
      <c r="A37" s="1613"/>
      <c r="B37" s="1613"/>
      <c r="C37" s="1611"/>
      <c r="D37" s="1620"/>
      <c r="E37" s="1621"/>
      <c r="F37" s="1622"/>
      <c r="G37" s="1622"/>
      <c r="H37" s="1623"/>
      <c r="I37" s="1623" t="s">
        <v>308</v>
      </c>
    </row>
    <row r="38" spans="1:9" ht="75.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8.3227816350328609E-2</v>
      </c>
    </row>
    <row r="39" spans="1:9" ht="50.5" thickBot="1">
      <c r="A39" s="1613" t="s">
        <v>1382</v>
      </c>
      <c r="B39" s="1613" t="s">
        <v>1383</v>
      </c>
      <c r="C39" s="1611" t="s">
        <v>1476</v>
      </c>
      <c r="D39" s="1620" t="s">
        <v>1477</v>
      </c>
      <c r="E39" s="1621" t="s">
        <v>1478</v>
      </c>
      <c r="F39" s="1622" t="s">
        <v>1387</v>
      </c>
      <c r="G39" s="1622" t="s">
        <v>1387</v>
      </c>
      <c r="H39" s="1623" t="s">
        <v>1435</v>
      </c>
      <c r="I39" s="1639">
        <f>'02 - Monthly Asset Follow up'!BM17</f>
        <v>751161.99</v>
      </c>
    </row>
    <row r="40" spans="1:9" ht="15" thickBot="1">
      <c r="A40" s="1613"/>
      <c r="B40" s="1613"/>
      <c r="C40" s="1611"/>
      <c r="D40" s="1620"/>
      <c r="E40" s="1621"/>
      <c r="F40" s="1622"/>
      <c r="G40" s="1622"/>
      <c r="H40" s="1623"/>
      <c r="I40" s="1623" t="s">
        <v>308</v>
      </c>
    </row>
    <row r="41" spans="1:9" ht="50.5" thickBot="1">
      <c r="A41" s="1613" t="s">
        <v>1382</v>
      </c>
      <c r="B41" s="1613" t="s">
        <v>1383</v>
      </c>
      <c r="C41" s="1611" t="s">
        <v>1479</v>
      </c>
      <c r="D41" s="1620" t="s">
        <v>1480</v>
      </c>
      <c r="E41" s="1621" t="s">
        <v>1481</v>
      </c>
      <c r="F41" s="1622" t="s">
        <v>1431</v>
      </c>
      <c r="G41" s="1622" t="s">
        <v>1431</v>
      </c>
      <c r="H41" s="1623" t="s">
        <v>1435</v>
      </c>
      <c r="I41" s="1623"/>
    </row>
    <row r="42" spans="1:9" ht="15" thickBot="1">
      <c r="A42" s="1613"/>
      <c r="B42" s="1613"/>
      <c r="C42" s="1611"/>
      <c r="D42" s="1620"/>
      <c r="E42" s="1621"/>
      <c r="F42" s="1622"/>
      <c r="G42" s="1622"/>
      <c r="H42" s="1623"/>
      <c r="I42" s="1623" t="s">
        <v>308</v>
      </c>
    </row>
    <row r="43" spans="1:9" ht="75.5" thickBot="1">
      <c r="A43" s="1613" t="s">
        <v>1382</v>
      </c>
      <c r="B43" s="1613" t="s">
        <v>1383</v>
      </c>
      <c r="C43" s="1611" t="s">
        <v>1482</v>
      </c>
      <c r="D43" s="1620" t="s">
        <v>1483</v>
      </c>
      <c r="E43" s="1621" t="s">
        <v>1484</v>
      </c>
      <c r="F43" s="1622" t="s">
        <v>1387</v>
      </c>
      <c r="G43" s="1622" t="s">
        <v>1431</v>
      </c>
      <c r="H43" s="1623" t="s">
        <v>1414</v>
      </c>
      <c r="I43" s="1623" t="s">
        <v>1832</v>
      </c>
    </row>
    <row r="44" spans="1:9" ht="38" thickBot="1">
      <c r="A44" s="1613" t="s">
        <v>1382</v>
      </c>
      <c r="B44" s="1613" t="s">
        <v>1383</v>
      </c>
      <c r="C44" s="1611" t="s">
        <v>1485</v>
      </c>
      <c r="D44" s="1620" t="s">
        <v>1486</v>
      </c>
      <c r="E44" s="1621" t="s">
        <v>1487</v>
      </c>
      <c r="F44" s="1622" t="s">
        <v>1387</v>
      </c>
      <c r="G44" s="1622" t="s">
        <v>1431</v>
      </c>
      <c r="H44" s="1623" t="s">
        <v>1457</v>
      </c>
      <c r="I44" s="1623" t="s">
        <v>1832</v>
      </c>
    </row>
    <row r="45" spans="1:9" ht="38" thickBot="1">
      <c r="A45" s="1613" t="s">
        <v>1382</v>
      </c>
      <c r="B45" s="1613" t="s">
        <v>1383</v>
      </c>
      <c r="C45" s="1611" t="s">
        <v>1488</v>
      </c>
      <c r="D45" s="1620" t="s">
        <v>1489</v>
      </c>
      <c r="E45" s="1621" t="s">
        <v>1490</v>
      </c>
      <c r="F45" s="1622" t="s">
        <v>1387</v>
      </c>
      <c r="G45" s="1622" t="s">
        <v>1431</v>
      </c>
      <c r="H45" s="1623" t="s">
        <v>1457</v>
      </c>
      <c r="I45" s="1623" t="s">
        <v>1832</v>
      </c>
    </row>
    <row r="46" spans="1:9" ht="38" thickBot="1">
      <c r="A46" s="1613" t="s">
        <v>1382</v>
      </c>
      <c r="B46" s="1613" t="s">
        <v>1383</v>
      </c>
      <c r="C46" s="1611" t="s">
        <v>1491</v>
      </c>
      <c r="D46" s="1620" t="s">
        <v>1492</v>
      </c>
      <c r="E46" s="1621" t="s">
        <v>1493</v>
      </c>
      <c r="F46" s="1622" t="s">
        <v>1387</v>
      </c>
      <c r="G46" s="1622" t="s">
        <v>1431</v>
      </c>
      <c r="H46" s="1623" t="s">
        <v>1457</v>
      </c>
      <c r="I46" s="1623" t="s">
        <v>1832</v>
      </c>
    </row>
    <row r="47" spans="1:9" ht="38" thickBot="1">
      <c r="A47" s="1613" t="s">
        <v>1382</v>
      </c>
      <c r="B47" s="1613" t="s">
        <v>1383</v>
      </c>
      <c r="C47" s="1611" t="s">
        <v>1494</v>
      </c>
      <c r="D47" s="1620" t="s">
        <v>1495</v>
      </c>
      <c r="E47" s="1621" t="s">
        <v>1496</v>
      </c>
      <c r="F47" s="1622" t="s">
        <v>1387</v>
      </c>
      <c r="G47" s="1622" t="s">
        <v>1431</v>
      </c>
      <c r="H47" s="1623" t="s">
        <v>1457</v>
      </c>
      <c r="I47" s="1623" t="s">
        <v>1832</v>
      </c>
    </row>
    <row r="48" spans="1:9" ht="38" thickBot="1">
      <c r="A48" s="1613" t="s">
        <v>1382</v>
      </c>
      <c r="B48" s="1613" t="s">
        <v>1383</v>
      </c>
      <c r="C48" s="1611" t="s">
        <v>1497</v>
      </c>
      <c r="D48" s="1620" t="s">
        <v>1498</v>
      </c>
      <c r="E48" s="1621" t="s">
        <v>1499</v>
      </c>
      <c r="F48" s="1622" t="s">
        <v>1387</v>
      </c>
      <c r="G48" s="1622" t="s">
        <v>1431</v>
      </c>
      <c r="H48" s="1623" t="s">
        <v>1457</v>
      </c>
      <c r="I48" s="1623" t="s">
        <v>1832</v>
      </c>
    </row>
    <row r="49" spans="1:16" ht="38" thickBot="1">
      <c r="A49" s="1613" t="s">
        <v>1382</v>
      </c>
      <c r="B49" s="1613" t="s">
        <v>1383</v>
      </c>
      <c r="C49" s="1611" t="s">
        <v>1500</v>
      </c>
      <c r="D49" s="1620" t="s">
        <v>1501</v>
      </c>
      <c r="E49" s="1621" t="s">
        <v>1502</v>
      </c>
      <c r="F49" s="1622" t="s">
        <v>1387</v>
      </c>
      <c r="G49" s="1622" t="s">
        <v>1431</v>
      </c>
      <c r="H49" s="1623" t="s">
        <v>1457</v>
      </c>
      <c r="I49" s="1623" t="s">
        <v>1832</v>
      </c>
    </row>
    <row r="50" spans="1:16" ht="38" thickBot="1">
      <c r="A50" s="1613" t="s">
        <v>1382</v>
      </c>
      <c r="B50" s="1613" t="s">
        <v>1383</v>
      </c>
      <c r="C50" s="1611" t="s">
        <v>1503</v>
      </c>
      <c r="D50" s="1620" t="s">
        <v>1504</v>
      </c>
      <c r="E50" s="1621" t="s">
        <v>1505</v>
      </c>
      <c r="F50" s="1622" t="s">
        <v>1387</v>
      </c>
      <c r="G50" s="1622" t="s">
        <v>1431</v>
      </c>
      <c r="H50" s="1623" t="s">
        <v>1457</v>
      </c>
      <c r="I50" s="1623" t="s">
        <v>1832</v>
      </c>
    </row>
    <row r="51" spans="1:16" ht="50.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3.6914484531646225E-3</v>
      </c>
    </row>
    <row r="52" spans="1:16" ht="50.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1.2409343672238715E-3</v>
      </c>
    </row>
    <row r="53" spans="1:16" ht="50.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3.8572921125850512E-4</v>
      </c>
    </row>
    <row r="54" spans="1:16" ht="50.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1.5955694856778429E-4</v>
      </c>
    </row>
    <row r="55" spans="1:16" ht="50.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2.1653382816781233E-4</v>
      </c>
    </row>
    <row r="56" spans="1:16" ht="50.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5.9137767180334071E-5</v>
      </c>
    </row>
    <row r="57" spans="1:16" ht="50.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2.8799493061856183E-4</v>
      </c>
    </row>
    <row r="58" spans="1:16" ht="26.5" thickBot="1">
      <c r="A58" s="1613" t="s">
        <v>1382</v>
      </c>
      <c r="B58" s="1613" t="s">
        <v>1527</v>
      </c>
      <c r="C58" s="1614" t="s">
        <v>1527</v>
      </c>
      <c r="D58" s="1615"/>
      <c r="E58" s="1616"/>
      <c r="F58" s="1617" t="s">
        <v>143</v>
      </c>
      <c r="G58" s="1617" t="s">
        <v>143</v>
      </c>
      <c r="H58" s="1618"/>
      <c r="I58" s="1619"/>
    </row>
    <row r="59" spans="1:16" ht="26.5" thickBot="1">
      <c r="A59" s="1613" t="s">
        <v>1382</v>
      </c>
      <c r="B59" s="1613" t="s">
        <v>1527</v>
      </c>
      <c r="C59" s="1611" t="s">
        <v>1528</v>
      </c>
      <c r="D59" s="1620" t="s">
        <v>1385</v>
      </c>
      <c r="E59" s="1621" t="s">
        <v>1529</v>
      </c>
      <c r="F59" s="1622" t="s">
        <v>1387</v>
      </c>
      <c r="G59" s="1622" t="s">
        <v>1387</v>
      </c>
      <c r="H59" s="1623" t="s">
        <v>1388</v>
      </c>
      <c r="I59" s="1623"/>
    </row>
    <row r="60" spans="1:16" ht="38"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26.5"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38"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0.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8"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88"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 thickBot="1">
      <c r="A69" s="1613" t="s">
        <v>1382</v>
      </c>
      <c r="B69" s="1613" t="s">
        <v>1561</v>
      </c>
      <c r="C69" s="1614" t="s">
        <v>1561</v>
      </c>
      <c r="D69" s="1615"/>
      <c r="E69" s="1616"/>
      <c r="F69" s="1617" t="s">
        <v>143</v>
      </c>
      <c r="G69" s="1617" t="s">
        <v>143</v>
      </c>
      <c r="H69" s="1618"/>
      <c r="I69" s="1619"/>
    </row>
    <row r="70" spans="1:17" ht="15" thickBot="1">
      <c r="A70" s="1613" t="s">
        <v>1382</v>
      </c>
      <c r="B70" s="1613" t="s">
        <v>1561</v>
      </c>
      <c r="C70" s="1611" t="s">
        <v>1562</v>
      </c>
      <c r="D70" s="1620" t="s">
        <v>1385</v>
      </c>
      <c r="E70" s="1621" t="s">
        <v>1529</v>
      </c>
      <c r="F70" s="1622" t="s">
        <v>1387</v>
      </c>
      <c r="G70" s="1622" t="s">
        <v>1387</v>
      </c>
      <c r="H70" s="1623" t="s">
        <v>1388</v>
      </c>
      <c r="I70" s="1623"/>
    </row>
    <row r="71" spans="1:17" ht="25.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5.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18"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5.5" thickBot="1">
      <c r="A74" s="1613" t="s">
        <v>1382</v>
      </c>
      <c r="B74" s="1613" t="s">
        <v>1561</v>
      </c>
      <c r="C74" s="1611" t="s">
        <v>1572</v>
      </c>
      <c r="D74" s="1620" t="s">
        <v>1573</v>
      </c>
      <c r="E74" s="1621" t="s">
        <v>1574</v>
      </c>
      <c r="F74" s="1622" t="s">
        <v>1387</v>
      </c>
      <c r="G74" s="1622" t="s">
        <v>1387</v>
      </c>
      <c r="H74" s="1623" t="s">
        <v>1435</v>
      </c>
      <c r="I74" s="1639">
        <f>'15 - Priority of Payments'!J27</f>
        <v>110368449.09120145</v>
      </c>
      <c r="J74" s="1641">
        <f t="array" ref="J74:Q74">-TRANSPOSE('15 - Priority of Payments'!J28:J35)</f>
        <v>-2292358.2200000007</v>
      </c>
      <c r="K74" s="1641">
        <v>-4733776.5600000005</v>
      </c>
      <c r="L74" s="1641">
        <v>0</v>
      </c>
      <c r="M74" s="1641">
        <v>-90159440</v>
      </c>
      <c r="N74" s="1641">
        <v>-622908</v>
      </c>
      <c r="O74" s="1641">
        <v>-4745252.16</v>
      </c>
      <c r="P74" s="1641">
        <v>-450000</v>
      </c>
      <c r="Q74" s="1641">
        <v>-7364299.2012008429</v>
      </c>
    </row>
    <row r="75" spans="1:17" ht="1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3"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110368749.09</v>
      </c>
      <c r="J76" s="1639">
        <v>108076390.87</v>
      </c>
      <c r="K76" s="1639">
        <v>103342614.31</v>
      </c>
      <c r="L76" s="1639">
        <v>103342614.31</v>
      </c>
      <c r="M76" s="1639">
        <v>13183174.310000001</v>
      </c>
      <c r="N76" s="1639">
        <v>12560266.310000001</v>
      </c>
      <c r="O76" s="1639">
        <v>7815014.1500000004</v>
      </c>
      <c r="P76" s="1639">
        <v>7365014.1500000004</v>
      </c>
      <c r="Q76" s="1639">
        <v>714.95</v>
      </c>
    </row>
    <row r="77" spans="1:17" ht="1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85" zoomScaleNormal="85" workbookViewId="0">
      <selection activeCell="AK15" sqref="AK15"/>
    </sheetView>
  </sheetViews>
  <sheetFormatPr defaultColWidth="9.1796875" defaultRowHeight="12.5"/>
  <cols>
    <col min="1" max="1" width="3" style="170" customWidth="1"/>
    <col min="2" max="2" width="18" style="170" bestFit="1" customWidth="1"/>
    <col min="3" max="3" width="16" style="170" customWidth="1"/>
    <col min="4" max="4" width="1.453125" style="170" customWidth="1"/>
    <col min="5" max="22" width="20.1796875" style="170" customWidth="1"/>
    <col min="23" max="23" width="2.453125" style="170" customWidth="1"/>
    <col min="24" max="41" width="20.1796875" style="170" customWidth="1"/>
    <col min="42" max="42" width="2.453125" style="170" customWidth="1"/>
    <col min="43" max="43" width="9.1796875" style="170"/>
    <col min="44" max="44" width="20.1796875" style="170" customWidth="1"/>
    <col min="45" max="45" width="9.1796875" style="170"/>
    <col min="46" max="46" width="12.453125" style="170" bestFit="1" customWidth="1"/>
    <col min="47" max="47" width="14.81640625" style="170" bestFit="1" customWidth="1"/>
    <col min="48" max="48" width="9.1796875" style="170"/>
    <col min="49" max="49" width="20.1796875" style="170" customWidth="1"/>
    <col min="50" max="16384" width="9.1796875" style="170"/>
  </cols>
  <sheetData>
    <row r="3" spans="2:49" ht="13">
      <c r="P3" s="1213" t="s">
        <v>99</v>
      </c>
      <c r="Q3" s="1213">
        <f>'00 - Cover'!$F$17</f>
        <v>46203</v>
      </c>
      <c r="AC3" s="171"/>
      <c r="AD3" s="171"/>
      <c r="AE3" s="171"/>
      <c r="AF3" s="171"/>
      <c r="AR3" s="1782"/>
    </row>
    <row r="4" spans="2:49" ht="13">
      <c r="P4" s="1213" t="s">
        <v>4</v>
      </c>
      <c r="Q4" s="1213">
        <f>'00 - Cover'!$F$19</f>
        <v>46223</v>
      </c>
      <c r="AR4" s="1881">
        <f>AR5-AR13</f>
        <v>-7.5995922088623047E-7</v>
      </c>
    </row>
    <row r="5" spans="2:49" ht="14.5">
      <c r="P5" s="1213" t="s">
        <v>5</v>
      </c>
      <c r="Q5" s="1213">
        <f>'00 - Cover'!$F$20</f>
        <v>46230</v>
      </c>
      <c r="AR5" s="1803">
        <v>94781347.559999242</v>
      </c>
    </row>
    <row r="6" spans="2:49">
      <c r="AR6" s="1860"/>
      <c r="AT6" s="171"/>
    </row>
    <row r="7" spans="2:49" ht="15.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ht="13">
      <c r="B13" s="190">
        <f>'00 - Cover'!F15</f>
        <v>46174</v>
      </c>
      <c r="C13" s="191">
        <f>Q3</f>
        <v>46203</v>
      </c>
      <c r="E13" s="193">
        <f>IF($C13=0,"",SUMIFS(INPUT_DATA!AT:AT,INPUT_DATA!$A:$A,$C13,INPUT_DATA!$B:$B,"S"))</f>
        <v>57505424.600000001</v>
      </c>
      <c r="F13" s="194">
        <f>IF($C13=0,"",SUMIFS(INPUT_DATA!AU:AU,INPUT_DATA!$A:$A,$C13,INPUT_DATA!$B:$B,"S"))</f>
        <v>176875.08</v>
      </c>
      <c r="G13" s="195">
        <f>IF($C13=0,"",SUMIFS(INPUT_DATA!AV:AV,INPUT_DATA!$A:$A,$C13,INPUT_DATA!$B:$B,"S"))</f>
        <v>21785339.800000001</v>
      </c>
      <c r="H13" s="196">
        <f>IF($C13=0,"",E13+F13+G13)</f>
        <v>79467639.480000004</v>
      </c>
      <c r="I13" s="195">
        <f>IF($C13=0,"",SUMIFS(INPUT_DATA!AX:AX,INPUT_DATA!$A:$A,$C13,INPUT_DATA!$B:$B,"S"))</f>
        <v>15098891.300000001</v>
      </c>
      <c r="J13" s="195">
        <f>IF($C13=0,"",SUMIFS(INPUT_DATA!AY:AY,INPUT_DATA!$A:$A,$C13,INPUT_DATA!$B:$B,"S"))</f>
        <v>35922.300000000003</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121522.6</v>
      </c>
      <c r="O13" s="195">
        <f>IF($C13=0,"",SUMIFS(INPUT_DATA!BD:BD,INPUT_DATA!$A:$A,$C13,INPUT_DATA!$B:$B,"S"))</f>
        <v>0</v>
      </c>
      <c r="P13" s="195">
        <f>IF($C13=0,"",SUMIFS(INPUT_DATA!BE:BE,INPUT_DATA!$A:$A,$C13,INPUT_DATA!$B:$B,"S"))</f>
        <v>0</v>
      </c>
      <c r="Q13" s="197">
        <f>IF($C13=0,"",I13+J13+K13+L13+M13+N13+O13+P13)</f>
        <v>15256336.200000001</v>
      </c>
      <c r="R13" s="198">
        <f>IF($C13=0,"",SUMIFS(INPUT_DATA!BG:BG,INPUT_DATA!$A:$A,$C13,INPUT_DATA!$B:$B,"S"))</f>
        <v>0</v>
      </c>
      <c r="S13" s="198">
        <f>IF($C13=0,"",SUMIFS(INPUT_DATA!BH:BH,INPUT_DATA!$A:$A,$C13,INPUT_DATA!$B:$B,"S"))</f>
        <v>0</v>
      </c>
      <c r="T13" s="197">
        <f>IF($C13=0,"",H13+Q13+R13-S13)</f>
        <v>94723975.680000007</v>
      </c>
      <c r="U13" s="199">
        <f>IF($C13=0,"",SUMIFS(INPUT_DATA!BK:BK,INPUT_DATA!$A:$A,$C13,INPUT_DATA!$B:$B,"S"))</f>
        <v>94723975.680000007</v>
      </c>
      <c r="V13" s="200">
        <f>IF($C13=0,"",T13-U13)</f>
        <v>0</v>
      </c>
      <c r="X13" s="201">
        <f>IF($C13=0,"",SUMIFS(INPUT_DATA!AT:AT,INPUT_DATA!$A:$A,$C13,INPUT_DATA!$B:$B,"D"))</f>
        <v>56341.16</v>
      </c>
      <c r="Y13" s="195">
        <f>IF($C13=0,"",SUMIFS(INPUT_DATA!AU:AU,INPUT_DATA!$A:$A,$C13,INPUT_DATA!$B:$B,"D"))</f>
        <v>0</v>
      </c>
      <c r="Z13" s="195">
        <f>IF($C13=0,"",SUMIFS(INPUT_DATA!AV:AV,INPUT_DATA!$A:$A,$C13,INPUT_DATA!$B:$B,"D"))</f>
        <v>0</v>
      </c>
      <c r="AA13" s="196">
        <f>IF($C13=0,"",X13+Y13+Z13)</f>
        <v>56341.16</v>
      </c>
      <c r="AB13" s="195">
        <f>IF($C13=0,"",SUMIFS(INPUT_DATA!AX:AX,INPUT_DATA!$A:$A,$C13,INPUT_DATA!$B:$B,"D"))</f>
        <v>1030.72</v>
      </c>
      <c r="AC13" s="195">
        <f>IF($C13=0,"",SUMIFS(INPUT_DATA!AY:AY,INPUT_DATA!$A:$A,$C13,INPUT_DATA!$B:$B,"D"))</f>
        <v>0</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1030.72</v>
      </c>
      <c r="AK13" s="198">
        <f>IF($C13=0,"",SUMIFS(INPUT_DATA!BG:BG,INPUT_DATA!$A:$A,$C13,INPUT_DATA!$B:$B,"D"))</f>
        <v>0</v>
      </c>
      <c r="AL13" s="198">
        <f>IF($C13=0,"",SUMIFS(INPUT_DATA!BH:BH,INPUT_DATA!$A:$A,$C13,INPUT_DATA!$B:$B,"D"))</f>
        <v>0</v>
      </c>
      <c r="AM13" s="197">
        <f>IF($C13=0,"",AA13+AJ13+AK13)</f>
        <v>57371.880000000005</v>
      </c>
      <c r="AN13" s="199">
        <f>IF($C13=0,"",SUMIFS(INPUT_DATA!BK:BK,INPUT_DATA!$A:$A,$C13,INPUT_DATA!$B:$B,"D"))</f>
        <v>57371.88</v>
      </c>
      <c r="AO13" s="200">
        <f>IF($C13=0,"",AM13-AN13)</f>
        <v>7.2759576141834259E-12</v>
      </c>
      <c r="AR13" s="200">
        <f>IF($C13=0,"",T13+AN13)</f>
        <v>94781347.560000002</v>
      </c>
      <c r="AS13" s="202"/>
      <c r="AT13" s="203">
        <f>IF($C13=0,"",'02 - Monthly Asset Follow up'!E17+'02 - Monthly Asset Follow up'!F17-'02 - Monthly Asset Follow up'!V17+'02 - Monthly Asset Follow up'!Y17-H13)</f>
        <v>0</v>
      </c>
      <c r="AU13" s="203">
        <f>IF($C13=0,"",'02 - Monthly Asset Follow up'!BB17+'02 - Monthly Asset Follow up'!BC17-'02 - Monthly Asset Follow up'!BR17+'02 - Monthly Asset Follow up'!BU17-AA13)</f>
        <v>-2.9103830456733704E-11</v>
      </c>
      <c r="AW13" s="204"/>
    </row>
    <row r="14" spans="2:49" s="192" customFormat="1" ht="13">
      <c r="B14" s="1573">
        <f>IF(C15=0,"",C15+1)</f>
        <v>46143</v>
      </c>
      <c r="C14" s="1574">
        <f>'02 - Monthly Asset Follow up'!B18</f>
        <v>46173</v>
      </c>
      <c r="E14" s="205">
        <f>IF($C14=0,"",SUMIFS(INPUT_DATA!AT:AT,INPUT_DATA!$A:$A,$C14,INPUT_DATA!$B:$B,"S"))</f>
        <v>57446578.609999999</v>
      </c>
      <c r="F14" s="206">
        <f>IF($C14=0,"",SUMIFS(INPUT_DATA!AU:AU,INPUT_DATA!$A:$A,$C14,INPUT_DATA!$B:$B,"S"))</f>
        <v>143120.76</v>
      </c>
      <c r="G14" s="206">
        <f>IF($C14=0,"",SUMIFS(INPUT_DATA!AV:AV,INPUT_DATA!$A:$A,$C14,INPUT_DATA!$B:$B,"S"))</f>
        <v>20665137.280000001</v>
      </c>
      <c r="H14" s="207">
        <f>IF($C14=0,"",E14+F14+G14)</f>
        <v>78254836.650000006</v>
      </c>
      <c r="I14" s="206">
        <f>IF($C14=0,"",SUMIFS(INPUT_DATA!AX:AX,INPUT_DATA!$A:$A,$C14,INPUT_DATA!$B:$B,"S"))</f>
        <v>15217007.640000001</v>
      </c>
      <c r="J14" s="206">
        <f>IF($C14=0,"",SUMIFS(INPUT_DATA!AY:AY,INPUT_DATA!$A:$A,$C14,INPUT_DATA!$B:$B,"S"))</f>
        <v>31356.69</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111729.97</v>
      </c>
      <c r="O14" s="206">
        <f>IF($C14=0,"",SUMIFS(INPUT_DATA!BD:BD,INPUT_DATA!$A:$A,$C14,INPUT_DATA!$B:$B,"S"))</f>
        <v>0</v>
      </c>
      <c r="P14" s="206">
        <f>IF($C14=0,"",SUMIFS(INPUT_DATA!BE:BE,INPUT_DATA!$A:$A,$C14,INPUT_DATA!$B:$B,"S"))</f>
        <v>0</v>
      </c>
      <c r="Q14" s="208">
        <f>IF($C14=0,"",I14+J14+K14+L14+M14+N14+O14+P14)</f>
        <v>15360094.300000001</v>
      </c>
      <c r="R14" s="209">
        <f>IF($C14=0,"",SUMIFS(INPUT_DATA!BG:BG,INPUT_DATA!$A:$A,$C14,INPUT_DATA!$B:$B,"S"))</f>
        <v>0</v>
      </c>
      <c r="S14" s="209">
        <f>IF($C14=0,"",SUMIFS(INPUT_DATA!BH:BH,INPUT_DATA!$A:$A,$C14,INPUT_DATA!$B:$B,"S"))</f>
        <v>0</v>
      </c>
      <c r="T14" s="208">
        <f>IF($C14=0,"",H14+Q14+R14-S14)</f>
        <v>93614930.950000003</v>
      </c>
      <c r="U14" s="210">
        <f>IF($C14=0,"",SUMIFS(INPUT_DATA!BK:BK,INPUT_DATA!$A:$A,$C14,INPUT_DATA!$B:$B,"S"))</f>
        <v>93614930.950000003</v>
      </c>
      <c r="V14" s="214">
        <f>IF($C14=0,"",T14-U14)</f>
        <v>0</v>
      </c>
      <c r="X14" s="205">
        <f>IF($C14=0,"",SUMIFS(INPUT_DATA!AT:AT,INPUT_DATA!$A:$A,$C14,INPUT_DATA!$B:$B,"D"))</f>
        <v>158254.82</v>
      </c>
      <c r="Y14" s="206">
        <f>IF($C14=0,"",SUMIFS(INPUT_DATA!AU:AU,INPUT_DATA!$A:$A,$C14,INPUT_DATA!$B:$B,"D"))</f>
        <v>0</v>
      </c>
      <c r="Z14" s="206">
        <f>IF($C14=0,"",SUMIFS(INPUT_DATA!AV:AV,INPUT_DATA!$A:$A,$C14,INPUT_DATA!$B:$B,"D"))</f>
        <v>0</v>
      </c>
      <c r="AA14" s="207">
        <f>IF($C14=0,"",X14+Y14+Z14)</f>
        <v>158254.82</v>
      </c>
      <c r="AB14" s="206">
        <f>IF($C14=0,"",SUMIFS(INPUT_DATA!AX:AX,INPUT_DATA!$A:$A,$C14,INPUT_DATA!$B:$B,"D"))</f>
        <v>840.85</v>
      </c>
      <c r="AC14" s="206">
        <f>IF($C14=0,"",SUMIFS(INPUT_DATA!AY:AY,INPUT_DATA!$A:$A,$C14,INPUT_DATA!$B:$B,"D"))</f>
        <v>0</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840.85</v>
      </c>
      <c r="AK14" s="209">
        <f>IF($C14=0,"",SUMIFS(INPUT_DATA!BG:BG,INPUT_DATA!$A:$A,$C14,INPUT_DATA!$B:$B,"D"))</f>
        <v>0</v>
      </c>
      <c r="AL14" s="209">
        <f>IF($C14=0,"",SUMIFS(INPUT_DATA!BH:BH,INPUT_DATA!$A:$A,$C14,INPUT_DATA!$B:$B,"D"))</f>
        <v>0</v>
      </c>
      <c r="AM14" s="208">
        <f>IF($C14=0,"",AA14+AJ14+AK14)</f>
        <v>159095.67000000001</v>
      </c>
      <c r="AN14" s="210">
        <f>IF($C14=0,"",SUMIFS(INPUT_DATA!BK:BK,INPUT_DATA!$A:$A,$C14,INPUT_DATA!$B:$B,"D"))</f>
        <v>159095.67000000001</v>
      </c>
      <c r="AO14" s="211">
        <f>IF($C14=0,"",AM14-AN14)</f>
        <v>0</v>
      </c>
      <c r="AR14" s="211">
        <f>IF($C14=0,"",T14+AN14)</f>
        <v>93774026.620000005</v>
      </c>
      <c r="AS14" s="202"/>
      <c r="AT14" s="203">
        <f>IF($C14=0,"",'02 - Monthly Asset Follow up'!E18+'02 - Monthly Asset Follow up'!F18-'02 - Monthly Asset Follow up'!V18+'02 - Monthly Asset Follow up'!Y18-H14)</f>
        <v>0</v>
      </c>
      <c r="AU14" s="203">
        <f>IF($C14=0,"",'02 - Monthly Asset Follow up'!BB18+'02 - Monthly Asset Follow up'!BC18-'02 - Monthly Asset Follow up'!BR18+'02 - Monthly Asset Follow up'!BU18-AA14)</f>
        <v>-2.9103830456733704E-11</v>
      </c>
      <c r="AW14" s="204"/>
    </row>
    <row r="15" spans="2:49" ht="13">
      <c r="B15" s="1573">
        <f t="shared" ref="B15:B78" si="0">IF(C16=0,"",C16+1)</f>
        <v>46113</v>
      </c>
      <c r="C15" s="1574">
        <f>'02 - Monthly Asset Follow up'!B19</f>
        <v>46142</v>
      </c>
      <c r="D15" s="212"/>
      <c r="E15" s="205">
        <f>IF($C15=0,"",SUMIFS(INPUT_DATA!AT:AT,INPUT_DATA!$A:$A,$C15,INPUT_DATA!$B:$B,"S"))</f>
        <v>57591677.380000003</v>
      </c>
      <c r="F15" s="206">
        <f>IF($C15=0,"",SUMIFS(INPUT_DATA!AU:AU,INPUT_DATA!$A:$A,$C15,INPUT_DATA!$B:$B,"S"))</f>
        <v>165626.97</v>
      </c>
      <c r="G15" s="206">
        <f>IF($C15=0,"",SUMIFS(INPUT_DATA!AV:AV,INPUT_DATA!$A:$A,$C15,INPUT_DATA!$B:$B,"S"))</f>
        <v>25843781</v>
      </c>
      <c r="H15" s="213">
        <f t="shared" ref="H15:H78" si="1">IF($C15=0,"",E15+F15+G15)</f>
        <v>83601085.349999994</v>
      </c>
      <c r="I15" s="206">
        <f>IF($C15=0,"",SUMIFS(INPUT_DATA!AX:AX,INPUT_DATA!$A:$A,$C15,INPUT_DATA!$B:$B,"S"))</f>
        <v>15321570.09</v>
      </c>
      <c r="J15" s="206">
        <f>IF($C15=0,"",SUMIFS(INPUT_DATA!AY:AY,INPUT_DATA!$A:$A,$C15,INPUT_DATA!$B:$B,"S"))</f>
        <v>34872.81</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134217.22</v>
      </c>
      <c r="O15" s="206">
        <f>IF($C15=0,"",SUMIFS(INPUT_DATA!BD:BD,INPUT_DATA!$A:$A,$C15,INPUT_DATA!$B:$B,"S"))</f>
        <v>0</v>
      </c>
      <c r="P15" s="206">
        <f>IF($C15=0,"",SUMIFS(INPUT_DATA!BE:BE,INPUT_DATA!$A:$A,$C15,INPUT_DATA!$B:$B,"S"))</f>
        <v>0</v>
      </c>
      <c r="Q15" s="208">
        <f t="shared" ref="Q15:Q78" si="2">IF($C15=0,"",I15+J15+K15+L15+M15+N15+O15+P15)</f>
        <v>15490660.120000001</v>
      </c>
      <c r="R15" s="209">
        <f>IF($C15=0,"",SUMIFS(INPUT_DATA!BG:BG,INPUT_DATA!$A:$A,$C15,INPUT_DATA!$B:$B,"S"))</f>
        <v>0</v>
      </c>
      <c r="S15" s="209">
        <f>IF($C15=0,"",SUMIFS(INPUT_DATA!BH:BH,INPUT_DATA!$A:$A,$C15,INPUT_DATA!$B:$B,"S"))</f>
        <v>0</v>
      </c>
      <c r="T15" s="208">
        <f t="shared" ref="T15:T78" si="3">IF($C15=0,"",H15+Q15+R15-S15)</f>
        <v>99091745.469999999</v>
      </c>
      <c r="U15" s="210">
        <f>IF($C15=0,"",SUMIFS(INPUT_DATA!BK:BK,INPUT_DATA!$A:$A,$C15,INPUT_DATA!$B:$B,"S"))</f>
        <v>99091745.469999999</v>
      </c>
      <c r="V15" s="214">
        <f t="shared" ref="V15:V78" si="4">IF($C15=0,"",T15-U15)</f>
        <v>0</v>
      </c>
      <c r="W15" s="212"/>
      <c r="X15" s="205">
        <f>IF($C15=0,"",SUMIFS(INPUT_DATA!AT:AT,INPUT_DATA!$A:$A,$C15,INPUT_DATA!$B:$B,"D"))</f>
        <v>753.59</v>
      </c>
      <c r="Y15" s="206">
        <f>IF($C15=0,"",SUMIFS(INPUT_DATA!AU:AU,INPUT_DATA!$A:$A,$C15,INPUT_DATA!$B:$B,"D"))</f>
        <v>491.75</v>
      </c>
      <c r="Z15" s="206">
        <f>IF($C15=0,"",SUMIFS(INPUT_DATA!AV:AV,INPUT_DATA!$A:$A,$C15,INPUT_DATA!$B:$B,"D"))</f>
        <v>0</v>
      </c>
      <c r="AA15" s="207">
        <f>IF($C15=0,"",X15+Y15+Z15)</f>
        <v>1245.3400000000001</v>
      </c>
      <c r="AB15" s="206">
        <f>IF($C15=0,"",SUMIFS(INPUT_DATA!AX:AX,INPUT_DATA!$A:$A,$C15,INPUT_DATA!$B:$B,"D"))</f>
        <v>101.59</v>
      </c>
      <c r="AC15" s="206">
        <f>IF($C15=0,"",SUMIFS(INPUT_DATA!AY:AY,INPUT_DATA!$A:$A,$C15,INPUT_DATA!$B:$B,"D"))</f>
        <v>1228.25</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1329.84</v>
      </c>
      <c r="AK15" s="209">
        <f>IF($C15=0,"",SUMIFS(INPUT_DATA!BG:BG,INPUT_DATA!$A:$A,$C15,INPUT_DATA!$B:$B,"D"))</f>
        <v>0</v>
      </c>
      <c r="AL15" s="209">
        <f>IF($C15=0,"",SUMIFS(INPUT_DATA!BH:BH,INPUT_DATA!$A:$A,$C15,INPUT_DATA!$B:$B,"D"))</f>
        <v>0</v>
      </c>
      <c r="AM15" s="208">
        <f>IF($C15=0,"",AA15+AJ15+AK15)</f>
        <v>2575.1800000000003</v>
      </c>
      <c r="AN15" s="210">
        <f>IF($C15=0,"",SUMIFS(INPUT_DATA!BK:BK,INPUT_DATA!$A:$A,$C15,INPUT_DATA!$B:$B,"D"))</f>
        <v>2575.1799999999998</v>
      </c>
      <c r="AO15" s="211">
        <f>IF($C15=0,"",AM15-AN15)</f>
        <v>4.5474735088646412E-13</v>
      </c>
      <c r="AP15" s="212"/>
      <c r="AR15" s="211">
        <f t="shared" ref="AR15:AR78" si="5">IF($C15=0,"",T15+AN15)</f>
        <v>99094320.650000006</v>
      </c>
      <c r="AS15" s="171"/>
      <c r="AT15" s="203">
        <f>IF($C15=0,"",'02 - Monthly Asset Follow up'!E19+'02 - Monthly Asset Follow up'!F19-'02 - Monthly Asset Follow up'!V19+'02 - Monthly Asset Follow up'!Y19-H15)</f>
        <v>0</v>
      </c>
      <c r="AU15" s="203">
        <f>IF($C15=0,"",'02 - Monthly Asset Follow up'!BB19+'02 - Monthly Asset Follow up'!BC19-'02 - Monthly Asset Follow up'!BR19+'02 - Monthly Asset Follow up'!BU19-AA15)</f>
        <v>0</v>
      </c>
      <c r="AW15" s="215"/>
    </row>
    <row r="16" spans="2:49" ht="13">
      <c r="B16" s="1573">
        <f t="shared" si="0"/>
        <v>46082</v>
      </c>
      <c r="C16" s="1574">
        <f>'02 - Monthly Asset Follow up'!B20</f>
        <v>46112</v>
      </c>
      <c r="D16" s="212"/>
      <c r="E16" s="205">
        <f>IF($C16=0,"",SUMIFS(INPUT_DATA!AT:AT,INPUT_DATA!$A:$A,$C16,INPUT_DATA!$B:$B,"S"))</f>
        <v>57734008.5</v>
      </c>
      <c r="F16" s="206">
        <f>IF($C16=0,"",SUMIFS(INPUT_DATA!AU:AU,INPUT_DATA!$A:$A,$C16,INPUT_DATA!$B:$B,"S"))</f>
        <v>172767.69</v>
      </c>
      <c r="G16" s="206">
        <f>IF($C16=0,"",SUMIFS(INPUT_DATA!AV:AV,INPUT_DATA!$A:$A,$C16,INPUT_DATA!$B:$B,"S"))</f>
        <v>27792090.75</v>
      </c>
      <c r="H16" s="213">
        <f t="shared" si="1"/>
        <v>85698866.939999998</v>
      </c>
      <c r="I16" s="206">
        <f>IF($C16=0,"",SUMIFS(INPUT_DATA!AX:AX,INPUT_DATA!$A:$A,$C16,INPUT_DATA!$B:$B,"S"))</f>
        <v>15465869.619999999</v>
      </c>
      <c r="J16" s="206">
        <f>IF($C16=0,"",SUMIFS(INPUT_DATA!AY:AY,INPUT_DATA!$A:$A,$C16,INPUT_DATA!$B:$B,"S"))</f>
        <v>35307.910000000003</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179020.79999999999</v>
      </c>
      <c r="O16" s="206">
        <f>IF($C16=0,"",SUMIFS(INPUT_DATA!BD:BD,INPUT_DATA!$A:$A,$C16,INPUT_DATA!$B:$B,"S"))</f>
        <v>0</v>
      </c>
      <c r="P16" s="206">
        <f>IF($C16=0,"",SUMIFS(INPUT_DATA!BE:BE,INPUT_DATA!$A:$A,$C16,INPUT_DATA!$B:$B,"S"))</f>
        <v>0</v>
      </c>
      <c r="Q16" s="208">
        <f t="shared" si="2"/>
        <v>15680198.33</v>
      </c>
      <c r="R16" s="209">
        <f>IF($C16=0,"",SUMIFS(INPUT_DATA!BG:BG,INPUT_DATA!$A:$A,$C16,INPUT_DATA!$B:$B,"S"))</f>
        <v>0</v>
      </c>
      <c r="S16" s="209">
        <f>IF($C16=0,"",SUMIFS(INPUT_DATA!BH:BH,INPUT_DATA!$A:$A,$C16,INPUT_DATA!$B:$B,"S"))</f>
        <v>0</v>
      </c>
      <c r="T16" s="208">
        <f t="shared" si="3"/>
        <v>101379065.27</v>
      </c>
      <c r="U16" s="210">
        <f>IF($C16=0,"",SUMIFS(INPUT_DATA!BK:BK,INPUT_DATA!$A:$A,$C16,INPUT_DATA!$B:$B,"S"))</f>
        <v>101379065.27</v>
      </c>
      <c r="V16" s="214">
        <f t="shared" si="4"/>
        <v>0</v>
      </c>
      <c r="W16" s="212"/>
      <c r="X16" s="205">
        <f>IF($C16=0,"",SUMIFS(INPUT_DATA!AT:AT,INPUT_DATA!$A:$A,$C16,INPUT_DATA!$B:$B,"D"))</f>
        <v>100999.22</v>
      </c>
      <c r="Y16" s="206">
        <f>IF($C16=0,"",SUMIFS(INPUT_DATA!AU:AU,INPUT_DATA!$A:$A,$C16,INPUT_DATA!$B:$B,"D"))</f>
        <v>0</v>
      </c>
      <c r="Z16" s="206">
        <f>IF($C16=0,"",SUMIFS(INPUT_DATA!AV:AV,INPUT_DATA!$A:$A,$C16,INPUT_DATA!$B:$B,"D"))</f>
        <v>0</v>
      </c>
      <c r="AA16" s="207">
        <f>IF($C16=0,"",X16+Y16+Z16)</f>
        <v>100999.22</v>
      </c>
      <c r="AB16" s="206">
        <f>IF($C16=0,"",SUMIFS(INPUT_DATA!AX:AX,INPUT_DATA!$A:$A,$C16,INPUT_DATA!$B:$B,"D"))</f>
        <v>336.77</v>
      </c>
      <c r="AC16" s="206">
        <f>IF($C16=0,"",SUMIFS(INPUT_DATA!AY:AY,INPUT_DATA!$A:$A,$C16,INPUT_DATA!$B:$B,"D"))</f>
        <v>0</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336.77</v>
      </c>
      <c r="AK16" s="209">
        <f>IF($C16=0,"",SUMIFS(INPUT_DATA!BG:BG,INPUT_DATA!$A:$A,$C16,INPUT_DATA!$B:$B,"D"))</f>
        <v>0</v>
      </c>
      <c r="AL16" s="209">
        <f>IF($C16=0,"",SUMIFS(INPUT_DATA!BH:BH,INPUT_DATA!$A:$A,$C16,INPUT_DATA!$B:$B,"D"))</f>
        <v>0</v>
      </c>
      <c r="AM16" s="208">
        <f>IF($C16=0,"",AA16+AJ16+AK16)</f>
        <v>101335.99</v>
      </c>
      <c r="AN16" s="210">
        <f>IF($C16=0,"",SUMIFS(INPUT_DATA!BK:BK,INPUT_DATA!$A:$A,$C16,INPUT_DATA!$B:$B,"D"))</f>
        <v>101335.99</v>
      </c>
      <c r="AO16" s="211">
        <f>IF($C16=0,"",AM16-AN16)</f>
        <v>0</v>
      </c>
      <c r="AP16" s="212"/>
      <c r="AR16" s="211">
        <f t="shared" si="5"/>
        <v>101480401.25999999</v>
      </c>
      <c r="AT16" s="203">
        <f>IF($C16=0,"",'02 - Monthly Asset Follow up'!E20+'02 - Monthly Asset Follow up'!F20-'02 - Monthly Asset Follow up'!V20+'02 - Monthly Asset Follow up'!Y20-H16)</f>
        <v>1.4901161193847656E-8</v>
      </c>
      <c r="AU16" s="203">
        <f>IF($C16=0,"",'02 - Monthly Asset Follow up'!BB20+'02 - Monthly Asset Follow up'!BC20-'02 - Monthly Asset Follow up'!BR20+'02 - Monthly Asset Follow up'!BU20-AA16)</f>
        <v>-1.4551915228366852E-11</v>
      </c>
      <c r="AW16" s="215"/>
    </row>
    <row r="17" spans="2:49" ht="13">
      <c r="B17" s="1573">
        <f t="shared" si="0"/>
        <v>46054</v>
      </c>
      <c r="C17" s="1574">
        <f>'02 - Monthly Asset Follow up'!B21</f>
        <v>46081</v>
      </c>
      <c r="D17" s="212"/>
      <c r="E17" s="205">
        <f>IF($C17=0,"",SUMIFS(INPUT_DATA!AT:AT,INPUT_DATA!$A:$A,$C17,INPUT_DATA!$B:$B,"S"))</f>
        <v>57862350.140000001</v>
      </c>
      <c r="F17" s="206">
        <f>IF($C17=0,"",SUMIFS(INPUT_DATA!AU:AU,INPUT_DATA!$A:$A,$C17,INPUT_DATA!$B:$B,"S"))</f>
        <v>206862.51</v>
      </c>
      <c r="G17" s="206">
        <f>IF($C17=0,"",SUMIFS(INPUT_DATA!AV:AV,INPUT_DATA!$A:$A,$C17,INPUT_DATA!$B:$B,"S"))</f>
        <v>26628699.350000001</v>
      </c>
      <c r="H17" s="213">
        <f t="shared" si="1"/>
        <v>84697912</v>
      </c>
      <c r="I17" s="206">
        <f>IF($C17=0,"",SUMIFS(INPUT_DATA!AX:AX,INPUT_DATA!$A:$A,$C17,INPUT_DATA!$B:$B,"S"))</f>
        <v>15635635.99</v>
      </c>
      <c r="J17" s="206">
        <f>IF($C17=0,"",SUMIFS(INPUT_DATA!AY:AY,INPUT_DATA!$A:$A,$C17,INPUT_DATA!$B:$B,"S"))</f>
        <v>41094.75</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197347.67</v>
      </c>
      <c r="O17" s="206">
        <f>IF($C17=0,"",SUMIFS(INPUT_DATA!BD:BD,INPUT_DATA!$A:$A,$C17,INPUT_DATA!$B:$B,"S"))</f>
        <v>0</v>
      </c>
      <c r="P17" s="206">
        <f>IF($C17=0,"",SUMIFS(INPUT_DATA!BE:BE,INPUT_DATA!$A:$A,$C17,INPUT_DATA!$B:$B,"S"))</f>
        <v>0</v>
      </c>
      <c r="Q17" s="208">
        <f t="shared" si="2"/>
        <v>15874078.41</v>
      </c>
      <c r="R17" s="209">
        <f>IF($C17=0,"",SUMIFS(INPUT_DATA!BG:BG,INPUT_DATA!$A:$A,$C17,INPUT_DATA!$B:$B,"S"))</f>
        <v>0</v>
      </c>
      <c r="S17" s="209">
        <f>IF($C17=0,"",SUMIFS(INPUT_DATA!BH:BH,INPUT_DATA!$A:$A,$C17,INPUT_DATA!$B:$B,"S"))</f>
        <v>0</v>
      </c>
      <c r="T17" s="208">
        <f t="shared" si="3"/>
        <v>100571990.41</v>
      </c>
      <c r="U17" s="210">
        <f>IF($C17=0,"",SUMIFS(INPUT_DATA!BK:BK,INPUT_DATA!$A:$A,$C17,INPUT_DATA!$B:$B,"S"))</f>
        <v>100571990.41</v>
      </c>
      <c r="V17" s="214">
        <f t="shared" si="4"/>
        <v>0</v>
      </c>
      <c r="W17" s="212"/>
      <c r="X17" s="205">
        <f>IF($C17=0,"",SUMIFS(INPUT_DATA!AT:AT,INPUT_DATA!$A:$A,$C17,INPUT_DATA!$B:$B,"D"))</f>
        <v>59301.89</v>
      </c>
      <c r="Y17" s="206">
        <f>IF($C17=0,"",SUMIFS(INPUT_DATA!AU:AU,INPUT_DATA!$A:$A,$C17,INPUT_DATA!$B:$B,"D"))</f>
        <v>104780.21</v>
      </c>
      <c r="Z17" s="206">
        <f>IF($C17=0,"",SUMIFS(INPUT_DATA!AV:AV,INPUT_DATA!$A:$A,$C17,INPUT_DATA!$B:$B,"D"))</f>
        <v>0</v>
      </c>
      <c r="AA17" s="207">
        <f>IF($C17=0,"",X17+Y17+Z17)</f>
        <v>164082.1</v>
      </c>
      <c r="AB17" s="206">
        <f>IF($C17=0,"",SUMIFS(INPUT_DATA!AX:AX,INPUT_DATA!$A:$A,$C17,INPUT_DATA!$B:$B,"D"))</f>
        <v>-174.67</v>
      </c>
      <c r="AC17" s="206">
        <f>IF($C17=0,"",SUMIFS(INPUT_DATA!AY:AY,INPUT_DATA!$A:$A,$C17,INPUT_DATA!$B:$B,"D"))</f>
        <v>112.8</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-61.86999999999999</v>
      </c>
      <c r="AK17" s="209">
        <f>IF($C17=0,"",SUMIFS(INPUT_DATA!BG:BG,INPUT_DATA!$A:$A,$C17,INPUT_DATA!$B:$B,"D"))</f>
        <v>0</v>
      </c>
      <c r="AL17" s="209">
        <f>IF($C17=0,"",SUMIFS(INPUT_DATA!BH:BH,INPUT_DATA!$A:$A,$C17,INPUT_DATA!$B:$B,"D"))</f>
        <v>0</v>
      </c>
      <c r="AM17" s="208">
        <f>IF($C17=0,"",AA17+AJ17+AK17)</f>
        <v>164020.23000000001</v>
      </c>
      <c r="AN17" s="210">
        <f>IF($C17=0,"",SUMIFS(INPUT_DATA!BK:BK,INPUT_DATA!$A:$A,$C17,INPUT_DATA!$B:$B,"D"))</f>
        <v>164020.23000000001</v>
      </c>
      <c r="AO17" s="211">
        <f>IF($C17=0,"",AM17-AN17)</f>
        <v>0</v>
      </c>
      <c r="AP17" s="212"/>
      <c r="AR17" s="211">
        <f t="shared" si="5"/>
        <v>100736010.64</v>
      </c>
      <c r="AT17" s="203">
        <f>IF($C17=0,"",'02 - Monthly Asset Follow up'!E21+'02 - Monthly Asset Follow up'!F21-'02 - Monthly Asset Follow up'!V21+'02 - Monthly Asset Follow up'!Y21-H17)</f>
        <v>1.4901161193847656E-8</v>
      </c>
      <c r="AU17" s="203">
        <f>IF($C17=0,"",'02 - Monthly Asset Follow up'!BB21+'02 - Monthly Asset Follow up'!BC21-'02 - Monthly Asset Follow up'!BR21+'02 - Monthly Asset Follow up'!BU21-AA17)</f>
        <v>0</v>
      </c>
      <c r="AW17" s="215"/>
    </row>
    <row r="18" spans="2:49" ht="13">
      <c r="B18" s="1573">
        <f t="shared" si="0"/>
        <v>46023</v>
      </c>
      <c r="C18" s="1574">
        <f>'02 - Monthly Asset Follow up'!B22</f>
        <v>46053</v>
      </c>
      <c r="D18" s="212"/>
      <c r="E18" s="205">
        <f>IF($C18=0,"",SUMIFS(INPUT_DATA!AT:AT,INPUT_DATA!$A:$A,$C18,INPUT_DATA!$B:$B,"S"))</f>
        <v>59023361.420000002</v>
      </c>
      <c r="F18" s="206">
        <f>IF($C18=0,"",SUMIFS(INPUT_DATA!AU:AU,INPUT_DATA!$A:$A,$C18,INPUT_DATA!$B:$B,"S"))</f>
        <v>182598.61</v>
      </c>
      <c r="G18" s="206">
        <f>IF($C18=0,"",SUMIFS(INPUT_DATA!AV:AV,INPUT_DATA!$A:$A,$C18,INPUT_DATA!$B:$B,"S"))</f>
        <v>31941079.600000001</v>
      </c>
      <c r="H18" s="213">
        <f t="shared" si="1"/>
        <v>91147039.629999995</v>
      </c>
      <c r="I18" s="206">
        <f>IF($C18=0,"",SUMIFS(INPUT_DATA!AX:AX,INPUT_DATA!$A:$A,$C18,INPUT_DATA!$B:$B,"S"))</f>
        <v>15745434.960000001</v>
      </c>
      <c r="J18" s="206">
        <f>IF($C18=0,"",SUMIFS(INPUT_DATA!AY:AY,INPUT_DATA!$A:$A,$C18,INPUT_DATA!$B:$B,"S"))</f>
        <v>40030.28</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215553.44</v>
      </c>
      <c r="O18" s="206">
        <f>IF($C18=0,"",SUMIFS(INPUT_DATA!BD:BD,INPUT_DATA!$A:$A,$C18,INPUT_DATA!$B:$B,"S"))</f>
        <v>0</v>
      </c>
      <c r="P18" s="206">
        <f>IF($C18=0,"",SUMIFS(INPUT_DATA!BE:BE,INPUT_DATA!$A:$A,$C18,INPUT_DATA!$B:$B,"S"))</f>
        <v>0</v>
      </c>
      <c r="Q18" s="208">
        <f t="shared" si="2"/>
        <v>16001018.68</v>
      </c>
      <c r="R18" s="209">
        <f>IF($C18=0,"",SUMIFS(INPUT_DATA!BG:BG,INPUT_DATA!$A:$A,$C18,INPUT_DATA!$B:$B,"S"))</f>
        <v>0</v>
      </c>
      <c r="S18" s="209">
        <f>IF($C18=0,"",SUMIFS(INPUT_DATA!BH:BH,INPUT_DATA!$A:$A,$C18,INPUT_DATA!$B:$B,"S"))</f>
        <v>0</v>
      </c>
      <c r="T18" s="208">
        <f t="shared" si="3"/>
        <v>107148058.31</v>
      </c>
      <c r="U18" s="210">
        <f>IF($C18=0,"",SUMIFS(INPUT_DATA!BK:BK,INPUT_DATA!$A:$A,$C18,INPUT_DATA!$B:$B,"S"))</f>
        <v>107148058.31</v>
      </c>
      <c r="V18" s="214">
        <f t="shared" si="4"/>
        <v>0</v>
      </c>
      <c r="W18" s="212"/>
      <c r="X18" s="205">
        <f>IF($C18=0,"",SUMIFS(INPUT_DATA!AT:AT,INPUT_DATA!$A:$A,$C18,INPUT_DATA!$B:$B,"D"))</f>
        <v>818851.16</v>
      </c>
      <c r="Y18" s="206">
        <f>IF($C18=0,"",SUMIFS(INPUT_DATA!AU:AU,INPUT_DATA!$A:$A,$C18,INPUT_DATA!$B:$B,"D"))</f>
        <v>12981.68</v>
      </c>
      <c r="Z18" s="206">
        <f>IF($C18=0,"",SUMIFS(INPUT_DATA!AV:AV,INPUT_DATA!$A:$A,$C18,INPUT_DATA!$B:$B,"D"))</f>
        <v>0</v>
      </c>
      <c r="AA18" s="207">
        <f t="shared" ref="AA18:AA81" si="6">IF($C18=0,"",X18+Y18+Z18)</f>
        <v>831832.84000000008</v>
      </c>
      <c r="AB18" s="206">
        <f>IF($C18=0,"",SUMIFS(INPUT_DATA!AX:AX,INPUT_DATA!$A:$A,$C18,INPUT_DATA!$B:$B,"D"))</f>
        <v>3629.41</v>
      </c>
      <c r="AC18" s="206">
        <f>IF($C18=0,"",SUMIFS(INPUT_DATA!AY:AY,INPUT_DATA!$A:$A,$C18,INPUT_DATA!$B:$B,"D"))</f>
        <v>12222.33</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15851.74</v>
      </c>
      <c r="AK18" s="209">
        <f>IF($C18=0,"",SUMIFS(INPUT_DATA!BG:BG,INPUT_DATA!$A:$A,$C18,INPUT_DATA!$B:$B,"D"))</f>
        <v>0</v>
      </c>
      <c r="AL18" s="209">
        <f>IF($C18=0,"",SUMIFS(INPUT_DATA!BH:BH,INPUT_DATA!$A:$A,$C18,INPUT_DATA!$B:$B,"D"))</f>
        <v>0</v>
      </c>
      <c r="AM18" s="208">
        <f t="shared" ref="AM18:AM81" si="8">IF($C18=0,"",AA18+AJ18+AK18)</f>
        <v>847684.58000000007</v>
      </c>
      <c r="AN18" s="210">
        <f>IF($C18=0,"",SUMIFS(INPUT_DATA!BK:BK,INPUT_DATA!$A:$A,$C18,INPUT_DATA!$B:$B,"D"))</f>
        <v>847684.58</v>
      </c>
      <c r="AO18" s="211">
        <f t="shared" ref="AO18:AO81" si="9">IF($C18=0,"",AM18-AN18)</f>
        <v>1.1641532182693481E-10</v>
      </c>
      <c r="AP18" s="212"/>
      <c r="AR18" s="211">
        <f t="shared" si="5"/>
        <v>107995742.89</v>
      </c>
      <c r="AT18" s="203">
        <f>IF($C18=0,"",'02 - Monthly Asset Follow up'!E22+'02 - Monthly Asset Follow up'!F22-'02 - Monthly Asset Follow up'!V22+'02 - Monthly Asset Follow up'!Y22-H18)</f>
        <v>1.4901161193847656E-8</v>
      </c>
      <c r="AU18" s="203">
        <f>IF($C18=0,"",'02 - Monthly Asset Follow up'!BB22+'02 - Monthly Asset Follow up'!BC22-'02 - Monthly Asset Follow up'!BR22+'02 - Monthly Asset Follow up'!BU22-AA18)</f>
        <v>0</v>
      </c>
      <c r="AW18" s="215"/>
    </row>
    <row r="19" spans="2:49" ht="13">
      <c r="B19" s="1573">
        <f t="shared" si="0"/>
        <v>45992</v>
      </c>
      <c r="C19" s="1574">
        <f>'02 - Monthly Asset Follow up'!B23</f>
        <v>46022</v>
      </c>
      <c r="D19" s="212"/>
      <c r="E19" s="205">
        <f>IF($C19=0,"",SUMIFS(INPUT_DATA!AT:AT,INPUT_DATA!$A:$A,$C19,INPUT_DATA!$B:$B,"S"))</f>
        <v>58311574.539999999</v>
      </c>
      <c r="F19" s="206">
        <f>IF($C19=0,"",SUMIFS(INPUT_DATA!AU:AU,INPUT_DATA!$A:$A,$C19,INPUT_DATA!$B:$B,"S"))</f>
        <v>202390.91</v>
      </c>
      <c r="G19" s="206">
        <f>IF($C19=0,"",SUMIFS(INPUT_DATA!AV:AV,INPUT_DATA!$A:$A,$C19,INPUT_DATA!$B:$B,"S"))</f>
        <v>28299915.91</v>
      </c>
      <c r="H19" s="213">
        <f t="shared" si="1"/>
        <v>86813881.359999999</v>
      </c>
      <c r="I19" s="206">
        <f>IF($C19=0,"",SUMIFS(INPUT_DATA!AX:AX,INPUT_DATA!$A:$A,$C19,INPUT_DATA!$B:$B,"S"))</f>
        <v>15890388.619999999</v>
      </c>
      <c r="J19" s="206">
        <f>IF($C19=0,"",SUMIFS(INPUT_DATA!AY:AY,INPUT_DATA!$A:$A,$C19,INPUT_DATA!$B:$B,"S"))</f>
        <v>39626.28</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165882.74</v>
      </c>
      <c r="O19" s="206">
        <f>IF($C19=0,"",SUMIFS(INPUT_DATA!BD:BD,INPUT_DATA!$A:$A,$C19,INPUT_DATA!$B:$B,"S"))</f>
        <v>0</v>
      </c>
      <c r="P19" s="206">
        <f>IF($C19=0,"",SUMIFS(INPUT_DATA!BE:BE,INPUT_DATA!$A:$A,$C19,INPUT_DATA!$B:$B,"S"))</f>
        <v>0</v>
      </c>
      <c r="Q19" s="208">
        <f t="shared" si="2"/>
        <v>16095897.639999999</v>
      </c>
      <c r="R19" s="209">
        <f>IF($C19=0,"",SUMIFS(INPUT_DATA!BG:BG,INPUT_DATA!$A:$A,$C19,INPUT_DATA!$B:$B,"S"))</f>
        <v>0</v>
      </c>
      <c r="S19" s="209">
        <f>IF($C19=0,"",SUMIFS(INPUT_DATA!BH:BH,INPUT_DATA!$A:$A,$C19,INPUT_DATA!$B:$B,"S"))</f>
        <v>0</v>
      </c>
      <c r="T19" s="208">
        <f t="shared" si="3"/>
        <v>102909779</v>
      </c>
      <c r="U19" s="210">
        <f>IF($C19=0,"",SUMIFS(INPUT_DATA!BK:BK,INPUT_DATA!$A:$A,$C19,INPUT_DATA!$B:$B,"S"))</f>
        <v>102909779</v>
      </c>
      <c r="V19" s="214">
        <f t="shared" si="4"/>
        <v>0</v>
      </c>
      <c r="W19" s="212"/>
      <c r="X19" s="205">
        <f>IF($C19=0,"",SUMIFS(INPUT_DATA!AT:AT,INPUT_DATA!$A:$A,$C19,INPUT_DATA!$B:$B,"D"))</f>
        <v>4235.05</v>
      </c>
      <c r="Y19" s="206">
        <f>IF($C19=0,"",SUMIFS(INPUT_DATA!AU:AU,INPUT_DATA!$A:$A,$C19,INPUT_DATA!$B:$B,"D"))</f>
        <v>3983.18</v>
      </c>
      <c r="Z19" s="206">
        <f>IF($C19=0,"",SUMIFS(INPUT_DATA!AV:AV,INPUT_DATA!$A:$A,$C19,INPUT_DATA!$B:$B,"D"))</f>
        <v>0</v>
      </c>
      <c r="AA19" s="207">
        <f t="shared" si="6"/>
        <v>8218.23</v>
      </c>
      <c r="AB19" s="206">
        <f>IF($C19=0,"",SUMIFS(INPUT_DATA!AX:AX,INPUT_DATA!$A:$A,$C19,INPUT_DATA!$B:$B,"D"))</f>
        <v>975.5</v>
      </c>
      <c r="AC19" s="206">
        <f>IF($C19=0,"",SUMIFS(INPUT_DATA!AY:AY,INPUT_DATA!$A:$A,$C19,INPUT_DATA!$B:$B,"D"))</f>
        <v>1123.48</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2098.98</v>
      </c>
      <c r="AK19" s="209">
        <f>IF($C19=0,"",SUMIFS(INPUT_DATA!BG:BG,INPUT_DATA!$A:$A,$C19,INPUT_DATA!$B:$B,"D"))</f>
        <v>0</v>
      </c>
      <c r="AL19" s="209">
        <f>IF($C19=0,"",SUMIFS(INPUT_DATA!BH:BH,INPUT_DATA!$A:$A,$C19,INPUT_DATA!$B:$B,"D"))</f>
        <v>0</v>
      </c>
      <c r="AM19" s="208">
        <f t="shared" si="8"/>
        <v>10317.209999999999</v>
      </c>
      <c r="AN19" s="210">
        <f>IF($C19=0,"",SUMIFS(INPUT_DATA!BK:BK,INPUT_DATA!$A:$A,$C19,INPUT_DATA!$B:$B,"D"))</f>
        <v>10317.209999999999</v>
      </c>
      <c r="AO19" s="211">
        <f t="shared" si="9"/>
        <v>0</v>
      </c>
      <c r="AP19" s="212"/>
      <c r="AR19" s="211">
        <f t="shared" si="5"/>
        <v>102920096.20999999</v>
      </c>
      <c r="AT19" s="203">
        <f>IF($C19=0,"",'02 - Monthly Asset Follow up'!E23+'02 - Monthly Asset Follow up'!F23-'02 - Monthly Asset Follow up'!V23+'02 - Monthly Asset Follow up'!Y23-H19)</f>
        <v>0</v>
      </c>
      <c r="AU19" s="203">
        <f>IF($C19=0,"",'02 - Monthly Asset Follow up'!BB23+'02 - Monthly Asset Follow up'!BC23-'02 - Monthly Asset Follow up'!BR23+'02 - Monthly Asset Follow up'!BU23-AA19)</f>
        <v>-1.0913936421275139E-11</v>
      </c>
      <c r="AW19" s="215"/>
    </row>
    <row r="20" spans="2:49" ht="13">
      <c r="B20" s="1573">
        <f t="shared" si="0"/>
        <v>45962</v>
      </c>
      <c r="C20" s="1574">
        <f>'02 - Monthly Asset Follow up'!B24</f>
        <v>45991</v>
      </c>
      <c r="D20" s="212"/>
      <c r="E20" s="205">
        <f>IF($C20=0,"",SUMIFS(INPUT_DATA!AT:AT,INPUT_DATA!$A:$A,$C20,INPUT_DATA!$B:$B,"S"))</f>
        <v>59356892.490000002</v>
      </c>
      <c r="F20" s="206">
        <f>IF($C20=0,"",SUMIFS(INPUT_DATA!AU:AU,INPUT_DATA!$A:$A,$C20,INPUT_DATA!$B:$B,"S"))</f>
        <v>114071.03999999999</v>
      </c>
      <c r="G20" s="206">
        <f>IF($C20=0,"",SUMIFS(INPUT_DATA!AV:AV,INPUT_DATA!$A:$A,$C20,INPUT_DATA!$B:$B,"S"))</f>
        <v>24036133.25</v>
      </c>
      <c r="H20" s="213">
        <f t="shared" si="1"/>
        <v>83507096.780000001</v>
      </c>
      <c r="I20" s="206">
        <f>IF($C20=0,"",SUMIFS(INPUT_DATA!AX:AX,INPUT_DATA!$A:$A,$C20,INPUT_DATA!$B:$B,"S"))</f>
        <v>16018641.640000001</v>
      </c>
      <c r="J20" s="206">
        <f>IF($C20=0,"",SUMIFS(INPUT_DATA!AY:AY,INPUT_DATA!$A:$A,$C20,INPUT_DATA!$B:$B,"S"))</f>
        <v>21453.08</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171150.36</v>
      </c>
      <c r="O20" s="206">
        <f>IF($C20=0,"",SUMIFS(INPUT_DATA!BD:BD,INPUT_DATA!$A:$A,$C20,INPUT_DATA!$B:$B,"S"))</f>
        <v>0</v>
      </c>
      <c r="P20" s="206">
        <f>IF($C20=0,"",SUMIFS(INPUT_DATA!BE:BE,INPUT_DATA!$A:$A,$C20,INPUT_DATA!$B:$B,"S"))</f>
        <v>0</v>
      </c>
      <c r="Q20" s="208">
        <f t="shared" si="2"/>
        <v>16211245.08</v>
      </c>
      <c r="R20" s="209">
        <f>IF($C20=0,"",SUMIFS(INPUT_DATA!BG:BG,INPUT_DATA!$A:$A,$C20,INPUT_DATA!$B:$B,"S"))</f>
        <v>0</v>
      </c>
      <c r="S20" s="209">
        <f>IF($C20=0,"",SUMIFS(INPUT_DATA!BH:BH,INPUT_DATA!$A:$A,$C20,INPUT_DATA!$B:$B,"S"))</f>
        <v>0</v>
      </c>
      <c r="T20" s="208">
        <f t="shared" si="3"/>
        <v>99718341.859999999</v>
      </c>
      <c r="U20" s="210">
        <f>IF($C20=0,"",SUMIFS(INPUT_DATA!BK:BK,INPUT_DATA!$A:$A,$C20,INPUT_DATA!$B:$B,"S"))</f>
        <v>99718341.859999999</v>
      </c>
      <c r="V20" s="214">
        <f t="shared" si="4"/>
        <v>0</v>
      </c>
      <c r="W20" s="212"/>
      <c r="X20" s="205">
        <f>IF($C20=0,"",SUMIFS(INPUT_DATA!AT:AT,INPUT_DATA!$A:$A,$C20,INPUT_DATA!$B:$B,"D"))</f>
        <v>308704.78999999998</v>
      </c>
      <c r="Y20" s="206">
        <f>IF($C20=0,"",SUMIFS(INPUT_DATA!AU:AU,INPUT_DATA!$A:$A,$C20,INPUT_DATA!$B:$B,"D"))</f>
        <v>2024.32</v>
      </c>
      <c r="Z20" s="206">
        <f>IF($C20=0,"",SUMIFS(INPUT_DATA!AV:AV,INPUT_DATA!$A:$A,$C20,INPUT_DATA!$B:$B,"D"))</f>
        <v>0</v>
      </c>
      <c r="AA20" s="207">
        <f t="shared" si="6"/>
        <v>310729.11</v>
      </c>
      <c r="AB20" s="206">
        <f>IF($C20=0,"",SUMIFS(INPUT_DATA!AX:AX,INPUT_DATA!$A:$A,$C20,INPUT_DATA!$B:$B,"D"))</f>
        <v>530.45000000000005</v>
      </c>
      <c r="AC20" s="206">
        <f>IF($C20=0,"",SUMIFS(INPUT_DATA!AY:AY,INPUT_DATA!$A:$A,$C20,INPUT_DATA!$B:$B,"D"))</f>
        <v>364.63</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895.08</v>
      </c>
      <c r="AK20" s="209">
        <f>IF($C20=0,"",SUMIFS(INPUT_DATA!BG:BG,INPUT_DATA!$A:$A,$C20,INPUT_DATA!$B:$B,"D"))</f>
        <v>0</v>
      </c>
      <c r="AL20" s="209">
        <f>IF($C20=0,"",SUMIFS(INPUT_DATA!BH:BH,INPUT_DATA!$A:$A,$C20,INPUT_DATA!$B:$B,"D"))</f>
        <v>0</v>
      </c>
      <c r="AM20" s="208">
        <f t="shared" si="8"/>
        <v>311624.19</v>
      </c>
      <c r="AN20" s="210">
        <f>IF($C20=0,"",SUMIFS(INPUT_DATA!BK:BK,INPUT_DATA!$A:$A,$C20,INPUT_DATA!$B:$B,"D"))</f>
        <v>311624.19</v>
      </c>
      <c r="AO20" s="211">
        <f t="shared" si="9"/>
        <v>0</v>
      </c>
      <c r="AP20" s="212"/>
      <c r="AR20" s="211">
        <f t="shared" si="5"/>
        <v>100029966.05</v>
      </c>
      <c r="AT20" s="203">
        <f>IF($C20=0,"",'02 - Monthly Asset Follow up'!E24+'02 - Monthly Asset Follow up'!F24-'02 - Monthly Asset Follow up'!V24+'02 - Monthly Asset Follow up'!Y24-H20)</f>
        <v>1.4901161193847656E-8</v>
      </c>
      <c r="AU20" s="203">
        <f>IF($C20=0,"",'02 - Monthly Asset Follow up'!BB24+'02 - Monthly Asset Follow up'!BC24-'02 - Monthly Asset Follow up'!BR24+'02 - Monthly Asset Follow up'!BU24-AA20)</f>
        <v>0</v>
      </c>
      <c r="AW20" s="215"/>
    </row>
    <row r="21" spans="2:49" ht="13">
      <c r="B21" s="1573">
        <f t="shared" si="0"/>
        <v>45931</v>
      </c>
      <c r="C21" s="1574">
        <f>'02 - Monthly Asset Follow up'!B25</f>
        <v>45961</v>
      </c>
      <c r="D21" s="212"/>
      <c r="E21" s="205">
        <f>IF($C21=0,"",SUMIFS(INPUT_DATA!AT:AT,INPUT_DATA!$A:$A,$C21,INPUT_DATA!$B:$B,"S"))</f>
        <v>60701513.700000003</v>
      </c>
      <c r="F21" s="206">
        <f>IF($C21=0,"",SUMIFS(INPUT_DATA!AU:AU,INPUT_DATA!$A:$A,$C21,INPUT_DATA!$B:$B,"S"))</f>
        <v>149461.65</v>
      </c>
      <c r="G21" s="206">
        <f>IF($C21=0,"",SUMIFS(INPUT_DATA!AV:AV,INPUT_DATA!$A:$A,$C21,INPUT_DATA!$B:$B,"S"))</f>
        <v>30948441.43</v>
      </c>
      <c r="H21" s="213">
        <f t="shared" si="1"/>
        <v>91799416.780000001</v>
      </c>
      <c r="I21" s="206">
        <f>IF($C21=0,"",SUMIFS(INPUT_DATA!AX:AX,INPUT_DATA!$A:$A,$C21,INPUT_DATA!$B:$B,"S"))</f>
        <v>10924064.09</v>
      </c>
      <c r="J21" s="206">
        <f>IF($C21=0,"",SUMIFS(INPUT_DATA!AY:AY,INPUT_DATA!$A:$A,$C21,INPUT_DATA!$B:$B,"S"))</f>
        <v>24638.29</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193654.97</v>
      </c>
      <c r="O21" s="206">
        <f>IF($C21=0,"",SUMIFS(INPUT_DATA!BD:BD,INPUT_DATA!$A:$A,$C21,INPUT_DATA!$B:$B,"S"))</f>
        <v>0</v>
      </c>
      <c r="P21" s="206">
        <f>IF($C21=0,"",SUMIFS(INPUT_DATA!BE:BE,INPUT_DATA!$A:$A,$C21,INPUT_DATA!$B:$B,"S"))</f>
        <v>0</v>
      </c>
      <c r="Q21" s="208">
        <f t="shared" si="2"/>
        <v>11142357.35</v>
      </c>
      <c r="R21" s="209">
        <f>IF($C21=0,"",SUMIFS(INPUT_DATA!BG:BG,INPUT_DATA!$A:$A,$C21,INPUT_DATA!$B:$B,"S"))</f>
        <v>0</v>
      </c>
      <c r="S21" s="209">
        <f>IF($C21=0,"",SUMIFS(INPUT_DATA!BH:BH,INPUT_DATA!$A:$A,$C21,INPUT_DATA!$B:$B,"S"))</f>
        <v>0</v>
      </c>
      <c r="T21" s="208">
        <f t="shared" si="3"/>
        <v>102941774.13</v>
      </c>
      <c r="U21" s="210">
        <f>IF($C21=0,"",SUMIFS(INPUT_DATA!BK:BK,INPUT_DATA!$A:$A,$C21,INPUT_DATA!$B:$B,"S"))</f>
        <v>102941774.13</v>
      </c>
      <c r="V21" s="214">
        <f t="shared" si="4"/>
        <v>0</v>
      </c>
      <c r="W21" s="212"/>
      <c r="X21" s="205">
        <f>IF($C21=0,"",SUMIFS(INPUT_DATA!AT:AT,INPUT_DATA!$A:$A,$C21,INPUT_DATA!$B:$B,"D"))</f>
        <v>982.61</v>
      </c>
      <c r="Y21" s="206">
        <f>IF($C21=0,"",SUMIFS(INPUT_DATA!AU:AU,INPUT_DATA!$A:$A,$C21,INPUT_DATA!$B:$B,"D"))</f>
        <v>0</v>
      </c>
      <c r="Z21" s="206">
        <f>IF($C21=0,"",SUMIFS(INPUT_DATA!AV:AV,INPUT_DATA!$A:$A,$C21,INPUT_DATA!$B:$B,"D"))</f>
        <v>0</v>
      </c>
      <c r="AA21" s="207">
        <f t="shared" si="6"/>
        <v>982.61</v>
      </c>
      <c r="AB21" s="206">
        <f>IF($C21=0,"",SUMIFS(INPUT_DATA!AX:AX,INPUT_DATA!$A:$A,$C21,INPUT_DATA!$B:$B,"D"))</f>
        <v>154.58000000000001</v>
      </c>
      <c r="AC21" s="206">
        <f>IF($C21=0,"",SUMIFS(INPUT_DATA!AY:AY,INPUT_DATA!$A:$A,$C21,INPUT_DATA!$B:$B,"D"))</f>
        <v>0</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154.58000000000001</v>
      </c>
      <c r="AK21" s="209">
        <f>IF($C21=0,"",SUMIFS(INPUT_DATA!BG:BG,INPUT_DATA!$A:$A,$C21,INPUT_DATA!$B:$B,"D"))</f>
        <v>0</v>
      </c>
      <c r="AL21" s="209">
        <f>IF($C21=0,"",SUMIFS(INPUT_DATA!BH:BH,INPUT_DATA!$A:$A,$C21,INPUT_DATA!$B:$B,"D"))</f>
        <v>0</v>
      </c>
      <c r="AM21" s="208">
        <f t="shared" si="8"/>
        <v>1137.19</v>
      </c>
      <c r="AN21" s="210">
        <f>IF($C21=0,"",SUMIFS(INPUT_DATA!BK:BK,INPUT_DATA!$A:$A,$C21,INPUT_DATA!$B:$B,"D"))</f>
        <v>1137.19</v>
      </c>
      <c r="AO21" s="211">
        <f t="shared" si="9"/>
        <v>0</v>
      </c>
      <c r="AP21" s="212"/>
      <c r="AR21" s="211">
        <f t="shared" si="5"/>
        <v>102942911.31999999</v>
      </c>
      <c r="AT21" s="203">
        <f>IF($C21=0,"",'02 - Monthly Asset Follow up'!E25+'02 - Monthly Asset Follow up'!F25-'02 - Monthly Asset Follow up'!V25+'02 - Monthly Asset Follow up'!Y25-H21)</f>
        <v>1.4901161193847656E-8</v>
      </c>
      <c r="AU21" s="203">
        <f>IF($C21=0,"",'02 - Monthly Asset Follow up'!BB25+'02 - Monthly Asset Follow up'!BC25-'02 - Monthly Asset Follow up'!BR25+'02 - Monthly Asset Follow up'!BU25-AA21)</f>
        <v>5.6843418860808015E-13</v>
      </c>
      <c r="AW21" s="215"/>
    </row>
    <row r="22" spans="2:49" ht="13">
      <c r="B22" s="1573">
        <f t="shared" si="0"/>
        <v>45901</v>
      </c>
      <c r="C22" s="1574">
        <f>'02 - Monthly Asset Follow up'!B26</f>
        <v>45930</v>
      </c>
      <c r="D22" s="212"/>
      <c r="E22" s="205">
        <f>IF($C22=0,"",SUMIFS(INPUT_DATA!AT:AT,INPUT_DATA!$A:$A,$C22,INPUT_DATA!$B:$B,"S"))</f>
        <v>40759015.710000001</v>
      </c>
      <c r="F22" s="206">
        <f>IF($C22=0,"",SUMIFS(INPUT_DATA!AU:AU,INPUT_DATA!$A:$A,$C22,INPUT_DATA!$B:$B,"S"))</f>
        <v>343243.5</v>
      </c>
      <c r="G22" s="206">
        <f>IF($C22=0,"",SUMIFS(INPUT_DATA!AV:AV,INPUT_DATA!$A:$A,$C22,INPUT_DATA!$B:$B,"S"))</f>
        <v>18140271.010000002</v>
      </c>
      <c r="H22" s="213">
        <f t="shared" si="1"/>
        <v>59242530.219999999</v>
      </c>
      <c r="I22" s="206">
        <f>IF($C22=0,"",SUMIFS(INPUT_DATA!AX:AX,INPUT_DATA!$A:$A,$C22,INPUT_DATA!$B:$B,"S"))</f>
        <v>9190680.4800000004</v>
      </c>
      <c r="J22" s="206">
        <f>IF($C22=0,"",SUMIFS(INPUT_DATA!AY:AY,INPUT_DATA!$A:$A,$C22,INPUT_DATA!$B:$B,"S"))</f>
        <v>64031.839999999997</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81035.69</v>
      </c>
      <c r="O22" s="206">
        <f>IF($C22=0,"",SUMIFS(INPUT_DATA!BD:BD,INPUT_DATA!$A:$A,$C22,INPUT_DATA!$B:$B,"S"))</f>
        <v>0</v>
      </c>
      <c r="P22" s="206">
        <f>IF($C22=0,"",SUMIFS(INPUT_DATA!BE:BE,INPUT_DATA!$A:$A,$C22,INPUT_DATA!$B:$B,"S"))</f>
        <v>0</v>
      </c>
      <c r="Q22" s="208">
        <f t="shared" si="2"/>
        <v>9335748.0099999998</v>
      </c>
      <c r="R22" s="209">
        <f>IF($C22=0,"",SUMIFS(INPUT_DATA!BG:BG,INPUT_DATA!$A:$A,$C22,INPUT_DATA!$B:$B,"S"))</f>
        <v>0</v>
      </c>
      <c r="S22" s="209">
        <f>IF($C22=0,"",SUMIFS(INPUT_DATA!BH:BH,INPUT_DATA!$A:$A,$C22,INPUT_DATA!$B:$B,"S"))</f>
        <v>0</v>
      </c>
      <c r="T22" s="208">
        <f t="shared" si="3"/>
        <v>68578278.230000004</v>
      </c>
      <c r="U22" s="210">
        <f>IF($C22=0,"",SUMIFS(INPUT_DATA!BK:BK,INPUT_DATA!$A:$A,$C22,INPUT_DATA!$B:$B,"S"))</f>
        <v>68578278.230000004</v>
      </c>
      <c r="V22" s="214">
        <f t="shared" si="4"/>
        <v>0</v>
      </c>
      <c r="W22" s="212"/>
      <c r="X22" s="205">
        <f>IF($C22=0,"",SUMIFS(INPUT_DATA!AT:AT,INPUT_DATA!$A:$A,$C22,INPUT_DATA!$B:$B,"D"))</f>
        <v>1260.55</v>
      </c>
      <c r="Y22" s="206">
        <f>IF($C22=0,"",SUMIFS(INPUT_DATA!AU:AU,INPUT_DATA!$A:$A,$C22,INPUT_DATA!$B:$B,"D"))</f>
        <v>81.849999999999994</v>
      </c>
      <c r="Z22" s="206">
        <f>IF($C22=0,"",SUMIFS(INPUT_DATA!AV:AV,INPUT_DATA!$A:$A,$C22,INPUT_DATA!$B:$B,"D"))</f>
        <v>0</v>
      </c>
      <c r="AA22" s="207">
        <f t="shared" si="6"/>
        <v>1342.3999999999999</v>
      </c>
      <c r="AB22" s="206">
        <f>IF($C22=0,"",SUMIFS(INPUT_DATA!AX:AX,INPUT_DATA!$A:$A,$C22,INPUT_DATA!$B:$B,"D"))</f>
        <v>381.28</v>
      </c>
      <c r="AC22" s="206">
        <f>IF($C22=0,"",SUMIFS(INPUT_DATA!AY:AY,INPUT_DATA!$A:$A,$C22,INPUT_DATA!$B:$B,"D"))</f>
        <v>64.900000000000006</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446.17999999999995</v>
      </c>
      <c r="AK22" s="209">
        <f>IF($C22=0,"",SUMIFS(INPUT_DATA!BG:BG,INPUT_DATA!$A:$A,$C22,INPUT_DATA!$B:$B,"D"))</f>
        <v>0</v>
      </c>
      <c r="AL22" s="209">
        <f>IF($C22=0,"",SUMIFS(INPUT_DATA!BH:BH,INPUT_DATA!$A:$A,$C22,INPUT_DATA!$B:$B,"D"))</f>
        <v>0</v>
      </c>
      <c r="AM22" s="208">
        <f t="shared" si="8"/>
        <v>1788.58</v>
      </c>
      <c r="AN22" s="210">
        <f>IF($C22=0,"",SUMIFS(INPUT_DATA!BK:BK,INPUT_DATA!$A:$A,$C22,INPUT_DATA!$B:$B,"D"))</f>
        <v>1788.58</v>
      </c>
      <c r="AO22" s="211">
        <f t="shared" si="9"/>
        <v>0</v>
      </c>
      <c r="AP22" s="212"/>
      <c r="AR22" s="211">
        <f t="shared" si="5"/>
        <v>68580066.810000002</v>
      </c>
      <c r="AT22" s="203">
        <f>IF($C22=0,"",'02 - Monthly Asset Follow up'!E26+'02 - Monthly Asset Follow up'!F26-'02 - Monthly Asset Follow up'!V26+'02 - Monthly Asset Follow up'!Y26-H22)</f>
        <v>0</v>
      </c>
      <c r="AU22" s="203">
        <f>IF($C22=0,"",'02 - Monthly Asset Follow up'!BB26+'02 - Monthly Asset Follow up'!BC26-'02 - Monthly Asset Follow up'!BR26+'02 - Monthly Asset Follow up'!BU26-AA22)</f>
        <v>0</v>
      </c>
      <c r="AW22" s="215"/>
    </row>
    <row r="23" spans="2:49" ht="13">
      <c r="B23" s="1573">
        <f t="shared" si="0"/>
        <v>45870</v>
      </c>
      <c r="C23" s="1574">
        <f>'02 - Monthly Asset Follow up'!B27</f>
        <v>45900</v>
      </c>
      <c r="D23" s="212"/>
      <c r="E23" s="205">
        <f>IF($C23=0,"",SUMIFS(INPUT_DATA!AT:AT,INPUT_DATA!$A:$A,$C23,INPUT_DATA!$B:$B,"S"))</f>
        <v>40924805.490000002</v>
      </c>
      <c r="F23" s="206">
        <f>IF($C23=0,"",SUMIFS(INPUT_DATA!AU:AU,INPUT_DATA!$A:$A,$C23,INPUT_DATA!$B:$B,"S"))</f>
        <v>139224.46</v>
      </c>
      <c r="G23" s="206">
        <f>IF($C23=0,"",SUMIFS(INPUT_DATA!AV:AV,INPUT_DATA!$A:$A,$C23,INPUT_DATA!$B:$B,"S"))</f>
        <v>24368146.75</v>
      </c>
      <c r="H23" s="213">
        <f t="shared" si="1"/>
        <v>65432176.700000003</v>
      </c>
      <c r="I23" s="206">
        <f>IF($C23=0,"",SUMIFS(INPUT_DATA!AX:AX,INPUT_DATA!$A:$A,$C23,INPUT_DATA!$B:$B,"S"))</f>
        <v>9263814.8399999999</v>
      </c>
      <c r="J23" s="206">
        <f>IF($C23=0,"",SUMIFS(INPUT_DATA!AY:AY,INPUT_DATA!$A:$A,$C23,INPUT_DATA!$B:$B,"S"))</f>
        <v>36811.22</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98997.19</v>
      </c>
      <c r="O23" s="206">
        <f>IF($C23=0,"",SUMIFS(INPUT_DATA!BD:BD,INPUT_DATA!$A:$A,$C23,INPUT_DATA!$B:$B,"S"))</f>
        <v>0</v>
      </c>
      <c r="P23" s="206">
        <f>IF($C23=0,"",SUMIFS(INPUT_DATA!BE:BE,INPUT_DATA!$A:$A,$C23,INPUT_DATA!$B:$B,"S"))</f>
        <v>0</v>
      </c>
      <c r="Q23" s="208">
        <f t="shared" si="2"/>
        <v>9399623.25</v>
      </c>
      <c r="R23" s="209">
        <f>IF($C23=0,"",SUMIFS(INPUT_DATA!BG:BG,INPUT_DATA!$A:$A,$C23,INPUT_DATA!$B:$B,"S"))</f>
        <v>0</v>
      </c>
      <c r="S23" s="209">
        <f>IF($C23=0,"",SUMIFS(INPUT_DATA!BH:BH,INPUT_DATA!$A:$A,$C23,INPUT_DATA!$B:$B,"S"))</f>
        <v>0</v>
      </c>
      <c r="T23" s="208">
        <f t="shared" si="3"/>
        <v>74831799.950000003</v>
      </c>
      <c r="U23" s="210">
        <f>IF($C23=0,"",SUMIFS(INPUT_DATA!BK:BK,INPUT_DATA!$A:$A,$C23,INPUT_DATA!$B:$B,"S"))</f>
        <v>74831799.950000003</v>
      </c>
      <c r="V23" s="214">
        <f t="shared" si="4"/>
        <v>0</v>
      </c>
      <c r="W23" s="212"/>
      <c r="X23" s="205">
        <f>IF($C23=0,"",SUMIFS(INPUT_DATA!AT:AT,INPUT_DATA!$A:$A,$C23,INPUT_DATA!$B:$B,"D"))</f>
        <v>1716.2</v>
      </c>
      <c r="Y23" s="206">
        <f>IF($C23=0,"",SUMIFS(INPUT_DATA!AU:AU,INPUT_DATA!$A:$A,$C23,INPUT_DATA!$B:$B,"D"))</f>
        <v>0</v>
      </c>
      <c r="Z23" s="206">
        <f>IF($C23=0,"",SUMIFS(INPUT_DATA!AV:AV,INPUT_DATA!$A:$A,$C23,INPUT_DATA!$B:$B,"D"))</f>
        <v>0</v>
      </c>
      <c r="AA23" s="207">
        <f t="shared" si="6"/>
        <v>1716.2</v>
      </c>
      <c r="AB23" s="206">
        <f>IF($C23=0,"",SUMIFS(INPUT_DATA!AX:AX,INPUT_DATA!$A:$A,$C23,INPUT_DATA!$B:$B,"D"))</f>
        <v>756.14</v>
      </c>
      <c r="AC23" s="206">
        <f>IF($C23=0,"",SUMIFS(INPUT_DATA!AY:AY,INPUT_DATA!$A:$A,$C23,INPUT_DATA!$B:$B,"D"))</f>
        <v>0</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756.14</v>
      </c>
      <c r="AK23" s="209">
        <f>IF($C23=0,"",SUMIFS(INPUT_DATA!BG:BG,INPUT_DATA!$A:$A,$C23,INPUT_DATA!$B:$B,"D"))</f>
        <v>0</v>
      </c>
      <c r="AL23" s="209">
        <f>IF($C23=0,"",SUMIFS(INPUT_DATA!BH:BH,INPUT_DATA!$A:$A,$C23,INPUT_DATA!$B:$B,"D"))</f>
        <v>0</v>
      </c>
      <c r="AM23" s="208">
        <f t="shared" si="8"/>
        <v>2472.34</v>
      </c>
      <c r="AN23" s="210">
        <f>IF($C23=0,"",SUMIFS(INPUT_DATA!BK:BK,INPUT_DATA!$A:$A,$C23,INPUT_DATA!$B:$B,"D"))</f>
        <v>2472.34</v>
      </c>
      <c r="AO23" s="211">
        <f t="shared" si="9"/>
        <v>0</v>
      </c>
      <c r="AP23" s="212"/>
      <c r="AR23" s="211">
        <f t="shared" si="5"/>
        <v>74834272.290000007</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0</v>
      </c>
      <c r="AW23" s="215"/>
    </row>
    <row r="24" spans="2:49" ht="13">
      <c r="B24" s="1573">
        <f t="shared" si="0"/>
        <v>45839</v>
      </c>
      <c r="C24" s="1574">
        <f>'02 - Monthly Asset Follow up'!B28</f>
        <v>45869</v>
      </c>
      <c r="D24" s="212"/>
      <c r="E24" s="205">
        <f>IF($C24=0,"",SUMIFS(INPUT_DATA!AT:AT,INPUT_DATA!$A:$A,$C24,INPUT_DATA!$B:$B,"S"))</f>
        <v>41219124.729999997</v>
      </c>
      <c r="F24" s="206">
        <f>IF($C24=0,"",SUMIFS(INPUT_DATA!AU:AU,INPUT_DATA!$A:$A,$C24,INPUT_DATA!$B:$B,"S"))</f>
        <v>164764.35</v>
      </c>
      <c r="G24" s="206">
        <f>IF($C24=0,"",SUMIFS(INPUT_DATA!AV:AV,INPUT_DATA!$A:$A,$C24,INPUT_DATA!$B:$B,"S"))</f>
        <v>23530806</v>
      </c>
      <c r="H24" s="213">
        <f t="shared" si="1"/>
        <v>64914695.079999998</v>
      </c>
      <c r="I24" s="206">
        <f>IF($C24=0,"",SUMIFS(INPUT_DATA!AX:AX,INPUT_DATA!$A:$A,$C24,INPUT_DATA!$B:$B,"S"))</f>
        <v>9325630.4000000004</v>
      </c>
      <c r="J24" s="206">
        <f>IF($C24=0,"",SUMIFS(INPUT_DATA!AY:AY,INPUT_DATA!$A:$A,$C24,INPUT_DATA!$B:$B,"S"))</f>
        <v>32176.720000000001</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100154.2</v>
      </c>
      <c r="O24" s="206">
        <f>IF($C24=0,"",SUMIFS(INPUT_DATA!BD:BD,INPUT_DATA!$A:$A,$C24,INPUT_DATA!$B:$B,"S"))</f>
        <v>0</v>
      </c>
      <c r="P24" s="206">
        <f>IF($C24=0,"",SUMIFS(INPUT_DATA!BE:BE,INPUT_DATA!$A:$A,$C24,INPUT_DATA!$B:$B,"S"))</f>
        <v>0</v>
      </c>
      <c r="Q24" s="208">
        <f t="shared" si="2"/>
        <v>9457961.3200000003</v>
      </c>
      <c r="R24" s="209">
        <f>IF($C24=0,"",SUMIFS(INPUT_DATA!BG:BG,INPUT_DATA!$A:$A,$C24,INPUT_DATA!$B:$B,"S"))</f>
        <v>0</v>
      </c>
      <c r="S24" s="209">
        <f>IF($C24=0,"",SUMIFS(INPUT_DATA!BH:BH,INPUT_DATA!$A:$A,$C24,INPUT_DATA!$B:$B,"S"))</f>
        <v>0</v>
      </c>
      <c r="T24" s="208">
        <f t="shared" si="3"/>
        <v>74372656.400000006</v>
      </c>
      <c r="U24" s="210">
        <f>IF($C24=0,"",SUMIFS(INPUT_DATA!BK:BK,INPUT_DATA!$A:$A,$C24,INPUT_DATA!$B:$B,"S"))</f>
        <v>74372656.400000006</v>
      </c>
      <c r="V24" s="214">
        <f t="shared" si="4"/>
        <v>0</v>
      </c>
      <c r="W24" s="212"/>
      <c r="X24" s="205">
        <f>IF($C24=0,"",SUMIFS(INPUT_DATA!AT:AT,INPUT_DATA!$A:$A,$C24,INPUT_DATA!$B:$B,"D"))</f>
        <v>2736.21</v>
      </c>
      <c r="Y24" s="206">
        <f>IF($C24=0,"",SUMIFS(INPUT_DATA!AU:AU,INPUT_DATA!$A:$A,$C24,INPUT_DATA!$B:$B,"D"))</f>
        <v>2013.48</v>
      </c>
      <c r="Z24" s="206">
        <f>IF($C24=0,"",SUMIFS(INPUT_DATA!AV:AV,INPUT_DATA!$A:$A,$C24,INPUT_DATA!$B:$B,"D"))</f>
        <v>0</v>
      </c>
      <c r="AA24" s="207">
        <f t="shared" si="6"/>
        <v>4749.6900000000005</v>
      </c>
      <c r="AB24" s="206">
        <f>IF($C24=0,"",SUMIFS(INPUT_DATA!AX:AX,INPUT_DATA!$A:$A,$C24,INPUT_DATA!$B:$B,"D"))</f>
        <v>984.03</v>
      </c>
      <c r="AC24" s="206">
        <f>IF($C24=0,"",SUMIFS(INPUT_DATA!AY:AY,INPUT_DATA!$A:$A,$C24,INPUT_DATA!$B:$B,"D"))</f>
        <v>102.49</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1086.52</v>
      </c>
      <c r="AK24" s="209">
        <f>IF($C24=0,"",SUMIFS(INPUT_DATA!BG:BG,INPUT_DATA!$A:$A,$C24,INPUT_DATA!$B:$B,"D"))</f>
        <v>0</v>
      </c>
      <c r="AL24" s="209">
        <f>IF($C24=0,"",SUMIFS(INPUT_DATA!BH:BH,INPUT_DATA!$A:$A,$C24,INPUT_DATA!$B:$B,"D"))</f>
        <v>0</v>
      </c>
      <c r="AM24" s="208">
        <f t="shared" si="8"/>
        <v>5836.2100000000009</v>
      </c>
      <c r="AN24" s="210">
        <f>IF($C24=0,"",SUMIFS(INPUT_DATA!BK:BK,INPUT_DATA!$A:$A,$C24,INPUT_DATA!$B:$B,"D"))</f>
        <v>5836.21</v>
      </c>
      <c r="AO24" s="211">
        <f t="shared" si="9"/>
        <v>9.0949470177292824E-13</v>
      </c>
      <c r="AP24" s="212"/>
      <c r="AR24" s="211">
        <f t="shared" si="5"/>
        <v>74378492.609999999</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0</v>
      </c>
      <c r="AW24" s="215"/>
    </row>
    <row r="25" spans="2:49" ht="13">
      <c r="B25" s="1573">
        <f t="shared" si="0"/>
        <v>45809</v>
      </c>
      <c r="C25" s="1574">
        <f>'02 - Monthly Asset Follow up'!B29</f>
        <v>45838</v>
      </c>
      <c r="D25" s="212"/>
      <c r="E25" s="205">
        <f>IF($C25=0,"",SUMIFS(INPUT_DATA!AT:AT,INPUT_DATA!$A:$A,$C25,INPUT_DATA!$B:$B,"S"))</f>
        <v>41181100.240000002</v>
      </c>
      <c r="F25" s="206">
        <f>IF($C25=0,"",SUMIFS(INPUT_DATA!AU:AU,INPUT_DATA!$A:$A,$C25,INPUT_DATA!$B:$B,"S"))</f>
        <v>129163.94</v>
      </c>
      <c r="G25" s="206">
        <f>IF($C25=0,"",SUMIFS(INPUT_DATA!AV:AV,INPUT_DATA!$A:$A,$C25,INPUT_DATA!$B:$B,"S"))</f>
        <v>17402933.100000001</v>
      </c>
      <c r="H25" s="213">
        <f t="shared" si="1"/>
        <v>58713197.280000001</v>
      </c>
      <c r="I25" s="206">
        <f>IF($C25=0,"",SUMIFS(INPUT_DATA!AX:AX,INPUT_DATA!$A:$A,$C25,INPUT_DATA!$B:$B,"S"))</f>
        <v>9425318.9800000004</v>
      </c>
      <c r="J25" s="206">
        <f>IF($C25=0,"",SUMIFS(INPUT_DATA!AY:AY,INPUT_DATA!$A:$A,$C25,INPUT_DATA!$B:$B,"S"))</f>
        <v>26974.45</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89792.07</v>
      </c>
      <c r="O25" s="206">
        <f>IF($C25=0,"",SUMIFS(INPUT_DATA!BD:BD,INPUT_DATA!$A:$A,$C25,INPUT_DATA!$B:$B,"S"))</f>
        <v>0</v>
      </c>
      <c r="P25" s="206">
        <f>IF($C25=0,"",SUMIFS(INPUT_DATA!BE:BE,INPUT_DATA!$A:$A,$C25,INPUT_DATA!$B:$B,"S"))</f>
        <v>0</v>
      </c>
      <c r="Q25" s="208">
        <f t="shared" si="2"/>
        <v>9542085.5</v>
      </c>
      <c r="R25" s="209">
        <f>IF($C25=0,"",SUMIFS(INPUT_DATA!BG:BG,INPUT_DATA!$A:$A,$C25,INPUT_DATA!$B:$B,"S"))</f>
        <v>0</v>
      </c>
      <c r="S25" s="209">
        <f>IF($C25=0,"",SUMIFS(INPUT_DATA!BH:BH,INPUT_DATA!$A:$A,$C25,INPUT_DATA!$B:$B,"S"))</f>
        <v>0</v>
      </c>
      <c r="T25" s="208">
        <f t="shared" si="3"/>
        <v>68255282.780000001</v>
      </c>
      <c r="U25" s="210">
        <f>IF($C25=0,"",SUMIFS(INPUT_DATA!BK:BK,INPUT_DATA!$A:$A,$C25,INPUT_DATA!$B:$B,"S"))</f>
        <v>68255282.780000001</v>
      </c>
      <c r="V25" s="214">
        <f t="shared" si="4"/>
        <v>0</v>
      </c>
      <c r="W25" s="212"/>
      <c r="X25" s="205">
        <f>IF($C25=0,"",SUMIFS(INPUT_DATA!AT:AT,INPUT_DATA!$A:$A,$C25,INPUT_DATA!$B:$B,"D"))</f>
        <v>7323</v>
      </c>
      <c r="Y25" s="206">
        <f>IF($C25=0,"",SUMIFS(INPUT_DATA!AU:AU,INPUT_DATA!$A:$A,$C25,INPUT_DATA!$B:$B,"D"))</f>
        <v>0</v>
      </c>
      <c r="Z25" s="206">
        <f>IF($C25=0,"",SUMIFS(INPUT_DATA!AV:AV,INPUT_DATA!$A:$A,$C25,INPUT_DATA!$B:$B,"D"))</f>
        <v>0</v>
      </c>
      <c r="AA25" s="207">
        <f t="shared" si="6"/>
        <v>7323</v>
      </c>
      <c r="AB25" s="206">
        <f>IF($C25=0,"",SUMIFS(INPUT_DATA!AX:AX,INPUT_DATA!$A:$A,$C25,INPUT_DATA!$B:$B,"D"))</f>
        <v>1442.27</v>
      </c>
      <c r="AC25" s="206">
        <f>IF($C25=0,"",SUMIFS(INPUT_DATA!AY:AY,INPUT_DATA!$A:$A,$C25,INPUT_DATA!$B:$B,"D"))</f>
        <v>0</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1442.27</v>
      </c>
      <c r="AK25" s="209">
        <f>IF($C25=0,"",SUMIFS(INPUT_DATA!BG:BG,INPUT_DATA!$A:$A,$C25,INPUT_DATA!$B:$B,"D"))</f>
        <v>0</v>
      </c>
      <c r="AL25" s="209">
        <f>IF($C25=0,"",SUMIFS(INPUT_DATA!BH:BH,INPUT_DATA!$A:$A,$C25,INPUT_DATA!$B:$B,"D"))</f>
        <v>0</v>
      </c>
      <c r="AM25" s="208">
        <f t="shared" si="8"/>
        <v>8765.27</v>
      </c>
      <c r="AN25" s="210">
        <f>IF($C25=0,"",SUMIFS(INPUT_DATA!BK:BK,INPUT_DATA!$A:$A,$C25,INPUT_DATA!$B:$B,"D"))</f>
        <v>8765.27</v>
      </c>
      <c r="AO25" s="211">
        <f t="shared" si="9"/>
        <v>0</v>
      </c>
      <c r="AP25" s="212"/>
      <c r="AR25" s="211">
        <f t="shared" si="5"/>
        <v>68264048.049999997</v>
      </c>
      <c r="AT25" s="203">
        <f>IF($C25=0,"",'02 - Monthly Asset Follow up'!E29+'02 - Monthly Asset Follow up'!F29-'02 - Monthly Asset Follow up'!V29+'02 - Monthly Asset Follow up'!Y29-H25)</f>
        <v>-7.4505805969238281E-9</v>
      </c>
      <c r="AU25" s="203">
        <f>IF($C25=0,"",'02 - Monthly Asset Follow up'!BB29+'02 - Monthly Asset Follow up'!BC29-'02 - Monthly Asset Follow up'!BR29+'02 - Monthly Asset Follow up'!BU29-AA25)</f>
        <v>0</v>
      </c>
      <c r="AW25" s="215"/>
    </row>
    <row r="26" spans="2:49" ht="13">
      <c r="B26" s="1573">
        <f t="shared" si="0"/>
        <v>45778</v>
      </c>
      <c r="C26" s="1574">
        <f>'02 - Monthly Asset Follow up'!B30</f>
        <v>45808</v>
      </c>
      <c r="D26" s="212"/>
      <c r="E26" s="205">
        <f>IF($C26=0,"",SUMIFS(INPUT_DATA!AT:AT,INPUT_DATA!$A:$A,$C26,INPUT_DATA!$B:$B,"S"))</f>
        <v>41514607.759999998</v>
      </c>
      <c r="F26" s="206">
        <f>IF($C26=0,"",SUMIFS(INPUT_DATA!AU:AU,INPUT_DATA!$A:$A,$C26,INPUT_DATA!$B:$B,"S"))</f>
        <v>103621.29</v>
      </c>
      <c r="G26" s="206">
        <f>IF($C26=0,"",SUMIFS(INPUT_DATA!AV:AV,INPUT_DATA!$A:$A,$C26,INPUT_DATA!$B:$B,"S"))</f>
        <v>19519847.550000001</v>
      </c>
      <c r="H26" s="213">
        <f t="shared" si="1"/>
        <v>61138076.599999994</v>
      </c>
      <c r="I26" s="206">
        <f>IF($C26=0,"",SUMIFS(INPUT_DATA!AX:AX,INPUT_DATA!$A:$A,$C26,INPUT_DATA!$B:$B,"S"))</f>
        <v>9486828.6500000004</v>
      </c>
      <c r="J26" s="206">
        <f>IF($C26=0,"",SUMIFS(INPUT_DATA!AY:AY,INPUT_DATA!$A:$A,$C26,INPUT_DATA!$B:$B,"S"))</f>
        <v>18039.490000000002</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66814.11</v>
      </c>
      <c r="O26" s="206">
        <f>IF($C26=0,"",SUMIFS(INPUT_DATA!BD:BD,INPUT_DATA!$A:$A,$C26,INPUT_DATA!$B:$B,"S"))</f>
        <v>0</v>
      </c>
      <c r="P26" s="206">
        <f>IF($C26=0,"",SUMIFS(INPUT_DATA!BE:BE,INPUT_DATA!$A:$A,$C26,INPUT_DATA!$B:$B,"S"))</f>
        <v>0</v>
      </c>
      <c r="Q26" s="208">
        <f t="shared" si="2"/>
        <v>9571682.25</v>
      </c>
      <c r="R26" s="209">
        <f>IF($C26=0,"",SUMIFS(INPUT_DATA!BG:BG,INPUT_DATA!$A:$A,$C26,INPUT_DATA!$B:$B,"S"))</f>
        <v>0</v>
      </c>
      <c r="S26" s="209">
        <f>IF($C26=0,"",SUMIFS(INPUT_DATA!BH:BH,INPUT_DATA!$A:$A,$C26,INPUT_DATA!$B:$B,"S"))</f>
        <v>0</v>
      </c>
      <c r="T26" s="208">
        <f t="shared" si="3"/>
        <v>70709758.849999994</v>
      </c>
      <c r="U26" s="210">
        <f>IF($C26=0,"",SUMIFS(INPUT_DATA!BK:BK,INPUT_DATA!$A:$A,$C26,INPUT_DATA!$B:$B,"S"))</f>
        <v>70709758.849999994</v>
      </c>
      <c r="V26" s="214">
        <f t="shared" si="4"/>
        <v>0</v>
      </c>
      <c r="W26" s="212"/>
      <c r="X26" s="205">
        <f>IF($C26=0,"",SUMIFS(INPUT_DATA!AT:AT,INPUT_DATA!$A:$A,$C26,INPUT_DATA!$B:$B,"D"))</f>
        <v>9058.5400000000009</v>
      </c>
      <c r="Y26" s="206">
        <f>IF($C26=0,"",SUMIFS(INPUT_DATA!AU:AU,INPUT_DATA!$A:$A,$C26,INPUT_DATA!$B:$B,"D"))</f>
        <v>1846.72</v>
      </c>
      <c r="Z26" s="206">
        <f>IF($C26=0,"",SUMIFS(INPUT_DATA!AV:AV,INPUT_DATA!$A:$A,$C26,INPUT_DATA!$B:$B,"D"))</f>
        <v>0</v>
      </c>
      <c r="AA26" s="207">
        <f t="shared" si="6"/>
        <v>10905.26</v>
      </c>
      <c r="AB26" s="206">
        <f>IF($C26=0,"",SUMIFS(INPUT_DATA!AX:AX,INPUT_DATA!$A:$A,$C26,INPUT_DATA!$B:$B,"D"))</f>
        <v>2777.64</v>
      </c>
      <c r="AC26" s="206">
        <f>IF($C26=0,"",SUMIFS(INPUT_DATA!AY:AY,INPUT_DATA!$A:$A,$C26,INPUT_DATA!$B:$B,"D"))</f>
        <v>375.72</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3153.3599999999997</v>
      </c>
      <c r="AK26" s="209">
        <f>IF($C26=0,"",SUMIFS(INPUT_DATA!BG:BG,INPUT_DATA!$A:$A,$C26,INPUT_DATA!$B:$B,"D"))</f>
        <v>0</v>
      </c>
      <c r="AL26" s="209">
        <f>IF($C26=0,"",SUMIFS(INPUT_DATA!BH:BH,INPUT_DATA!$A:$A,$C26,INPUT_DATA!$B:$B,"D"))</f>
        <v>0</v>
      </c>
      <c r="AM26" s="208">
        <f t="shared" si="8"/>
        <v>14058.619999999999</v>
      </c>
      <c r="AN26" s="210">
        <f>IF($C26=0,"",SUMIFS(INPUT_DATA!BK:BK,INPUT_DATA!$A:$A,$C26,INPUT_DATA!$B:$B,"D"))</f>
        <v>14058.62</v>
      </c>
      <c r="AO26" s="211">
        <f t="shared" si="9"/>
        <v>-1.8189894035458565E-12</v>
      </c>
      <c r="AP26" s="212"/>
      <c r="AR26" s="211">
        <f t="shared" si="5"/>
        <v>70723817.469999999</v>
      </c>
      <c r="AT26" s="203">
        <f>IF($C26=0,"",'02 - Monthly Asset Follow up'!E30+'02 - Monthly Asset Follow up'!F30-'02 - Monthly Asset Follow up'!V30+'02 - Monthly Asset Follow up'!Y30-H26)</f>
        <v>7.4505805969238281E-9</v>
      </c>
      <c r="AU26" s="203">
        <f>IF($C26=0,"",'02 - Monthly Asset Follow up'!BB30+'02 - Monthly Asset Follow up'!BC30-'02 - Monthly Asset Follow up'!BR30+'02 - Monthly Asset Follow up'!BU30-AA26)</f>
        <v>0</v>
      </c>
      <c r="AW26" s="215"/>
    </row>
    <row r="27" spans="2:49" ht="13">
      <c r="B27" s="1573">
        <f t="shared" si="0"/>
        <v>45748</v>
      </c>
      <c r="C27" s="1574">
        <f>'02 - Monthly Asset Follow up'!B31</f>
        <v>45777</v>
      </c>
      <c r="D27" s="212"/>
      <c r="E27" s="205">
        <f>IF($C27=0,"",SUMIFS(INPUT_DATA!AT:AT,INPUT_DATA!$A:$A,$C27,INPUT_DATA!$B:$B,"S"))</f>
        <v>41307849.829999998</v>
      </c>
      <c r="F27" s="206">
        <f>IF($C27=0,"",SUMIFS(INPUT_DATA!AU:AU,INPUT_DATA!$A:$A,$C27,INPUT_DATA!$B:$B,"S"))</f>
        <v>63727.519999999997</v>
      </c>
      <c r="G27" s="206">
        <f>IF($C27=0,"",SUMIFS(INPUT_DATA!AV:AV,INPUT_DATA!$A:$A,$C27,INPUT_DATA!$B:$B,"S"))</f>
        <v>14842897.939999999</v>
      </c>
      <c r="H27" s="213">
        <f t="shared" si="1"/>
        <v>56214475.289999999</v>
      </c>
      <c r="I27" s="206">
        <f>IF($C27=0,"",SUMIFS(INPUT_DATA!AX:AX,INPUT_DATA!$A:$A,$C27,INPUT_DATA!$B:$B,"S"))</f>
        <v>9577619.2100000009</v>
      </c>
      <c r="J27" s="206">
        <f>IF($C27=0,"",SUMIFS(INPUT_DATA!AY:AY,INPUT_DATA!$A:$A,$C27,INPUT_DATA!$B:$B,"S"))</f>
        <v>27098.03</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63036.82</v>
      </c>
      <c r="O27" s="206">
        <f>IF($C27=0,"",SUMIFS(INPUT_DATA!BD:BD,INPUT_DATA!$A:$A,$C27,INPUT_DATA!$B:$B,"S"))</f>
        <v>0</v>
      </c>
      <c r="P27" s="206">
        <f>IF($C27=0,"",SUMIFS(INPUT_DATA!BE:BE,INPUT_DATA!$A:$A,$C27,INPUT_DATA!$B:$B,"S"))</f>
        <v>0</v>
      </c>
      <c r="Q27" s="208">
        <f t="shared" si="2"/>
        <v>9667754.0600000005</v>
      </c>
      <c r="R27" s="209">
        <f>IF($C27=0,"",SUMIFS(INPUT_DATA!BG:BG,INPUT_DATA!$A:$A,$C27,INPUT_DATA!$B:$B,"S"))</f>
        <v>0</v>
      </c>
      <c r="S27" s="209">
        <f>IF($C27=0,"",SUMIFS(INPUT_DATA!BH:BH,INPUT_DATA!$A:$A,$C27,INPUT_DATA!$B:$B,"S"))</f>
        <v>0</v>
      </c>
      <c r="T27" s="208">
        <f t="shared" si="3"/>
        <v>65882229.350000001</v>
      </c>
      <c r="U27" s="210">
        <f>IF($C27=0,"",SUMIFS(INPUT_DATA!BK:BK,INPUT_DATA!$A:$A,$C27,INPUT_DATA!$B:$B,"S"))</f>
        <v>65882229.350000001</v>
      </c>
      <c r="V27" s="214">
        <f t="shared" si="4"/>
        <v>0</v>
      </c>
      <c r="W27" s="212"/>
      <c r="X27" s="205">
        <f>IF($C27=0,"",SUMIFS(INPUT_DATA!AT:AT,INPUT_DATA!$A:$A,$C27,INPUT_DATA!$B:$B,"D"))</f>
        <v>4348.53</v>
      </c>
      <c r="Y27" s="206">
        <f>IF($C27=0,"",SUMIFS(INPUT_DATA!AU:AU,INPUT_DATA!$A:$A,$C27,INPUT_DATA!$B:$B,"D"))</f>
        <v>0</v>
      </c>
      <c r="Z27" s="206">
        <f>IF($C27=0,"",SUMIFS(INPUT_DATA!AV:AV,INPUT_DATA!$A:$A,$C27,INPUT_DATA!$B:$B,"D"))</f>
        <v>0</v>
      </c>
      <c r="AA27" s="207">
        <f t="shared" si="6"/>
        <v>4348.53</v>
      </c>
      <c r="AB27" s="206">
        <f>IF($C27=0,"",SUMIFS(INPUT_DATA!AX:AX,INPUT_DATA!$A:$A,$C27,INPUT_DATA!$B:$B,"D"))</f>
        <v>1458.97</v>
      </c>
      <c r="AC27" s="206">
        <f>IF($C27=0,"",SUMIFS(INPUT_DATA!AY:AY,INPUT_DATA!$A:$A,$C27,INPUT_DATA!$B:$B,"D"))</f>
        <v>0</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1458.97</v>
      </c>
      <c r="AK27" s="209">
        <f>IF($C27=0,"",SUMIFS(INPUT_DATA!BG:BG,INPUT_DATA!$A:$A,$C27,INPUT_DATA!$B:$B,"D"))</f>
        <v>0</v>
      </c>
      <c r="AL27" s="209">
        <f>IF($C27=0,"",SUMIFS(INPUT_DATA!BH:BH,INPUT_DATA!$A:$A,$C27,INPUT_DATA!$B:$B,"D"))</f>
        <v>0</v>
      </c>
      <c r="AM27" s="208">
        <f t="shared" si="8"/>
        <v>5807.5</v>
      </c>
      <c r="AN27" s="210">
        <f>IF($C27=0,"",SUMIFS(INPUT_DATA!BK:BK,INPUT_DATA!$A:$A,$C27,INPUT_DATA!$B:$B,"D"))</f>
        <v>5807.5</v>
      </c>
      <c r="AO27" s="211">
        <f t="shared" si="9"/>
        <v>0</v>
      </c>
      <c r="AP27" s="212"/>
      <c r="AR27" s="211">
        <f t="shared" si="5"/>
        <v>65888036.850000001</v>
      </c>
      <c r="AT27" s="203">
        <f>IF($C27=0,"",'02 - Monthly Asset Follow up'!E31+'02 - Monthly Asset Follow up'!F31-'02 - Monthly Asset Follow up'!V31+'02 - Monthly Asset Follow up'!Y31-H27)</f>
        <v>0</v>
      </c>
      <c r="AU27" s="203">
        <f>IF($C27=0,"",'02 - Monthly Asset Follow up'!BB31+'02 - Monthly Asset Follow up'!BC31-'02 - Monthly Asset Follow up'!BR31+'02 - Monthly Asset Follow up'!BU31-AA27)</f>
        <v>9.0949470177292824E-13</v>
      </c>
      <c r="AW27" s="215"/>
    </row>
    <row r="28" spans="2:49" ht="13">
      <c r="B28" s="1573">
        <f t="shared" si="0"/>
        <v>45717</v>
      </c>
      <c r="C28" s="1574">
        <f>'02 - Monthly Asset Follow up'!B32</f>
        <v>45747</v>
      </c>
      <c r="D28" s="212"/>
      <c r="E28" s="205">
        <f>IF($C28=0,"",SUMIFS(INPUT_DATA!AT:AT,INPUT_DATA!$A:$A,$C28,INPUT_DATA!$B:$B,"S"))</f>
        <v>41400952.920000002</v>
      </c>
      <c r="F28" s="206">
        <f>IF($C28=0,"",SUMIFS(INPUT_DATA!AU:AU,INPUT_DATA!$A:$A,$C28,INPUT_DATA!$B:$B,"S"))</f>
        <v>110479.05</v>
      </c>
      <c r="G28" s="206">
        <f>IF($C28=0,"",SUMIFS(INPUT_DATA!AV:AV,INPUT_DATA!$A:$A,$C28,INPUT_DATA!$B:$B,"S"))</f>
        <v>15107591.52</v>
      </c>
      <c r="H28" s="213">
        <f t="shared" si="1"/>
        <v>56619023.489999995</v>
      </c>
      <c r="I28" s="206">
        <f>IF($C28=0,"",SUMIFS(INPUT_DATA!AX:AX,INPUT_DATA!$A:$A,$C28,INPUT_DATA!$B:$B,"S"))</f>
        <v>9615918.6699999999</v>
      </c>
      <c r="J28" s="206">
        <f>IF($C28=0,"",SUMIFS(INPUT_DATA!AY:AY,INPUT_DATA!$A:$A,$C28,INPUT_DATA!$B:$B,"S"))</f>
        <v>26077.64</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76072.649999999994</v>
      </c>
      <c r="O28" s="206">
        <f>IF($C28=0,"",SUMIFS(INPUT_DATA!BD:BD,INPUT_DATA!$A:$A,$C28,INPUT_DATA!$B:$B,"S"))</f>
        <v>0</v>
      </c>
      <c r="P28" s="206">
        <f>IF($C28=0,"",SUMIFS(INPUT_DATA!BE:BE,INPUT_DATA!$A:$A,$C28,INPUT_DATA!$B:$B,"S"))</f>
        <v>0</v>
      </c>
      <c r="Q28" s="208">
        <f t="shared" si="2"/>
        <v>9718068.9600000009</v>
      </c>
      <c r="R28" s="209">
        <f>IF($C28=0,"",SUMIFS(INPUT_DATA!BG:BG,INPUT_DATA!$A:$A,$C28,INPUT_DATA!$B:$B,"S"))</f>
        <v>0</v>
      </c>
      <c r="S28" s="209">
        <f>IF($C28=0,"",SUMIFS(INPUT_DATA!BH:BH,INPUT_DATA!$A:$A,$C28,INPUT_DATA!$B:$B,"S"))</f>
        <v>0</v>
      </c>
      <c r="T28" s="208">
        <f t="shared" si="3"/>
        <v>66337092.449999996</v>
      </c>
      <c r="U28" s="210">
        <f>IF($C28=0,"",SUMIFS(INPUT_DATA!BK:BK,INPUT_DATA!$A:$A,$C28,INPUT_DATA!$B:$B,"S"))</f>
        <v>66337092.450000003</v>
      </c>
      <c r="V28" s="214">
        <f t="shared" si="4"/>
        <v>-7.4505805969238281E-9</v>
      </c>
      <c r="W28" s="212"/>
      <c r="X28" s="205">
        <f>IF($C28=0,"",SUMIFS(INPUT_DATA!AT:AT,INPUT_DATA!$A:$A,$C28,INPUT_DATA!$B:$B,"D"))</f>
        <v>114698.74</v>
      </c>
      <c r="Y28" s="206">
        <f>IF($C28=0,"",SUMIFS(INPUT_DATA!AU:AU,INPUT_DATA!$A:$A,$C28,INPUT_DATA!$B:$B,"D"))</f>
        <v>0</v>
      </c>
      <c r="Z28" s="206">
        <f>IF($C28=0,"",SUMIFS(INPUT_DATA!AV:AV,INPUT_DATA!$A:$A,$C28,INPUT_DATA!$B:$B,"D"))</f>
        <v>0</v>
      </c>
      <c r="AA28" s="207">
        <f t="shared" si="6"/>
        <v>114698.74</v>
      </c>
      <c r="AB28" s="206">
        <f>IF($C28=0,"",SUMIFS(INPUT_DATA!AX:AX,INPUT_DATA!$A:$A,$C28,INPUT_DATA!$B:$B,"D"))</f>
        <v>883.23</v>
      </c>
      <c r="AC28" s="206">
        <f>IF($C28=0,"",SUMIFS(INPUT_DATA!AY:AY,INPUT_DATA!$A:$A,$C28,INPUT_DATA!$B:$B,"D"))</f>
        <v>0</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883.23</v>
      </c>
      <c r="AK28" s="209">
        <f>IF($C28=0,"",SUMIFS(INPUT_DATA!BG:BG,INPUT_DATA!$A:$A,$C28,INPUT_DATA!$B:$B,"D"))</f>
        <v>0</v>
      </c>
      <c r="AL28" s="209">
        <f>IF($C28=0,"",SUMIFS(INPUT_DATA!BH:BH,INPUT_DATA!$A:$A,$C28,INPUT_DATA!$B:$B,"D"))</f>
        <v>0</v>
      </c>
      <c r="AM28" s="208">
        <f t="shared" si="8"/>
        <v>115581.97</v>
      </c>
      <c r="AN28" s="210">
        <f>IF($C28=0,"",SUMIFS(INPUT_DATA!BK:BK,INPUT_DATA!$A:$A,$C28,INPUT_DATA!$B:$B,"D"))</f>
        <v>115581.97</v>
      </c>
      <c r="AO28" s="211">
        <f t="shared" si="9"/>
        <v>0</v>
      </c>
      <c r="AP28" s="212"/>
      <c r="AR28" s="211">
        <f t="shared" si="5"/>
        <v>66452674.419999994</v>
      </c>
      <c r="AT28" s="203">
        <f>IF($C28=0,"",'02 - Monthly Asset Follow up'!E32+'02 - Monthly Asset Follow up'!F32-'02 - Monthly Asset Follow up'!V32+'02 - Monthly Asset Follow up'!Y32-H28)</f>
        <v>7.4505805969238281E-9</v>
      </c>
      <c r="AU28" s="203">
        <f>IF($C28=0,"",'02 - Monthly Asset Follow up'!BB32+'02 - Monthly Asset Follow up'!BC32-'02 - Monthly Asset Follow up'!BR32+'02 - Monthly Asset Follow up'!BU32-AA28)</f>
        <v>0</v>
      </c>
      <c r="AW28" s="215"/>
    </row>
    <row r="29" spans="2:49" ht="13">
      <c r="B29" s="1573">
        <f t="shared" si="0"/>
        <v>45689</v>
      </c>
      <c r="C29" s="1574">
        <f>'02 - Monthly Asset Follow up'!B33</f>
        <v>45716</v>
      </c>
      <c r="D29" s="212"/>
      <c r="E29" s="205">
        <f>IF($C29=0,"",SUMIFS(INPUT_DATA!AT:AT,INPUT_DATA!$A:$A,$C29,INPUT_DATA!$B:$B,"S"))</f>
        <v>41797495.259999998</v>
      </c>
      <c r="F29" s="206">
        <f>IF($C29=0,"",SUMIFS(INPUT_DATA!AU:AU,INPUT_DATA!$A:$A,$C29,INPUT_DATA!$B:$B,"S"))</f>
        <v>98785.53</v>
      </c>
      <c r="G29" s="206">
        <f>IF($C29=0,"",SUMIFS(INPUT_DATA!AV:AV,INPUT_DATA!$A:$A,$C29,INPUT_DATA!$B:$B,"S"))</f>
        <v>13656654.539999999</v>
      </c>
      <c r="H29" s="213">
        <f t="shared" si="1"/>
        <v>55552935.329999998</v>
      </c>
      <c r="I29" s="206">
        <f>IF($C29=0,"",SUMIFS(INPUT_DATA!AX:AX,INPUT_DATA!$A:$A,$C29,INPUT_DATA!$B:$B,"S"))</f>
        <v>9736215.1199999992</v>
      </c>
      <c r="J29" s="206">
        <f>IF($C29=0,"",SUMIFS(INPUT_DATA!AY:AY,INPUT_DATA!$A:$A,$C29,INPUT_DATA!$B:$B,"S"))</f>
        <v>20560.64</v>
      </c>
      <c r="K29" s="206">
        <f>IF($C29=0,"",SUMIFS(INPUT_DATA!AZ:AZ,INPUT_DATA!$A:$A,$C29,INPUT_DATA!$B:$B,"S"))</f>
        <v>0</v>
      </c>
      <c r="L29" s="206">
        <f>IF($C29=0,"",SUMIFS(INPUT_DATA!BA:BA,INPUT_DATA!$A:$A,$C29,INPUT_DATA!$B:$B,"S"))</f>
        <v>0</v>
      </c>
      <c r="M29" s="206">
        <f>IF($C29=0,"",SUMIFS(INPUT_DATA!BB:BB,INPUT_DATA!$A:$A,$C29,INPUT_DATA!$B:$B,"S"))</f>
        <v>0</v>
      </c>
      <c r="N29" s="206">
        <f>IF($C29=0,"",SUMIFS(INPUT_DATA!BC:BC,INPUT_DATA!$A:$A,$C29,INPUT_DATA!$B:$B,"S"))</f>
        <v>55144.93</v>
      </c>
      <c r="O29" s="206">
        <f>IF($C29=0,"",SUMIFS(INPUT_DATA!BD:BD,INPUT_DATA!$A:$A,$C29,INPUT_DATA!$B:$B,"S"))</f>
        <v>0</v>
      </c>
      <c r="P29" s="206">
        <f>IF($C29=0,"",SUMIFS(INPUT_DATA!BE:BE,INPUT_DATA!$A:$A,$C29,INPUT_DATA!$B:$B,"S"))</f>
        <v>0</v>
      </c>
      <c r="Q29" s="208">
        <f t="shared" si="2"/>
        <v>9811920.6899999995</v>
      </c>
      <c r="R29" s="209">
        <f>IF($C29=0,"",SUMIFS(INPUT_DATA!BG:BG,INPUT_DATA!$A:$A,$C29,INPUT_DATA!$B:$B,"S"))</f>
        <v>0</v>
      </c>
      <c r="S29" s="209">
        <f>IF($C29=0,"",SUMIFS(INPUT_DATA!BH:BH,INPUT_DATA!$A:$A,$C29,INPUT_DATA!$B:$B,"S"))</f>
        <v>0</v>
      </c>
      <c r="T29" s="208">
        <f t="shared" si="3"/>
        <v>65364856.019999996</v>
      </c>
      <c r="U29" s="210">
        <f>IF($C29=0,"",SUMIFS(INPUT_DATA!BK:BK,INPUT_DATA!$A:$A,$C29,INPUT_DATA!$B:$B,"S"))</f>
        <v>65364856.020000003</v>
      </c>
      <c r="V29" s="214">
        <f t="shared" si="4"/>
        <v>-7.4505805969238281E-9</v>
      </c>
      <c r="W29" s="212"/>
      <c r="X29" s="205">
        <f>IF($C29=0,"",SUMIFS(INPUT_DATA!AT:AT,INPUT_DATA!$A:$A,$C29,INPUT_DATA!$B:$B,"D"))</f>
        <v>2900.75</v>
      </c>
      <c r="Y29" s="206">
        <f>IF($C29=0,"",SUMIFS(INPUT_DATA!AU:AU,INPUT_DATA!$A:$A,$C29,INPUT_DATA!$B:$B,"D"))</f>
        <v>0</v>
      </c>
      <c r="Z29" s="206">
        <f>IF($C29=0,"",SUMIFS(INPUT_DATA!AV:AV,INPUT_DATA!$A:$A,$C29,INPUT_DATA!$B:$B,"D"))</f>
        <v>0</v>
      </c>
      <c r="AA29" s="207">
        <f t="shared" si="6"/>
        <v>2900.75</v>
      </c>
      <c r="AB29" s="206">
        <f>IF($C29=0,"",SUMIFS(INPUT_DATA!AX:AX,INPUT_DATA!$A:$A,$C29,INPUT_DATA!$B:$B,"D"))</f>
        <v>689.6</v>
      </c>
      <c r="AC29" s="206">
        <f>IF($C29=0,"",SUMIFS(INPUT_DATA!AY:AY,INPUT_DATA!$A:$A,$C29,INPUT_DATA!$B:$B,"D"))</f>
        <v>0</v>
      </c>
      <c r="AD29" s="206">
        <f>IF($C29=0,"",SUMIFS(INPUT_DATA!AZ:AZ,INPUT_DATA!$A:$A,$C29,INPUT_DATA!$B:$B,"D"))</f>
        <v>0</v>
      </c>
      <c r="AE29" s="206">
        <f>IF($C29=0,"",SUMIFS(INPUT_DATA!BA:BA,INPUT_DATA!$A:$A,$C29,INPUT_DATA!$B:$B,"D"))</f>
        <v>0</v>
      </c>
      <c r="AF29" s="206">
        <f>IF($C29=0,"",SUMIFS(INPUT_DATA!BB:BB,INPUT_DATA!$A:$A,$C29,INPUT_DATA!$B:$B,"D"))</f>
        <v>0</v>
      </c>
      <c r="AG29" s="206">
        <f>IF($C29=0,"",SUMIFS(INPUT_DATA!BC:BC,INPUT_DATA!$A:$A,$C29,INPUT_DATA!$B:$B,"D"))</f>
        <v>0</v>
      </c>
      <c r="AH29" s="206">
        <f>IF($C29=0,"",SUMIFS(INPUT_DATA!BD:BD,INPUT_DATA!$A:$A,$C29,INPUT_DATA!$B:$B,"D"))</f>
        <v>0</v>
      </c>
      <c r="AI29" s="206">
        <f>IF($C29=0,"",SUMIFS(INPUT_DATA!BE:BE,INPUT_DATA!$A:$A,$C29,INPUT_DATA!$B:$B,"D"))</f>
        <v>0</v>
      </c>
      <c r="AJ29" s="208">
        <f t="shared" si="7"/>
        <v>689.6</v>
      </c>
      <c r="AK29" s="209">
        <f>IF($C29=0,"",SUMIFS(INPUT_DATA!BG:BG,INPUT_DATA!$A:$A,$C29,INPUT_DATA!$B:$B,"D"))</f>
        <v>0</v>
      </c>
      <c r="AL29" s="209">
        <f>IF($C29=0,"",SUMIFS(INPUT_DATA!BH:BH,INPUT_DATA!$A:$A,$C29,INPUT_DATA!$B:$B,"D"))</f>
        <v>0</v>
      </c>
      <c r="AM29" s="208">
        <f t="shared" si="8"/>
        <v>3590.35</v>
      </c>
      <c r="AN29" s="210">
        <f>IF($C29=0,"",SUMIFS(INPUT_DATA!BK:BK,INPUT_DATA!$A:$A,$C29,INPUT_DATA!$B:$B,"D"))</f>
        <v>3590.35</v>
      </c>
      <c r="AO29" s="211">
        <f t="shared" si="9"/>
        <v>0</v>
      </c>
      <c r="AP29" s="212"/>
      <c r="AR29" s="211">
        <f t="shared" si="5"/>
        <v>65368446.369999997</v>
      </c>
      <c r="AT29" s="203">
        <f>IF($C29=0,"",'02 - Monthly Asset Follow up'!E33+'02 - Monthly Asset Follow up'!F33-'02 - Monthly Asset Follow up'!V33+'02 - Monthly Asset Follow up'!Y33-H29)</f>
        <v>0</v>
      </c>
      <c r="AU29" s="203">
        <f>IF($C29=0,"",'02 - Monthly Asset Follow up'!BB33+'02 - Monthly Asset Follow up'!BC33-'02 - Monthly Asset Follow up'!BR33+'02 - Monthly Asset Follow up'!BU33-AA29)</f>
        <v>0</v>
      </c>
      <c r="AW29" s="215"/>
    </row>
    <row r="30" spans="2:49" ht="13">
      <c r="B30" s="1573">
        <f t="shared" si="0"/>
        <v>45658</v>
      </c>
      <c r="C30" s="1574">
        <f>'02 - Monthly Asset Follow up'!B34</f>
        <v>45688</v>
      </c>
      <c r="D30" s="212"/>
      <c r="E30" s="205">
        <f>IF($C30=0,"",SUMIFS(INPUT_DATA!AT:AT,INPUT_DATA!$A:$A,$C30,INPUT_DATA!$B:$B,"S"))</f>
        <v>42071095.890000001</v>
      </c>
      <c r="F30" s="206">
        <f>IF($C30=0,"",SUMIFS(INPUT_DATA!AU:AU,INPUT_DATA!$A:$A,$C30,INPUT_DATA!$B:$B,"S"))</f>
        <v>71746.8</v>
      </c>
      <c r="G30" s="206">
        <f>IF($C30=0,"",SUMIFS(INPUT_DATA!AV:AV,INPUT_DATA!$A:$A,$C30,INPUT_DATA!$B:$B,"S"))</f>
        <v>13800626.789999999</v>
      </c>
      <c r="H30" s="213">
        <f t="shared" si="1"/>
        <v>55943469.479999997</v>
      </c>
      <c r="I30" s="206">
        <f>IF($C30=0,"",SUMIFS(INPUT_DATA!AX:AX,INPUT_DATA!$A:$A,$C30,INPUT_DATA!$B:$B,"S"))</f>
        <v>9811566.0999999996</v>
      </c>
      <c r="J30" s="206">
        <f>IF($C30=0,"",SUMIFS(INPUT_DATA!AY:AY,INPUT_DATA!$A:$A,$C30,INPUT_DATA!$B:$B,"S"))</f>
        <v>17792.560000000001</v>
      </c>
      <c r="K30" s="206">
        <f>IF($C30=0,"",SUMIFS(INPUT_DATA!AZ:AZ,INPUT_DATA!$A:$A,$C30,INPUT_DATA!$B:$B,"S"))</f>
        <v>0</v>
      </c>
      <c r="L30" s="206">
        <f>IF($C30=0,"",SUMIFS(INPUT_DATA!BA:BA,INPUT_DATA!$A:$A,$C30,INPUT_DATA!$B:$B,"S"))</f>
        <v>0</v>
      </c>
      <c r="M30" s="206">
        <f>IF($C30=0,"",SUMIFS(INPUT_DATA!BB:BB,INPUT_DATA!$A:$A,$C30,INPUT_DATA!$B:$B,"S"))</f>
        <v>0</v>
      </c>
      <c r="N30" s="206">
        <f>IF($C30=0,"",SUMIFS(INPUT_DATA!BC:BC,INPUT_DATA!$A:$A,$C30,INPUT_DATA!$B:$B,"S"))</f>
        <v>75181.8</v>
      </c>
      <c r="O30" s="206">
        <f>IF($C30=0,"",SUMIFS(INPUT_DATA!BD:BD,INPUT_DATA!$A:$A,$C30,INPUT_DATA!$B:$B,"S"))</f>
        <v>0</v>
      </c>
      <c r="P30" s="206">
        <f>IF($C30=0,"",SUMIFS(INPUT_DATA!BE:BE,INPUT_DATA!$A:$A,$C30,INPUT_DATA!$B:$B,"S"))</f>
        <v>0</v>
      </c>
      <c r="Q30" s="208">
        <f t="shared" si="2"/>
        <v>9904540.4600000009</v>
      </c>
      <c r="R30" s="209">
        <f>IF($C30=0,"",SUMIFS(INPUT_DATA!BG:BG,INPUT_DATA!$A:$A,$C30,INPUT_DATA!$B:$B,"S"))</f>
        <v>0</v>
      </c>
      <c r="S30" s="209">
        <f>IF($C30=0,"",SUMIFS(INPUT_DATA!BH:BH,INPUT_DATA!$A:$A,$C30,INPUT_DATA!$B:$B,"S"))</f>
        <v>0</v>
      </c>
      <c r="T30" s="208">
        <f t="shared" si="3"/>
        <v>65848009.939999998</v>
      </c>
      <c r="U30" s="210">
        <f>IF($C30=0,"",SUMIFS(INPUT_DATA!BK:BK,INPUT_DATA!$A:$A,$C30,INPUT_DATA!$B:$B,"S"))</f>
        <v>65848009.939999998</v>
      </c>
      <c r="V30" s="214">
        <f t="shared" si="4"/>
        <v>0</v>
      </c>
      <c r="W30" s="212"/>
      <c r="X30" s="205">
        <f>IF($C30=0,"",SUMIFS(INPUT_DATA!AT:AT,INPUT_DATA!$A:$A,$C30,INPUT_DATA!$B:$B,"D"))</f>
        <v>642.67999999999995</v>
      </c>
      <c r="Y30" s="206">
        <f>IF($C30=0,"",SUMIFS(INPUT_DATA!AU:AU,INPUT_DATA!$A:$A,$C30,INPUT_DATA!$B:$B,"D"))</f>
        <v>969.07</v>
      </c>
      <c r="Z30" s="206">
        <f>IF($C30=0,"",SUMIFS(INPUT_DATA!AV:AV,INPUT_DATA!$A:$A,$C30,INPUT_DATA!$B:$B,"D"))</f>
        <v>0</v>
      </c>
      <c r="AA30" s="207">
        <f t="shared" si="6"/>
        <v>1611.75</v>
      </c>
      <c r="AB30" s="206">
        <f>IF($C30=0,"",SUMIFS(INPUT_DATA!AX:AX,INPUT_DATA!$A:$A,$C30,INPUT_DATA!$B:$B,"D"))</f>
        <v>12.58</v>
      </c>
      <c r="AC30" s="206">
        <f>IF($C30=0,"",SUMIFS(INPUT_DATA!AY:AY,INPUT_DATA!$A:$A,$C30,INPUT_DATA!$B:$B,"D"))</f>
        <v>13.51</v>
      </c>
      <c r="AD30" s="206">
        <f>IF($C30=0,"",SUMIFS(INPUT_DATA!AZ:AZ,INPUT_DATA!$A:$A,$C30,INPUT_DATA!$B:$B,"D"))</f>
        <v>0</v>
      </c>
      <c r="AE30" s="206">
        <f>IF($C30=0,"",SUMIFS(INPUT_DATA!BA:BA,INPUT_DATA!$A:$A,$C30,INPUT_DATA!$B:$B,"D"))</f>
        <v>0</v>
      </c>
      <c r="AF30" s="206">
        <f>IF($C30=0,"",SUMIFS(INPUT_DATA!BB:BB,INPUT_DATA!$A:$A,$C30,INPUT_DATA!$B:$B,"D"))</f>
        <v>0</v>
      </c>
      <c r="AG30" s="206">
        <f>IF($C30=0,"",SUMIFS(INPUT_DATA!BC:BC,INPUT_DATA!$A:$A,$C30,INPUT_DATA!$B:$B,"D"))</f>
        <v>0</v>
      </c>
      <c r="AH30" s="206">
        <f>IF($C30=0,"",SUMIFS(INPUT_DATA!BD:BD,INPUT_DATA!$A:$A,$C30,INPUT_DATA!$B:$B,"D"))</f>
        <v>0</v>
      </c>
      <c r="AI30" s="206">
        <f>IF($C30=0,"",SUMIFS(INPUT_DATA!BE:BE,INPUT_DATA!$A:$A,$C30,INPUT_DATA!$B:$B,"D"))</f>
        <v>0</v>
      </c>
      <c r="AJ30" s="208">
        <f t="shared" si="7"/>
        <v>26.09</v>
      </c>
      <c r="AK30" s="209">
        <f>IF($C30=0,"",SUMIFS(INPUT_DATA!BG:BG,INPUT_DATA!$A:$A,$C30,INPUT_DATA!$B:$B,"D"))</f>
        <v>0</v>
      </c>
      <c r="AL30" s="209">
        <f>IF($C30=0,"",SUMIFS(INPUT_DATA!BH:BH,INPUT_DATA!$A:$A,$C30,INPUT_DATA!$B:$B,"D"))</f>
        <v>0</v>
      </c>
      <c r="AM30" s="208">
        <f t="shared" si="8"/>
        <v>1637.84</v>
      </c>
      <c r="AN30" s="210">
        <f>IF($C30=0,"",SUMIFS(INPUT_DATA!BK:BK,INPUT_DATA!$A:$A,$C30,INPUT_DATA!$B:$B,"D"))</f>
        <v>1637.84</v>
      </c>
      <c r="AO30" s="211">
        <f t="shared" si="9"/>
        <v>0</v>
      </c>
      <c r="AP30" s="212"/>
      <c r="AR30" s="211">
        <f t="shared" si="5"/>
        <v>65849647.780000001</v>
      </c>
      <c r="AT30" s="203">
        <f>IF($C30=0,"",'02 - Monthly Asset Follow up'!E34+'02 - Monthly Asset Follow up'!F34-'02 - Monthly Asset Follow up'!V34+'02 - Monthly Asset Follow up'!Y34-H30)</f>
        <v>0</v>
      </c>
      <c r="AU30" s="203">
        <f>IF($C30=0,"",'02 - Monthly Asset Follow up'!BB34+'02 - Monthly Asset Follow up'!BC34-'02 - Monthly Asset Follow up'!BR34+'02 - Monthly Asset Follow up'!BU34-AA30)</f>
        <v>0</v>
      </c>
      <c r="AW30" s="215"/>
    </row>
    <row r="31" spans="2:49" ht="13">
      <c r="B31" s="1573">
        <f t="shared" si="0"/>
        <v>45627</v>
      </c>
      <c r="C31" s="1574">
        <f>'02 - Monthly Asset Follow up'!B35</f>
        <v>45657</v>
      </c>
      <c r="D31" s="212"/>
      <c r="E31" s="205">
        <f>IF($C31=0,"",SUMIFS(INPUT_DATA!AT:AT,INPUT_DATA!$A:$A,$C31,INPUT_DATA!$B:$B,"S"))</f>
        <v>41643394.18</v>
      </c>
      <c r="F31" s="206">
        <f>IF($C31=0,"",SUMIFS(INPUT_DATA!AU:AU,INPUT_DATA!$A:$A,$C31,INPUT_DATA!$B:$B,"S"))</f>
        <v>77115.009999999995</v>
      </c>
      <c r="G31" s="206">
        <f>IF($C31=0,"",SUMIFS(INPUT_DATA!AV:AV,INPUT_DATA!$A:$A,$C31,INPUT_DATA!$B:$B,"S"))</f>
        <v>14770590.32</v>
      </c>
      <c r="H31" s="213">
        <f t="shared" si="1"/>
        <v>56491099.509999998</v>
      </c>
      <c r="I31" s="206">
        <f>IF($C31=0,"",SUMIFS(INPUT_DATA!AX:AX,INPUT_DATA!$A:$A,$C31,INPUT_DATA!$B:$B,"S"))</f>
        <v>9926226.8000000007</v>
      </c>
      <c r="J31" s="206">
        <f>IF($C31=0,"",SUMIFS(INPUT_DATA!AY:AY,INPUT_DATA!$A:$A,$C31,INPUT_DATA!$B:$B,"S"))</f>
        <v>15738.69</v>
      </c>
      <c r="K31" s="206">
        <f>IF($C31=0,"",SUMIFS(INPUT_DATA!AZ:AZ,INPUT_DATA!$A:$A,$C31,INPUT_DATA!$B:$B,"S"))</f>
        <v>0</v>
      </c>
      <c r="L31" s="206">
        <f>IF($C31=0,"",SUMIFS(INPUT_DATA!BA:BA,INPUT_DATA!$A:$A,$C31,INPUT_DATA!$B:$B,"S"))</f>
        <v>0</v>
      </c>
      <c r="M31" s="206">
        <f>IF($C31=0,"",SUMIFS(INPUT_DATA!BB:BB,INPUT_DATA!$A:$A,$C31,INPUT_DATA!$B:$B,"S"))</f>
        <v>0</v>
      </c>
      <c r="N31" s="206">
        <f>IF($C31=0,"",SUMIFS(INPUT_DATA!BC:BC,INPUT_DATA!$A:$A,$C31,INPUT_DATA!$B:$B,"S"))</f>
        <v>68938.8</v>
      </c>
      <c r="O31" s="206">
        <f>IF($C31=0,"",SUMIFS(INPUT_DATA!BD:BD,INPUT_DATA!$A:$A,$C31,INPUT_DATA!$B:$B,"S"))</f>
        <v>0</v>
      </c>
      <c r="P31" s="206">
        <f>IF($C31=0,"",SUMIFS(INPUT_DATA!BE:BE,INPUT_DATA!$A:$A,$C31,INPUT_DATA!$B:$B,"S"))</f>
        <v>0</v>
      </c>
      <c r="Q31" s="208">
        <f t="shared" si="2"/>
        <v>10010904.290000001</v>
      </c>
      <c r="R31" s="209">
        <f>IF($C31=0,"",SUMIFS(INPUT_DATA!BG:BG,INPUT_DATA!$A:$A,$C31,INPUT_DATA!$B:$B,"S"))</f>
        <v>0</v>
      </c>
      <c r="S31" s="209">
        <f>IF($C31=0,"",SUMIFS(INPUT_DATA!BH:BH,INPUT_DATA!$A:$A,$C31,INPUT_DATA!$B:$B,"S"))</f>
        <v>0</v>
      </c>
      <c r="T31" s="208">
        <f t="shared" si="3"/>
        <v>66502003.799999997</v>
      </c>
      <c r="U31" s="210">
        <f>IF($C31=0,"",SUMIFS(INPUT_DATA!BK:BK,INPUT_DATA!$A:$A,$C31,INPUT_DATA!$B:$B,"S"))</f>
        <v>66502003.799999997</v>
      </c>
      <c r="V31" s="214">
        <f t="shared" si="4"/>
        <v>0</v>
      </c>
      <c r="W31" s="212"/>
      <c r="X31" s="205">
        <f>IF($C31=0,"",SUMIFS(INPUT_DATA!AT:AT,INPUT_DATA!$A:$A,$C31,INPUT_DATA!$B:$B,"D"))</f>
        <v>45908.84</v>
      </c>
      <c r="Y31" s="206">
        <f>IF($C31=0,"",SUMIFS(INPUT_DATA!AU:AU,INPUT_DATA!$A:$A,$C31,INPUT_DATA!$B:$B,"D"))</f>
        <v>3909.79</v>
      </c>
      <c r="Z31" s="206">
        <f>IF($C31=0,"",SUMIFS(INPUT_DATA!AV:AV,INPUT_DATA!$A:$A,$C31,INPUT_DATA!$B:$B,"D"))</f>
        <v>0</v>
      </c>
      <c r="AA31" s="207">
        <f t="shared" si="6"/>
        <v>49818.63</v>
      </c>
      <c r="AB31" s="206">
        <f>IF($C31=0,"",SUMIFS(INPUT_DATA!AX:AX,INPUT_DATA!$A:$A,$C31,INPUT_DATA!$B:$B,"D"))</f>
        <v>866</v>
      </c>
      <c r="AC31" s="206">
        <f>IF($C31=0,"",SUMIFS(INPUT_DATA!AY:AY,INPUT_DATA!$A:$A,$C31,INPUT_DATA!$B:$B,"D"))</f>
        <v>230.22</v>
      </c>
      <c r="AD31" s="206">
        <f>IF($C31=0,"",SUMIFS(INPUT_DATA!AZ:AZ,INPUT_DATA!$A:$A,$C31,INPUT_DATA!$B:$B,"D"))</f>
        <v>0</v>
      </c>
      <c r="AE31" s="206">
        <f>IF($C31=0,"",SUMIFS(INPUT_DATA!BA:BA,INPUT_DATA!$A:$A,$C31,INPUT_DATA!$B:$B,"D"))</f>
        <v>0</v>
      </c>
      <c r="AF31" s="206">
        <f>IF($C31=0,"",SUMIFS(INPUT_DATA!BB:BB,INPUT_DATA!$A:$A,$C31,INPUT_DATA!$B:$B,"D"))</f>
        <v>0</v>
      </c>
      <c r="AG31" s="206">
        <f>IF($C31=0,"",SUMIFS(INPUT_DATA!BC:BC,INPUT_DATA!$A:$A,$C31,INPUT_DATA!$B:$B,"D"))</f>
        <v>0</v>
      </c>
      <c r="AH31" s="206">
        <f>IF($C31=0,"",SUMIFS(INPUT_DATA!BD:BD,INPUT_DATA!$A:$A,$C31,INPUT_DATA!$B:$B,"D"))</f>
        <v>0</v>
      </c>
      <c r="AI31" s="206">
        <f>IF($C31=0,"",SUMIFS(INPUT_DATA!BE:BE,INPUT_DATA!$A:$A,$C31,INPUT_DATA!$B:$B,"D"))</f>
        <v>0</v>
      </c>
      <c r="AJ31" s="208">
        <f t="shared" si="7"/>
        <v>1096.22</v>
      </c>
      <c r="AK31" s="209">
        <f>IF($C31=0,"",SUMIFS(INPUT_DATA!BG:BG,INPUT_DATA!$A:$A,$C31,INPUT_DATA!$B:$B,"D"))</f>
        <v>0</v>
      </c>
      <c r="AL31" s="209">
        <f>IF($C31=0,"",SUMIFS(INPUT_DATA!BH:BH,INPUT_DATA!$A:$A,$C31,INPUT_DATA!$B:$B,"D"))</f>
        <v>0</v>
      </c>
      <c r="AM31" s="208">
        <f t="shared" si="8"/>
        <v>50914.85</v>
      </c>
      <c r="AN31" s="210">
        <f>IF($C31=0,"",SUMIFS(INPUT_DATA!BK:BK,INPUT_DATA!$A:$A,$C31,INPUT_DATA!$B:$B,"D"))</f>
        <v>50914.85</v>
      </c>
      <c r="AO31" s="211">
        <f t="shared" si="9"/>
        <v>0</v>
      </c>
      <c r="AP31" s="212"/>
      <c r="AR31" s="211">
        <f t="shared" si="5"/>
        <v>66552918.649999999</v>
      </c>
      <c r="AT31" s="203">
        <f>IF($C31=0,"",'02 - Monthly Asset Follow up'!E35+'02 - Monthly Asset Follow up'!F35-'02 - Monthly Asset Follow up'!V35+'02 - Monthly Asset Follow up'!Y35-H31)</f>
        <v>0</v>
      </c>
      <c r="AU31" s="203">
        <f>IF($C31=0,"",'02 - Monthly Asset Follow up'!BB35+'02 - Monthly Asset Follow up'!BC35-'02 - Monthly Asset Follow up'!BR35+'02 - Monthly Asset Follow up'!BU35-AA31)</f>
        <v>0</v>
      </c>
      <c r="AW31" s="215"/>
    </row>
    <row r="32" spans="2:49" ht="13">
      <c r="B32" s="1573">
        <f t="shared" si="0"/>
        <v>45597</v>
      </c>
      <c r="C32" s="1574">
        <f>'02 - Monthly Asset Follow up'!B36</f>
        <v>45626</v>
      </c>
      <c r="D32" s="212"/>
      <c r="E32" s="205">
        <f>IF($C32=0,"",SUMIFS(INPUT_DATA!AT:AT,INPUT_DATA!$A:$A,$C32,INPUT_DATA!$B:$B,"S"))</f>
        <v>41864705.25</v>
      </c>
      <c r="F32" s="206">
        <f>IF($C32=0,"",SUMIFS(INPUT_DATA!AU:AU,INPUT_DATA!$A:$A,$C32,INPUT_DATA!$B:$B,"S"))</f>
        <v>0</v>
      </c>
      <c r="G32" s="206">
        <f>IF($C32=0,"",SUMIFS(INPUT_DATA!AV:AV,INPUT_DATA!$A:$A,$C32,INPUT_DATA!$B:$B,"S"))</f>
        <v>12780562.119999999</v>
      </c>
      <c r="H32" s="213">
        <f t="shared" si="1"/>
        <v>54645267.369999997</v>
      </c>
      <c r="I32" s="206">
        <f>IF($C32=0,"",SUMIFS(INPUT_DATA!AX:AX,INPUT_DATA!$A:$A,$C32,INPUT_DATA!$B:$B,"S"))</f>
        <v>10017515.09</v>
      </c>
      <c r="J32" s="206">
        <f>IF($C32=0,"",SUMIFS(INPUT_DATA!AY:AY,INPUT_DATA!$A:$A,$C32,INPUT_DATA!$B:$B,"S"))</f>
        <v>0</v>
      </c>
      <c r="K32" s="206">
        <f>IF($C32=0,"",SUMIFS(INPUT_DATA!AZ:AZ,INPUT_DATA!$A:$A,$C32,INPUT_DATA!$B:$B,"S"))</f>
        <v>0</v>
      </c>
      <c r="L32" s="206">
        <f>IF($C32=0,"",SUMIFS(INPUT_DATA!BA:BA,INPUT_DATA!$A:$A,$C32,INPUT_DATA!$B:$B,"S"))</f>
        <v>0</v>
      </c>
      <c r="M32" s="206">
        <f>IF($C32=0,"",SUMIFS(INPUT_DATA!BB:BB,INPUT_DATA!$A:$A,$C32,INPUT_DATA!$B:$B,"S"))</f>
        <v>0</v>
      </c>
      <c r="N32" s="206">
        <f>IF($C32=0,"",SUMIFS(INPUT_DATA!BC:BC,INPUT_DATA!$A:$A,$C32,INPUT_DATA!$B:$B,"S"))</f>
        <v>56405.84</v>
      </c>
      <c r="O32" s="206">
        <f>IF($C32=0,"",SUMIFS(INPUT_DATA!BD:BD,INPUT_DATA!$A:$A,$C32,INPUT_DATA!$B:$B,"S"))</f>
        <v>0</v>
      </c>
      <c r="P32" s="206">
        <f>IF($C32=0,"",SUMIFS(INPUT_DATA!BE:BE,INPUT_DATA!$A:$A,$C32,INPUT_DATA!$B:$B,"S"))</f>
        <v>0</v>
      </c>
      <c r="Q32" s="208">
        <f t="shared" si="2"/>
        <v>10073920.93</v>
      </c>
      <c r="R32" s="209">
        <f>IF($C32=0,"",SUMIFS(INPUT_DATA!BG:BG,INPUT_DATA!$A:$A,$C32,INPUT_DATA!$B:$B,"S"))</f>
        <v>0</v>
      </c>
      <c r="S32" s="209">
        <f>IF($C32=0,"",SUMIFS(INPUT_DATA!BH:BH,INPUT_DATA!$A:$A,$C32,INPUT_DATA!$B:$B,"S"))</f>
        <v>0</v>
      </c>
      <c r="T32" s="208">
        <f t="shared" si="3"/>
        <v>64719188.299999997</v>
      </c>
      <c r="U32" s="210">
        <f>IF($C32=0,"",SUMIFS(INPUT_DATA!BK:BK,INPUT_DATA!$A:$A,$C32,INPUT_DATA!$B:$B,"S"))</f>
        <v>64719188.299999997</v>
      </c>
      <c r="V32" s="214">
        <f t="shared" si="4"/>
        <v>0</v>
      </c>
      <c r="W32" s="212"/>
      <c r="X32" s="205">
        <f>IF($C32=0,"",SUMIFS(INPUT_DATA!AT:AT,INPUT_DATA!$A:$A,$C32,INPUT_DATA!$B:$B,"D"))</f>
        <v>-1043.92</v>
      </c>
      <c r="Y32" s="206">
        <f>IF($C32=0,"",SUMIFS(INPUT_DATA!AU:AU,INPUT_DATA!$A:$A,$C32,INPUT_DATA!$B:$B,"D"))</f>
        <v>0</v>
      </c>
      <c r="Z32" s="206">
        <f>IF($C32=0,"",SUMIFS(INPUT_DATA!AV:AV,INPUT_DATA!$A:$A,$C32,INPUT_DATA!$B:$B,"D"))</f>
        <v>0</v>
      </c>
      <c r="AA32" s="207">
        <f t="shared" si="6"/>
        <v>-1043.92</v>
      </c>
      <c r="AB32" s="206">
        <f>IF($C32=0,"",SUMIFS(INPUT_DATA!AX:AX,INPUT_DATA!$A:$A,$C32,INPUT_DATA!$B:$B,"D"))</f>
        <v>485.35</v>
      </c>
      <c r="AC32" s="206">
        <f>IF($C32=0,"",SUMIFS(INPUT_DATA!AY:AY,INPUT_DATA!$A:$A,$C32,INPUT_DATA!$B:$B,"D"))</f>
        <v>0</v>
      </c>
      <c r="AD32" s="206">
        <f>IF($C32=0,"",SUMIFS(INPUT_DATA!AZ:AZ,INPUT_DATA!$A:$A,$C32,INPUT_DATA!$B:$B,"D"))</f>
        <v>0</v>
      </c>
      <c r="AE32" s="206">
        <f>IF($C32=0,"",SUMIFS(INPUT_DATA!BA:BA,INPUT_DATA!$A:$A,$C32,INPUT_DATA!$B:$B,"D"))</f>
        <v>0</v>
      </c>
      <c r="AF32" s="206">
        <f>IF($C32=0,"",SUMIFS(INPUT_DATA!BB:BB,INPUT_DATA!$A:$A,$C32,INPUT_DATA!$B:$B,"D"))</f>
        <v>0</v>
      </c>
      <c r="AG32" s="206">
        <f>IF($C32=0,"",SUMIFS(INPUT_DATA!BC:BC,INPUT_DATA!$A:$A,$C32,INPUT_DATA!$B:$B,"D"))</f>
        <v>0</v>
      </c>
      <c r="AH32" s="206">
        <f>IF($C32=0,"",SUMIFS(INPUT_DATA!BD:BD,INPUT_DATA!$A:$A,$C32,INPUT_DATA!$B:$B,"D"))</f>
        <v>0</v>
      </c>
      <c r="AI32" s="206">
        <f>IF($C32=0,"",SUMIFS(INPUT_DATA!BE:BE,INPUT_DATA!$A:$A,$C32,INPUT_DATA!$B:$B,"D"))</f>
        <v>0</v>
      </c>
      <c r="AJ32" s="208">
        <f t="shared" si="7"/>
        <v>485.35</v>
      </c>
      <c r="AK32" s="209">
        <f>IF($C32=0,"",SUMIFS(INPUT_DATA!BG:BG,INPUT_DATA!$A:$A,$C32,INPUT_DATA!$B:$B,"D"))</f>
        <v>0</v>
      </c>
      <c r="AL32" s="209">
        <f>IF($C32=0,"",SUMIFS(INPUT_DATA!BH:BH,INPUT_DATA!$A:$A,$C32,INPUT_DATA!$B:$B,"D"))</f>
        <v>0</v>
      </c>
      <c r="AM32" s="208">
        <f t="shared" si="8"/>
        <v>-558.57000000000005</v>
      </c>
      <c r="AN32" s="210">
        <f>IF($C32=0,"",SUMIFS(INPUT_DATA!BK:BK,INPUT_DATA!$A:$A,$C32,INPUT_DATA!$B:$B,"D"))</f>
        <v>-558.57000000000005</v>
      </c>
      <c r="AO32" s="211">
        <f t="shared" si="9"/>
        <v>0</v>
      </c>
      <c r="AP32" s="212"/>
      <c r="AR32" s="211">
        <f t="shared" si="5"/>
        <v>64718629.729999997</v>
      </c>
      <c r="AT32" s="203">
        <f>IF($C32=0,"",'02 - Monthly Asset Follow up'!E36+'02 - Monthly Asset Follow up'!F36-'02 - Monthly Asset Follow up'!V36+'02 - Monthly Asset Follow up'!Y36-H32)</f>
        <v>0</v>
      </c>
      <c r="AU32" s="203">
        <f>IF($C32=0,"",'02 - Monthly Asset Follow up'!BB36+'02 - Monthly Asset Follow up'!BC36-'02 - Monthly Asset Follow up'!BR36+'02 - Monthly Asset Follow up'!BU36-AA32)</f>
        <v>0</v>
      </c>
      <c r="AW32" s="215"/>
    </row>
    <row r="33" spans="2:49" ht="13">
      <c r="B33" s="1573">
        <f t="shared" si="0"/>
        <v>45566</v>
      </c>
      <c r="C33" s="1574">
        <f>'02 - Monthly Asset Follow up'!B37</f>
        <v>45596</v>
      </c>
      <c r="D33" s="212"/>
      <c r="E33" s="205">
        <f>IF($C33=0,"",SUMIFS(INPUT_DATA!AT:AT,INPUT_DATA!$A:$A,$C33,INPUT_DATA!$B:$B,"S"))</f>
        <v>42217161.75</v>
      </c>
      <c r="F33" s="206">
        <f>IF($C33=0,"",SUMIFS(INPUT_DATA!AU:AU,INPUT_DATA!$A:$A,$C33,INPUT_DATA!$B:$B,"S"))</f>
        <v>0</v>
      </c>
      <c r="G33" s="206">
        <f>IF($C33=0,"",SUMIFS(INPUT_DATA!AV:AV,INPUT_DATA!$A:$A,$C33,INPUT_DATA!$B:$B,"S"))</f>
        <v>12577297.26</v>
      </c>
      <c r="H33" s="213">
        <f t="shared" si="1"/>
        <v>54794459.009999998</v>
      </c>
      <c r="I33" s="206">
        <f>IF($C33=0,"",SUMIFS(INPUT_DATA!AX:AX,INPUT_DATA!$A:$A,$C33,INPUT_DATA!$B:$B,"S"))</f>
        <v>2544753.75</v>
      </c>
      <c r="J33" s="206">
        <f>IF($C33=0,"",SUMIFS(INPUT_DATA!AY:AY,INPUT_DATA!$A:$A,$C33,INPUT_DATA!$B:$B,"S"))</f>
        <v>0</v>
      </c>
      <c r="K33" s="206">
        <f>IF($C33=0,"",SUMIFS(INPUT_DATA!AZ:AZ,INPUT_DATA!$A:$A,$C33,INPUT_DATA!$B:$B,"S"))</f>
        <v>0</v>
      </c>
      <c r="L33" s="206">
        <f>IF($C33=0,"",SUMIFS(INPUT_DATA!BA:BA,INPUT_DATA!$A:$A,$C33,INPUT_DATA!$B:$B,"S"))</f>
        <v>0</v>
      </c>
      <c r="M33" s="206">
        <f>IF($C33=0,"",SUMIFS(INPUT_DATA!BB:BB,INPUT_DATA!$A:$A,$C33,INPUT_DATA!$B:$B,"S"))</f>
        <v>0</v>
      </c>
      <c r="N33" s="206">
        <f>IF($C33=0,"",SUMIFS(INPUT_DATA!BC:BC,INPUT_DATA!$A:$A,$C33,INPUT_DATA!$B:$B,"S"))</f>
        <v>52923.47</v>
      </c>
      <c r="O33" s="206">
        <f>IF($C33=0,"",SUMIFS(INPUT_DATA!BD:BD,INPUT_DATA!$A:$A,$C33,INPUT_DATA!$B:$B,"S"))</f>
        <v>0</v>
      </c>
      <c r="P33" s="206">
        <f>IF($C33=0,"",SUMIFS(INPUT_DATA!BE:BE,INPUT_DATA!$A:$A,$C33,INPUT_DATA!$B:$B,"S"))</f>
        <v>0</v>
      </c>
      <c r="Q33" s="208">
        <f t="shared" si="2"/>
        <v>2597677.2200000002</v>
      </c>
      <c r="R33" s="209">
        <f>IF($C33=0,"",SUMIFS(INPUT_DATA!BG:BG,INPUT_DATA!$A:$A,$C33,INPUT_DATA!$B:$B,"S"))</f>
        <v>0</v>
      </c>
      <c r="S33" s="209">
        <f>IF($C33=0,"",SUMIFS(INPUT_DATA!BH:BH,INPUT_DATA!$A:$A,$C33,INPUT_DATA!$B:$B,"S"))</f>
        <v>0</v>
      </c>
      <c r="T33" s="208">
        <f t="shared" si="3"/>
        <v>57392136.229999997</v>
      </c>
      <c r="U33" s="210">
        <f>IF($C33=0,"",SUMIFS(INPUT_DATA!BK:BK,INPUT_DATA!$A:$A,$C33,INPUT_DATA!$B:$B,"S"))</f>
        <v>57392136.229999997</v>
      </c>
      <c r="V33" s="214">
        <f t="shared" si="4"/>
        <v>0</v>
      </c>
      <c r="W33" s="212"/>
      <c r="X33" s="205">
        <f>IF($C33=0,"",SUMIFS(INPUT_DATA!AT:AT,INPUT_DATA!$A:$A,$C33,INPUT_DATA!$B:$B,"D"))</f>
        <v>911.81</v>
      </c>
      <c r="Y33" s="206">
        <f>IF($C33=0,"",SUMIFS(INPUT_DATA!AU:AU,INPUT_DATA!$A:$A,$C33,INPUT_DATA!$B:$B,"D"))</f>
        <v>0</v>
      </c>
      <c r="Z33" s="206">
        <f>IF($C33=0,"",SUMIFS(INPUT_DATA!AV:AV,INPUT_DATA!$A:$A,$C33,INPUT_DATA!$B:$B,"D"))</f>
        <v>0</v>
      </c>
      <c r="AA33" s="207">
        <f t="shared" si="6"/>
        <v>911.81</v>
      </c>
      <c r="AB33" s="206">
        <f>IF($C33=0,"",SUMIFS(INPUT_DATA!AX:AX,INPUT_DATA!$A:$A,$C33,INPUT_DATA!$B:$B,"D"))</f>
        <v>31.79</v>
      </c>
      <c r="AC33" s="206">
        <f>IF($C33=0,"",SUMIFS(INPUT_DATA!AY:AY,INPUT_DATA!$A:$A,$C33,INPUT_DATA!$B:$B,"D"))</f>
        <v>0</v>
      </c>
      <c r="AD33" s="206">
        <f>IF($C33=0,"",SUMIFS(INPUT_DATA!AZ:AZ,INPUT_DATA!$A:$A,$C33,INPUT_DATA!$B:$B,"D"))</f>
        <v>0</v>
      </c>
      <c r="AE33" s="206">
        <f>IF($C33=0,"",SUMIFS(INPUT_DATA!BA:BA,INPUT_DATA!$A:$A,$C33,INPUT_DATA!$B:$B,"D"))</f>
        <v>0</v>
      </c>
      <c r="AF33" s="206">
        <f>IF($C33=0,"",SUMIFS(INPUT_DATA!BB:BB,INPUT_DATA!$A:$A,$C33,INPUT_DATA!$B:$B,"D"))</f>
        <v>0</v>
      </c>
      <c r="AG33" s="206">
        <f>IF($C33=0,"",SUMIFS(INPUT_DATA!BC:BC,INPUT_DATA!$A:$A,$C33,INPUT_DATA!$B:$B,"D"))</f>
        <v>0</v>
      </c>
      <c r="AH33" s="206">
        <f>IF($C33=0,"",SUMIFS(INPUT_DATA!BD:BD,INPUT_DATA!$A:$A,$C33,INPUT_DATA!$B:$B,"D"))</f>
        <v>0</v>
      </c>
      <c r="AI33" s="206">
        <f>IF($C33=0,"",SUMIFS(INPUT_DATA!BE:BE,INPUT_DATA!$A:$A,$C33,INPUT_DATA!$B:$B,"D"))</f>
        <v>0</v>
      </c>
      <c r="AJ33" s="208">
        <f t="shared" si="7"/>
        <v>31.79</v>
      </c>
      <c r="AK33" s="209">
        <f>IF($C33=0,"",SUMIFS(INPUT_DATA!BG:BG,INPUT_DATA!$A:$A,$C33,INPUT_DATA!$B:$B,"D"))</f>
        <v>0</v>
      </c>
      <c r="AL33" s="209">
        <f>IF($C33=0,"",SUMIFS(INPUT_DATA!BH:BH,INPUT_DATA!$A:$A,$C33,INPUT_DATA!$B:$B,"D"))</f>
        <v>0</v>
      </c>
      <c r="AM33" s="208">
        <f t="shared" si="8"/>
        <v>943.59999999999991</v>
      </c>
      <c r="AN33" s="210">
        <f>IF($C33=0,"",SUMIFS(INPUT_DATA!BK:BK,INPUT_DATA!$A:$A,$C33,INPUT_DATA!$B:$B,"D"))</f>
        <v>943.6</v>
      </c>
      <c r="AO33" s="211">
        <f t="shared" si="9"/>
        <v>-1.1368683772161603E-13</v>
      </c>
      <c r="AP33" s="212"/>
      <c r="AR33" s="211">
        <f t="shared" si="5"/>
        <v>57393079.829999998</v>
      </c>
      <c r="AT33" s="203">
        <f>IF($C33=0,"",'02 - Monthly Asset Follow up'!E37+'02 - Monthly Asset Follow up'!F37-'02 - Monthly Asset Follow up'!V37+'02 - Monthly Asset Follow up'!Y37-H33)</f>
        <v>0</v>
      </c>
      <c r="AU33" s="203">
        <f>IF($C33=0,"",'02 - Monthly Asset Follow up'!BB37+'02 - Monthly Asset Follow up'!BC37-'02 - Monthly Asset Follow up'!BR37+'02 - Monthly Asset Follow up'!BU37-AA33)</f>
        <v>0</v>
      </c>
      <c r="AW33" s="215"/>
    </row>
    <row r="34" spans="2:49" ht="13">
      <c r="B34" s="1573" t="str">
        <f t="shared" si="0"/>
        <v/>
      </c>
      <c r="C34" s="1574">
        <f>'02 - Monthly Asset Follow up'!B38</f>
        <v>45565</v>
      </c>
      <c r="D34" s="212"/>
      <c r="E34" s="205">
        <f>IF($C34=0,"",SUMIFS(INPUT_DATA!AT:AT,INPUT_DATA!$A:$A,$C34,INPUT_DATA!$B:$B,"S"))</f>
        <v>0</v>
      </c>
      <c r="F34" s="206">
        <f>IF($C34=0,"",SUMIFS(INPUT_DATA!AU:AU,INPUT_DATA!$A:$A,$C34,INPUT_DATA!$B:$B,"S"))</f>
        <v>0</v>
      </c>
      <c r="G34" s="206">
        <f>IF($C34=0,"",SUMIFS(INPUT_DATA!AV:AV,INPUT_DATA!$A:$A,$C34,INPUT_DATA!$B:$B,"S"))</f>
        <v>0</v>
      </c>
      <c r="H34" s="213">
        <f t="shared" si="1"/>
        <v>0</v>
      </c>
      <c r="I34" s="206">
        <f>IF($C34=0,"",SUMIFS(INPUT_DATA!AX:AX,INPUT_DATA!$A:$A,$C34,INPUT_DATA!$B:$B,"S"))</f>
        <v>0</v>
      </c>
      <c r="J34" s="206">
        <f>IF($C34=0,"",SUMIFS(INPUT_DATA!AY:AY,INPUT_DATA!$A:$A,$C34,INPUT_DATA!$B:$B,"S"))</f>
        <v>0</v>
      </c>
      <c r="K34" s="206">
        <f>IF($C34=0,"",SUMIFS(INPUT_DATA!AZ:AZ,INPUT_DATA!$A:$A,$C34,INPUT_DATA!$B:$B,"S"))</f>
        <v>0</v>
      </c>
      <c r="L34" s="206">
        <f>IF($C34=0,"",SUMIFS(INPUT_DATA!BA:BA,INPUT_DATA!$A:$A,$C34,INPUT_DATA!$B:$B,"S"))</f>
        <v>0</v>
      </c>
      <c r="M34" s="206">
        <f>IF($C34=0,"",SUMIFS(INPUT_DATA!BB:BB,INPUT_DATA!$A:$A,$C34,INPUT_DATA!$B:$B,"S"))</f>
        <v>0</v>
      </c>
      <c r="N34" s="206">
        <f>IF($C34=0,"",SUMIFS(INPUT_DATA!BC:BC,INPUT_DATA!$A:$A,$C34,INPUT_DATA!$B:$B,"S"))</f>
        <v>0</v>
      </c>
      <c r="O34" s="206">
        <f>IF($C34=0,"",SUMIFS(INPUT_DATA!BD:BD,INPUT_DATA!$A:$A,$C34,INPUT_DATA!$B:$B,"S"))</f>
        <v>0</v>
      </c>
      <c r="P34" s="206">
        <f>IF($C34=0,"",SUMIFS(INPUT_DATA!BE:BE,INPUT_DATA!$A:$A,$C34,INPUT_DATA!$B:$B,"S"))</f>
        <v>0</v>
      </c>
      <c r="Q34" s="208">
        <f t="shared" si="2"/>
        <v>0</v>
      </c>
      <c r="R34" s="209">
        <f>IF($C34=0,"",SUMIFS(INPUT_DATA!BG:BG,INPUT_DATA!$A:$A,$C34,INPUT_DATA!$B:$B,"S"))</f>
        <v>0</v>
      </c>
      <c r="S34" s="209">
        <f>IF($C34=0,"",SUMIFS(INPUT_DATA!BH:BH,INPUT_DATA!$A:$A,$C34,INPUT_DATA!$B:$B,"S"))</f>
        <v>0</v>
      </c>
      <c r="T34" s="208">
        <f t="shared" si="3"/>
        <v>0</v>
      </c>
      <c r="U34" s="210">
        <f>IF($C34=0,"",SUMIFS(INPUT_DATA!BK:BK,INPUT_DATA!$A:$A,$C34,INPUT_DATA!$B:$B,"S"))</f>
        <v>0</v>
      </c>
      <c r="V34" s="214">
        <f t="shared" si="4"/>
        <v>0</v>
      </c>
      <c r="W34" s="212"/>
      <c r="X34" s="205">
        <f>IF($C34=0,"",SUMIFS(INPUT_DATA!AT:AT,INPUT_DATA!$A:$A,$C34,INPUT_DATA!$B:$B,"D"))</f>
        <v>0</v>
      </c>
      <c r="Y34" s="206">
        <f>IF($C34=0,"",SUMIFS(INPUT_DATA!AU:AU,INPUT_DATA!$A:$A,$C34,INPUT_DATA!$B:$B,"D"))</f>
        <v>0</v>
      </c>
      <c r="Z34" s="206">
        <f>IF($C34=0,"",SUMIFS(INPUT_DATA!AV:AV,INPUT_DATA!$A:$A,$C34,INPUT_DATA!$B:$B,"D"))</f>
        <v>0</v>
      </c>
      <c r="AA34" s="207">
        <f t="shared" si="6"/>
        <v>0</v>
      </c>
      <c r="AB34" s="206">
        <f>IF($C34=0,"",SUMIFS(INPUT_DATA!AX:AX,INPUT_DATA!$A:$A,$C34,INPUT_DATA!$B:$B,"D"))</f>
        <v>0</v>
      </c>
      <c r="AC34" s="206">
        <f>IF($C34=0,"",SUMIFS(INPUT_DATA!AY:AY,INPUT_DATA!$A:$A,$C34,INPUT_DATA!$B:$B,"D"))</f>
        <v>0</v>
      </c>
      <c r="AD34" s="206">
        <f>IF($C34=0,"",SUMIFS(INPUT_DATA!AZ:AZ,INPUT_DATA!$A:$A,$C34,INPUT_DATA!$B:$B,"D"))</f>
        <v>0</v>
      </c>
      <c r="AE34" s="206">
        <f>IF($C34=0,"",SUMIFS(INPUT_DATA!BA:BA,INPUT_DATA!$A:$A,$C34,INPUT_DATA!$B:$B,"D"))</f>
        <v>0</v>
      </c>
      <c r="AF34" s="206">
        <f>IF($C34=0,"",SUMIFS(INPUT_DATA!BB:BB,INPUT_DATA!$A:$A,$C34,INPUT_DATA!$B:$B,"D"))</f>
        <v>0</v>
      </c>
      <c r="AG34" s="206">
        <f>IF($C34=0,"",SUMIFS(INPUT_DATA!BC:BC,INPUT_DATA!$A:$A,$C34,INPUT_DATA!$B:$B,"D"))</f>
        <v>0</v>
      </c>
      <c r="AH34" s="206">
        <f>IF($C34=0,"",SUMIFS(INPUT_DATA!BD:BD,INPUT_DATA!$A:$A,$C34,INPUT_DATA!$B:$B,"D"))</f>
        <v>0</v>
      </c>
      <c r="AI34" s="206">
        <f>IF($C34=0,"",SUMIFS(INPUT_DATA!BE:BE,INPUT_DATA!$A:$A,$C34,INPUT_DATA!$B:$B,"D"))</f>
        <v>0</v>
      </c>
      <c r="AJ34" s="208">
        <f t="shared" si="7"/>
        <v>0</v>
      </c>
      <c r="AK34" s="209">
        <f>IF($C34=0,"",SUMIFS(INPUT_DATA!BG:BG,INPUT_DATA!$A:$A,$C34,INPUT_DATA!$B:$B,"D"))</f>
        <v>0</v>
      </c>
      <c r="AL34" s="209">
        <f>IF($C34=0,"",SUMIFS(INPUT_DATA!BH:BH,INPUT_DATA!$A:$A,$C34,INPUT_DATA!$B:$B,"D"))</f>
        <v>0</v>
      </c>
      <c r="AM34" s="208">
        <f t="shared" si="8"/>
        <v>0</v>
      </c>
      <c r="AN34" s="210">
        <f>IF($C34=0,"",SUMIFS(INPUT_DATA!BK:BK,INPUT_DATA!$A:$A,$C34,INPUT_DATA!$B:$B,"D"))</f>
        <v>0</v>
      </c>
      <c r="AO34" s="211">
        <f t="shared" si="9"/>
        <v>0</v>
      </c>
      <c r="AP34" s="212"/>
      <c r="AR34" s="211">
        <f t="shared" si="5"/>
        <v>0</v>
      </c>
      <c r="AT34" s="203">
        <f>IF($C34=0,"",'02 - Monthly Asset Follow up'!E38+'02 - Monthly Asset Follow up'!F38-'02 - Monthly Asset Follow up'!V38+'02 - Monthly Asset Follow up'!Y38-H34)</f>
        <v>0</v>
      </c>
      <c r="AU34" s="203">
        <f>IF($C34=0,"",'02 - Monthly Asset Follow up'!BB38+'02 - Monthly Asset Follow up'!BC38-'02 - Monthly Asset Follow up'!BR38+'02 - Monthly Asset Follow up'!BU38-AA34)</f>
        <v>0</v>
      </c>
      <c r="AW34" s="215"/>
    </row>
    <row r="35" spans="2:49" ht="13">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ht="13">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ht="13">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ht="13">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ht="13">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ht="13">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ht="13">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ht="13">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ht="13">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ht="13">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ht="13">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ht="13">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ht="13">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ht="13">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ht="13">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ht="13">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ht="13">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ht="13">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ht="13">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ht="13">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ht="13">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ht="13">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ht="13">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ht="13">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ht="13">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ht="13">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ht="13">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ht="13">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ht="13">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ht="13">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ht="13">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ht="13">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ht="13">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ht="13">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ht="13">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ht="13">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ht="13">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ht="13">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ht="13">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ht="13">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ht="13">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ht="13">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ht="13">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ht="13">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ht="13">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ht="13">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ht="13">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ht="13">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ht="13">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ht="13">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ht="13">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ht="13">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ht="13">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ht="13">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ht="13">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ht="13">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ht="13">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ht="13">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ht="13">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ht="13">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ht="13">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ht="13">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ht="13">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ht="13">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ht="13">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ht="13">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ht="13">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ht="13">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ht="13">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ht="13">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ht="13">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ht="13">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ht="13">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ht="13">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ht="13">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ht="13">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ht="13">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ht="13">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ht="13">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ht="13">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ht="13">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ht="13">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ht="13">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ht="13">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ht="13">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ht="13">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796875" defaultRowHeight="1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heetViews>
  <sheetFormatPr defaultColWidth="9.1796875" defaultRowHeight="14.5"/>
  <cols>
    <col min="1" max="1" width="31.453125" customWidth="1"/>
    <col min="2" max="4" width="26.7265625" customWidth="1"/>
    <col min="5" max="10" width="31.453125" customWidth="1"/>
    <col min="11" max="19" width="28.81640625" customWidth="1"/>
  </cols>
  <sheetData>
    <row r="1" spans="1:10" ht="26.5" thickBot="1">
      <c r="A1" s="1610" t="s">
        <v>1373</v>
      </c>
      <c r="B1" s="1610" t="s">
        <v>1374</v>
      </c>
      <c r="C1" s="1611" t="s">
        <v>1375</v>
      </c>
      <c r="D1" s="1610" t="s">
        <v>1376</v>
      </c>
      <c r="E1" s="1610" t="s">
        <v>1377</v>
      </c>
      <c r="F1" s="1610" t="s">
        <v>1378</v>
      </c>
      <c r="G1" s="1610" t="s">
        <v>1379</v>
      </c>
      <c r="H1" s="1610" t="s">
        <v>1380</v>
      </c>
      <c r="I1" s="1612" t="s">
        <v>1381</v>
      </c>
      <c r="J1" s="1840"/>
    </row>
    <row r="2" spans="1:10" ht="39.5" thickBot="1">
      <c r="A2" s="1625" t="s">
        <v>1578</v>
      </c>
      <c r="B2" s="1613" t="s">
        <v>1383</v>
      </c>
      <c r="C2" s="1614" t="s">
        <v>1383</v>
      </c>
      <c r="D2" s="1615"/>
      <c r="E2" s="1616"/>
      <c r="F2" s="1617" t="s">
        <v>143</v>
      </c>
      <c r="G2" s="1617" t="s">
        <v>143</v>
      </c>
      <c r="H2" s="1618"/>
      <c r="I2" s="1619"/>
      <c r="J2" s="1841"/>
    </row>
    <row r="3" spans="1:10" ht="63" thickBot="1">
      <c r="A3" s="1625" t="s">
        <v>1578</v>
      </c>
      <c r="B3" s="1613" t="s">
        <v>1383</v>
      </c>
      <c r="C3" s="1611" t="s">
        <v>1579</v>
      </c>
      <c r="D3" s="1620" t="s">
        <v>1385</v>
      </c>
      <c r="E3" s="1621" t="s">
        <v>1386</v>
      </c>
      <c r="F3" s="1626" t="s">
        <v>1387</v>
      </c>
      <c r="G3" s="1622" t="s">
        <v>1387</v>
      </c>
      <c r="H3" s="1623" t="s">
        <v>1388</v>
      </c>
      <c r="I3" s="1623" t="s">
        <v>1068</v>
      </c>
      <c r="J3" s="1842"/>
    </row>
    <row r="4" spans="1:10" ht="100.5" thickBot="1">
      <c r="A4" s="1625" t="s">
        <v>1578</v>
      </c>
      <c r="B4" s="1613" t="s">
        <v>1383</v>
      </c>
      <c r="C4" s="1611" t="s">
        <v>1580</v>
      </c>
      <c r="D4" s="1620" t="s">
        <v>1390</v>
      </c>
      <c r="E4" s="1621" t="s">
        <v>1581</v>
      </c>
      <c r="F4" s="1626" t="s">
        <v>1387</v>
      </c>
      <c r="G4" s="1622" t="s">
        <v>1387</v>
      </c>
      <c r="H4" s="1623" t="s">
        <v>1392</v>
      </c>
      <c r="I4" s="1636">
        <f>'00 - Cover'!F17</f>
        <v>46203</v>
      </c>
      <c r="J4" s="1843"/>
    </row>
    <row r="5" spans="1:10" ht="50.5" thickBot="1">
      <c r="A5" s="1625" t="s">
        <v>1578</v>
      </c>
      <c r="B5" s="1613" t="s">
        <v>1383</v>
      </c>
      <c r="C5" s="1611" t="s">
        <v>1582</v>
      </c>
      <c r="D5" s="1620" t="s">
        <v>1583</v>
      </c>
      <c r="E5" s="1621" t="s">
        <v>1584</v>
      </c>
      <c r="F5" s="1622" t="s">
        <v>1387</v>
      </c>
      <c r="G5" s="1622" t="s">
        <v>1431</v>
      </c>
      <c r="H5" s="1623" t="s">
        <v>1424</v>
      </c>
      <c r="I5" s="1623" t="s">
        <v>1832</v>
      </c>
      <c r="J5" s="1842"/>
    </row>
    <row r="6" spans="1:10" ht="63" thickBot="1">
      <c r="A6" s="1625" t="s">
        <v>1578</v>
      </c>
      <c r="B6" s="1613" t="s">
        <v>1383</v>
      </c>
      <c r="C6" s="1611" t="s">
        <v>1585</v>
      </c>
      <c r="D6" s="1620" t="s">
        <v>1586</v>
      </c>
      <c r="E6" s="1621" t="s">
        <v>1587</v>
      </c>
      <c r="F6" s="1622" t="s">
        <v>1387</v>
      </c>
      <c r="G6" s="1622" t="s">
        <v>1431</v>
      </c>
      <c r="H6" s="1623" t="s">
        <v>1424</v>
      </c>
      <c r="I6" s="1623" t="s">
        <v>1831</v>
      </c>
      <c r="J6" s="1842"/>
    </row>
    <row r="7" spans="1:10" ht="63" thickBot="1">
      <c r="A7" s="1625" t="s">
        <v>1578</v>
      </c>
      <c r="B7" s="1613" t="s">
        <v>1383</v>
      </c>
      <c r="C7" s="1611" t="s">
        <v>1588</v>
      </c>
      <c r="D7" s="1620" t="s">
        <v>1589</v>
      </c>
      <c r="E7" s="1621" t="s">
        <v>1590</v>
      </c>
      <c r="F7" s="1622" t="s">
        <v>1387</v>
      </c>
      <c r="G7" s="1622" t="s">
        <v>1431</v>
      </c>
      <c r="H7" s="1623" t="s">
        <v>1424</v>
      </c>
      <c r="I7" s="1623" t="s">
        <v>1831</v>
      </c>
      <c r="J7" s="1842"/>
    </row>
    <row r="8" spans="1:10" ht="75.5" thickBot="1">
      <c r="A8" s="1625" t="s">
        <v>1578</v>
      </c>
      <c r="B8" s="1613" t="s">
        <v>1383</v>
      </c>
      <c r="C8" s="1611" t="s">
        <v>1591</v>
      </c>
      <c r="D8" s="1620" t="s">
        <v>1592</v>
      </c>
      <c r="E8" s="1621" t="s">
        <v>1593</v>
      </c>
      <c r="F8" s="1622" t="s">
        <v>1387</v>
      </c>
      <c r="G8" s="1622" t="s">
        <v>1431</v>
      </c>
      <c r="H8" s="1623" t="s">
        <v>1540</v>
      </c>
      <c r="I8" s="1623" t="s">
        <v>1832</v>
      </c>
      <c r="J8" s="1842"/>
    </row>
    <row r="9" spans="1:10" ht="75.5" thickBot="1">
      <c r="A9" s="1625" t="s">
        <v>1578</v>
      </c>
      <c r="B9" s="1613" t="s">
        <v>1383</v>
      </c>
      <c r="C9" s="1611" t="s">
        <v>1594</v>
      </c>
      <c r="D9" s="1620" t="s">
        <v>1595</v>
      </c>
      <c r="E9" s="1621" t="s">
        <v>1596</v>
      </c>
      <c r="F9" s="1622" t="s">
        <v>1387</v>
      </c>
      <c r="G9" s="1622" t="s">
        <v>1431</v>
      </c>
      <c r="H9" s="1623" t="s">
        <v>1424</v>
      </c>
      <c r="I9" s="1623" t="s">
        <v>1830</v>
      </c>
      <c r="J9" s="1842"/>
    </row>
    <row r="10" spans="1:10" ht="188" thickBot="1">
      <c r="A10" s="1625" t="s">
        <v>1578</v>
      </c>
      <c r="B10" s="1613" t="s">
        <v>1383</v>
      </c>
      <c r="C10" s="1611" t="s">
        <v>1597</v>
      </c>
      <c r="D10" s="1620" t="s">
        <v>1598</v>
      </c>
      <c r="E10" s="1621" t="s">
        <v>1599</v>
      </c>
      <c r="F10" s="1622" t="s">
        <v>1387</v>
      </c>
      <c r="G10" s="1622" t="s">
        <v>1387</v>
      </c>
      <c r="H10" s="1623" t="s">
        <v>1414</v>
      </c>
      <c r="I10" s="1623" t="s">
        <v>1844</v>
      </c>
      <c r="J10" s="1842"/>
    </row>
    <row r="11" spans="1:10" ht="188" thickBot="1">
      <c r="A11" s="1625" t="s">
        <v>1578</v>
      </c>
      <c r="B11" s="1613" t="s">
        <v>1383</v>
      </c>
      <c r="C11" s="1611" t="s">
        <v>1600</v>
      </c>
      <c r="D11" s="1620" t="s">
        <v>1601</v>
      </c>
      <c r="E11" s="1621" t="s">
        <v>1602</v>
      </c>
      <c r="F11" s="1622" t="s">
        <v>1387</v>
      </c>
      <c r="G11" s="1622" t="s">
        <v>1431</v>
      </c>
      <c r="H11" s="1623" t="s">
        <v>1414</v>
      </c>
      <c r="I11" s="1623" t="s">
        <v>1832</v>
      </c>
      <c r="J11" s="1842"/>
    </row>
    <row r="12" spans="1:10" ht="125.5" thickBot="1">
      <c r="A12" s="1625" t="s">
        <v>1578</v>
      </c>
      <c r="B12" s="1613" t="s">
        <v>1383</v>
      </c>
      <c r="C12" s="1611" t="s">
        <v>1603</v>
      </c>
      <c r="D12" s="1620" t="s">
        <v>1604</v>
      </c>
      <c r="E12" s="1621" t="s">
        <v>1605</v>
      </c>
      <c r="F12" s="1622" t="s">
        <v>1387</v>
      </c>
      <c r="G12" s="1622" t="s">
        <v>1431</v>
      </c>
      <c r="H12" s="1623" t="s">
        <v>1435</v>
      </c>
      <c r="I12" s="1623" t="s">
        <v>1832</v>
      </c>
      <c r="J12" s="1842"/>
    </row>
    <row r="13" spans="1:10" ht="15" thickBot="1">
      <c r="A13" s="1625"/>
      <c r="B13" s="1613"/>
      <c r="C13" s="1611"/>
      <c r="D13" s="1620"/>
      <c r="E13" s="1621"/>
      <c r="F13" s="1622"/>
      <c r="G13" s="1622"/>
      <c r="H13" s="1623"/>
      <c r="I13" s="1623" t="s">
        <v>308</v>
      </c>
      <c r="J13" s="1842"/>
    </row>
    <row r="14" spans="1:10" ht="113" thickBot="1">
      <c r="A14" s="1625" t="s">
        <v>1578</v>
      </c>
      <c r="B14" s="1613" t="s">
        <v>1383</v>
      </c>
      <c r="C14" s="1611" t="s">
        <v>1606</v>
      </c>
      <c r="D14" s="1620" t="s">
        <v>1607</v>
      </c>
      <c r="E14" s="1621" t="s">
        <v>1608</v>
      </c>
      <c r="F14" s="1622" t="s">
        <v>1387</v>
      </c>
      <c r="G14" s="1622" t="s">
        <v>1431</v>
      </c>
      <c r="H14" s="1623" t="s">
        <v>1435</v>
      </c>
      <c r="I14" s="1623" t="s">
        <v>1832</v>
      </c>
      <c r="J14" s="1842"/>
    </row>
    <row r="15" spans="1:10" ht="15" thickBot="1">
      <c r="A15" s="1625"/>
      <c r="B15" s="1613"/>
      <c r="C15" s="1611"/>
      <c r="D15" s="1620"/>
      <c r="E15" s="1621"/>
      <c r="F15" s="1622"/>
      <c r="G15" s="1622"/>
      <c r="H15" s="1623"/>
      <c r="I15" s="1623" t="s">
        <v>308</v>
      </c>
      <c r="J15" s="1842"/>
    </row>
    <row r="16" spans="1:10" ht="63" thickBot="1">
      <c r="A16" s="1625" t="s">
        <v>1578</v>
      </c>
      <c r="B16" s="1613" t="s">
        <v>1383</v>
      </c>
      <c r="C16" s="1611" t="s">
        <v>1609</v>
      </c>
      <c r="D16" s="1620" t="s">
        <v>1610</v>
      </c>
      <c r="E16" s="1621" t="s">
        <v>1611</v>
      </c>
      <c r="F16" s="1622" t="s">
        <v>1387</v>
      </c>
      <c r="G16" s="1622" t="s">
        <v>1431</v>
      </c>
      <c r="H16" s="1623" t="s">
        <v>1612</v>
      </c>
      <c r="I16" s="1623" t="s">
        <v>1832</v>
      </c>
      <c r="J16" s="1842"/>
    </row>
    <row r="17" spans="1:10" ht="100.5" thickBot="1">
      <c r="A17" s="1625" t="s">
        <v>1578</v>
      </c>
      <c r="B17" s="1613" t="s">
        <v>1383</v>
      </c>
      <c r="C17" s="1611" t="s">
        <v>1613</v>
      </c>
      <c r="D17" s="1620" t="s">
        <v>1614</v>
      </c>
      <c r="E17" s="1621" t="s">
        <v>1615</v>
      </c>
      <c r="F17" s="1622" t="s">
        <v>1387</v>
      </c>
      <c r="G17" s="1622" t="s">
        <v>1431</v>
      </c>
      <c r="H17" s="1623" t="s">
        <v>1435</v>
      </c>
      <c r="I17" s="1623" t="s">
        <v>1832</v>
      </c>
      <c r="J17" s="1842"/>
    </row>
    <row r="18" spans="1:10" ht="15" thickBot="1">
      <c r="A18" s="1625"/>
      <c r="B18" s="1613"/>
      <c r="C18" s="1611"/>
      <c r="D18" s="1620"/>
      <c r="E18" s="1621"/>
      <c r="F18" s="1622"/>
      <c r="G18" s="1622"/>
      <c r="H18" s="1623"/>
      <c r="I18" s="1623" t="s">
        <v>308</v>
      </c>
      <c r="J18" s="1842"/>
    </row>
    <row r="19" spans="1:10" ht="75.5" thickBot="1">
      <c r="A19" s="1625" t="s">
        <v>1578</v>
      </c>
      <c r="B19" s="1613" t="s">
        <v>1383</v>
      </c>
      <c r="C19" s="1611" t="s">
        <v>1616</v>
      </c>
      <c r="D19" s="1620" t="s">
        <v>1617</v>
      </c>
      <c r="E19" s="1621" t="s">
        <v>1618</v>
      </c>
      <c r="F19" s="1622" t="s">
        <v>1387</v>
      </c>
      <c r="G19" s="1622" t="s">
        <v>1431</v>
      </c>
      <c r="H19" s="1623" t="s">
        <v>1457</v>
      </c>
      <c r="I19" s="1623" t="s">
        <v>1832</v>
      </c>
      <c r="J19" s="1842"/>
    </row>
    <row r="20" spans="1:10" ht="63" thickBot="1">
      <c r="A20" s="1625" t="s">
        <v>1578</v>
      </c>
      <c r="B20" s="1613" t="s">
        <v>1383</v>
      </c>
      <c r="C20" s="1611" t="s">
        <v>1619</v>
      </c>
      <c r="D20" s="1620" t="s">
        <v>1620</v>
      </c>
      <c r="E20" s="1621" t="s">
        <v>1621</v>
      </c>
      <c r="F20" s="1622" t="s">
        <v>1387</v>
      </c>
      <c r="G20" s="1622" t="s">
        <v>1431</v>
      </c>
      <c r="H20" s="1623" t="s">
        <v>1457</v>
      </c>
      <c r="I20" s="1623" t="s">
        <v>1832</v>
      </c>
      <c r="J20" s="1842"/>
    </row>
    <row r="21" spans="1:10" ht="88" thickBot="1">
      <c r="A21" s="1625" t="s">
        <v>1578</v>
      </c>
      <c r="B21" s="1613" t="s">
        <v>1383</v>
      </c>
      <c r="C21" s="1611" t="s">
        <v>1622</v>
      </c>
      <c r="D21" s="1620" t="s">
        <v>1623</v>
      </c>
      <c r="E21" s="1621" t="s">
        <v>1624</v>
      </c>
      <c r="F21" s="1622" t="s">
        <v>1387</v>
      </c>
      <c r="G21" s="1622" t="s">
        <v>1431</v>
      </c>
      <c r="H21" s="1623" t="s">
        <v>1435</v>
      </c>
      <c r="I21" s="1623" t="s">
        <v>1832</v>
      </c>
      <c r="J21" s="1842"/>
    </row>
    <row r="22" spans="1:10" ht="1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5" thickBot="1">
      <c r="A24" s="1625" t="s">
        <v>1578</v>
      </c>
      <c r="B24" s="1613" t="s">
        <v>1383</v>
      </c>
      <c r="C24" s="1611" t="s">
        <v>1628</v>
      </c>
      <c r="D24" s="1624" t="s">
        <v>1629</v>
      </c>
      <c r="E24" s="1621" t="s">
        <v>1630</v>
      </c>
      <c r="F24" s="1622" t="s">
        <v>1387</v>
      </c>
      <c r="G24" s="1622" t="s">
        <v>1431</v>
      </c>
      <c r="H24" s="1623" t="s">
        <v>1392</v>
      </c>
      <c r="I24" s="1623" t="s">
        <v>1832</v>
      </c>
      <c r="J24" s="1842"/>
    </row>
    <row r="25" spans="1:10" ht="75.5" thickBot="1">
      <c r="A25" s="1625" t="s">
        <v>1578</v>
      </c>
      <c r="B25" s="1613" t="s">
        <v>1383</v>
      </c>
      <c r="C25" s="1611" t="s">
        <v>1631</v>
      </c>
      <c r="D25" s="1624" t="s">
        <v>1632</v>
      </c>
      <c r="E25" s="1621" t="s">
        <v>1633</v>
      </c>
      <c r="F25" s="1622" t="s">
        <v>1387</v>
      </c>
      <c r="G25" s="1622" t="s">
        <v>1431</v>
      </c>
      <c r="H25" s="1623" t="s">
        <v>1435</v>
      </c>
      <c r="I25" s="1623" t="s">
        <v>1832</v>
      </c>
      <c r="J25" s="1842"/>
    </row>
    <row r="26" spans="1:10" ht="15" thickBot="1">
      <c r="A26" s="1625"/>
      <c r="B26" s="1613"/>
      <c r="C26" s="1611"/>
      <c r="D26" s="1624"/>
      <c r="E26" s="1621"/>
      <c r="F26" s="1622"/>
      <c r="G26" s="1622"/>
      <c r="H26" s="1623"/>
      <c r="I26" s="1623" t="s">
        <v>308</v>
      </c>
      <c r="J26" s="1842"/>
    </row>
    <row r="27" spans="1:10" ht="39.5" thickBot="1">
      <c r="A27" s="1625" t="s">
        <v>1578</v>
      </c>
      <c r="B27" s="1613" t="s">
        <v>1383</v>
      </c>
      <c r="C27" s="1611" t="s">
        <v>1634</v>
      </c>
      <c r="D27" s="1624" t="s">
        <v>1635</v>
      </c>
      <c r="E27" s="1621" t="s">
        <v>1636</v>
      </c>
      <c r="F27" s="1622" t="s">
        <v>1387</v>
      </c>
      <c r="G27" s="1622" t="s">
        <v>1431</v>
      </c>
      <c r="H27" s="1623" t="s">
        <v>1637</v>
      </c>
      <c r="I27" s="1623" t="s">
        <v>1832</v>
      </c>
      <c r="J27" s="1842"/>
    </row>
    <row r="28" spans="1:10" ht="39.5" thickBot="1">
      <c r="A28" s="1625" t="s">
        <v>1578</v>
      </c>
      <c r="B28" s="1613" t="s">
        <v>1383</v>
      </c>
      <c r="C28" s="1611" t="s">
        <v>1638</v>
      </c>
      <c r="D28" s="1624" t="s">
        <v>1639</v>
      </c>
      <c r="E28" s="1621" t="s">
        <v>1640</v>
      </c>
      <c r="F28" s="1622" t="s">
        <v>1387</v>
      </c>
      <c r="G28" s="1622" t="s">
        <v>1431</v>
      </c>
      <c r="H28" s="1623" t="s">
        <v>1637</v>
      </c>
      <c r="I28" s="1623" t="s">
        <v>1832</v>
      </c>
      <c r="J28" s="1842"/>
    </row>
    <row r="29" spans="1:10" ht="39.5" thickBot="1">
      <c r="A29" s="1625" t="s">
        <v>1578</v>
      </c>
      <c r="B29" s="1613" t="s">
        <v>1383</v>
      </c>
      <c r="C29" s="1611" t="s">
        <v>1641</v>
      </c>
      <c r="D29" s="1624" t="s">
        <v>1642</v>
      </c>
      <c r="E29" s="1621" t="s">
        <v>1643</v>
      </c>
      <c r="F29" s="1622" t="s">
        <v>1387</v>
      </c>
      <c r="G29" s="1622" t="s">
        <v>1431</v>
      </c>
      <c r="H29" s="1623" t="s">
        <v>1457</v>
      </c>
      <c r="I29" s="1623" t="s">
        <v>1832</v>
      </c>
      <c r="J29" s="1842"/>
    </row>
    <row r="30" spans="1:10" ht="39.5" thickBot="1">
      <c r="A30" s="1625" t="s">
        <v>1578</v>
      </c>
      <c r="B30" s="1613" t="s">
        <v>1383</v>
      </c>
      <c r="C30" s="1611" t="s">
        <v>1644</v>
      </c>
      <c r="D30" s="1624" t="s">
        <v>1645</v>
      </c>
      <c r="E30" s="1621" t="s">
        <v>1646</v>
      </c>
      <c r="F30" s="1622" t="s">
        <v>1387</v>
      </c>
      <c r="G30" s="1622" t="s">
        <v>1431</v>
      </c>
      <c r="H30" s="1623" t="s">
        <v>1392</v>
      </c>
      <c r="I30" s="1623" t="s">
        <v>1832</v>
      </c>
      <c r="J30" s="1842"/>
    </row>
    <row r="31" spans="1:10" ht="75.5" thickBot="1">
      <c r="A31" s="1625" t="s">
        <v>1578</v>
      </c>
      <c r="B31" s="1613" t="s">
        <v>1383</v>
      </c>
      <c r="C31" s="1611" t="s">
        <v>1647</v>
      </c>
      <c r="D31" s="1624" t="s">
        <v>1648</v>
      </c>
      <c r="E31" s="1621" t="s">
        <v>1649</v>
      </c>
      <c r="F31" s="1622" t="s">
        <v>1387</v>
      </c>
      <c r="G31" s="1622" t="s">
        <v>1431</v>
      </c>
      <c r="H31" s="1623" t="s">
        <v>1435</v>
      </c>
      <c r="I31" s="1623" t="s">
        <v>1832</v>
      </c>
      <c r="J31" s="1842"/>
    </row>
    <row r="32" spans="1:10" ht="15" thickBot="1">
      <c r="A32" s="1625"/>
      <c r="B32" s="1613"/>
      <c r="C32" s="1645"/>
      <c r="D32" s="1646"/>
      <c r="E32" s="1647"/>
      <c r="F32" s="1626"/>
      <c r="G32" s="1626"/>
      <c r="H32" s="1648"/>
      <c r="I32" s="1623" t="s">
        <v>308</v>
      </c>
      <c r="J32" s="1842"/>
    </row>
    <row r="33" spans="1:12" ht="39.5" thickBot="1">
      <c r="A33" s="1625" t="s">
        <v>1578</v>
      </c>
      <c r="B33" s="1613" t="s">
        <v>1650</v>
      </c>
      <c r="C33" s="1614" t="s">
        <v>1651</v>
      </c>
      <c r="D33" s="1615"/>
      <c r="E33" s="1616"/>
      <c r="F33" s="1617" t="s">
        <v>143</v>
      </c>
      <c r="G33" s="1617" t="s">
        <v>143</v>
      </c>
      <c r="H33" s="1618"/>
      <c r="I33" s="1619"/>
      <c r="J33" s="1841"/>
    </row>
    <row r="34" spans="1:12" ht="39.5"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39.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88"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5"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88"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0.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5"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5.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 thickBot="1">
      <c r="A42" s="1625"/>
      <c r="B42" s="1613"/>
      <c r="C42" s="1611"/>
      <c r="D42" s="1620"/>
      <c r="E42" s="1621"/>
      <c r="F42" s="1622"/>
      <c r="G42" s="1622"/>
      <c r="H42" s="1623"/>
      <c r="I42" s="1623" t="s">
        <v>308</v>
      </c>
      <c r="J42" s="1623" t="s">
        <v>308</v>
      </c>
      <c r="K42" s="1623" t="s">
        <v>308</v>
      </c>
      <c r="L42" s="1623" t="s">
        <v>308</v>
      </c>
    </row>
    <row r="43" spans="1:12" ht="88" thickBot="1">
      <c r="A43" s="1625" t="s">
        <v>1578</v>
      </c>
      <c r="B43" s="1613" t="s">
        <v>1650</v>
      </c>
      <c r="C43" s="1611" t="s">
        <v>1674</v>
      </c>
      <c r="D43" s="1620" t="s">
        <v>435</v>
      </c>
      <c r="E43" s="1621" t="s">
        <v>1675</v>
      </c>
      <c r="F43" s="1622" t="s">
        <v>1387</v>
      </c>
      <c r="G43" s="1622" t="s">
        <v>1387</v>
      </c>
      <c r="H43" s="1623" t="s">
        <v>1435</v>
      </c>
      <c r="I43" s="1639">
        <f>'11 - Notes Follow-up'!G25</f>
        <v>6467392569.1199999</v>
      </c>
      <c r="J43" s="1639">
        <f>'11 - Notes Follow-up'!O25</f>
        <v>3727447061.8000002</v>
      </c>
      <c r="K43" s="1639">
        <f>'11 - Notes Follow-up'!W25</f>
        <v>536570511.84000009</v>
      </c>
      <c r="L43" s="1639">
        <f>'11 - Notes Follow-up'!AD25</f>
        <v>300</v>
      </c>
    </row>
    <row r="44" spans="1:12" ht="15" thickBot="1">
      <c r="A44" s="1625"/>
      <c r="B44" s="1613"/>
      <c r="C44" s="1611"/>
      <c r="D44" s="1620"/>
      <c r="E44" s="1621"/>
      <c r="F44" s="1622"/>
      <c r="G44" s="1622"/>
      <c r="H44" s="1623"/>
      <c r="I44" s="1623" t="s">
        <v>308</v>
      </c>
      <c r="J44" s="1623" t="s">
        <v>308</v>
      </c>
      <c r="K44" s="1623" t="s">
        <v>308</v>
      </c>
      <c r="L44" s="1623" t="s">
        <v>308</v>
      </c>
    </row>
    <row r="45" spans="1:12" ht="100.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3" thickBot="1">
      <c r="A46" s="1625" t="s">
        <v>1578</v>
      </c>
      <c r="B46" s="1613" t="s">
        <v>1650</v>
      </c>
      <c r="C46" s="1611" t="s">
        <v>1679</v>
      </c>
      <c r="D46" s="1620" t="s">
        <v>1680</v>
      </c>
      <c r="E46" s="1621" t="s">
        <v>1681</v>
      </c>
      <c r="F46" s="1622" t="s">
        <v>1387</v>
      </c>
      <c r="G46" s="1622" t="s">
        <v>1431</v>
      </c>
      <c r="H46" s="1623" t="s">
        <v>1392</v>
      </c>
      <c r="I46" s="1636">
        <f>'11 - Notes Follow-up'!$B$25</f>
        <v>46230</v>
      </c>
      <c r="J46" s="1636">
        <f>'11 - Notes Follow-up'!$B$25</f>
        <v>46230</v>
      </c>
      <c r="K46" s="1636">
        <f>I46</f>
        <v>46230</v>
      </c>
      <c r="L46" s="1636">
        <f>K46</f>
        <v>46230</v>
      </c>
    </row>
    <row r="47" spans="1:12" ht="63" thickBot="1">
      <c r="A47" s="1625" t="s">
        <v>1578</v>
      </c>
      <c r="B47" s="1613" t="s">
        <v>1650</v>
      </c>
      <c r="C47" s="1611" t="s">
        <v>1682</v>
      </c>
      <c r="D47" s="1620" t="s">
        <v>1683</v>
      </c>
      <c r="E47" s="1621" t="s">
        <v>1684</v>
      </c>
      <c r="F47" s="1622" t="s">
        <v>1387</v>
      </c>
      <c r="G47" s="1622" t="s">
        <v>1431</v>
      </c>
      <c r="H47" s="1623" t="s">
        <v>1392</v>
      </c>
      <c r="I47" s="1636">
        <f>I46</f>
        <v>46230</v>
      </c>
      <c r="J47" s="1636">
        <f>J46</f>
        <v>46230</v>
      </c>
      <c r="K47" s="1636">
        <f>K46</f>
        <v>46230</v>
      </c>
      <c r="L47" s="1636">
        <f>K47</f>
        <v>46230</v>
      </c>
    </row>
    <row r="48" spans="1:12" ht="39.5"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50.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5"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5"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0.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3"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88"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3"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5"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5"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5"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25.5"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3"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5"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5"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0.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0.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0.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3"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5"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0.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00.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3"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0.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88"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 thickBot="1">
      <c r="A74" s="1625"/>
      <c r="B74" s="1613"/>
      <c r="C74" s="1611"/>
      <c r="D74" s="1620"/>
      <c r="E74" s="1621"/>
      <c r="F74" s="1622"/>
      <c r="G74" s="1622"/>
      <c r="H74" s="1623"/>
      <c r="I74" s="1623" t="s">
        <v>308</v>
      </c>
      <c r="J74" s="1623" t="s">
        <v>308</v>
      </c>
      <c r="K74" s="1623" t="s">
        <v>308</v>
      </c>
    </row>
    <row r="75" spans="1:12" ht="88"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5.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0.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25.5"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5" thickBot="1">
      <c r="A79" s="1625" t="s">
        <v>1578</v>
      </c>
      <c r="B79" s="1613" t="s">
        <v>1775</v>
      </c>
      <c r="C79" s="1614" t="s">
        <v>1776</v>
      </c>
      <c r="D79" s="1615"/>
      <c r="E79" s="1616"/>
      <c r="F79" s="1617" t="s">
        <v>143</v>
      </c>
      <c r="G79" s="1617" t="s">
        <v>143</v>
      </c>
      <c r="H79" s="1618"/>
      <c r="I79" s="1619"/>
      <c r="J79" s="1619"/>
    </row>
    <row r="80" spans="1:12" ht="39.5" thickBot="1">
      <c r="A80" s="1625" t="s">
        <v>1578</v>
      </c>
      <c r="B80" s="1613" t="s">
        <v>1775</v>
      </c>
      <c r="C80" s="1611" t="s">
        <v>1777</v>
      </c>
      <c r="D80" s="1620" t="s">
        <v>1385</v>
      </c>
      <c r="E80" s="1621" t="s">
        <v>1653</v>
      </c>
      <c r="F80" s="1622" t="s">
        <v>1387</v>
      </c>
      <c r="G80" s="1622" t="s">
        <v>1387</v>
      </c>
      <c r="H80" s="1623" t="s">
        <v>1388</v>
      </c>
      <c r="I80" s="1623"/>
      <c r="J80" s="1623"/>
      <c r="K80" s="1623"/>
    </row>
    <row r="81" spans="1:18" ht="39.5"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88"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3"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00.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50980000</v>
      </c>
      <c r="K84" s="1623" t="s">
        <v>1832</v>
      </c>
    </row>
    <row r="85" spans="1:18" ht="15" thickBot="1">
      <c r="A85" s="1625"/>
      <c r="B85" s="1613"/>
      <c r="C85" s="1611"/>
      <c r="D85" s="1620"/>
      <c r="E85" s="1621"/>
      <c r="F85" s="1622"/>
      <c r="G85" s="1622"/>
      <c r="H85" s="1623"/>
      <c r="I85" s="1623" t="s">
        <v>308</v>
      </c>
      <c r="J85" s="1623" t="s">
        <v>308</v>
      </c>
      <c r="K85" s="1623" t="s">
        <v>308</v>
      </c>
    </row>
    <row r="86" spans="1:18" ht="88" thickBot="1">
      <c r="A86" s="1625" t="s">
        <v>1578</v>
      </c>
      <c r="B86" s="1613" t="s">
        <v>1775</v>
      </c>
      <c r="C86" s="1611" t="s">
        <v>1790</v>
      </c>
      <c r="D86" s="1620" t="s">
        <v>1791</v>
      </c>
      <c r="E86" s="1621" t="s">
        <v>1792</v>
      </c>
      <c r="F86" s="1622" t="s">
        <v>1387</v>
      </c>
      <c r="G86" s="1622" t="s">
        <v>1387</v>
      </c>
      <c r="H86" s="1623" t="s">
        <v>1435</v>
      </c>
      <c r="I86" s="1623">
        <f>'13 - Issuer Account'!I29</f>
        <v>98144.250014826655</v>
      </c>
      <c r="J86" s="1639">
        <f>'13 - Issuer Account'!I41</f>
        <v>50980000</v>
      </c>
      <c r="K86" s="1623">
        <f>'13 - Issuer Account'!I52</f>
        <v>0</v>
      </c>
    </row>
    <row r="87" spans="1:18" ht="15" thickBot="1">
      <c r="A87" s="1625"/>
      <c r="B87" s="1613"/>
      <c r="C87" s="1611"/>
      <c r="D87" s="1620"/>
      <c r="E87" s="1621"/>
      <c r="F87" s="1622"/>
      <c r="G87" s="1622"/>
      <c r="H87" s="1623"/>
      <c r="I87" s="1623" t="s">
        <v>308</v>
      </c>
      <c r="J87" s="1623" t="s">
        <v>308</v>
      </c>
      <c r="K87" s="1623" t="s">
        <v>308</v>
      </c>
    </row>
    <row r="88" spans="1:18" ht="39.5"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5" thickBot="1">
      <c r="A89" s="1625" t="s">
        <v>1578</v>
      </c>
      <c r="B89" s="1613" t="s">
        <v>1796</v>
      </c>
      <c r="C89" s="1614" t="s">
        <v>1797</v>
      </c>
      <c r="D89" s="1615"/>
      <c r="E89" s="1616"/>
      <c r="F89" s="1617" t="s">
        <v>143</v>
      </c>
      <c r="G89" s="1617" t="s">
        <v>143</v>
      </c>
      <c r="H89" s="1618"/>
      <c r="I89" s="1619"/>
      <c r="J89" s="1841"/>
    </row>
    <row r="90" spans="1:18" ht="39.5" thickBot="1">
      <c r="A90" s="1625" t="s">
        <v>1578</v>
      </c>
      <c r="B90" s="1613" t="s">
        <v>1796</v>
      </c>
      <c r="C90" s="1611" t="s">
        <v>1798</v>
      </c>
      <c r="D90" s="1620" t="s">
        <v>1385</v>
      </c>
      <c r="E90" s="1621" t="s">
        <v>1653</v>
      </c>
      <c r="F90" s="1622" t="s">
        <v>1387</v>
      </c>
      <c r="G90" s="1622" t="s">
        <v>1387</v>
      </c>
      <c r="H90" s="1623" t="s">
        <v>1388</v>
      </c>
      <c r="I90" s="1623"/>
      <c r="J90" s="1842"/>
    </row>
    <row r="91" spans="1:18" ht="50.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63"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5"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38"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38"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88"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00.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796875" defaultRowHeight="14.5"/>
  <cols>
    <col min="1" max="1" width="34.54296875" bestFit="1" customWidth="1"/>
    <col min="2" max="2" width="23.453125" bestFit="1" customWidth="1"/>
    <col min="3" max="3" width="32.26953125" bestFit="1" customWidth="1"/>
    <col min="4" max="4" width="36.26953125" bestFit="1" customWidth="1"/>
    <col min="5" max="5" width="34.54296875" bestFit="1" customWidth="1"/>
    <col min="6" max="6" width="24.1796875" bestFit="1" customWidth="1"/>
    <col min="7" max="7" width="23.1796875" bestFit="1" customWidth="1"/>
    <col min="8" max="8" width="26.54296875" bestFit="1" customWidth="1"/>
    <col min="9" max="9" width="22.26953125" bestFit="1" customWidth="1"/>
    <col min="10" max="10" width="30.81640625" bestFit="1" customWidth="1"/>
    <col min="11" max="11" width="38.1796875" bestFit="1" customWidth="1"/>
    <col min="12" max="12" width="35.1796875" bestFit="1" customWidth="1"/>
    <col min="13" max="13" width="18.453125" bestFit="1" customWidth="1"/>
    <col min="14" max="14" width="34.26953125" bestFit="1" customWidth="1"/>
    <col min="15" max="15" width="18.453125" bestFit="1" customWidth="1"/>
    <col min="16" max="16" width="35.54296875" bestFit="1" customWidth="1"/>
    <col min="17" max="17" width="18.453125" bestFit="1" customWidth="1"/>
    <col min="18" max="18" width="34.54296875" bestFit="1" customWidth="1"/>
    <col min="19" max="19" width="18.453125" bestFit="1" customWidth="1"/>
    <col min="20" max="20" width="34.1796875" bestFit="1" customWidth="1"/>
    <col min="21" max="21" width="29.54296875" bestFit="1" customWidth="1"/>
    <col min="22" max="22" width="18.453125" bestFit="1" customWidth="1"/>
    <col min="23" max="23" width="36.7265625" bestFit="1" customWidth="1"/>
    <col min="24" max="24" width="30.1796875" bestFit="1" customWidth="1"/>
    <col min="25" max="25" width="39.54296875" bestFit="1" customWidth="1"/>
    <col min="26" max="26" width="10.26953125" bestFit="1" customWidth="1"/>
    <col min="27" max="27" width="18.453125" bestFit="1" customWidth="1"/>
    <col min="28" max="28" width="32.7265625" bestFit="1" customWidth="1"/>
    <col min="29" max="29" width="18.453125" bestFit="1" customWidth="1"/>
    <col min="30" max="30" width="24.81640625" bestFit="1" customWidth="1"/>
    <col min="31" max="31" width="18.453125" bestFit="1" customWidth="1"/>
    <col min="32" max="32" width="24.453125" bestFit="1" customWidth="1"/>
    <col min="33" max="33" width="18.453125" bestFit="1" customWidth="1"/>
    <col min="34" max="34" width="35.26953125" bestFit="1" customWidth="1"/>
    <col min="35" max="35" width="21.7265625" bestFit="1" customWidth="1"/>
    <col min="36" max="36" width="18.453125" bestFit="1" customWidth="1"/>
    <col min="37" max="37" width="26" bestFit="1" customWidth="1"/>
    <col min="38" max="38" width="18.453125" bestFit="1" customWidth="1"/>
    <col min="39" max="39" width="22.81640625" bestFit="1" customWidth="1"/>
    <col min="40" max="43" width="53.81640625" bestFit="1" customWidth="1"/>
    <col min="44" max="44" width="55.1796875" bestFit="1" customWidth="1"/>
    <col min="45" max="45" width="57.26953125" bestFit="1" customWidth="1"/>
    <col min="46" max="46" width="38" bestFit="1" customWidth="1"/>
    <col min="47" max="47" width="18" bestFit="1" customWidth="1"/>
    <col min="48" max="49" width="19.26953125" bestFit="1" customWidth="1"/>
    <col min="50" max="50" width="20.26953125" bestFit="1" customWidth="1"/>
    <col min="51" max="52" width="21.453125" bestFit="1" customWidth="1"/>
    <col min="53" max="53" width="18.453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56341.16</v>
      </c>
      <c r="M3" t="str">
        <f>IFERROR(VLOOKUP(M1,'Annex 12'!$C$3:$I$57,7,FALSE),"EUR")</f>
        <v>EUR</v>
      </c>
      <c r="N3">
        <f>IFERROR(VLOOKUP(N1,'Annex 12'!$C$3:$I$57,7,FALSE),"EUR")</f>
        <v>1030.72</v>
      </c>
      <c r="O3" t="str">
        <f>IFERROR(VLOOKUP(O1,'Annex 12'!$C$3:$I$57,7,FALSE),"EUR")</f>
        <v>EUR</v>
      </c>
      <c r="P3">
        <f>IFERROR(VLOOKUP(P1,'Annex 12'!$C$3:$I$57,7,FALSE),"EUR")</f>
        <v>79467639.480000004</v>
      </c>
      <c r="Q3" t="str">
        <f>IFERROR(VLOOKUP(Q1,'Annex 12'!$C$3:$I$57,7,FALSE),"EUR")</f>
        <v>EUR</v>
      </c>
      <c r="R3">
        <f>IFERROR(VLOOKUP(R1,'Annex 12'!$C$3:$I$57,7,FALSE),"EUR")</f>
        <v>27315950.300000001</v>
      </c>
      <c r="S3" t="str">
        <f>IFERROR(VLOOKUP(S1,'Annex 12'!$C$3:$I$57,7,FALSE),"EUR")</f>
        <v>EUR</v>
      </c>
      <c r="T3" t="str">
        <f>IFERROR(VLOOKUP(T1,'Annex 12'!$C$3:$I$57,7,FALSE),"EUR")</f>
        <v>N</v>
      </c>
      <c r="U3">
        <f>IFERROR(VLOOKUP(U1,'Annex 12'!$C$3:$I$57,7,FALSE),"EUR")</f>
        <v>7364299.2012008429</v>
      </c>
      <c r="V3" t="str">
        <f>IFERROR(VLOOKUP(V1,'Annex 12'!$C$3:$I$57,7,FALSE),"EUR")</f>
        <v>EUR</v>
      </c>
      <c r="W3" t="str">
        <f>IFERROR(VLOOKUP(W1,'Annex 12'!$C$3:$I$57,7,FALSE),"EUR")</f>
        <v>N</v>
      </c>
      <c r="X3">
        <f>IFERROR(VLOOKUP(X1,'Annex 12'!$C$3:$I$57,7,FALSE),"EUR")</f>
        <v>1.5321910757900647</v>
      </c>
      <c r="Y3">
        <f>IFERROR(VLOOKUP(Y1,'Annex 12'!$C$3:$I$57,7,FALSE),"EUR")</f>
        <v>2.3881637095322095</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6910945.4800000004</v>
      </c>
      <c r="AE3" t="str">
        <f>IFERROR(VLOOKUP(AE1,'Annex 12'!$C$3:$I$57,7,FALSE),"EUR")</f>
        <v>EUR</v>
      </c>
      <c r="AF3">
        <f>IFERROR(VLOOKUP(AF1,'Annex 12'!$C$3:$I$57,7,FALSE),"EUR")</f>
        <v>0</v>
      </c>
      <c r="AG3" t="str">
        <f>IFERROR(VLOOKUP(AG1,'Annex 12'!$C$3:$I$57,7,FALSE),"EUR")</f>
        <v>EUR</v>
      </c>
      <c r="AH3">
        <f>IFERROR(VLOOKUP(AH1,'Annex 12'!$C$3:$I$57,7,FALSE),"EUR")</f>
        <v>8.3227816350328609E-2</v>
      </c>
      <c r="AI3">
        <f>IFERROR(VLOOKUP(AI1,'Annex 12'!$C$3:$I$57,7,FALSE),"EUR")</f>
        <v>751161.99</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3.6914484531646225E-3</v>
      </c>
      <c r="AV3">
        <f>IFERROR(VLOOKUP(AV1,'Annex 12'!$C$3:$I$57,7,FALSE),"EUR")</f>
        <v>1.2409343672238715E-3</v>
      </c>
      <c r="AW3">
        <f>IFERROR(VLOOKUP(AW1,'Annex 12'!$C$3:$I$57,7,FALSE),"EUR")</f>
        <v>3.8572921125850512E-4</v>
      </c>
      <c r="AX3">
        <f>IFERROR(VLOOKUP(AX1,'Annex 12'!$C$3:$I$57,7,FALSE),"EUR")</f>
        <v>1.5955694856778429E-4</v>
      </c>
      <c r="AY3" s="1702">
        <f>IFERROR(VLOOKUP(AY1,'Annex 12'!$C$3:$I$57,7,FALSE),"EUR")</f>
        <v>2.1653382816781233E-4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zoomScale="85" zoomScaleNormal="85" workbookViewId="0"/>
  </sheetViews>
  <sheetFormatPr defaultColWidth="9.1796875" defaultRowHeight="14.5"/>
  <cols>
    <col min="1" max="1" width="30.7265625" bestFit="1" customWidth="1"/>
    <col min="2" max="2" width="27.7265625" bestFit="1" customWidth="1"/>
    <col min="3" max="3" width="255.7265625" bestFit="1" customWidth="1"/>
    <col min="4" max="4" width="25.54296875" bestFit="1" customWidth="1"/>
    <col min="5" max="5" width="16.26953125" bestFit="1" customWidth="1"/>
    <col min="6" max="6" width="19.54296875" bestFit="1" customWidth="1"/>
    <col min="7" max="7" width="16.269531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110368449.09120145</v>
      </c>
      <c r="E3" t="s">
        <v>308</v>
      </c>
      <c r="F3">
        <f t="array" ref="F3:F11">TRANSPOSE('Annex 12'!I76:Q76)</f>
        <v>110368749.09</v>
      </c>
      <c r="G3" t="s">
        <v>308</v>
      </c>
    </row>
    <row r="4" spans="1:7">
      <c r="A4" t="s">
        <v>1834</v>
      </c>
      <c r="B4" t="s">
        <v>1834</v>
      </c>
      <c r="C4" t="s">
        <v>1916</v>
      </c>
      <c r="D4">
        <v>-2292358.2200000007</v>
      </c>
      <c r="E4" t="s">
        <v>308</v>
      </c>
      <c r="F4">
        <v>108076390.87</v>
      </c>
      <c r="G4" t="s">
        <v>308</v>
      </c>
    </row>
    <row r="5" spans="1:7">
      <c r="A5" t="s">
        <v>1835</v>
      </c>
      <c r="B5" t="s">
        <v>1835</v>
      </c>
      <c r="C5" t="s">
        <v>1917</v>
      </c>
      <c r="D5">
        <v>-4733776.5600000005</v>
      </c>
      <c r="E5" t="s">
        <v>308</v>
      </c>
      <c r="F5">
        <v>103342614.31</v>
      </c>
      <c r="G5" t="s">
        <v>308</v>
      </c>
    </row>
    <row r="6" spans="1:7">
      <c r="A6" t="s">
        <v>1836</v>
      </c>
      <c r="B6" t="s">
        <v>1836</v>
      </c>
      <c r="C6" t="s">
        <v>1918</v>
      </c>
      <c r="D6">
        <v>0</v>
      </c>
      <c r="E6" t="s">
        <v>308</v>
      </c>
      <c r="F6">
        <v>103342614.31</v>
      </c>
      <c r="G6" t="s">
        <v>308</v>
      </c>
    </row>
    <row r="7" spans="1:7">
      <c r="A7" t="s">
        <v>1837</v>
      </c>
      <c r="B7" t="s">
        <v>1837</v>
      </c>
      <c r="C7" t="s">
        <v>1919</v>
      </c>
      <c r="D7">
        <v>-90159440</v>
      </c>
      <c r="E7" t="s">
        <v>308</v>
      </c>
      <c r="F7">
        <v>13183174.310000001</v>
      </c>
      <c r="G7" t="s">
        <v>308</v>
      </c>
    </row>
    <row r="8" spans="1:7">
      <c r="A8" t="s">
        <v>1838</v>
      </c>
      <c r="B8" t="s">
        <v>1838</v>
      </c>
      <c r="C8" t="s">
        <v>1920</v>
      </c>
      <c r="D8">
        <v>-622908</v>
      </c>
      <c r="E8" t="s">
        <v>308</v>
      </c>
      <c r="F8">
        <v>12560266.310000001</v>
      </c>
      <c r="G8" t="s">
        <v>308</v>
      </c>
    </row>
    <row r="9" spans="1:7">
      <c r="A9" t="s">
        <v>1839</v>
      </c>
      <c r="B9" t="s">
        <v>1839</v>
      </c>
      <c r="C9" t="s">
        <v>1921</v>
      </c>
      <c r="D9">
        <v>-4745252.16</v>
      </c>
      <c r="E9" t="s">
        <v>308</v>
      </c>
      <c r="F9">
        <v>7815014.1500000004</v>
      </c>
      <c r="G9" t="s">
        <v>308</v>
      </c>
    </row>
    <row r="10" spans="1:7">
      <c r="A10" t="s">
        <v>1840</v>
      </c>
      <c r="B10" t="s">
        <v>1840</v>
      </c>
      <c r="C10" t="s">
        <v>1922</v>
      </c>
      <c r="D10">
        <v>-450000</v>
      </c>
      <c r="E10" t="s">
        <v>308</v>
      </c>
      <c r="F10">
        <v>7365014.1500000004</v>
      </c>
      <c r="G10" t="s">
        <v>308</v>
      </c>
    </row>
    <row r="11" spans="1:7">
      <c r="A11" t="s">
        <v>1841</v>
      </c>
      <c r="B11" t="s">
        <v>1841</v>
      </c>
      <c r="C11" t="s">
        <v>1923</v>
      </c>
      <c r="D11">
        <v>-7364299.2012008429</v>
      </c>
      <c r="E11" t="s">
        <v>308</v>
      </c>
      <c r="F11">
        <v>714.95</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796875" defaultRowHeight="14.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796875" defaultRowHeight="14.5"/>
  <cols>
    <col min="4" max="4" width="17.26953125" customWidth="1"/>
    <col min="6" max="6" width="14.726562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98144.250014826655</v>
      </c>
      <c r="G3" t="s">
        <v>308</v>
      </c>
      <c r="H3" t="s">
        <v>1831</v>
      </c>
    </row>
    <row r="4" spans="1:8">
      <c r="A4" t="s">
        <v>1875</v>
      </c>
      <c r="B4" t="s">
        <v>1875</v>
      </c>
      <c r="C4" t="s">
        <v>1868</v>
      </c>
      <c r="D4">
        <f>'10 - Reserve calculation'!H12</f>
        <v>50980000</v>
      </c>
      <c r="E4" t="s">
        <v>308</v>
      </c>
      <c r="F4">
        <f>'13 - Issuer Account'!I41</f>
        <v>50980000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6467392569.1199999</v>
      </c>
      <c r="J3" t="s">
        <v>308</v>
      </c>
      <c r="K3" t="s">
        <v>1847</v>
      </c>
      <c r="L3" s="1669" t="str">
        <f>TEXT('00 - Cover'!$F$20,"AAAA-MM-JJ")</f>
        <v>2026-07-27</v>
      </c>
      <c r="M3" s="1669" t="str">
        <f>TEXT('00 - Cover'!$F$20,"AAAA-MM-JJ")</f>
        <v>2026-07-27</v>
      </c>
      <c r="N3">
        <v>60</v>
      </c>
      <c r="O3">
        <v>0</v>
      </c>
      <c r="P3" t="s">
        <v>1832</v>
      </c>
      <c r="Q3" t="s">
        <v>1832</v>
      </c>
      <c r="R3" t="s">
        <v>1832</v>
      </c>
      <c r="S3" t="s">
        <v>1832</v>
      </c>
      <c r="T3" t="s">
        <v>1848</v>
      </c>
      <c r="U3" t="s">
        <v>1832</v>
      </c>
      <c r="V3" t="s">
        <v>1832</v>
      </c>
      <c r="W3" s="1238" t="str">
        <f>TEXT("23/10/2024","AAAA-MM-JJ")</f>
        <v>2024-10-23</v>
      </c>
      <c r="X3" s="1669" t="str">
        <f>TEXT('00 - Cover'!$F$20,"AAAA-MM-JJ")</f>
        <v>2026-07-27</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3727447061.8000002</v>
      </c>
      <c r="J4" t="s">
        <v>308</v>
      </c>
      <c r="K4" t="s">
        <v>1847</v>
      </c>
      <c r="L4" s="1669" t="str">
        <f>TEXT('00 - Cover'!$F$20,"AAAA-MM-JJ")</f>
        <v>2026-07-27</v>
      </c>
      <c r="M4" s="1669" t="str">
        <f>TEXT('00 - Cover'!$F$20,"AAAA-MM-JJ")</f>
        <v>2026-07-27</v>
      </c>
      <c r="N4">
        <v>60</v>
      </c>
      <c r="O4">
        <v>0</v>
      </c>
      <c r="P4" t="s">
        <v>1832</v>
      </c>
      <c r="Q4" t="s">
        <v>1832</v>
      </c>
      <c r="R4" t="s">
        <v>1832</v>
      </c>
      <c r="S4" t="s">
        <v>1832</v>
      </c>
      <c r="T4" t="s">
        <v>1848</v>
      </c>
      <c r="U4" t="s">
        <v>1832</v>
      </c>
      <c r="V4" t="s">
        <v>1832</v>
      </c>
      <c r="W4" s="1238" t="str">
        <f>TEXT("27/10/2025","AAAA-MM-JJ")</f>
        <v>2025-10-27</v>
      </c>
      <c r="X4" s="1669" t="str">
        <f>TEXT('00 - Cover'!$F$20,"AAAA-MM-JJ")</f>
        <v>2026-07-27</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536570511.84000009</v>
      </c>
      <c r="J5" t="s">
        <v>308</v>
      </c>
      <c r="K5" t="s">
        <v>1847</v>
      </c>
      <c r="L5" s="1669" t="str">
        <f>TEXT('00 - Cover'!$F$20,"AAAA-MM-JJ")</f>
        <v>2026-07-27</v>
      </c>
      <c r="M5" s="1669" t="str">
        <f>TEXT('00 - Cover'!$F$20,"AAAA-MM-JJ")</f>
        <v>2026-07-27</v>
      </c>
      <c r="N5">
        <v>150</v>
      </c>
      <c r="O5">
        <v>0</v>
      </c>
      <c r="P5" t="s">
        <v>1832</v>
      </c>
      <c r="Q5" t="s">
        <v>1832</v>
      </c>
      <c r="R5" t="s">
        <v>1832</v>
      </c>
      <c r="S5" t="s">
        <v>1832</v>
      </c>
      <c r="T5" t="s">
        <v>1848</v>
      </c>
      <c r="U5" t="s">
        <v>1832</v>
      </c>
      <c r="V5" t="s">
        <v>1832</v>
      </c>
      <c r="W5" s="1238" t="str">
        <f>TEXT("23/10/2024","AAAA-MM-JJ")</f>
        <v>2024-10-23</v>
      </c>
      <c r="X5" s="1669" t="str">
        <f>TEXT('00 - Cover'!$F$20,"AAAA-MM-JJ")</f>
        <v>2026-07-27</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2026-07-27</v>
      </c>
      <c r="M6" s="1669" t="str">
        <f>TEXT('00 - Cover'!$F$20,"AAAA-MM-JJ")</f>
        <v>2026-07-27</v>
      </c>
      <c r="N6">
        <v>0</v>
      </c>
      <c r="O6">
        <v>0</v>
      </c>
      <c r="P6" t="s">
        <v>1832</v>
      </c>
      <c r="Q6" t="s">
        <v>1832</v>
      </c>
      <c r="R6" t="s">
        <v>1832</v>
      </c>
      <c r="S6" t="s">
        <v>1832</v>
      </c>
      <c r="T6" t="s">
        <v>1848</v>
      </c>
      <c r="U6" t="s">
        <v>1832</v>
      </c>
      <c r="V6" t="s">
        <v>1832</v>
      </c>
      <c r="W6" s="1238" t="str">
        <f>TEXT("23/10/2024","AAAA-MM-JJ")</f>
        <v>2024-10-23</v>
      </c>
      <c r="X6" s="1669" t="str">
        <f>TEXT('00 - Cover'!$F$20,"AAAA-MM-JJ")</f>
        <v>2026-07-27</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796875" defaultRowHeight="14.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F83"/>
  <sheetViews>
    <sheetView showGridLines="0" zoomScale="85" zoomScaleNormal="85" workbookViewId="0">
      <selection activeCell="AT13" sqref="AT13"/>
    </sheetView>
  </sheetViews>
  <sheetFormatPr defaultColWidth="9.1796875" defaultRowHeight="14.5"/>
  <cols>
    <col min="1" max="1" width="3" customWidth="1"/>
    <col min="2" max="2" width="18" bestFit="1" customWidth="1"/>
    <col min="3" max="3" width="17.453125" style="1241" customWidth="1"/>
    <col min="4" max="7" width="17.453125" customWidth="1"/>
    <col min="8" max="8" width="18.81640625" style="1241" customWidth="1"/>
    <col min="9" max="12" width="18.81640625" customWidth="1"/>
    <col min="13" max="13" width="16.7265625" style="1241" customWidth="1"/>
    <col min="14" max="17" width="16.7265625" customWidth="1"/>
    <col min="18" max="18" width="15.81640625" style="1241" customWidth="1"/>
    <col min="19" max="22" width="15.81640625" customWidth="1"/>
    <col min="23" max="25" width="20.1796875" customWidth="1"/>
    <col min="26" max="26" width="20.1796875" style="1298" customWidth="1"/>
    <col min="27" max="31" width="20.1796875" customWidth="1"/>
    <col min="32" max="32" width="20.1796875" style="1298" customWidth="1"/>
    <col min="33" max="33" width="20.1796875" style="1239" customWidth="1"/>
    <col min="34" max="34" width="20.1796875" customWidth="1"/>
    <col min="35" max="35" width="20.1796875" style="1241" customWidth="1"/>
    <col min="36" max="37" width="20.1796875" customWidth="1"/>
    <col min="38" max="38" width="40.453125" customWidth="1"/>
    <col min="39" max="39" width="20.1796875" style="1298" customWidth="1"/>
    <col min="40" max="40" width="20.1796875" style="1239" customWidth="1"/>
    <col min="41" max="41" width="20.1796875" customWidth="1"/>
    <col min="42" max="42" width="20.1796875" style="1241" customWidth="1"/>
    <col min="43" max="43" width="20.1796875" customWidth="1"/>
    <col min="44" max="44" width="20.1796875" style="1241" customWidth="1"/>
    <col min="45" max="57" width="20.1796875" customWidth="1"/>
    <col min="58" max="58" width="2.453125" customWidth="1"/>
    <col min="60" max="60" width="20.1796875" customWidth="1"/>
    <col min="62" max="62" width="12.453125" bestFit="1" customWidth="1"/>
    <col min="63" max="63" width="14.81640625" bestFit="1" customWidth="1"/>
    <col min="65" max="65" width="20.1796875" customWidth="1"/>
  </cols>
  <sheetData>
    <row r="1" spans="2:58" s="170" customFormat="1" ht="12.5">
      <c r="C1" s="1269"/>
      <c r="H1" s="1269"/>
      <c r="M1" s="1269"/>
      <c r="R1" s="1269"/>
      <c r="Z1" s="1293"/>
      <c r="AF1" s="1293"/>
      <c r="AG1" s="171"/>
      <c r="AI1" s="1269"/>
      <c r="AM1" s="1293"/>
      <c r="AN1" s="171"/>
      <c r="AP1" s="1269"/>
      <c r="AR1" s="1269"/>
    </row>
    <row r="2" spans="2:58" s="170" customFormat="1" ht="12.5">
      <c r="C2" s="1269"/>
      <c r="H2" s="1269"/>
      <c r="M2" s="1269"/>
      <c r="R2" s="1269"/>
      <c r="Z2" s="1293"/>
      <c r="AF2" s="1293"/>
      <c r="AG2" s="171"/>
      <c r="AI2" s="1269"/>
      <c r="AM2" s="1293"/>
      <c r="AN2" s="171"/>
      <c r="AP2" s="1269"/>
      <c r="AR2" s="1269"/>
    </row>
    <row r="3" spans="2:58" s="170" customFormat="1" ht="13">
      <c r="C3" s="1269"/>
      <c r="H3" s="1269"/>
      <c r="M3" s="1269"/>
      <c r="R3" s="1269"/>
      <c r="Z3" s="1293"/>
      <c r="AF3" s="1293"/>
      <c r="AG3" s="171"/>
      <c r="AI3" s="1213" t="s">
        <v>99</v>
      </c>
      <c r="AJ3" s="1213">
        <f>'00 - Cover'!$F$17</f>
        <v>46203</v>
      </c>
      <c r="AM3" s="1293"/>
      <c r="AN3" s="171"/>
      <c r="AP3" s="1269"/>
      <c r="AR3" s="1269"/>
      <c r="AS3" s="171"/>
      <c r="AT3" s="171"/>
      <c r="AU3" s="171"/>
      <c r="AV3" s="171"/>
    </row>
    <row r="4" spans="2:58" s="170" customFormat="1" ht="13">
      <c r="C4" s="1269"/>
      <c r="H4" s="1269"/>
      <c r="M4" s="1269"/>
      <c r="R4" s="1269"/>
      <c r="Z4" s="1293"/>
      <c r="AF4" s="1293"/>
      <c r="AG4" s="171"/>
      <c r="AI4" s="1213" t="s">
        <v>4</v>
      </c>
      <c r="AJ4" s="1213">
        <f>'00 - Cover'!$F$19</f>
        <v>46223</v>
      </c>
      <c r="AM4" s="1293"/>
      <c r="AN4" s="171"/>
      <c r="AP4" s="1269"/>
      <c r="AR4" s="1269"/>
    </row>
    <row r="5" spans="2:58" s="170" customFormat="1" ht="13">
      <c r="C5" s="1269"/>
      <c r="H5" s="1269"/>
      <c r="M5" s="1269"/>
      <c r="R5" s="1269"/>
      <c r="Z5" s="1293"/>
      <c r="AF5" s="1293"/>
      <c r="AG5" s="171"/>
      <c r="AI5" s="1213" t="s">
        <v>5</v>
      </c>
      <c r="AJ5" s="1213">
        <f>'00 - Cover'!$F$20</f>
        <v>46230</v>
      </c>
      <c r="AM5" s="1293"/>
      <c r="AN5" s="171"/>
      <c r="AP5" s="1269"/>
      <c r="AQ5" s="171"/>
      <c r="AR5" s="1269"/>
    </row>
    <row r="6" spans="2:58" s="170" customFormat="1" ht="12.5">
      <c r="C6" s="1269"/>
      <c r="H6" s="1269"/>
      <c r="M6" s="1269"/>
      <c r="R6" s="1269"/>
      <c r="Z6" s="1293"/>
      <c r="AF6" s="1293"/>
      <c r="AG6" s="171"/>
      <c r="AI6" s="1269"/>
      <c r="AM6" s="1293"/>
      <c r="AN6" s="171"/>
      <c r="AP6" s="1269"/>
      <c r="AR6" s="1269"/>
    </row>
    <row r="7" spans="2:58" s="170" customFormat="1" ht="15.5">
      <c r="B7" s="44" t="s">
        <v>1999</v>
      </c>
      <c r="C7" s="1270"/>
      <c r="D7" s="84"/>
      <c r="E7" s="84"/>
      <c r="F7" s="1489"/>
      <c r="G7" s="84"/>
      <c r="H7" s="1270"/>
      <c r="I7" s="84"/>
      <c r="J7" s="84"/>
      <c r="K7" s="1489"/>
      <c r="L7" s="84"/>
      <c r="M7" s="1270"/>
      <c r="N7" s="84"/>
      <c r="O7" s="84"/>
      <c r="P7" s="1489"/>
      <c r="Q7" s="84"/>
      <c r="R7" s="1270"/>
      <c r="S7" s="84"/>
      <c r="T7" s="84"/>
      <c r="U7" s="1489"/>
      <c r="V7" s="84"/>
      <c r="W7" s="84"/>
      <c r="X7" s="84"/>
      <c r="Y7" s="84"/>
      <c r="Z7" s="1294"/>
      <c r="AA7" s="84"/>
      <c r="AB7" s="84"/>
      <c r="AC7" s="84"/>
      <c r="AD7" s="84"/>
      <c r="AE7" s="84"/>
      <c r="AF7" s="1294"/>
      <c r="AG7" s="1673"/>
      <c r="AH7" s="84"/>
      <c r="AI7" s="1270"/>
      <c r="AJ7" s="84"/>
      <c r="AK7" s="84"/>
      <c r="AL7" s="84"/>
      <c r="AM7" s="1294"/>
      <c r="AN7" s="1673"/>
      <c r="AO7" s="84"/>
      <c r="AP7" s="1270"/>
      <c r="AQ7" s="84"/>
      <c r="AR7" s="1270"/>
      <c r="AS7" s="84"/>
      <c r="AT7" s="84"/>
      <c r="AU7" s="84"/>
      <c r="AV7" s="84"/>
      <c r="AW7" s="84"/>
      <c r="AX7" s="84"/>
      <c r="AY7" s="84"/>
      <c r="AZ7" s="84"/>
      <c r="BA7" s="84"/>
      <c r="BB7" s="84"/>
      <c r="BC7" s="84"/>
      <c r="BD7" s="84"/>
      <c r="BE7" s="84"/>
      <c r="BF7" s="84"/>
    </row>
    <row r="8" spans="2:58" s="170" customFormat="1" ht="13" thickBot="1">
      <c r="C8" s="1269"/>
      <c r="H8" s="1269"/>
      <c r="M8" s="1269"/>
      <c r="R8" s="1269"/>
      <c r="Z8" s="1293"/>
      <c r="AF8" s="171"/>
      <c r="AG8" s="171"/>
      <c r="AI8" s="1269"/>
      <c r="AK8" s="171"/>
      <c r="AM8" s="1293"/>
      <c r="AN8" s="171"/>
      <c r="AP8" s="1269"/>
      <c r="AR8" s="1269"/>
      <c r="AS8" s="171"/>
      <c r="AT8" s="171"/>
      <c r="AU8" s="171"/>
      <c r="AV8" s="171"/>
    </row>
    <row r="9" spans="2:58" ht="15" thickBot="1">
      <c r="C9" s="1279" t="s">
        <v>765</v>
      </c>
      <c r="D9" s="173"/>
      <c r="E9" s="173"/>
      <c r="F9" s="1877"/>
      <c r="G9" s="173"/>
      <c r="H9" s="1279"/>
      <c r="I9" s="173"/>
      <c r="J9" s="173"/>
      <c r="K9" s="1877"/>
      <c r="L9" s="173"/>
      <c r="M9" s="1279"/>
      <c r="N9" s="173"/>
      <c r="O9" s="173"/>
      <c r="P9" s="1877"/>
      <c r="Q9" s="173"/>
      <c r="R9" s="1279"/>
      <c r="S9" s="173"/>
      <c r="T9" s="173"/>
      <c r="U9" s="1877"/>
      <c r="V9" s="172"/>
      <c r="W9" s="173" t="s">
        <v>776</v>
      </c>
      <c r="X9" s="173"/>
      <c r="Y9" s="173"/>
      <c r="Z9" s="1295"/>
      <c r="AA9" s="173"/>
      <c r="AB9" s="172"/>
      <c r="AC9" s="173"/>
      <c r="AD9" s="173"/>
      <c r="AE9" s="173"/>
      <c r="AF9" s="1295"/>
      <c r="AG9" s="1674"/>
      <c r="AH9" s="173"/>
      <c r="AI9" s="1271"/>
      <c r="AJ9" s="173"/>
      <c r="AK9" s="173"/>
      <c r="AL9" s="173"/>
      <c r="AM9" s="1295"/>
      <c r="AN9" s="1674"/>
      <c r="AO9" s="173"/>
      <c r="AP9" s="1271"/>
      <c r="AQ9" s="173"/>
      <c r="AR9" s="1271"/>
    </row>
    <row r="10" spans="2:58" ht="54.75" customHeight="1">
      <c r="B10" s="1903" t="s">
        <v>44</v>
      </c>
      <c r="C10" s="1289" t="s">
        <v>766</v>
      </c>
      <c r="D10" s="1277"/>
      <c r="E10" s="1277"/>
      <c r="F10" s="1277"/>
      <c r="G10" s="1277"/>
      <c r="H10" s="1280" t="s">
        <v>767</v>
      </c>
      <c r="I10" s="1278"/>
      <c r="J10" s="1278"/>
      <c r="K10" s="1278"/>
      <c r="L10" s="1278"/>
      <c r="M10" s="1280" t="s">
        <v>768</v>
      </c>
      <c r="N10" s="1278"/>
      <c r="O10" s="1278"/>
      <c r="P10" s="1278"/>
      <c r="Q10" s="1278"/>
      <c r="R10" s="1280" t="s">
        <v>769</v>
      </c>
      <c r="S10" s="1278"/>
      <c r="T10" s="1278"/>
      <c r="U10" s="1278"/>
      <c r="V10" s="1278"/>
      <c r="W10" s="1260" t="s">
        <v>771</v>
      </c>
      <c r="X10" s="1260"/>
      <c r="Y10" s="1260"/>
      <c r="Z10" s="1296"/>
      <c r="AA10" s="1261"/>
      <c r="AB10" s="1264"/>
      <c r="AC10" s="1260" t="s">
        <v>777</v>
      </c>
      <c r="AD10" s="1260"/>
      <c r="AE10" s="1260"/>
      <c r="AF10" s="1296"/>
      <c r="AG10" s="1675"/>
      <c r="AH10" s="1261"/>
      <c r="AI10" s="1301"/>
      <c r="AJ10" s="1260" t="s">
        <v>778</v>
      </c>
      <c r="AK10" s="1260"/>
      <c r="AL10" s="1260"/>
      <c r="AM10" s="1296"/>
      <c r="AN10" s="1675"/>
      <c r="AO10" s="1261"/>
      <c r="AP10" s="1301"/>
      <c r="AQ10" s="1267" t="s">
        <v>415</v>
      </c>
      <c r="AR10" s="1272"/>
    </row>
    <row r="11" spans="2:58" ht="124.5" customHeight="1" thickBot="1">
      <c r="B11" s="1904"/>
      <c r="C11" s="1281" t="s">
        <v>710</v>
      </c>
      <c r="D11" s="1263" t="s">
        <v>398</v>
      </c>
      <c r="E11" s="1263" t="s">
        <v>770</v>
      </c>
      <c r="F11" s="1263" t="s">
        <v>2081</v>
      </c>
      <c r="G11" s="1263" t="s">
        <v>96</v>
      </c>
      <c r="H11" s="1281" t="s">
        <v>710</v>
      </c>
      <c r="I11" s="1263" t="s">
        <v>398</v>
      </c>
      <c r="J11" s="1263" t="s">
        <v>770</v>
      </c>
      <c r="K11" s="1263" t="s">
        <v>2081</v>
      </c>
      <c r="L11" s="1263" t="s">
        <v>96</v>
      </c>
      <c r="M11" s="1281" t="s">
        <v>710</v>
      </c>
      <c r="N11" s="1263" t="s">
        <v>398</v>
      </c>
      <c r="O11" s="1263" t="s">
        <v>770</v>
      </c>
      <c r="P11" s="1263" t="s">
        <v>2081</v>
      </c>
      <c r="Q11" s="1263" t="s">
        <v>96</v>
      </c>
      <c r="R11" s="1281" t="s">
        <v>710</v>
      </c>
      <c r="S11" s="1263" t="s">
        <v>398</v>
      </c>
      <c r="T11" s="1263" t="s">
        <v>770</v>
      </c>
      <c r="U11" s="1263" t="s">
        <v>2081</v>
      </c>
      <c r="V11" s="1263" t="s">
        <v>96</v>
      </c>
      <c r="W11" s="1262" t="s">
        <v>772</v>
      </c>
      <c r="X11" s="1263" t="s">
        <v>773</v>
      </c>
      <c r="Y11" s="1263" t="s">
        <v>774</v>
      </c>
      <c r="Z11" s="1297" t="s">
        <v>166</v>
      </c>
      <c r="AA11" s="1263" t="s">
        <v>96</v>
      </c>
      <c r="AB11" s="1265" t="s">
        <v>775</v>
      </c>
      <c r="AC11" s="1262" t="s">
        <v>772</v>
      </c>
      <c r="AD11" s="1263" t="s">
        <v>773</v>
      </c>
      <c r="AE11" s="1263" t="s">
        <v>774</v>
      </c>
      <c r="AF11" s="1297" t="s">
        <v>166</v>
      </c>
      <c r="AG11" s="1676" t="s">
        <v>1948</v>
      </c>
      <c r="AH11" s="1263" t="s">
        <v>96</v>
      </c>
      <c r="AI11" s="1302" t="s">
        <v>775</v>
      </c>
      <c r="AJ11" s="1262" t="s">
        <v>772</v>
      </c>
      <c r="AK11" s="1263" t="s">
        <v>773</v>
      </c>
      <c r="AL11" s="1263" t="s">
        <v>774</v>
      </c>
      <c r="AM11" s="1297" t="s">
        <v>166</v>
      </c>
      <c r="AN11" s="1676" t="s">
        <v>1948</v>
      </c>
      <c r="AO11" s="1263" t="s">
        <v>96</v>
      </c>
      <c r="AP11" s="1302" t="s">
        <v>775</v>
      </c>
      <c r="AQ11" s="1268" t="s">
        <v>96</v>
      </c>
      <c r="AR11" s="1273" t="s">
        <v>775</v>
      </c>
    </row>
    <row r="12" spans="2:58" ht="3" customHeight="1">
      <c r="B12" s="116"/>
      <c r="C12" s="1282"/>
      <c r="D12" s="116"/>
      <c r="E12" s="116"/>
      <c r="F12" s="116"/>
      <c r="G12" s="116"/>
      <c r="H12" s="1282"/>
      <c r="I12" s="116"/>
      <c r="J12" s="116"/>
      <c r="K12" s="116"/>
      <c r="L12" s="116"/>
      <c r="M12" s="1282"/>
      <c r="N12" s="116"/>
      <c r="O12" s="116"/>
      <c r="P12" s="116"/>
      <c r="Q12" s="116"/>
      <c r="R12" s="1282" t="str">
        <f t="shared" ref="R12:T13" si="0">IF($B12=0,"",SUM(C12,H12,M12))</f>
        <v/>
      </c>
      <c r="S12" s="116" t="str">
        <f t="shared" si="0"/>
        <v/>
      </c>
      <c r="T12" s="116" t="str">
        <f t="shared" si="0"/>
        <v/>
      </c>
      <c r="U12" s="116"/>
      <c r="V12" s="116"/>
    </row>
    <row r="13" spans="2:58">
      <c r="B13" s="1266">
        <f>'00 - Cover'!F16</f>
        <v>46203</v>
      </c>
      <c r="C13" s="1290">
        <f>IF($B13=0,"",_xlfn.XLOOKUP($B13,INPUT_DATA!$BP:$BP,INPUT_DATA!BQ:BQ))</f>
        <v>2</v>
      </c>
      <c r="D13" s="1276">
        <f>IF($B13=0,"",_xlfn.XLOOKUP($B13,INPUT_DATA!$BP:$BP,INPUT_DATA!BR:BR))</f>
        <v>239030.63999999998</v>
      </c>
      <c r="E13" s="1276">
        <f>IF($B13=0,"",_xlfn.XLOOKUP($B13,INPUT_DATA!$BP:$BP,INPUT_DATA!BS:BS))</f>
        <v>35.33</v>
      </c>
      <c r="F13" s="1878">
        <f>IF($B13=0,"",_xlfn.XLOOKUP($B13,INPUT_DATA!$BP:$BP,INPUT_DATA!BT:BT))</f>
        <v>0</v>
      </c>
      <c r="G13" s="1276">
        <f>IF($B13=0,"",D13+E13+F13)</f>
        <v>239065.96999999997</v>
      </c>
      <c r="H13" s="1292">
        <f>IF($B13=0,"",_xlfn.XLOOKUP($B13,INPUT_DATA!$BP:$BP,INPUT_DATA!BU:BU))</f>
        <v>6</v>
      </c>
      <c r="I13" s="125">
        <f>IF($B13=0,"",_xlfn.XLOOKUP($B13,INPUT_DATA!$BP:$BP,INPUT_DATA!BV:BV))</f>
        <v>1020839.5900000001</v>
      </c>
      <c r="J13" s="125">
        <f>IF($B13=0,"",_xlfn.XLOOKUP($B13,INPUT_DATA!$BP:$BP,INPUT_DATA!BW:BW))</f>
        <v>729.40000000000009</v>
      </c>
      <c r="K13" s="125">
        <f>IF($B13=0,"",_xlfn.XLOOKUP($B13,INPUT_DATA!$BP:$BP,INPUT_DATA!BX:BX))</f>
        <v>0</v>
      </c>
      <c r="L13" s="125">
        <f>IF($B13=0,"",I13+J13+K13)</f>
        <v>1021568.9900000001</v>
      </c>
      <c r="M13" s="1292">
        <f>IF($B13=0,"",_xlfn.XLOOKUP($B13,INPUT_DATA!$BP:$BP,INPUT_DATA!BY:BY))</f>
        <v>28</v>
      </c>
      <c r="N13" s="125">
        <f>IF($B13=0,"",_xlfn.XLOOKUP($B13,INPUT_DATA!$BP:$BP,INPUT_DATA!BZ:BZ))</f>
        <v>5651075.25</v>
      </c>
      <c r="O13" s="125">
        <f>IF($B13=0,"",_xlfn.XLOOKUP($B13,INPUT_DATA!$BP:$BP,INPUT_DATA!CA:CA))</f>
        <v>6848.0100000000011</v>
      </c>
      <c r="P13" s="125">
        <f>IF($B13=0,"",_xlfn.XLOOKUP($B13,INPUT_DATA!$BP:$BP,INPUT_DATA!CB:CB))</f>
        <v>540.63</v>
      </c>
      <c r="Q13" s="125">
        <f>IF($B13=0,"",N13+O13+P13)</f>
        <v>5658463.8899999997</v>
      </c>
      <c r="R13" s="1274">
        <f t="shared" si="0"/>
        <v>36</v>
      </c>
      <c r="S13" s="124">
        <f t="shared" si="0"/>
        <v>6910945.4800000004</v>
      </c>
      <c r="T13" s="124">
        <f t="shared" si="0"/>
        <v>7612.7400000000016</v>
      </c>
      <c r="U13" s="1879">
        <f>IF($B13=0,"",SUM(F13,K13,P13))</f>
        <v>540.63</v>
      </c>
      <c r="V13" s="124">
        <f>IF($B13=0,"",SUM(G13,L13,Q13))</f>
        <v>6919098.8499999996</v>
      </c>
      <c r="W13" s="125">
        <f>IF($B13=0,"",_xlfn.XLOOKUP($B13,INPUT_DATA!$BP:$BP,INPUT_DATA!CC:CC))</f>
        <v>6036277.3100000005</v>
      </c>
      <c r="X13" s="125">
        <f>IF($B13=0,"",_xlfn.XLOOKUP($B13,INPUT_DATA!$BP:$BP,INPUT_DATA!CD:CD))</f>
        <v>6594.0400000000018</v>
      </c>
      <c r="Y13" s="125">
        <f>IF($B13=0,"",_xlfn.XLOOKUP($B13,INPUT_DATA!$BP:$BP,INPUT_DATA!CE:CE))</f>
        <v>540.63</v>
      </c>
      <c r="Z13" s="1299">
        <f>IF($B13=0,"",100%)</f>
        <v>1</v>
      </c>
      <c r="AA13" s="124">
        <f>IF($B13=0,"",SUM(W13:Y13)*Z13)</f>
        <v>6043411.9800000004</v>
      </c>
      <c r="AB13" s="124">
        <f>IF($B13=0,"",_xlfn.XLOOKUP($B13,INPUT_DATA!$BP:$BP,INPUT_DATA!CF:CF))</f>
        <v>33</v>
      </c>
      <c r="AC13" s="125">
        <f>IF($B13=0,"",_xlfn.XLOOKUP($B13,INPUT_DATA!$BP:$BP,INPUT_DATA!CG:CG))</f>
        <v>874668.17</v>
      </c>
      <c r="AD13" s="125">
        <f>IF($B13=0,"",_xlfn.XLOOKUP($B13,INPUT_DATA!$BP:$BP,INPUT_DATA!CH:CH))</f>
        <v>1018.7</v>
      </c>
      <c r="AE13" s="125">
        <f>IF($B13=0,"",_xlfn.XLOOKUP($B13,INPUT_DATA!$BP:$BP,INPUT_DATA!CI:CI))</f>
        <v>0</v>
      </c>
      <c r="AF13" s="1299">
        <v>0.93</v>
      </c>
      <c r="AG13" s="124">
        <f>IF($B13=0,"",_xlfn.XLOOKUP($B13,INPUT_DATA!$BP:$BP,INPUT_DATA!CJ:CJ))</f>
        <v>0</v>
      </c>
      <c r="AH13" s="124">
        <f>IF($B13=0,"",SUM(AC13:AE13)-AG13)</f>
        <v>875686.87</v>
      </c>
      <c r="AI13" s="1274">
        <f>IF($B13=0,"",_xlfn.XLOOKUP($B13,INPUT_DATA!$BP:$BP,INPUT_DATA!CK:CK))</f>
        <v>3</v>
      </c>
      <c r="AJ13" s="125">
        <f>IF($B13=0,"",_xlfn.XLOOKUP($B13,INPUT_DATA!$BP:$BP,INPUT_DATA!CL:CL))</f>
        <v>872226.22000000009</v>
      </c>
      <c r="AK13" s="125">
        <f>IF($B13=0,"",_xlfn.XLOOKUP($B13,INPUT_DATA!$BP:$BP,INPUT_DATA!CM:CM))</f>
        <v>1015.99</v>
      </c>
      <c r="AL13" s="125">
        <f>IF($B13=0,"",_xlfn.XLOOKUP($B13,INPUT_DATA!$BP:$BP,INPUT_DATA!CN:CN))</f>
        <v>200007.20999999996</v>
      </c>
      <c r="AM13" s="1299">
        <f>IF($B13=0,"",60%)</f>
        <v>0.6</v>
      </c>
      <c r="AN13" s="1758">
        <f>IF($B13=0,"",_xlfn.XLOOKUP($B13,INPUT_DATA!$BP:$BP,INPUT_DATA!CO:CO))</f>
        <v>238742.57880000002</v>
      </c>
      <c r="AO13" s="1759">
        <f>IF($B13=0,"",AJ13+AK13-AN13+AL13)</f>
        <v>834506.84120000002</v>
      </c>
      <c r="AP13" s="1760">
        <f>IF($B13=0,"",_xlfn.XLOOKUP($B13,INPUT_DATA!$BP:$BP,INPUT_DATA!CP:CP))</f>
        <v>7</v>
      </c>
      <c r="AQ13" s="1759">
        <f>IF($B13=0,"",SUM(AA13,AH13,AO13))</f>
        <v>7753605.6912000002</v>
      </c>
      <c r="AR13" s="1760">
        <f>IF($B13=0,"",SUM(AB13,AI13,AP13))</f>
        <v>43</v>
      </c>
      <c r="AS13" s="1853">
        <f>AQ13+AN13+AG13-AK13-X13-AD13</f>
        <v>7983719.54</v>
      </c>
      <c r="AT13" s="1853">
        <f>AS13-'02 - Monthly Asset Follow up'!Q11</f>
        <v>0</v>
      </c>
    </row>
    <row r="14" spans="2:58">
      <c r="B14" s="137">
        <f>INPUT_DATA!BP5</f>
        <v>46173</v>
      </c>
      <c r="C14" s="1291">
        <f>IF($B14=0,"",_xlfn.XLOOKUP($B14,INPUT_DATA!$BP:$BP,INPUT_DATA!BQ:BQ))</f>
        <v>1</v>
      </c>
      <c r="D14" s="140">
        <f>IF($B14=0,"",_xlfn.XLOOKUP($B14,INPUT_DATA!$BP:$BP,INPUT_DATA!BR:BR))</f>
        <v>152732.19</v>
      </c>
      <c r="E14" s="140">
        <f>IF($B14=0,"",_xlfn.XLOOKUP($B14,INPUT_DATA!$BP:$BP,INPUT_DATA!BS:BS))</f>
        <v>98.54</v>
      </c>
      <c r="F14" s="140">
        <f>IF($B14=0,"",_xlfn.XLOOKUP($B14,INPUT_DATA!$BP:$BP,INPUT_DATA!BT:BT))</f>
        <v>0</v>
      </c>
      <c r="G14" s="140">
        <f t="shared" ref="G14:G77" si="1">IF($B14=0,"",D14+E14+F14)</f>
        <v>152830.73000000001</v>
      </c>
      <c r="H14" s="1291">
        <f>IF($B14=0,"",_xlfn.XLOOKUP($B14,INPUT_DATA!$BP:$BP,INPUT_DATA!BU:BU))</f>
        <v>0</v>
      </c>
      <c r="I14" s="140">
        <f>IF($B14=0,"",_xlfn.XLOOKUP($B14,INPUT_DATA!$BP:$BP,INPUT_DATA!BV:BV))</f>
        <v>0</v>
      </c>
      <c r="J14" s="140">
        <f>IF($B14=0,"",_xlfn.XLOOKUP($B14,INPUT_DATA!$BP:$BP,INPUT_DATA!BW:BW))</f>
        <v>0</v>
      </c>
      <c r="K14" s="140">
        <f>IF($B14=0,"",_xlfn.XLOOKUP($B14,INPUT_DATA!$BP:$BP,INPUT_DATA!BX:BX))</f>
        <v>0</v>
      </c>
      <c r="L14" s="140">
        <f t="shared" ref="L14:L77" si="2">IF($B14=0,"",I14+J14+K14)</f>
        <v>0</v>
      </c>
      <c r="M14" s="1291">
        <f>IF($B14=0,"",_xlfn.XLOOKUP($B14,INPUT_DATA!$BP:$BP,INPUT_DATA!BY:BY))</f>
        <v>18</v>
      </c>
      <c r="N14" s="140">
        <f>IF($B14=0,"",_xlfn.XLOOKUP($B14,INPUT_DATA!$BP:$BP,INPUT_DATA!BZ:BZ))</f>
        <v>4280726.6600000011</v>
      </c>
      <c r="O14" s="140">
        <f>IF($B14=0,"",_xlfn.XLOOKUP($B14,INPUT_DATA!$BP:$BP,INPUT_DATA!CA:CA))</f>
        <v>5746.8300000000008</v>
      </c>
      <c r="P14" s="140">
        <f>IF($B14=0,"",_xlfn.XLOOKUP($B14,INPUT_DATA!$BP:$BP,INPUT_DATA!CB:CB))</f>
        <v>0</v>
      </c>
      <c r="Q14" s="140">
        <f t="shared" ref="Q14:Q77" si="3">IF($B14=0,"",N14+O14+P14)</f>
        <v>4286473.4900000012</v>
      </c>
      <c r="R14" s="1275">
        <f t="shared" ref="R14:R77" si="4">IF($B14=0,"",SUM(C14,H14,M14))</f>
        <v>19</v>
      </c>
      <c r="S14" s="139">
        <f t="shared" ref="S14:S77" si="5">IF($B14=0,"",SUM(D14,I14,N14))</f>
        <v>4433458.8500000015</v>
      </c>
      <c r="T14" s="139">
        <f t="shared" ref="T14:T77" si="6">IF($B14=0,"",SUM(E14,J14,O14))</f>
        <v>5845.3700000000008</v>
      </c>
      <c r="U14" s="1880">
        <f t="shared" ref="U14:U77" si="7">IF($B14=0,"",SUM(F14,K14,P14))</f>
        <v>0</v>
      </c>
      <c r="V14" s="139">
        <f t="shared" ref="V14:V77" si="8">IF($B14=0,"",SUM(G14,L14,Q14))</f>
        <v>4439304.2200000016</v>
      </c>
      <c r="W14" s="140">
        <f>IF($B14=0,"",_xlfn.XLOOKUP($B14,INPUT_DATA!$BP:$BP,INPUT_DATA!CC:CC))</f>
        <v>4230023.2800000012</v>
      </c>
      <c r="X14" s="140">
        <f>IF($B14=0,"",_xlfn.XLOOKUP($B14,INPUT_DATA!$BP:$BP,INPUT_DATA!CD:CD))</f>
        <v>5619.7900000000009</v>
      </c>
      <c r="Y14" s="140">
        <f>IF($B14=0,"",_xlfn.XLOOKUP($B14,INPUT_DATA!$BP:$BP,INPUT_DATA!CE:CE))</f>
        <v>0</v>
      </c>
      <c r="Z14" s="1300">
        <f t="shared" ref="Z14:Z77" si="9">IF($B14=0,"",100%)</f>
        <v>1</v>
      </c>
      <c r="AA14" s="139">
        <f t="shared" ref="AA14:AA77" si="10">IF($B14=0,"",SUM(W14:Y14)*Z14)</f>
        <v>4235643.0700000012</v>
      </c>
      <c r="AB14" s="139">
        <f>IF($B14=0,"",_xlfn.XLOOKUP($B14,INPUT_DATA!$BP:$BP,INPUT_DATA!CF:CF))</f>
        <v>18</v>
      </c>
      <c r="AC14" s="140">
        <f>IF($B14=0,"",_xlfn.XLOOKUP($B14,INPUT_DATA!$BP:$BP,INPUT_DATA!CG:CG))</f>
        <v>203435.57</v>
      </c>
      <c r="AD14" s="140">
        <f>IF($B14=0,"",_xlfn.XLOOKUP($B14,INPUT_DATA!$BP:$BP,INPUT_DATA!CH:CH))</f>
        <v>225.58</v>
      </c>
      <c r="AE14" s="140">
        <f>IF($B14=0,"",_xlfn.XLOOKUP($B14,INPUT_DATA!$BP:$BP,INPUT_DATA!CI:CI))</f>
        <v>0</v>
      </c>
      <c r="AF14" s="1300">
        <f t="shared" ref="AF14:AF77" si="11">IF($B14=0,"",93%)</f>
        <v>0.93</v>
      </c>
      <c r="AG14" s="139">
        <f>IF($B14=0,"",_xlfn.XLOOKUP($B14,INPUT_DATA!$BP:$BP,INPUT_DATA!CJ:CJ))</f>
        <v>0</v>
      </c>
      <c r="AH14" s="139">
        <f t="shared" ref="AH14:AH25" si="12">IF($B14=0,"",SUM(AC14:AE14)-AG14)</f>
        <v>203661.15</v>
      </c>
      <c r="AI14" s="1275">
        <f>IF($B14=0,"",_xlfn.XLOOKUP($B14,INPUT_DATA!$BP:$BP,INPUT_DATA!CK:CK))</f>
        <v>1</v>
      </c>
      <c r="AJ14" s="140">
        <f>IF($B14=0,"",_xlfn.XLOOKUP($B14,INPUT_DATA!$BP:$BP,INPUT_DATA!CL:CL))</f>
        <v>642924.51</v>
      </c>
      <c r="AK14" s="140">
        <f>IF($B14=0,"",_xlfn.XLOOKUP($B14,INPUT_DATA!$BP:$BP,INPUT_DATA!CM:CM))</f>
        <v>148.21</v>
      </c>
      <c r="AL14" s="140">
        <f>IF($B14=0,"",_xlfn.XLOOKUP($B14,INPUT_DATA!$BP:$BP,INPUT_DATA!CN:CN))</f>
        <v>6336</v>
      </c>
      <c r="AM14" s="1300">
        <f t="shared" ref="AM14:AM77" si="13">IF($B14=0,"",60%)</f>
        <v>0.6</v>
      </c>
      <c r="AN14" s="1761">
        <f>IF($B14=0,"",_xlfn.XLOOKUP($B14,INPUT_DATA!$BP:$BP,INPUT_DATA!CO:CO))</f>
        <v>221676.1648</v>
      </c>
      <c r="AO14" s="1761">
        <f t="shared" ref="AO14:AO77" si="14">IF($B14=0,"",AJ14+AK14-AN14+AL14)</f>
        <v>427732.55519999994</v>
      </c>
      <c r="AP14" s="1762">
        <f>IF($B14=0,"",_xlfn.XLOOKUP($B14,INPUT_DATA!$BP:$BP,INPUT_DATA!CP:CP))</f>
        <v>4</v>
      </c>
      <c r="AQ14" s="1761">
        <f>IF($B14=0,"",SUM(AA14,AH14,AO14))</f>
        <v>4867036.7752000019</v>
      </c>
      <c r="AR14" s="1762">
        <f t="shared" ref="AR14:AR77" si="15">IF($B14=0,"",SUM(AB14,AI14,AP14))</f>
        <v>23</v>
      </c>
      <c r="AS14" s="1239"/>
      <c r="AT14" s="1239"/>
    </row>
    <row r="15" spans="2:58">
      <c r="B15" s="137">
        <f>INPUT_DATA!BP6</f>
        <v>46142</v>
      </c>
      <c r="C15" s="1291">
        <f>IF($B15=0,"",_xlfn.XLOOKUP($B15,INPUT_DATA!$BP:$BP,INPUT_DATA!BQ:BQ))</f>
        <v>0</v>
      </c>
      <c r="D15" s="140">
        <f>IF($B15=0,"",_xlfn.XLOOKUP($B15,INPUT_DATA!$BP:$BP,INPUT_DATA!BR:BR))</f>
        <v>0</v>
      </c>
      <c r="E15" s="140">
        <f>IF($B15=0,"",_xlfn.XLOOKUP($B15,INPUT_DATA!$BP:$BP,INPUT_DATA!BS:BS))</f>
        <v>0</v>
      </c>
      <c r="F15" s="140">
        <f>IF($B15=0,"",_xlfn.XLOOKUP($B15,INPUT_DATA!$BP:$BP,INPUT_DATA!BT:BT))</f>
        <v>0</v>
      </c>
      <c r="G15" s="140">
        <f t="shared" si="1"/>
        <v>0</v>
      </c>
      <c r="H15" s="1291">
        <f>IF($B15=0,"",_xlfn.XLOOKUP($B15,INPUT_DATA!$BP:$BP,INPUT_DATA!BU:BU))</f>
        <v>9</v>
      </c>
      <c r="I15" s="140">
        <f>IF($B15=0,"",_xlfn.XLOOKUP($B15,INPUT_DATA!$BP:$BP,INPUT_DATA!BV:BV))</f>
        <v>3790074.33</v>
      </c>
      <c r="J15" s="140">
        <f>IF($B15=0,"",_xlfn.XLOOKUP($B15,INPUT_DATA!$BP:$BP,INPUT_DATA!BW:BW))</f>
        <v>2202.9299999999998</v>
      </c>
      <c r="K15" s="140">
        <f>IF($B15=0,"",_xlfn.XLOOKUP($B15,INPUT_DATA!$BP:$BP,INPUT_DATA!BX:BX))</f>
        <v>0</v>
      </c>
      <c r="L15" s="140">
        <f t="shared" si="2"/>
        <v>3792277.2600000002</v>
      </c>
      <c r="M15" s="1291">
        <f>IF($B15=0,"",_xlfn.XLOOKUP($B15,INPUT_DATA!$BP:$BP,INPUT_DATA!BY:BY))</f>
        <v>22</v>
      </c>
      <c r="N15" s="140">
        <f>IF($B15=0,"",_xlfn.XLOOKUP($B15,INPUT_DATA!$BP:$BP,INPUT_DATA!BZ:BZ))</f>
        <v>4395709.5</v>
      </c>
      <c r="O15" s="140">
        <f>IF($B15=0,"",_xlfn.XLOOKUP($B15,INPUT_DATA!$BP:$BP,INPUT_DATA!CA:CA))</f>
        <v>6338.54</v>
      </c>
      <c r="P15" s="140">
        <f>IF($B15=0,"",_xlfn.XLOOKUP($B15,INPUT_DATA!$BP:$BP,INPUT_DATA!CB:CB))</f>
        <v>833.81999999999994</v>
      </c>
      <c r="Q15" s="140">
        <f t="shared" si="3"/>
        <v>4402881.8600000003</v>
      </c>
      <c r="R15" s="1275">
        <f t="shared" si="4"/>
        <v>31</v>
      </c>
      <c r="S15" s="139">
        <f t="shared" si="5"/>
        <v>8185783.8300000001</v>
      </c>
      <c r="T15" s="139">
        <f t="shared" si="6"/>
        <v>8541.4699999999993</v>
      </c>
      <c r="U15" s="1880">
        <f t="shared" si="7"/>
        <v>833.81999999999994</v>
      </c>
      <c r="V15" s="139">
        <f t="shared" si="8"/>
        <v>8195159.120000001</v>
      </c>
      <c r="W15" s="140">
        <f>IF($B15=0,"",_xlfn.XLOOKUP($B15,INPUT_DATA!$BP:$BP,INPUT_DATA!CC:CC))</f>
        <v>8185783.8300000001</v>
      </c>
      <c r="X15" s="140">
        <f>IF($B15=0,"",_xlfn.XLOOKUP($B15,INPUT_DATA!$BP:$BP,INPUT_DATA!CD:CD))</f>
        <v>8541.4699999999993</v>
      </c>
      <c r="Y15" s="140">
        <f>IF($B15=0,"",_xlfn.XLOOKUP($B15,INPUT_DATA!$BP:$BP,INPUT_DATA!CE:CE))</f>
        <v>833.81999999999994</v>
      </c>
      <c r="Z15" s="1300">
        <f t="shared" si="9"/>
        <v>1</v>
      </c>
      <c r="AA15" s="139">
        <f t="shared" si="10"/>
        <v>8195159.1200000001</v>
      </c>
      <c r="AB15" s="139">
        <f>IF($B15=0,"",_xlfn.XLOOKUP($B15,INPUT_DATA!$BP:$BP,INPUT_DATA!CF:CF))</f>
        <v>31</v>
      </c>
      <c r="AC15" s="140">
        <f>IF($B15=0,"",_xlfn.XLOOKUP($B15,INPUT_DATA!$BP:$BP,INPUT_DATA!CG:CG))</f>
        <v>0</v>
      </c>
      <c r="AD15" s="140">
        <f>IF($B15=0,"",_xlfn.XLOOKUP($B15,INPUT_DATA!$BP:$BP,INPUT_DATA!CH:CH))</f>
        <v>0</v>
      </c>
      <c r="AE15" s="140">
        <f>IF($B15=0,"",_xlfn.XLOOKUP($B15,INPUT_DATA!$BP:$BP,INPUT_DATA!CI:CI))</f>
        <v>0</v>
      </c>
      <c r="AF15" s="1300">
        <f t="shared" si="11"/>
        <v>0.93</v>
      </c>
      <c r="AG15" s="139">
        <f>IF($B15=0,"",_xlfn.XLOOKUP($B15,INPUT_DATA!$BP:$BP,INPUT_DATA!CJ:CJ))</f>
        <v>0</v>
      </c>
      <c r="AH15" s="139">
        <f t="shared" si="12"/>
        <v>0</v>
      </c>
      <c r="AI15" s="1275">
        <f>IF($B15=0,"",_xlfn.XLOOKUP($B15,INPUT_DATA!$BP:$BP,INPUT_DATA!CK:CK))</f>
        <v>0</v>
      </c>
      <c r="AJ15" s="140">
        <f>IF($B15=0,"",_xlfn.XLOOKUP($B15,INPUT_DATA!$BP:$BP,INPUT_DATA!CL:CL))</f>
        <v>430994.3</v>
      </c>
      <c r="AK15" s="140">
        <f>IF($B15=0,"",_xlfn.XLOOKUP($B15,INPUT_DATA!$BP:$BP,INPUT_DATA!CM:CM))</f>
        <v>800.11000000000013</v>
      </c>
      <c r="AL15" s="140">
        <f>IF($B15=0,"",_xlfn.XLOOKUP($B15,INPUT_DATA!$BP:$BP,INPUT_DATA!CN:CN))</f>
        <v>8392.02</v>
      </c>
      <c r="AM15" s="1300">
        <f t="shared" si="13"/>
        <v>0.6</v>
      </c>
      <c r="AN15" s="1761">
        <f>IF($B15=0,"",_xlfn.XLOOKUP($B15,INPUT_DATA!$BP:$BP,INPUT_DATA!CO:CO))</f>
        <v>96722.386399999988</v>
      </c>
      <c r="AO15" s="1761">
        <f t="shared" si="14"/>
        <v>343464.04359999998</v>
      </c>
      <c r="AP15" s="1762">
        <f>IF($B15=0,"",_xlfn.XLOOKUP($B15,INPUT_DATA!$BP:$BP,INPUT_DATA!CP:CP))</f>
        <v>4</v>
      </c>
      <c r="AQ15" s="1761">
        <f t="shared" ref="AQ15:AQ22" si="16">IF($B15=0,"",SUM(AA15,AH15,AO15))</f>
        <v>8538623.1635999996</v>
      </c>
      <c r="AR15" s="1762">
        <f t="shared" si="15"/>
        <v>35</v>
      </c>
    </row>
    <row r="16" spans="2:58">
      <c r="B16" s="137">
        <f>INPUT_DATA!BP7</f>
        <v>46112</v>
      </c>
      <c r="C16" s="1291">
        <f>IF($B16=0,"",_xlfn.XLOOKUP($B16,INPUT_DATA!$BP:$BP,INPUT_DATA!BQ:BQ))</f>
        <v>3</v>
      </c>
      <c r="D16" s="140">
        <f>IF($B16=0,"",_xlfn.XLOOKUP($B16,INPUT_DATA!$BP:$BP,INPUT_DATA!BR:BR))</f>
        <v>230016.56999999998</v>
      </c>
      <c r="E16" s="140">
        <f>IF($B16=0,"",_xlfn.XLOOKUP($B16,INPUT_DATA!$BP:$BP,INPUT_DATA!BS:BS))</f>
        <v>229.81</v>
      </c>
      <c r="F16" s="140">
        <f>IF($B16=0,"",_xlfn.XLOOKUP($B16,INPUT_DATA!$BP:$BP,INPUT_DATA!BT:BT))</f>
        <v>0</v>
      </c>
      <c r="G16" s="140">
        <f t="shared" si="1"/>
        <v>230246.37999999998</v>
      </c>
      <c r="H16" s="1291">
        <f>IF($B16=0,"",_xlfn.XLOOKUP($B16,INPUT_DATA!$BP:$BP,INPUT_DATA!BU:BU))</f>
        <v>64</v>
      </c>
      <c r="I16" s="140">
        <f>IF($B16=0,"",_xlfn.XLOOKUP($B16,INPUT_DATA!$BP:$BP,INPUT_DATA!BV:BV))</f>
        <v>10988292.460000001</v>
      </c>
      <c r="J16" s="140">
        <f>IF($B16=0,"",_xlfn.XLOOKUP($B16,INPUT_DATA!$BP:$BP,INPUT_DATA!BW:BW))</f>
        <v>9412.7799999999988</v>
      </c>
      <c r="K16" s="140">
        <f>IF($B16=0,"",_xlfn.XLOOKUP($B16,INPUT_DATA!$BP:$BP,INPUT_DATA!BX:BX))</f>
        <v>0</v>
      </c>
      <c r="L16" s="140">
        <f t="shared" si="2"/>
        <v>10997705.24</v>
      </c>
      <c r="M16" s="1291">
        <f>IF($B16=0,"",_xlfn.XLOOKUP($B16,INPUT_DATA!$BP:$BP,INPUT_DATA!BY:BY))</f>
        <v>39</v>
      </c>
      <c r="N16" s="140">
        <f>IF($B16=0,"",_xlfn.XLOOKUP($B16,INPUT_DATA!$BP:$BP,INPUT_DATA!BZ:BZ))</f>
        <v>6853543.1100000022</v>
      </c>
      <c r="O16" s="140">
        <f>IF($B16=0,"",_xlfn.XLOOKUP($B16,INPUT_DATA!$BP:$BP,INPUT_DATA!CA:CA))</f>
        <v>7356.2500000000009</v>
      </c>
      <c r="P16" s="140">
        <f>IF($B16=0,"",_xlfn.XLOOKUP($B16,INPUT_DATA!$BP:$BP,INPUT_DATA!CB:CB))</f>
        <v>109.5100000000061</v>
      </c>
      <c r="Q16" s="140">
        <f t="shared" si="3"/>
        <v>6861008.870000002</v>
      </c>
      <c r="R16" s="1275">
        <f t="shared" si="4"/>
        <v>106</v>
      </c>
      <c r="S16" s="139">
        <f t="shared" si="5"/>
        <v>18071852.140000004</v>
      </c>
      <c r="T16" s="139">
        <f t="shared" si="6"/>
        <v>16998.84</v>
      </c>
      <c r="U16" s="1880">
        <f t="shared" si="7"/>
        <v>109.5100000000061</v>
      </c>
      <c r="V16" s="139">
        <f t="shared" si="8"/>
        <v>18088960.490000002</v>
      </c>
      <c r="W16" s="140">
        <f>IF($B16=0,"",_xlfn.XLOOKUP($B16,INPUT_DATA!$BP:$BP,INPUT_DATA!CC:CC))</f>
        <v>18071852.140000004</v>
      </c>
      <c r="X16" s="140">
        <f>IF($B16=0,"",_xlfn.XLOOKUP($B16,INPUT_DATA!$BP:$BP,INPUT_DATA!CD:CD))</f>
        <v>16998.84</v>
      </c>
      <c r="Y16" s="140">
        <f>IF($B16=0,"",_xlfn.XLOOKUP($B16,INPUT_DATA!$BP:$BP,INPUT_DATA!CE:CE))</f>
        <v>109.5100000000061</v>
      </c>
      <c r="Z16" s="1300">
        <f t="shared" si="9"/>
        <v>1</v>
      </c>
      <c r="AA16" s="139">
        <f t="shared" si="10"/>
        <v>18088960.490000006</v>
      </c>
      <c r="AB16" s="139">
        <f>IF($B16=0,"",_xlfn.XLOOKUP($B16,INPUT_DATA!$BP:$BP,INPUT_DATA!CF:CF))</f>
        <v>106</v>
      </c>
      <c r="AC16" s="140">
        <f>IF($B16=0,"",_xlfn.XLOOKUP($B16,INPUT_DATA!$BP:$BP,INPUT_DATA!CG:CG))</f>
        <v>0</v>
      </c>
      <c r="AD16" s="140">
        <f>IF($B16=0,"",_xlfn.XLOOKUP($B16,INPUT_DATA!$BP:$BP,INPUT_DATA!CH:CH))</f>
        <v>0</v>
      </c>
      <c r="AE16" s="140">
        <f>IF($B16=0,"",_xlfn.XLOOKUP($B16,INPUT_DATA!$BP:$BP,INPUT_DATA!CI:CI))</f>
        <v>0</v>
      </c>
      <c r="AF16" s="1300">
        <f t="shared" si="11"/>
        <v>0.93</v>
      </c>
      <c r="AG16" s="139">
        <f>IF($B16=0,"",_xlfn.XLOOKUP($B16,INPUT_DATA!$BP:$BP,INPUT_DATA!CJ:CJ))</f>
        <v>0</v>
      </c>
      <c r="AH16" s="139">
        <f t="shared" si="12"/>
        <v>0</v>
      </c>
      <c r="AI16" s="1275">
        <f>IF($B16=0,"",_xlfn.XLOOKUP($B16,INPUT_DATA!$BP:$BP,INPUT_DATA!CK:CK))</f>
        <v>0</v>
      </c>
      <c r="AJ16" s="140">
        <f>IF($B16=0,"",_xlfn.XLOOKUP($B16,INPUT_DATA!$BP:$BP,INPUT_DATA!CL:CL))</f>
        <v>281667.24</v>
      </c>
      <c r="AK16" s="140">
        <f>IF($B16=0,"",_xlfn.XLOOKUP($B16,INPUT_DATA!$BP:$BP,INPUT_DATA!CM:CM))</f>
        <v>0</v>
      </c>
      <c r="AL16" s="140">
        <f>IF($B16=0,"",_xlfn.XLOOKUP($B16,INPUT_DATA!$BP:$BP,INPUT_DATA!CN:CN))</f>
        <v>0</v>
      </c>
      <c r="AM16" s="1300">
        <f t="shared" si="13"/>
        <v>0.6</v>
      </c>
      <c r="AN16" s="1761">
        <f>IF($B16=0,"",_xlfn.XLOOKUP($B16,INPUT_DATA!$BP:$BP,INPUT_DATA!CO:CO))</f>
        <v>51237.93680000001</v>
      </c>
      <c r="AO16" s="1761">
        <f t="shared" si="14"/>
        <v>230429.30319999997</v>
      </c>
      <c r="AP16" s="1762">
        <f>IF($B16=0,"",_xlfn.XLOOKUP($B16,INPUT_DATA!$BP:$BP,INPUT_DATA!CP:CP))</f>
        <v>3</v>
      </c>
      <c r="AQ16" s="1761">
        <f t="shared" si="16"/>
        <v>18319389.793200005</v>
      </c>
      <c r="AR16" s="1762">
        <f t="shared" si="15"/>
        <v>109</v>
      </c>
      <c r="AS16" s="1239"/>
    </row>
    <row r="17" spans="2:45">
      <c r="B17" s="137">
        <f>INPUT_DATA!BP8</f>
        <v>46081</v>
      </c>
      <c r="C17" s="1291">
        <f>IF($B17=0,"",_xlfn.XLOOKUP($B17,INPUT_DATA!$BP:$BP,INPUT_DATA!BQ:BQ))</f>
        <v>5</v>
      </c>
      <c r="D17" s="140">
        <f>IF($B17=0,"",_xlfn.XLOOKUP($B17,INPUT_DATA!$BP:$BP,INPUT_DATA!BR:BR))</f>
        <v>763755.39999999991</v>
      </c>
      <c r="E17" s="140">
        <f>IF($B17=0,"",_xlfn.XLOOKUP($B17,INPUT_DATA!$BP:$BP,INPUT_DATA!BS:BS))</f>
        <v>375.06</v>
      </c>
      <c r="F17" s="140">
        <f>IF($B17=0,"",_xlfn.XLOOKUP($B17,INPUT_DATA!$BP:$BP,INPUT_DATA!BT:BT))</f>
        <v>0</v>
      </c>
      <c r="G17" s="140">
        <f t="shared" si="1"/>
        <v>764130.46</v>
      </c>
      <c r="H17" s="1291">
        <f>IF($B17=0,"",_xlfn.XLOOKUP($B17,INPUT_DATA!$BP:$BP,INPUT_DATA!BU:BU))</f>
        <v>10</v>
      </c>
      <c r="I17" s="140">
        <f>IF($B17=0,"",_xlfn.XLOOKUP($B17,INPUT_DATA!$BP:$BP,INPUT_DATA!BV:BV))</f>
        <v>1281886.29</v>
      </c>
      <c r="J17" s="140">
        <f>IF($B17=0,"",_xlfn.XLOOKUP($B17,INPUT_DATA!$BP:$BP,INPUT_DATA!BW:BW))</f>
        <v>721.47</v>
      </c>
      <c r="K17" s="140">
        <f>IF($B17=0,"",_xlfn.XLOOKUP($B17,INPUT_DATA!$BP:$BP,INPUT_DATA!BX:BX))</f>
        <v>0</v>
      </c>
      <c r="L17" s="140">
        <f t="shared" si="2"/>
        <v>1282607.76</v>
      </c>
      <c r="M17" s="1291">
        <f>IF($B17=0,"",_xlfn.XLOOKUP($B17,INPUT_DATA!$BP:$BP,INPUT_DATA!BY:BY))</f>
        <v>22</v>
      </c>
      <c r="N17" s="140">
        <f>IF($B17=0,"",_xlfn.XLOOKUP($B17,INPUT_DATA!$BP:$BP,INPUT_DATA!BZ:BZ))</f>
        <v>2989116.4600000009</v>
      </c>
      <c r="O17" s="140">
        <f>IF($B17=0,"",_xlfn.XLOOKUP($B17,INPUT_DATA!$BP:$BP,INPUT_DATA!CA:CA))</f>
        <v>2387.8700000000003</v>
      </c>
      <c r="P17" s="140">
        <f>IF($B17=0,"",_xlfn.XLOOKUP($B17,INPUT_DATA!$BP:$BP,INPUT_DATA!CB:CB))</f>
        <v>0</v>
      </c>
      <c r="Q17" s="140">
        <f t="shared" si="3"/>
        <v>2991504.330000001</v>
      </c>
      <c r="R17" s="1275">
        <f t="shared" si="4"/>
        <v>37</v>
      </c>
      <c r="S17" s="139">
        <f t="shared" si="5"/>
        <v>5034758.1500000004</v>
      </c>
      <c r="T17" s="139">
        <f t="shared" si="6"/>
        <v>3484.4000000000005</v>
      </c>
      <c r="U17" s="1880">
        <f t="shared" si="7"/>
        <v>0</v>
      </c>
      <c r="V17" s="139">
        <f t="shared" si="8"/>
        <v>5038242.5500000007</v>
      </c>
      <c r="W17" s="140">
        <f>IF($B17=0,"",_xlfn.XLOOKUP($B17,INPUT_DATA!$BP:$BP,INPUT_DATA!CC:CC))</f>
        <v>5034758.1500000004</v>
      </c>
      <c r="X17" s="140">
        <f>IF($B17=0,"",_xlfn.XLOOKUP($B17,INPUT_DATA!$BP:$BP,INPUT_DATA!CD:CD))</f>
        <v>3484.4000000000005</v>
      </c>
      <c r="Y17" s="140">
        <f>IF($B17=0,"",_xlfn.XLOOKUP($B17,INPUT_DATA!$BP:$BP,INPUT_DATA!CE:CE))</f>
        <v>0</v>
      </c>
      <c r="Z17" s="1300">
        <f t="shared" si="9"/>
        <v>1</v>
      </c>
      <c r="AA17" s="139">
        <f t="shared" si="10"/>
        <v>5038242.5500000007</v>
      </c>
      <c r="AB17" s="139">
        <f>IF($B17=0,"",_xlfn.XLOOKUP($B17,INPUT_DATA!$BP:$BP,INPUT_DATA!CF:CF))</f>
        <v>37</v>
      </c>
      <c r="AC17" s="140">
        <f>IF($B17=0,"",_xlfn.XLOOKUP($B17,INPUT_DATA!$BP:$BP,INPUT_DATA!CG:CG))</f>
        <v>0</v>
      </c>
      <c r="AD17" s="140">
        <f>IF($B17=0,"",_xlfn.XLOOKUP($B17,INPUT_DATA!$BP:$BP,INPUT_DATA!CH:CH))</f>
        <v>0</v>
      </c>
      <c r="AE17" s="140">
        <f>IF($B17=0,"",_xlfn.XLOOKUP($B17,INPUT_DATA!$BP:$BP,INPUT_DATA!CI:CI))</f>
        <v>0</v>
      </c>
      <c r="AF17" s="1300">
        <f t="shared" si="11"/>
        <v>0.93</v>
      </c>
      <c r="AG17" s="139">
        <f>IF($B17=0,"",_xlfn.XLOOKUP($B17,INPUT_DATA!$BP:$BP,INPUT_DATA!CJ:CJ))</f>
        <v>0</v>
      </c>
      <c r="AH17" s="139">
        <f t="shared" si="12"/>
        <v>0</v>
      </c>
      <c r="AI17" s="1275">
        <f>IF($B17=0,"",_xlfn.XLOOKUP($B17,INPUT_DATA!$BP:$BP,INPUT_DATA!CK:CK))</f>
        <v>0</v>
      </c>
      <c r="AJ17" s="140">
        <f>IF($B17=0,"",_xlfn.XLOOKUP($B17,INPUT_DATA!$BP:$BP,INPUT_DATA!CL:CL))</f>
        <v>1752712.98</v>
      </c>
      <c r="AK17" s="140">
        <f>IF($B17=0,"",_xlfn.XLOOKUP($B17,INPUT_DATA!$BP:$BP,INPUT_DATA!CM:CM))</f>
        <v>1322.82</v>
      </c>
      <c r="AL17" s="140">
        <f>IF($B17=0,"",_xlfn.XLOOKUP($B17,INPUT_DATA!$BP:$BP,INPUT_DATA!CN:CN))</f>
        <v>162538.41999999998</v>
      </c>
      <c r="AM17" s="1300">
        <f t="shared" si="13"/>
        <v>0.6</v>
      </c>
      <c r="AN17" s="1761">
        <f>IF($B17=0,"",_xlfn.XLOOKUP($B17,INPUT_DATA!$BP:$BP,INPUT_DATA!CO:CO))</f>
        <v>61672.050800000005</v>
      </c>
      <c r="AO17" s="1761">
        <f t="shared" si="14"/>
        <v>1854902.1691999999</v>
      </c>
      <c r="AP17" s="1762">
        <f>IF($B17=0,"",_xlfn.XLOOKUP($B17,INPUT_DATA!$BP:$BP,INPUT_DATA!CP:CP))</f>
        <v>5</v>
      </c>
      <c r="AQ17" s="1761">
        <f t="shared" si="16"/>
        <v>6893144.7192000002</v>
      </c>
      <c r="AR17" s="1762">
        <f t="shared" si="15"/>
        <v>42</v>
      </c>
      <c r="AS17" s="1239"/>
    </row>
    <row r="18" spans="2:45">
      <c r="B18" s="137">
        <f>INPUT_DATA!BP9</f>
        <v>46053</v>
      </c>
      <c r="C18" s="1291">
        <f>IF($B18=0,"",_xlfn.XLOOKUP($B18,INPUT_DATA!$BP:$BP,INPUT_DATA!BQ:BQ))</f>
        <v>2</v>
      </c>
      <c r="D18" s="140">
        <f>IF($B18=0,"",_xlfn.XLOOKUP($B18,INPUT_DATA!$BP:$BP,INPUT_DATA!BR:BR))</f>
        <v>341586.32999999996</v>
      </c>
      <c r="E18" s="140">
        <f>IF($B18=0,"",_xlfn.XLOOKUP($B18,INPUT_DATA!$BP:$BP,INPUT_DATA!BS:BS))</f>
        <v>265.74</v>
      </c>
      <c r="F18" s="140">
        <f>IF($B18=0,"",_xlfn.XLOOKUP($B18,INPUT_DATA!$BP:$BP,INPUT_DATA!BT:BT))</f>
        <v>0</v>
      </c>
      <c r="G18" s="140">
        <f t="shared" si="1"/>
        <v>341852.06999999995</v>
      </c>
      <c r="H18" s="1291">
        <f>IF($B18=0,"",_xlfn.XLOOKUP($B18,INPUT_DATA!$BP:$BP,INPUT_DATA!BU:BU))</f>
        <v>3</v>
      </c>
      <c r="I18" s="140">
        <f>IF($B18=0,"",_xlfn.XLOOKUP($B18,INPUT_DATA!$BP:$BP,INPUT_DATA!BV:BV))</f>
        <v>820008.75</v>
      </c>
      <c r="J18" s="140">
        <f>IF($B18=0,"",_xlfn.XLOOKUP($B18,INPUT_DATA!$BP:$BP,INPUT_DATA!BW:BW))</f>
        <v>578.11</v>
      </c>
      <c r="K18" s="140">
        <f>IF($B18=0,"",_xlfn.XLOOKUP($B18,INPUT_DATA!$BP:$BP,INPUT_DATA!BX:BX))</f>
        <v>0</v>
      </c>
      <c r="L18" s="140">
        <f t="shared" si="2"/>
        <v>820586.86</v>
      </c>
      <c r="M18" s="1291">
        <f>IF($B18=0,"",_xlfn.XLOOKUP($B18,INPUT_DATA!$BP:$BP,INPUT_DATA!BY:BY))</f>
        <v>30</v>
      </c>
      <c r="N18" s="140">
        <f>IF($B18=0,"",_xlfn.XLOOKUP($B18,INPUT_DATA!$BP:$BP,INPUT_DATA!BZ:BZ))</f>
        <v>3498697.2300000014</v>
      </c>
      <c r="O18" s="140">
        <f>IF($B18=0,"",_xlfn.XLOOKUP($B18,INPUT_DATA!$BP:$BP,INPUT_DATA!CA:CA))</f>
        <v>3382.0099999999993</v>
      </c>
      <c r="P18" s="140">
        <f>IF($B18=0,"",_xlfn.XLOOKUP($B18,INPUT_DATA!$BP:$BP,INPUT_DATA!CB:CB))</f>
        <v>0</v>
      </c>
      <c r="Q18" s="140">
        <f t="shared" si="3"/>
        <v>3502079.2400000012</v>
      </c>
      <c r="R18" s="1275">
        <f t="shared" si="4"/>
        <v>35</v>
      </c>
      <c r="S18" s="139">
        <f t="shared" si="5"/>
        <v>4660292.3100000015</v>
      </c>
      <c r="T18" s="139">
        <f t="shared" si="6"/>
        <v>4225.8599999999997</v>
      </c>
      <c r="U18" s="1880">
        <f t="shared" si="7"/>
        <v>0</v>
      </c>
      <c r="V18" s="139">
        <f t="shared" si="8"/>
        <v>4664518.1700000009</v>
      </c>
      <c r="W18" s="140">
        <f>IF($B18=0,"",_xlfn.XLOOKUP($B18,INPUT_DATA!$BP:$BP,INPUT_DATA!CC:CC))</f>
        <v>4291922.2800000012</v>
      </c>
      <c r="X18" s="140">
        <f>IF($B18=0,"",_xlfn.XLOOKUP($B18,INPUT_DATA!$BP:$BP,INPUT_DATA!CD:CD))</f>
        <v>3896.6699999999996</v>
      </c>
      <c r="Y18" s="140">
        <f>IF($B18=0,"",_xlfn.XLOOKUP($B18,INPUT_DATA!$BP:$BP,INPUT_DATA!CE:CE))</f>
        <v>0</v>
      </c>
      <c r="Z18" s="1300">
        <f t="shared" si="9"/>
        <v>1</v>
      </c>
      <c r="AA18" s="139">
        <f t="shared" si="10"/>
        <v>4295818.9500000011</v>
      </c>
      <c r="AB18" s="139">
        <f>IF($B18=0,"",_xlfn.XLOOKUP($B18,INPUT_DATA!$BP:$BP,INPUT_DATA!CF:CF))</f>
        <v>31</v>
      </c>
      <c r="AC18" s="140">
        <f>IF($B18=0,"",_xlfn.XLOOKUP($B18,INPUT_DATA!$BP:$BP,INPUT_DATA!CG:CG))</f>
        <v>368370.03</v>
      </c>
      <c r="AD18" s="140">
        <f>IF($B18=0,"",_xlfn.XLOOKUP($B18,INPUT_DATA!$BP:$BP,INPUT_DATA!CH:CH))</f>
        <v>329.19000000000005</v>
      </c>
      <c r="AE18" s="140">
        <f>IF($B18=0,"",_xlfn.XLOOKUP($B18,INPUT_DATA!$BP:$BP,INPUT_DATA!CI:CI))</f>
        <v>20020.63</v>
      </c>
      <c r="AF18" s="1300">
        <f t="shared" si="11"/>
        <v>0.93</v>
      </c>
      <c r="AG18" s="139">
        <f>IF($B18=0,"",_xlfn.XLOOKUP($B18,INPUT_DATA!$BP:$BP,INPUT_DATA!CJ:CJ))</f>
        <v>9353.1905000000006</v>
      </c>
      <c r="AH18" s="139">
        <f t="shared" si="12"/>
        <v>379366.65950000001</v>
      </c>
      <c r="AI18" s="1275">
        <f>IF($B18=0,"",_xlfn.XLOOKUP($B18,INPUT_DATA!$BP:$BP,INPUT_DATA!CK:CK))</f>
        <v>4</v>
      </c>
      <c r="AJ18" s="140">
        <f>IF($B18=0,"",_xlfn.XLOOKUP($B18,INPUT_DATA!$BP:$BP,INPUT_DATA!CL:CL))</f>
        <v>615513.06000000006</v>
      </c>
      <c r="AK18" s="140">
        <f>IF($B18=0,"",_xlfn.XLOOKUP($B18,INPUT_DATA!$BP:$BP,INPUT_DATA!CM:CM))</f>
        <v>658.41</v>
      </c>
      <c r="AL18" s="140">
        <f>IF($B18=0,"",_xlfn.XLOOKUP($B18,INPUT_DATA!$BP:$BP,INPUT_DATA!CN:CN))</f>
        <v>380508.92999999993</v>
      </c>
      <c r="AM18" s="1300">
        <f t="shared" si="13"/>
        <v>0.6</v>
      </c>
      <c r="AN18" s="1761">
        <f>IF($B18=0,"",_xlfn.XLOOKUP($B18,INPUT_DATA!$BP:$BP,INPUT_DATA!CO:CO))</f>
        <v>306821.35519999999</v>
      </c>
      <c r="AO18" s="1761">
        <f t="shared" si="14"/>
        <v>689859.04480000003</v>
      </c>
      <c r="AP18" s="1275">
        <f>IF($B18=0,"",_xlfn.XLOOKUP($B18,INPUT_DATA!$BP:$BP,INPUT_DATA!CP:CP))</f>
        <v>7</v>
      </c>
      <c r="AQ18" s="1761">
        <f t="shared" si="16"/>
        <v>5365044.6543000014</v>
      </c>
      <c r="AR18" s="1275">
        <f t="shared" si="15"/>
        <v>42</v>
      </c>
      <c r="AS18" s="1239"/>
    </row>
    <row r="19" spans="2:45">
      <c r="B19" s="137">
        <f>INPUT_DATA!BP10</f>
        <v>46022</v>
      </c>
      <c r="C19" s="1291">
        <f>IF($B19=0,"",_xlfn.XLOOKUP($B19,INPUT_DATA!$BP:$BP,INPUT_DATA!BQ:BQ))</f>
        <v>2</v>
      </c>
      <c r="D19" s="140">
        <f>IF($B19=0,"",_xlfn.XLOOKUP($B19,INPUT_DATA!$BP:$BP,INPUT_DATA!BR:BR))</f>
        <v>94955.07</v>
      </c>
      <c r="E19" s="140">
        <f>IF($B19=0,"",_xlfn.XLOOKUP($B19,INPUT_DATA!$BP:$BP,INPUT_DATA!BS:BS))</f>
        <v>68.259999999999991</v>
      </c>
      <c r="F19" s="140">
        <f>IF($B19=0,"",_xlfn.XLOOKUP($B19,INPUT_DATA!$BP:$BP,INPUT_DATA!BT:BT))</f>
        <v>0</v>
      </c>
      <c r="G19" s="140">
        <f t="shared" si="1"/>
        <v>95023.33</v>
      </c>
      <c r="H19" s="1291">
        <f>IF($B19=0,"",_xlfn.XLOOKUP($B19,INPUT_DATA!$BP:$BP,INPUT_DATA!BU:BU))</f>
        <v>3</v>
      </c>
      <c r="I19" s="140">
        <f>IF($B19=0,"",_xlfn.XLOOKUP($B19,INPUT_DATA!$BP:$BP,INPUT_DATA!BV:BV))</f>
        <v>2485301.84</v>
      </c>
      <c r="J19" s="140">
        <f>IF($B19=0,"",_xlfn.XLOOKUP($B19,INPUT_DATA!$BP:$BP,INPUT_DATA!BW:BW))</f>
        <v>1794.97</v>
      </c>
      <c r="K19" s="140">
        <f>IF($B19=0,"",_xlfn.XLOOKUP($B19,INPUT_DATA!$BP:$BP,INPUT_DATA!BX:BX))</f>
        <v>0</v>
      </c>
      <c r="L19" s="140">
        <f t="shared" si="2"/>
        <v>2487096.81</v>
      </c>
      <c r="M19" s="1291">
        <f>IF($B19=0,"",_xlfn.XLOOKUP($B19,INPUT_DATA!$BP:$BP,INPUT_DATA!BY:BY))</f>
        <v>28</v>
      </c>
      <c r="N19" s="140">
        <f>IF($B19=0,"",_xlfn.XLOOKUP($B19,INPUT_DATA!$BP:$BP,INPUT_DATA!BZ:BZ))</f>
        <v>4085857.6799999992</v>
      </c>
      <c r="O19" s="140">
        <f>IF($B19=0,"",_xlfn.XLOOKUP($B19,INPUT_DATA!$BP:$BP,INPUT_DATA!CA:CA))</f>
        <v>4515.8999999999996</v>
      </c>
      <c r="P19" s="140">
        <f>IF($B19=0,"",_xlfn.XLOOKUP($B19,INPUT_DATA!$BP:$BP,INPUT_DATA!CB:CB))</f>
        <v>0</v>
      </c>
      <c r="Q19" s="140">
        <f t="shared" si="3"/>
        <v>4090373.5799999991</v>
      </c>
      <c r="R19" s="1275">
        <f t="shared" si="4"/>
        <v>33</v>
      </c>
      <c r="S19" s="139">
        <f t="shared" si="5"/>
        <v>6666114.5899999989</v>
      </c>
      <c r="T19" s="139">
        <f t="shared" si="6"/>
        <v>6379.1299999999992</v>
      </c>
      <c r="U19" s="1880">
        <f t="shared" si="7"/>
        <v>0</v>
      </c>
      <c r="V19" s="139">
        <f t="shared" si="8"/>
        <v>6672493.7199999988</v>
      </c>
      <c r="W19" s="140">
        <f>IF($B19=0,"",_xlfn.XLOOKUP($B19,INPUT_DATA!$BP:$BP,INPUT_DATA!CC:CC))</f>
        <v>6314729.9999999991</v>
      </c>
      <c r="X19" s="140">
        <f>IF($B19=0,"",_xlfn.XLOOKUP($B19,INPUT_DATA!$BP:$BP,INPUT_DATA!CD:CD))</f>
        <v>6141.46</v>
      </c>
      <c r="Y19" s="140">
        <f>IF($B19=0,"",_xlfn.XLOOKUP($B19,INPUT_DATA!$BP:$BP,INPUT_DATA!CE:CE))</f>
        <v>1206.92</v>
      </c>
      <c r="Z19" s="1300">
        <f t="shared" si="9"/>
        <v>1</v>
      </c>
      <c r="AA19" s="139">
        <f t="shared" si="10"/>
        <v>6322078.379999999</v>
      </c>
      <c r="AB19" s="139">
        <f>IF($B19=0,"",_xlfn.XLOOKUP($B19,INPUT_DATA!$BP:$BP,INPUT_DATA!CF:CF))</f>
        <v>31</v>
      </c>
      <c r="AC19" s="140">
        <f>IF($B19=0,"",_xlfn.XLOOKUP($B19,INPUT_DATA!$BP:$BP,INPUT_DATA!CG:CG))</f>
        <v>351384.58999999997</v>
      </c>
      <c r="AD19" s="140">
        <f>IF($B19=0,"",_xlfn.XLOOKUP($B19,INPUT_DATA!$BP:$BP,INPUT_DATA!CH:CH))</f>
        <v>237.67</v>
      </c>
      <c r="AE19" s="140">
        <f>IF($B19=0,"",_xlfn.XLOOKUP($B19,INPUT_DATA!$BP:$BP,INPUT_DATA!CI:CI))</f>
        <v>1592.54</v>
      </c>
      <c r="AF19" s="1300">
        <f t="shared" si="11"/>
        <v>0.93</v>
      </c>
      <c r="AG19" s="139">
        <f>IF($B19=0,"",_xlfn.XLOOKUP($B19,INPUT_DATA!$BP:$BP,INPUT_DATA!CJ:CJ))</f>
        <v>0</v>
      </c>
      <c r="AH19" s="139">
        <f t="shared" si="12"/>
        <v>353214.79999999993</v>
      </c>
      <c r="AI19" s="1275">
        <f>IF($B19=0,"",_xlfn.XLOOKUP($B19,INPUT_DATA!$BP:$BP,INPUT_DATA!CK:CK))</f>
        <v>2</v>
      </c>
      <c r="AJ19" s="140">
        <f>IF($B19=0,"",_xlfn.XLOOKUP($B19,INPUT_DATA!$BP:$BP,INPUT_DATA!CL:CL))</f>
        <v>253037.17</v>
      </c>
      <c r="AK19" s="140">
        <f>IF($B19=0,"",_xlfn.XLOOKUP($B19,INPUT_DATA!$BP:$BP,INPUT_DATA!CM:CM))</f>
        <v>194.13</v>
      </c>
      <c r="AL19" s="140">
        <f>IF($B19=0,"",_xlfn.XLOOKUP($B19,INPUT_DATA!$BP:$BP,INPUT_DATA!CN:CN))</f>
        <v>1071.6600000000001</v>
      </c>
      <c r="AM19" s="1300">
        <f t="shared" si="13"/>
        <v>0.6</v>
      </c>
      <c r="AN19" s="1761">
        <f>IF($B19=0,"",_xlfn.XLOOKUP($B19,INPUT_DATA!$BP:$BP,INPUT_DATA!CO:CO))</f>
        <v>0</v>
      </c>
      <c r="AO19" s="1761">
        <f t="shared" si="14"/>
        <v>254302.96000000002</v>
      </c>
      <c r="AP19" s="1275">
        <f>IF($B19=0,"",_xlfn.XLOOKUP($B19,INPUT_DATA!$BP:$BP,INPUT_DATA!CP:CP))</f>
        <v>6</v>
      </c>
      <c r="AQ19" s="1761">
        <f t="shared" si="16"/>
        <v>6929596.1399999987</v>
      </c>
      <c r="AR19" s="1275">
        <f t="shared" si="15"/>
        <v>39</v>
      </c>
      <c r="AS19" s="1239"/>
    </row>
    <row r="20" spans="2:45">
      <c r="B20" s="137">
        <f>INPUT_DATA!BP11</f>
        <v>45991</v>
      </c>
      <c r="C20" s="1291">
        <f>IF($B20=0,"",_xlfn.XLOOKUP($B20,INPUT_DATA!$BP:$BP,INPUT_DATA!BQ:BQ))</f>
        <v>2</v>
      </c>
      <c r="D20" s="140">
        <f>IF($B20=0,"",_xlfn.XLOOKUP($B20,INPUT_DATA!$BP:$BP,INPUT_DATA!BR:BR))</f>
        <v>117467.51000000001</v>
      </c>
      <c r="E20" s="140">
        <f>IF($B20=0,"",_xlfn.XLOOKUP($B20,INPUT_DATA!$BP:$BP,INPUT_DATA!BS:BS))</f>
        <v>97.600000000000009</v>
      </c>
      <c r="F20" s="140">
        <f>IF($B20=0,"",_xlfn.XLOOKUP($B20,INPUT_DATA!$BP:$BP,INPUT_DATA!BT:BT))</f>
        <v>0</v>
      </c>
      <c r="G20" s="140">
        <f t="shared" si="1"/>
        <v>117565.11000000002</v>
      </c>
      <c r="H20" s="1291">
        <f>IF($B20=0,"",_xlfn.XLOOKUP($B20,INPUT_DATA!$BP:$BP,INPUT_DATA!BU:BU))</f>
        <v>3</v>
      </c>
      <c r="I20" s="140">
        <f>IF($B20=0,"",_xlfn.XLOOKUP($B20,INPUT_DATA!$BP:$BP,INPUT_DATA!BV:BV))</f>
        <v>572210.66999999993</v>
      </c>
      <c r="J20" s="140">
        <f>IF($B20=0,"",_xlfn.XLOOKUP($B20,INPUT_DATA!$BP:$BP,INPUT_DATA!BW:BW))</f>
        <v>557.45999999999992</v>
      </c>
      <c r="K20" s="140">
        <f>IF($B20=0,"",_xlfn.XLOOKUP($B20,INPUT_DATA!$BP:$BP,INPUT_DATA!BX:BX))</f>
        <v>0</v>
      </c>
      <c r="L20" s="140">
        <f t="shared" si="2"/>
        <v>572768.12999999989</v>
      </c>
      <c r="M20" s="1291">
        <f>IF($B20=0,"",_xlfn.XLOOKUP($B20,INPUT_DATA!$BP:$BP,INPUT_DATA!BY:BY))</f>
        <v>28</v>
      </c>
      <c r="N20" s="140">
        <f>IF($B20=0,"",_xlfn.XLOOKUP($B20,INPUT_DATA!$BP:$BP,INPUT_DATA!BZ:BZ))</f>
        <v>3832595.1799999988</v>
      </c>
      <c r="O20" s="140">
        <f>IF($B20=0,"",_xlfn.XLOOKUP($B20,INPUT_DATA!$BP:$BP,INPUT_DATA!CA:CA))</f>
        <v>4311.12</v>
      </c>
      <c r="P20" s="140">
        <f>IF($B20=0,"",_xlfn.XLOOKUP($B20,INPUT_DATA!$BP:$BP,INPUT_DATA!CB:CB))</f>
        <v>0</v>
      </c>
      <c r="Q20" s="140">
        <f t="shared" si="3"/>
        <v>3836906.2999999989</v>
      </c>
      <c r="R20" s="1275">
        <f t="shared" si="4"/>
        <v>33</v>
      </c>
      <c r="S20" s="139">
        <f t="shared" si="5"/>
        <v>4522273.3599999985</v>
      </c>
      <c r="T20" s="139">
        <f t="shared" si="6"/>
        <v>4966.18</v>
      </c>
      <c r="U20" s="1880">
        <f t="shared" si="7"/>
        <v>0</v>
      </c>
      <c r="V20" s="139">
        <f t="shared" si="8"/>
        <v>4527239.5399999991</v>
      </c>
      <c r="W20" s="140">
        <f>IF($B20=0,"",_xlfn.XLOOKUP($B20,INPUT_DATA!$BP:$BP,INPUT_DATA!CC:CC))</f>
        <v>4397497.5299999984</v>
      </c>
      <c r="X20" s="140">
        <f>IF($B20=0,"",_xlfn.XLOOKUP($B20,INPUT_DATA!$BP:$BP,INPUT_DATA!CD:CD))</f>
        <v>4876.8999999999996</v>
      </c>
      <c r="Y20" s="140">
        <f>IF($B20=0,"",_xlfn.XLOOKUP($B20,INPUT_DATA!$BP:$BP,INPUT_DATA!CE:CE))</f>
        <v>0</v>
      </c>
      <c r="Z20" s="1300">
        <f t="shared" si="9"/>
        <v>1</v>
      </c>
      <c r="AA20" s="139">
        <f t="shared" si="10"/>
        <v>4402374.4299999988</v>
      </c>
      <c r="AB20" s="139">
        <f>IF($B20=0,"",_xlfn.XLOOKUP($B20,INPUT_DATA!$BP:$BP,INPUT_DATA!CF:CF))</f>
        <v>32</v>
      </c>
      <c r="AC20" s="140">
        <f>IF($B20=0,"",_xlfn.XLOOKUP($B20,INPUT_DATA!$BP:$BP,INPUT_DATA!CG:CG))</f>
        <v>124775.83</v>
      </c>
      <c r="AD20" s="140">
        <f>IF($B20=0,"",_xlfn.XLOOKUP($B20,INPUT_DATA!$BP:$BP,INPUT_DATA!CH:CH))</f>
        <v>89.28</v>
      </c>
      <c r="AE20" s="140">
        <f>IF($B20=0,"",_xlfn.XLOOKUP($B20,INPUT_DATA!$BP:$BP,INPUT_DATA!CI:CI))</f>
        <v>0</v>
      </c>
      <c r="AF20" s="1300">
        <f t="shared" si="11"/>
        <v>0.93</v>
      </c>
      <c r="AG20" s="139">
        <f>IF($B20=0,"",_xlfn.XLOOKUP($B20,INPUT_DATA!$BP:$BP,INPUT_DATA!CJ:CJ))</f>
        <v>0</v>
      </c>
      <c r="AH20" s="139">
        <f t="shared" si="12"/>
        <v>124865.11</v>
      </c>
      <c r="AI20" s="1275">
        <f>IF($B20=0,"",_xlfn.XLOOKUP($B20,INPUT_DATA!$BP:$BP,INPUT_DATA!CK:CK))</f>
        <v>1</v>
      </c>
      <c r="AJ20" s="140">
        <f>IF($B20=0,"",_xlfn.XLOOKUP($B20,INPUT_DATA!$BP:$BP,INPUT_DATA!CL:CL))</f>
        <v>210535.09</v>
      </c>
      <c r="AK20" s="140">
        <f>IF($B20=0,"",_xlfn.XLOOKUP($B20,INPUT_DATA!$BP:$BP,INPUT_DATA!CM:CM))</f>
        <v>0</v>
      </c>
      <c r="AL20" s="140">
        <f>IF($B20=0,"",_xlfn.XLOOKUP($B20,INPUT_DATA!$BP:$BP,INPUT_DATA!CN:CN))</f>
        <v>19588.48</v>
      </c>
      <c r="AM20" s="1300">
        <f t="shared" si="13"/>
        <v>0.6</v>
      </c>
      <c r="AN20" s="1761">
        <f>IF($B20=0,"",_xlfn.XLOOKUP($B20,INPUT_DATA!$BP:$BP,INPUT_DATA!CO:CO))</f>
        <v>0</v>
      </c>
      <c r="AO20" s="1761">
        <f t="shared" si="14"/>
        <v>230123.57</v>
      </c>
      <c r="AP20" s="1275">
        <f>IF($B20=0,"",_xlfn.XLOOKUP($B20,INPUT_DATA!$BP:$BP,INPUT_DATA!CP:CP))</f>
        <v>3</v>
      </c>
      <c r="AQ20" s="1761">
        <f t="shared" si="16"/>
        <v>4757363.1099999994</v>
      </c>
      <c r="AR20" s="1275">
        <f t="shared" si="15"/>
        <v>36</v>
      </c>
    </row>
    <row r="21" spans="2:45">
      <c r="B21" s="137">
        <f>INPUT_DATA!BP12</f>
        <v>45961</v>
      </c>
      <c r="C21" s="1291">
        <f>IF($B21=0,"",_xlfn.XLOOKUP($B21,INPUT_DATA!$BP:$BP,INPUT_DATA!BQ:BQ))</f>
        <v>4</v>
      </c>
      <c r="D21" s="140">
        <f>IF($B21=0,"",_xlfn.XLOOKUP($B21,INPUT_DATA!$BP:$BP,INPUT_DATA!BR:BR))</f>
        <v>531251.02</v>
      </c>
      <c r="E21" s="140">
        <f>IF($B21=0,"",_xlfn.XLOOKUP($B21,INPUT_DATA!$BP:$BP,INPUT_DATA!BS:BS))</f>
        <v>860.11999999999989</v>
      </c>
      <c r="F21" s="140">
        <f>IF($B21=0,"",_xlfn.XLOOKUP($B21,INPUT_DATA!$BP:$BP,INPUT_DATA!BT:BT))</f>
        <v>0</v>
      </c>
      <c r="G21" s="140">
        <f t="shared" si="1"/>
        <v>532111.14</v>
      </c>
      <c r="H21" s="1291">
        <f>IF($B21=0,"",_xlfn.XLOOKUP($B21,INPUT_DATA!$BP:$BP,INPUT_DATA!BU:BU))</f>
        <v>69</v>
      </c>
      <c r="I21" s="140">
        <f>IF($B21=0,"",_xlfn.XLOOKUP($B21,INPUT_DATA!$BP:$BP,INPUT_DATA!BV:BV))</f>
        <v>16480703.700000001</v>
      </c>
      <c r="J21" s="140">
        <f>IF($B21=0,"",_xlfn.XLOOKUP($B21,INPUT_DATA!$BP:$BP,INPUT_DATA!BW:BW))</f>
        <v>13733.740000000002</v>
      </c>
      <c r="K21" s="140">
        <f>IF($B21=0,"",_xlfn.XLOOKUP($B21,INPUT_DATA!$BP:$BP,INPUT_DATA!BX:BX))</f>
        <v>0</v>
      </c>
      <c r="L21" s="140">
        <f t="shared" si="2"/>
        <v>16494437.440000001</v>
      </c>
      <c r="M21" s="1291">
        <f>IF($B21=0,"",_xlfn.XLOOKUP($B21,INPUT_DATA!$BP:$BP,INPUT_DATA!BY:BY))</f>
        <v>0</v>
      </c>
      <c r="N21" s="140">
        <f>IF($B21=0,"",_xlfn.XLOOKUP($B21,INPUT_DATA!$BP:$BP,INPUT_DATA!BZ:BZ))</f>
        <v>0</v>
      </c>
      <c r="O21" s="140">
        <f>IF($B21=0,"",_xlfn.XLOOKUP($B21,INPUT_DATA!$BP:$BP,INPUT_DATA!CA:CA))</f>
        <v>0</v>
      </c>
      <c r="P21" s="140">
        <f>IF($B21=0,"",_xlfn.XLOOKUP($B21,INPUT_DATA!$BP:$BP,INPUT_DATA!CB:CB))</f>
        <v>0</v>
      </c>
      <c r="Q21" s="140">
        <f t="shared" si="3"/>
        <v>0</v>
      </c>
      <c r="R21" s="1275">
        <f t="shared" si="4"/>
        <v>73</v>
      </c>
      <c r="S21" s="139">
        <f t="shared" si="5"/>
        <v>17011954.720000003</v>
      </c>
      <c r="T21" s="139">
        <f t="shared" si="6"/>
        <v>14593.86</v>
      </c>
      <c r="U21" s="1880">
        <f t="shared" si="7"/>
        <v>0</v>
      </c>
      <c r="V21" s="139">
        <f t="shared" si="8"/>
        <v>17026548.580000002</v>
      </c>
      <c r="W21" s="140">
        <f>IF($B21=0,"",_xlfn.XLOOKUP($B21,INPUT_DATA!$BP:$BP,INPUT_DATA!CC:CC))</f>
        <v>16920356.800000001</v>
      </c>
      <c r="X21" s="140">
        <f>IF($B21=0,"",_xlfn.XLOOKUP($B21,INPUT_DATA!$BP:$BP,INPUT_DATA!CD:CD))</f>
        <v>14538.29</v>
      </c>
      <c r="Y21" s="140">
        <f>IF($B21=0,"",_xlfn.XLOOKUP($B21,INPUT_DATA!$BP:$BP,INPUT_DATA!CE:CE))</f>
        <v>3595.38</v>
      </c>
      <c r="Z21" s="1300">
        <f t="shared" si="9"/>
        <v>1</v>
      </c>
      <c r="AA21" s="139">
        <f t="shared" si="10"/>
        <v>16938490.469999999</v>
      </c>
      <c r="AB21" s="139">
        <f>IF($B21=0,"",_xlfn.XLOOKUP($B21,INPUT_DATA!$BP:$BP,INPUT_DATA!CF:CF))</f>
        <v>72</v>
      </c>
      <c r="AC21" s="140">
        <f>IF($B21=0,"",_xlfn.XLOOKUP($B21,INPUT_DATA!$BP:$BP,INPUT_DATA!CG:CG))</f>
        <v>91597.92</v>
      </c>
      <c r="AD21" s="140">
        <f>IF($B21=0,"",_xlfn.XLOOKUP($B21,INPUT_DATA!$BP:$BP,INPUT_DATA!CH:CH))</f>
        <v>55.57</v>
      </c>
      <c r="AE21" s="140">
        <f>IF($B21=0,"",_xlfn.XLOOKUP($B21,INPUT_DATA!$BP:$BP,INPUT_DATA!CI:CI))</f>
        <v>0</v>
      </c>
      <c r="AF21" s="1300">
        <f t="shared" si="11"/>
        <v>0.93</v>
      </c>
      <c r="AG21" s="139">
        <f>IF($B21=0,"",_xlfn.XLOOKUP($B21,INPUT_DATA!$BP:$BP,INPUT_DATA!CJ:CJ))</f>
        <v>0</v>
      </c>
      <c r="AH21" s="139">
        <f t="shared" si="12"/>
        <v>91653.49</v>
      </c>
      <c r="AI21" s="1275">
        <f>IF($B21=0,"",_xlfn.XLOOKUP($B21,INPUT_DATA!$BP:$BP,INPUT_DATA!CK:CK))</f>
        <v>1</v>
      </c>
      <c r="AJ21" s="140">
        <f>IF($B21=0,"",_xlfn.XLOOKUP($B21,INPUT_DATA!$BP:$BP,INPUT_DATA!CL:CL))</f>
        <v>0</v>
      </c>
      <c r="AK21" s="140">
        <f>IF($B21=0,"",_xlfn.XLOOKUP($B21,INPUT_DATA!$BP:$BP,INPUT_DATA!CM:CM))</f>
        <v>0</v>
      </c>
      <c r="AL21" s="140">
        <f>IF($B21=0,"",_xlfn.XLOOKUP($B21,INPUT_DATA!$BP:$BP,INPUT_DATA!CN:CN))</f>
        <v>0</v>
      </c>
      <c r="AM21" s="1300">
        <f t="shared" si="13"/>
        <v>0.6</v>
      </c>
      <c r="AN21" s="1761">
        <f>IF($B21=0,"",_xlfn.XLOOKUP($B21,INPUT_DATA!$BP:$BP,INPUT_DATA!CO:CO))</f>
        <v>0</v>
      </c>
      <c r="AO21" s="1761">
        <f t="shared" si="14"/>
        <v>0</v>
      </c>
      <c r="AP21" s="1275">
        <f>IF($B21=0,"",_xlfn.XLOOKUP($B21,INPUT_DATA!$BP:$BP,INPUT_DATA!CP:CP))</f>
        <v>0</v>
      </c>
      <c r="AQ21" s="1761">
        <f t="shared" si="16"/>
        <v>17030143.959999997</v>
      </c>
      <c r="AR21" s="1275">
        <f t="shared" si="15"/>
        <v>73</v>
      </c>
    </row>
    <row r="22" spans="2:45">
      <c r="B22" s="137">
        <f>INPUT_DATA!BP13</f>
        <v>45930</v>
      </c>
      <c r="C22" s="1291">
        <f>IF($B22=0,"",_xlfn.XLOOKUP($B22,INPUT_DATA!$BP:$BP,INPUT_DATA!BQ:BQ))</f>
        <v>3</v>
      </c>
      <c r="D22" s="140">
        <f>IF($B22=0,"",_xlfn.XLOOKUP($B22,INPUT_DATA!$BP:$BP,INPUT_DATA!BR:BR))</f>
        <v>226821.57</v>
      </c>
      <c r="E22" s="140">
        <f>IF($B22=0,"",_xlfn.XLOOKUP($B22,INPUT_DATA!$BP:$BP,INPUT_DATA!BS:BS))</f>
        <v>128.74</v>
      </c>
      <c r="F22" s="140">
        <f>IF($B22=0,"",_xlfn.XLOOKUP($B22,INPUT_DATA!$BP:$BP,INPUT_DATA!BT:BT))</f>
        <v>0</v>
      </c>
      <c r="G22" s="140">
        <f t="shared" si="1"/>
        <v>226950.31</v>
      </c>
      <c r="H22" s="1291">
        <f>IF($B22=0,"",_xlfn.XLOOKUP($B22,INPUT_DATA!$BP:$BP,INPUT_DATA!BU:BU))</f>
        <v>26</v>
      </c>
      <c r="I22" s="140">
        <f>IF($B22=0,"",_xlfn.XLOOKUP($B22,INPUT_DATA!$BP:$BP,INPUT_DATA!BV:BV))</f>
        <v>3436121.1</v>
      </c>
      <c r="J22" s="140">
        <f>IF($B22=0,"",_xlfn.XLOOKUP($B22,INPUT_DATA!$BP:$BP,INPUT_DATA!BW:BW))</f>
        <v>2889.5200000000004</v>
      </c>
      <c r="K22" s="140">
        <f>IF($B22=0,"",_xlfn.XLOOKUP($B22,INPUT_DATA!$BP:$BP,INPUT_DATA!BX:BX))</f>
        <v>0</v>
      </c>
      <c r="L22" s="140">
        <f t="shared" si="2"/>
        <v>3439010.62</v>
      </c>
      <c r="M22" s="1291">
        <f>IF($B22=0,"",_xlfn.XLOOKUP($B22,INPUT_DATA!$BP:$BP,INPUT_DATA!BY:BY))</f>
        <v>0</v>
      </c>
      <c r="N22" s="140">
        <f>IF($B22=0,"",_xlfn.XLOOKUP($B22,INPUT_DATA!$BP:$BP,INPUT_DATA!BZ:BZ))</f>
        <v>0</v>
      </c>
      <c r="O22" s="140">
        <f>IF($B22=0,"",_xlfn.XLOOKUP($B22,INPUT_DATA!$BP:$BP,INPUT_DATA!CA:CA))</f>
        <v>0</v>
      </c>
      <c r="P22" s="140">
        <f>IF($B22=0,"",_xlfn.XLOOKUP($B22,INPUT_DATA!$BP:$BP,INPUT_DATA!CB:CB))</f>
        <v>0</v>
      </c>
      <c r="Q22" s="140">
        <f t="shared" si="3"/>
        <v>0</v>
      </c>
      <c r="R22" s="1275">
        <f t="shared" si="4"/>
        <v>29</v>
      </c>
      <c r="S22" s="139">
        <f t="shared" si="5"/>
        <v>3662942.67</v>
      </c>
      <c r="T22" s="139">
        <f t="shared" si="6"/>
        <v>3018.26</v>
      </c>
      <c r="U22" s="1880">
        <f t="shared" si="7"/>
        <v>0</v>
      </c>
      <c r="V22" s="139">
        <f t="shared" si="8"/>
        <v>3665960.93</v>
      </c>
      <c r="W22" s="140">
        <f>IF($B22=0,"",_xlfn.XLOOKUP($B22,INPUT_DATA!$BP:$BP,INPUT_DATA!CC:CC))</f>
        <v>3615386.7300000004</v>
      </c>
      <c r="X22" s="140">
        <f>IF($B22=0,"",_xlfn.XLOOKUP($B22,INPUT_DATA!$BP:$BP,INPUT_DATA!CD:CD))</f>
        <v>3000.33</v>
      </c>
      <c r="Y22" s="140">
        <f>IF($B22=0,"",_xlfn.XLOOKUP($B22,INPUT_DATA!$BP:$BP,INPUT_DATA!CE:CE))</f>
        <v>0</v>
      </c>
      <c r="Z22" s="1300">
        <f t="shared" si="9"/>
        <v>1</v>
      </c>
      <c r="AA22" s="139">
        <f t="shared" si="10"/>
        <v>3618387.0600000005</v>
      </c>
      <c r="AB22" s="139">
        <f>IF($B22=0,"",_xlfn.XLOOKUP($B22,INPUT_DATA!$BP:$BP,INPUT_DATA!CF:CF))</f>
        <v>28</v>
      </c>
      <c r="AC22" s="140">
        <f>IF($B22=0,"",_xlfn.XLOOKUP($B22,INPUT_DATA!$BP:$BP,INPUT_DATA!CG:CG))</f>
        <v>47555.94</v>
      </c>
      <c r="AD22" s="140">
        <f>IF($B22=0,"",_xlfn.XLOOKUP($B22,INPUT_DATA!$BP:$BP,INPUT_DATA!CH:CH))</f>
        <v>17.93</v>
      </c>
      <c r="AE22" s="140">
        <f>IF($B22=0,"",_xlfn.XLOOKUP($B22,INPUT_DATA!$BP:$BP,INPUT_DATA!CI:CI))</f>
        <v>1682.74</v>
      </c>
      <c r="AF22" s="1300">
        <f t="shared" si="11"/>
        <v>0.93</v>
      </c>
      <c r="AG22" s="139">
        <f>IF($B22=0,"",_xlfn.XLOOKUP($B22,INPUT_DATA!$BP:$BP,INPUT_DATA!CJ:CJ))</f>
        <v>0</v>
      </c>
      <c r="AH22" s="139">
        <f t="shared" si="12"/>
        <v>49256.61</v>
      </c>
      <c r="AI22" s="1275">
        <f>IF($B22=0,"",_xlfn.XLOOKUP($B22,INPUT_DATA!$BP:$BP,INPUT_DATA!CK:CK))</f>
        <v>1</v>
      </c>
      <c r="AJ22" s="140">
        <f>IF($B22=0,"",_xlfn.XLOOKUP($B22,INPUT_DATA!$BP:$BP,INPUT_DATA!CL:CL))</f>
        <v>738031.12999999989</v>
      </c>
      <c r="AK22" s="140">
        <f>IF($B22=0,"",_xlfn.XLOOKUP($B22,INPUT_DATA!$BP:$BP,INPUT_DATA!CM:CM))</f>
        <v>544.57000000000005</v>
      </c>
      <c r="AL22" s="140">
        <f>IF($B22=0,"",_xlfn.XLOOKUP($B22,INPUT_DATA!$BP:$BP,INPUT_DATA!CN:CN))</f>
        <v>1737.02</v>
      </c>
      <c r="AM22" s="1300">
        <f t="shared" si="13"/>
        <v>0.6</v>
      </c>
      <c r="AN22" s="139">
        <f>IF($B22=0,"",_xlfn.XLOOKUP($B22,INPUT_DATA!$BP:$BP,INPUT_DATA!CO:CO))</f>
        <v>0</v>
      </c>
      <c r="AO22" s="1761">
        <f t="shared" si="14"/>
        <v>740312.71999999986</v>
      </c>
      <c r="AP22" s="1275">
        <f>IF($B22=0,"",_xlfn.XLOOKUP($B22,INPUT_DATA!$BP:$BP,INPUT_DATA!CP:CP))</f>
        <v>10</v>
      </c>
      <c r="AQ22" s="1761">
        <f t="shared" si="16"/>
        <v>4407956.3900000006</v>
      </c>
      <c r="AR22" s="1275">
        <f t="shared" si="15"/>
        <v>39</v>
      </c>
    </row>
    <row r="23" spans="2:45">
      <c r="B23" s="137">
        <f>INPUT_DATA!BP14</f>
        <v>45900</v>
      </c>
      <c r="C23" s="1291">
        <f>IF($B23=0,"",_xlfn.XLOOKUP($B23,INPUT_DATA!$BP:$BP,INPUT_DATA!BQ:BQ))</f>
        <v>2</v>
      </c>
      <c r="D23" s="140">
        <f>IF($B23=0,"",_xlfn.XLOOKUP($B23,INPUT_DATA!$BP:$BP,INPUT_DATA!BR:BR))</f>
        <v>275408</v>
      </c>
      <c r="E23" s="140">
        <f>IF($B23=0,"",_xlfn.XLOOKUP($B23,INPUT_DATA!$BP:$BP,INPUT_DATA!BS:BS))</f>
        <v>152.67000000000002</v>
      </c>
      <c r="F23" s="140">
        <f>IF($B23=0,"",_xlfn.XLOOKUP($B23,INPUT_DATA!$BP:$BP,INPUT_DATA!BT:BT))</f>
        <v>0</v>
      </c>
      <c r="G23" s="140">
        <f t="shared" si="1"/>
        <v>275560.67</v>
      </c>
      <c r="H23" s="1291">
        <f>IF($B23=0,"",_xlfn.XLOOKUP($B23,INPUT_DATA!$BP:$BP,INPUT_DATA!BU:BU))</f>
        <v>22</v>
      </c>
      <c r="I23" s="140">
        <f>IF($B23=0,"",_xlfn.XLOOKUP($B23,INPUT_DATA!$BP:$BP,INPUT_DATA!BV:BV))</f>
        <v>4528335.8899999997</v>
      </c>
      <c r="J23" s="140">
        <f>IF($B23=0,"",_xlfn.XLOOKUP($B23,INPUT_DATA!$BP:$BP,INPUT_DATA!BW:BW))</f>
        <v>3529.58</v>
      </c>
      <c r="K23" s="140">
        <f>IF($B23=0,"",_xlfn.XLOOKUP($B23,INPUT_DATA!$BP:$BP,INPUT_DATA!BX:BX))</f>
        <v>0</v>
      </c>
      <c r="L23" s="140">
        <f t="shared" si="2"/>
        <v>4531865.47</v>
      </c>
      <c r="M23" s="1291">
        <f>IF($B23=0,"",_xlfn.XLOOKUP($B23,INPUT_DATA!$BP:$BP,INPUT_DATA!BY:BY))</f>
        <v>0</v>
      </c>
      <c r="N23" s="140">
        <f>IF($B23=0,"",_xlfn.XLOOKUP($B23,INPUT_DATA!$BP:$BP,INPUT_DATA!BZ:BZ))</f>
        <v>0</v>
      </c>
      <c r="O23" s="140">
        <f>IF($B23=0,"",_xlfn.XLOOKUP($B23,INPUT_DATA!$BP:$BP,INPUT_DATA!CA:CA))</f>
        <v>0</v>
      </c>
      <c r="P23" s="140">
        <f>IF($B23=0,"",_xlfn.XLOOKUP($B23,INPUT_DATA!$BP:$BP,INPUT_DATA!CB:CB))</f>
        <v>0</v>
      </c>
      <c r="Q23" s="140">
        <f t="shared" si="3"/>
        <v>0</v>
      </c>
      <c r="R23" s="1275">
        <f t="shared" si="4"/>
        <v>24</v>
      </c>
      <c r="S23" s="139">
        <f t="shared" si="5"/>
        <v>4803743.8899999997</v>
      </c>
      <c r="T23" s="139">
        <f t="shared" si="6"/>
        <v>3682.25</v>
      </c>
      <c r="U23" s="1880">
        <f t="shared" si="7"/>
        <v>0</v>
      </c>
      <c r="V23" s="139">
        <f t="shared" si="8"/>
        <v>4807426.1399999997</v>
      </c>
      <c r="W23" s="140">
        <f>IF($B23=0,"",_xlfn.XLOOKUP($B23,INPUT_DATA!$BP:$BP,INPUT_DATA!CC:CC))</f>
        <v>4803743.8899999997</v>
      </c>
      <c r="X23" s="140">
        <f>IF($B23=0,"",_xlfn.XLOOKUP($B23,INPUT_DATA!$BP:$BP,INPUT_DATA!CD:CD))</f>
        <v>3682.25</v>
      </c>
      <c r="Y23" s="140">
        <f>IF($B23=0,"",_xlfn.XLOOKUP($B23,INPUT_DATA!$BP:$BP,INPUT_DATA!CE:CE))</f>
        <v>0</v>
      </c>
      <c r="Z23" s="1300">
        <f t="shared" si="9"/>
        <v>1</v>
      </c>
      <c r="AA23" s="139">
        <f t="shared" si="10"/>
        <v>4807426.1399999997</v>
      </c>
      <c r="AB23" s="139">
        <f>IF($B23=0,"",_xlfn.XLOOKUP($B23,INPUT_DATA!$BP:$BP,INPUT_DATA!CF:CF))</f>
        <v>24</v>
      </c>
      <c r="AC23" s="140">
        <f>IF($B23=0,"",_xlfn.XLOOKUP($B23,INPUT_DATA!$BP:$BP,INPUT_DATA!CG:CG))</f>
        <v>0</v>
      </c>
      <c r="AD23" s="140">
        <f>IF($B23=0,"",_xlfn.XLOOKUP($B23,INPUT_DATA!$BP:$BP,INPUT_DATA!CH:CH))</f>
        <v>0</v>
      </c>
      <c r="AE23" s="140">
        <f>IF($B23=0,"",_xlfn.XLOOKUP($B23,INPUT_DATA!$BP:$BP,INPUT_DATA!CI:CI))</f>
        <v>0</v>
      </c>
      <c r="AF23" s="1300">
        <f t="shared" si="11"/>
        <v>0.93</v>
      </c>
      <c r="AG23" s="139">
        <f>IF($B23=0,"",_xlfn.XLOOKUP($B23,INPUT_DATA!$BP:$BP,INPUT_DATA!CJ:CJ))</f>
        <v>0</v>
      </c>
      <c r="AH23" s="139">
        <f t="shared" si="12"/>
        <v>0</v>
      </c>
      <c r="AI23" s="1275">
        <f>IF($B23=0,"",_xlfn.XLOOKUP($B23,INPUT_DATA!$BP:$BP,INPUT_DATA!CK:CK))</f>
        <v>0</v>
      </c>
      <c r="AJ23" s="140">
        <f>IF($B23=0,"",_xlfn.XLOOKUP($B23,INPUT_DATA!$BP:$BP,INPUT_DATA!CL:CL))</f>
        <v>615408.64000000001</v>
      </c>
      <c r="AK23" s="140">
        <f>IF($B23=0,"",_xlfn.XLOOKUP($B23,INPUT_DATA!$BP:$BP,INPUT_DATA!CM:CM))</f>
        <v>467.13</v>
      </c>
      <c r="AL23" s="140">
        <f>IF($B23=0,"",_xlfn.XLOOKUP($B23,INPUT_DATA!$BP:$BP,INPUT_DATA!CN:CN))</f>
        <v>2943.67</v>
      </c>
      <c r="AM23" s="1300">
        <f t="shared" si="13"/>
        <v>0.6</v>
      </c>
      <c r="AN23" s="139">
        <f>IF($B23=0,"",_xlfn.XLOOKUP($B23,INPUT_DATA!$BP:$BP,INPUT_DATA!CO:CO))</f>
        <v>173771.76800000001</v>
      </c>
      <c r="AO23" s="139">
        <f t="shared" si="14"/>
        <v>445047.67199999996</v>
      </c>
      <c r="AP23" s="1275">
        <f>IF($B23=0,"",_xlfn.XLOOKUP($B23,INPUT_DATA!$BP:$BP,INPUT_DATA!CP:CP))</f>
        <v>5</v>
      </c>
      <c r="AQ23" s="139">
        <f t="shared" ref="AQ23:AQ77" si="17">IF($B23=0,"",SUM(AA23,AH23,AO23))</f>
        <v>5252473.8119999999</v>
      </c>
      <c r="AR23" s="1275">
        <f t="shared" si="15"/>
        <v>29</v>
      </c>
    </row>
    <row r="24" spans="2:45">
      <c r="B24" s="137">
        <f>INPUT_DATA!BP15</f>
        <v>45869</v>
      </c>
      <c r="C24" s="1291">
        <f>IF($B24=0,"",_xlfn.XLOOKUP($B24,INPUT_DATA!$BP:$BP,INPUT_DATA!BQ:BQ))</f>
        <v>0</v>
      </c>
      <c r="D24" s="140">
        <f>IF($B24=0,"",_xlfn.XLOOKUP($B24,INPUT_DATA!$BP:$BP,INPUT_DATA!BR:BR))</f>
        <v>0</v>
      </c>
      <c r="E24" s="140">
        <f>IF($B24=0,"",_xlfn.XLOOKUP($B24,INPUT_DATA!$BP:$BP,INPUT_DATA!BS:BS))</f>
        <v>0</v>
      </c>
      <c r="F24" s="140">
        <f>IF($B24=0,"",_xlfn.XLOOKUP($B24,INPUT_DATA!$BP:$BP,INPUT_DATA!BT:BT))</f>
        <v>0</v>
      </c>
      <c r="G24" s="140">
        <f t="shared" si="1"/>
        <v>0</v>
      </c>
      <c r="H24" s="1291">
        <f>IF($B24=0,"",_xlfn.XLOOKUP($B24,INPUT_DATA!$BP:$BP,INPUT_DATA!BU:BU))</f>
        <v>19</v>
      </c>
      <c r="I24" s="140">
        <f>IF($B24=0,"",_xlfn.XLOOKUP($B24,INPUT_DATA!$BP:$BP,INPUT_DATA!BV:BV))</f>
        <v>3048750.8400000008</v>
      </c>
      <c r="J24" s="140">
        <f>IF($B24=0,"",_xlfn.XLOOKUP($B24,INPUT_DATA!$BP:$BP,INPUT_DATA!BW:BW))</f>
        <v>3700.88</v>
      </c>
      <c r="K24" s="140">
        <f>IF($B24=0,"",_xlfn.XLOOKUP($B24,INPUT_DATA!$BP:$BP,INPUT_DATA!BX:BX))</f>
        <v>0</v>
      </c>
      <c r="L24" s="140">
        <f t="shared" si="2"/>
        <v>3052451.7200000007</v>
      </c>
      <c r="M24" s="1291">
        <f>IF($B24=0,"",_xlfn.XLOOKUP($B24,INPUT_DATA!$BP:$BP,INPUT_DATA!BY:BY))</f>
        <v>0</v>
      </c>
      <c r="N24" s="140">
        <f>IF($B24=0,"",_xlfn.XLOOKUP($B24,INPUT_DATA!$BP:$BP,INPUT_DATA!BZ:BZ))</f>
        <v>0</v>
      </c>
      <c r="O24" s="140">
        <f>IF($B24=0,"",_xlfn.XLOOKUP($B24,INPUT_DATA!$BP:$BP,INPUT_DATA!CA:CA))</f>
        <v>0</v>
      </c>
      <c r="P24" s="140">
        <f>IF($B24=0,"",_xlfn.XLOOKUP($B24,INPUT_DATA!$BP:$BP,INPUT_DATA!CB:CB))</f>
        <v>0</v>
      </c>
      <c r="Q24" s="140">
        <f t="shared" si="3"/>
        <v>0</v>
      </c>
      <c r="R24" s="1275">
        <f t="shared" si="4"/>
        <v>19</v>
      </c>
      <c r="S24" s="139">
        <f t="shared" si="5"/>
        <v>3048750.8400000008</v>
      </c>
      <c r="T24" s="139">
        <f t="shared" si="6"/>
        <v>3700.88</v>
      </c>
      <c r="U24" s="1880">
        <f t="shared" si="7"/>
        <v>0</v>
      </c>
      <c r="V24" s="139">
        <f t="shared" si="8"/>
        <v>3052451.7200000007</v>
      </c>
      <c r="W24" s="140">
        <f>IF($B24=0,"",_xlfn.XLOOKUP($B24,INPUT_DATA!$BP:$BP,INPUT_DATA!CC:CC))</f>
        <v>3048750.8400000008</v>
      </c>
      <c r="X24" s="140">
        <f>IF($B24=0,"",_xlfn.XLOOKUP($B24,INPUT_DATA!$BP:$BP,INPUT_DATA!CD:CD))</f>
        <v>3700.88</v>
      </c>
      <c r="Y24" s="140">
        <f>IF($B24=0,"",_xlfn.XLOOKUP($B24,INPUT_DATA!$BP:$BP,INPUT_DATA!CE:CE))</f>
        <v>0</v>
      </c>
      <c r="Z24" s="1300">
        <f t="shared" si="9"/>
        <v>1</v>
      </c>
      <c r="AA24" s="139">
        <f t="shared" si="10"/>
        <v>3052451.7200000007</v>
      </c>
      <c r="AB24" s="139">
        <f>IF($B24=0,"",_xlfn.XLOOKUP($B24,INPUT_DATA!$BP:$BP,INPUT_DATA!CF:CF))</f>
        <v>19</v>
      </c>
      <c r="AC24" s="140">
        <f>IF($B24=0,"",_xlfn.XLOOKUP($B24,INPUT_DATA!$BP:$BP,INPUT_DATA!CG:CG))</f>
        <v>0</v>
      </c>
      <c r="AD24" s="140">
        <f>IF($B24=0,"",_xlfn.XLOOKUP($B24,INPUT_DATA!$BP:$BP,INPUT_DATA!CH:CH))</f>
        <v>0</v>
      </c>
      <c r="AE24" s="140">
        <f>IF($B24=0,"",_xlfn.XLOOKUP($B24,INPUT_DATA!$BP:$BP,INPUT_DATA!CI:CI))</f>
        <v>0</v>
      </c>
      <c r="AF24" s="1300">
        <f t="shared" si="11"/>
        <v>0.93</v>
      </c>
      <c r="AG24" s="139">
        <f>IF($B24=0,"",_xlfn.XLOOKUP($B24,INPUT_DATA!$BP:$BP,INPUT_DATA!CJ:CJ))</f>
        <v>0</v>
      </c>
      <c r="AH24" s="139">
        <f t="shared" si="12"/>
        <v>0</v>
      </c>
      <c r="AI24" s="1275">
        <f>IF($B24=0,"",_xlfn.XLOOKUP($B24,INPUT_DATA!$BP:$BP,INPUT_DATA!CK:CK))</f>
        <v>0</v>
      </c>
      <c r="AJ24" s="140">
        <f>IF($B24=0,"",_xlfn.XLOOKUP($B24,INPUT_DATA!$BP:$BP,INPUT_DATA!CL:CL))</f>
        <v>180060.56</v>
      </c>
      <c r="AK24" s="140">
        <f>IF($B24=0,"",_xlfn.XLOOKUP($B24,INPUT_DATA!$BP:$BP,INPUT_DATA!CM:CM))</f>
        <v>192.42</v>
      </c>
      <c r="AL24" s="140">
        <f>IF($B24=0,"",_xlfn.XLOOKUP($B24,INPUT_DATA!$BP:$BP,INPUT_DATA!CN:CN))</f>
        <v>0</v>
      </c>
      <c r="AM24" s="1300">
        <f t="shared" si="13"/>
        <v>0.6</v>
      </c>
      <c r="AN24" s="139">
        <f>IF($B24=0,"",_xlfn.XLOOKUP($B24,INPUT_DATA!$BP:$BP,INPUT_DATA!CO:CO))</f>
        <v>19118.566800000001</v>
      </c>
      <c r="AO24" s="139">
        <f t="shared" si="14"/>
        <v>161134.41320000001</v>
      </c>
      <c r="AP24" s="1275">
        <f>IF($B24=0,"",_xlfn.XLOOKUP($B24,INPUT_DATA!$BP:$BP,INPUT_DATA!CP:CP))</f>
        <v>3</v>
      </c>
      <c r="AQ24" s="139">
        <f t="shared" si="17"/>
        <v>3213586.1332000005</v>
      </c>
      <c r="AR24" s="1275">
        <f t="shared" si="15"/>
        <v>22</v>
      </c>
    </row>
    <row r="25" spans="2:45">
      <c r="B25" s="137">
        <f>INPUT_DATA!BP16</f>
        <v>45838</v>
      </c>
      <c r="C25" s="1291">
        <f>IF($B25=0,"",_xlfn.XLOOKUP($B25,INPUT_DATA!$BP:$BP,INPUT_DATA!BQ:BQ))</f>
        <v>0</v>
      </c>
      <c r="D25" s="140">
        <f>IF($B25=0,"",_xlfn.XLOOKUP($B25,INPUT_DATA!$BP:$BP,INPUT_DATA!BR:BR))</f>
        <v>0</v>
      </c>
      <c r="E25" s="140">
        <f>IF($B25=0,"",_xlfn.XLOOKUP($B25,INPUT_DATA!$BP:$BP,INPUT_DATA!BS:BS))</f>
        <v>0</v>
      </c>
      <c r="F25" s="140">
        <f>IF($B25=0,"",_xlfn.XLOOKUP($B25,INPUT_DATA!$BP:$BP,INPUT_DATA!BT:BT))</f>
        <v>0</v>
      </c>
      <c r="G25" s="140">
        <f t="shared" si="1"/>
        <v>0</v>
      </c>
      <c r="H25" s="1291">
        <f>IF($B25=0,"",_xlfn.XLOOKUP($B25,INPUT_DATA!$BP:$BP,INPUT_DATA!BU:BU))</f>
        <v>25</v>
      </c>
      <c r="I25" s="140">
        <f>IF($B25=0,"",_xlfn.XLOOKUP($B25,INPUT_DATA!$BP:$BP,INPUT_DATA!BV:BV))</f>
        <v>6188091.2599999988</v>
      </c>
      <c r="J25" s="140">
        <f>IF($B25=0,"",_xlfn.XLOOKUP($B25,INPUT_DATA!$BP:$BP,INPUT_DATA!BW:BW))</f>
        <v>4150.1000000000004</v>
      </c>
      <c r="K25" s="140">
        <f>IF($B25=0,"",_xlfn.XLOOKUP($B25,INPUT_DATA!$BP:$BP,INPUT_DATA!BX:BX))</f>
        <v>0</v>
      </c>
      <c r="L25" s="140">
        <f t="shared" si="2"/>
        <v>6192241.3599999985</v>
      </c>
      <c r="M25" s="1291">
        <f>IF($B25=0,"",_xlfn.XLOOKUP($B25,INPUT_DATA!$BP:$BP,INPUT_DATA!BY:BY))</f>
        <v>0</v>
      </c>
      <c r="N25" s="140">
        <f>IF($B25=0,"",_xlfn.XLOOKUP($B25,INPUT_DATA!$BP:$BP,INPUT_DATA!BZ:BZ))</f>
        <v>0</v>
      </c>
      <c r="O25" s="140">
        <f>IF($B25=0,"",_xlfn.XLOOKUP($B25,INPUT_DATA!$BP:$BP,INPUT_DATA!CA:CA))</f>
        <v>0</v>
      </c>
      <c r="P25" s="140">
        <f>IF($B25=0,"",_xlfn.XLOOKUP($B25,INPUT_DATA!$BP:$BP,INPUT_DATA!CB:CB))</f>
        <v>0</v>
      </c>
      <c r="Q25" s="140">
        <f t="shared" si="3"/>
        <v>0</v>
      </c>
      <c r="R25" s="1275">
        <f t="shared" si="4"/>
        <v>25</v>
      </c>
      <c r="S25" s="139">
        <f t="shared" si="5"/>
        <v>6188091.2599999988</v>
      </c>
      <c r="T25" s="139">
        <f t="shared" si="6"/>
        <v>4150.1000000000004</v>
      </c>
      <c r="U25" s="1880">
        <f t="shared" si="7"/>
        <v>0</v>
      </c>
      <c r="V25" s="139">
        <f t="shared" si="8"/>
        <v>6192241.3599999985</v>
      </c>
      <c r="W25" s="140">
        <f>IF($B25=0,"",_xlfn.XLOOKUP($B25,INPUT_DATA!$BP:$BP,INPUT_DATA!CC:CC))</f>
        <v>6188091.2599999988</v>
      </c>
      <c r="X25" s="140">
        <f>IF($B25=0,"",_xlfn.XLOOKUP($B25,INPUT_DATA!$BP:$BP,INPUT_DATA!CD:CD))</f>
        <v>4150.1000000000004</v>
      </c>
      <c r="Y25" s="140">
        <f>IF($B25=0,"",_xlfn.XLOOKUP($B25,INPUT_DATA!$BP:$BP,INPUT_DATA!CE:CE))</f>
        <v>0</v>
      </c>
      <c r="Z25" s="1300">
        <f t="shared" si="9"/>
        <v>1</v>
      </c>
      <c r="AA25" s="139">
        <f t="shared" si="10"/>
        <v>6192241.3599999985</v>
      </c>
      <c r="AB25" s="139">
        <f>IF($B25=0,"",_xlfn.XLOOKUP($B25,INPUT_DATA!$BP:$BP,INPUT_DATA!CF:CF))</f>
        <v>25</v>
      </c>
      <c r="AC25" s="140">
        <f>IF($B25=0,"",_xlfn.XLOOKUP($B25,INPUT_DATA!$BP:$BP,INPUT_DATA!CG:CG))</f>
        <v>0</v>
      </c>
      <c r="AD25" s="140">
        <f>IF($B25=0,"",_xlfn.XLOOKUP($B25,INPUT_DATA!$BP:$BP,INPUT_DATA!CH:CH))</f>
        <v>0</v>
      </c>
      <c r="AE25" s="140">
        <f>IF($B25=0,"",_xlfn.XLOOKUP($B25,INPUT_DATA!$BP:$BP,INPUT_DATA!CI:CI))</f>
        <v>0</v>
      </c>
      <c r="AF25" s="1300">
        <f t="shared" si="11"/>
        <v>0.93</v>
      </c>
      <c r="AG25" s="139">
        <f>IF($B25=0,"",_xlfn.XLOOKUP($B25,INPUT_DATA!$BP:$BP,INPUT_DATA!CJ:CJ))</f>
        <v>0</v>
      </c>
      <c r="AH25" s="139">
        <f t="shared" si="12"/>
        <v>0</v>
      </c>
      <c r="AI25" s="1275">
        <f>IF($B25=0,"",_xlfn.XLOOKUP($B25,INPUT_DATA!$BP:$BP,INPUT_DATA!CK:CK))</f>
        <v>0</v>
      </c>
      <c r="AJ25" s="140">
        <f>IF($B25=0,"",_xlfn.XLOOKUP($B25,INPUT_DATA!$BP:$BP,INPUT_DATA!CL:CL))</f>
        <v>714376.95000000007</v>
      </c>
      <c r="AK25" s="140">
        <f>IF($B25=0,"",_xlfn.XLOOKUP($B25,INPUT_DATA!$BP:$BP,INPUT_DATA!CM:CM))</f>
        <v>975.79</v>
      </c>
      <c r="AL25" s="140">
        <f>IF($B25=0,"",_xlfn.XLOOKUP($B25,INPUT_DATA!$BP:$BP,INPUT_DATA!CN:CN))</f>
        <v>0</v>
      </c>
      <c r="AM25" s="1300">
        <f t="shared" si="13"/>
        <v>0.6</v>
      </c>
      <c r="AN25" s="139">
        <f>IF($B25=0,"",_xlfn.XLOOKUP($B25,INPUT_DATA!$BP:$BP,INPUT_DATA!CO:CO))</f>
        <v>0</v>
      </c>
      <c r="AO25" s="139">
        <f t="shared" si="14"/>
        <v>715352.74000000011</v>
      </c>
      <c r="AP25" s="1275">
        <f>IF($B25=0,"",_xlfn.XLOOKUP($B25,INPUT_DATA!$BP:$BP,INPUT_DATA!CP:CP))</f>
        <v>10</v>
      </c>
      <c r="AQ25" s="139">
        <f t="shared" si="17"/>
        <v>6907594.0999999987</v>
      </c>
      <c r="AR25" s="1275">
        <f t="shared" si="15"/>
        <v>35</v>
      </c>
    </row>
    <row r="26" spans="2:45">
      <c r="B26" s="137">
        <f>INPUT_DATA!BP17</f>
        <v>45808</v>
      </c>
      <c r="C26" s="1291">
        <f>IF($B26=0,"",_xlfn.XLOOKUP($B26,INPUT_DATA!$BP:$BP,INPUT_DATA!BQ:BQ))</f>
        <v>2</v>
      </c>
      <c r="D26" s="140">
        <f>IF($B26=0,"",_xlfn.XLOOKUP($B26,INPUT_DATA!$BP:$BP,INPUT_DATA!BR:BR))</f>
        <v>322233.44</v>
      </c>
      <c r="E26" s="140">
        <f>IF($B26=0,"",_xlfn.XLOOKUP($B26,INPUT_DATA!$BP:$BP,INPUT_DATA!BS:BS))</f>
        <v>284.75</v>
      </c>
      <c r="F26" s="140">
        <f>IF($B26=0,"",_xlfn.XLOOKUP($B26,INPUT_DATA!$BP:$BP,INPUT_DATA!BT:BT))</f>
        <v>0</v>
      </c>
      <c r="G26" s="140">
        <f t="shared" si="1"/>
        <v>322518.19</v>
      </c>
      <c r="H26" s="1291">
        <f>IF($B26=0,"",_xlfn.XLOOKUP($B26,INPUT_DATA!$BP:$BP,INPUT_DATA!BU:BU))</f>
        <v>21</v>
      </c>
      <c r="I26" s="140">
        <f>IF($B26=0,"",_xlfn.XLOOKUP($B26,INPUT_DATA!$BP:$BP,INPUT_DATA!BV:BV))</f>
        <v>3429887.7700000005</v>
      </c>
      <c r="J26" s="140">
        <f>IF($B26=0,"",_xlfn.XLOOKUP($B26,INPUT_DATA!$BP:$BP,INPUT_DATA!BW:BW))</f>
        <v>2942.6600000000003</v>
      </c>
      <c r="K26" s="140">
        <f>IF($B26=0,"",_xlfn.XLOOKUP($B26,INPUT_DATA!$BP:$BP,INPUT_DATA!BX:BX))</f>
        <v>0</v>
      </c>
      <c r="L26" s="140">
        <f t="shared" si="2"/>
        <v>3432830.4300000006</v>
      </c>
      <c r="M26" s="1291">
        <f>IF($B26=0,"",_xlfn.XLOOKUP($B26,INPUT_DATA!$BP:$BP,INPUT_DATA!BY:BY))</f>
        <v>0</v>
      </c>
      <c r="N26" s="140">
        <f>IF($B26=0,"",_xlfn.XLOOKUP($B26,INPUT_DATA!$BP:$BP,INPUT_DATA!BZ:BZ))</f>
        <v>0</v>
      </c>
      <c r="O26" s="140">
        <f>IF($B26=0,"",_xlfn.XLOOKUP($B26,INPUT_DATA!$BP:$BP,INPUT_DATA!CA:CA))</f>
        <v>0</v>
      </c>
      <c r="P26" s="140">
        <f>IF($B26=0,"",_xlfn.XLOOKUP($B26,INPUT_DATA!$BP:$BP,INPUT_DATA!CB:CB))</f>
        <v>0</v>
      </c>
      <c r="Q26" s="140">
        <f t="shared" si="3"/>
        <v>0</v>
      </c>
      <c r="R26" s="1275">
        <f t="shared" si="4"/>
        <v>23</v>
      </c>
      <c r="S26" s="139">
        <f t="shared" si="5"/>
        <v>3752121.2100000004</v>
      </c>
      <c r="T26" s="139">
        <f t="shared" si="6"/>
        <v>3227.4100000000003</v>
      </c>
      <c r="U26" s="1880">
        <f t="shared" si="7"/>
        <v>0</v>
      </c>
      <c r="V26" s="139">
        <f t="shared" si="8"/>
        <v>3755348.6200000006</v>
      </c>
      <c r="W26" s="140">
        <f>IF($B26=0,"",_xlfn.XLOOKUP($B26,INPUT_DATA!$BP:$BP,INPUT_DATA!CC:CC))</f>
        <v>3752121.2100000004</v>
      </c>
      <c r="X26" s="140">
        <f>IF($B26=0,"",_xlfn.XLOOKUP($B26,INPUT_DATA!$BP:$BP,INPUT_DATA!CD:CD))</f>
        <v>3227.4100000000003</v>
      </c>
      <c r="Y26" s="140">
        <f>IF($B26=0,"",_xlfn.XLOOKUP($B26,INPUT_DATA!$BP:$BP,INPUT_DATA!CE:CE))</f>
        <v>1342.65</v>
      </c>
      <c r="Z26" s="1300">
        <f t="shared" si="9"/>
        <v>1</v>
      </c>
      <c r="AA26" s="139">
        <f t="shared" si="10"/>
        <v>3756691.2700000005</v>
      </c>
      <c r="AB26" s="139">
        <f>IF($B26=0,"",_xlfn.XLOOKUP($B26,INPUT_DATA!$BP:$BP,INPUT_DATA!CF:CF))</f>
        <v>23</v>
      </c>
      <c r="AC26" s="140">
        <f>IF($B26=0,"",_xlfn.XLOOKUP($B26,INPUT_DATA!$BP:$BP,INPUT_DATA!CG:CG))</f>
        <v>0</v>
      </c>
      <c r="AD26" s="140">
        <f>IF($B26=0,"",_xlfn.XLOOKUP($B26,INPUT_DATA!$BP:$BP,INPUT_DATA!CH:CH))</f>
        <v>0</v>
      </c>
      <c r="AE26" s="140">
        <f>IF($B26=0,"",_xlfn.XLOOKUP($B26,INPUT_DATA!$BP:$BP,INPUT_DATA!CI:CI))</f>
        <v>0</v>
      </c>
      <c r="AF26" s="1300">
        <f t="shared" si="11"/>
        <v>0.93</v>
      </c>
      <c r="AG26" s="139">
        <f>IF($B26=0,"",_xlfn.XLOOKUP($B26,INPUT_DATA!$BP:$BP,INPUT_DATA!CJ:CJ))</f>
        <v>0</v>
      </c>
      <c r="AH26" s="139">
        <f t="shared" ref="AH26:AH77" si="18">IF($B26=0,"",SUM(AC26:AE26)*AF26)</f>
        <v>0</v>
      </c>
      <c r="AI26" s="1275">
        <f>IF($B26=0,"",_xlfn.XLOOKUP($B26,INPUT_DATA!$BP:$BP,INPUT_DATA!CK:CK))</f>
        <v>0</v>
      </c>
      <c r="AJ26" s="140">
        <f>IF($B26=0,"",_xlfn.XLOOKUP($B26,INPUT_DATA!$BP:$BP,INPUT_DATA!CL:CL))</f>
        <v>1227113.95</v>
      </c>
      <c r="AK26" s="140">
        <f>IF($B26=0,"",_xlfn.XLOOKUP($B26,INPUT_DATA!$BP:$BP,INPUT_DATA!CM:CM))</f>
        <v>1398.9199999999998</v>
      </c>
      <c r="AL26" s="140">
        <f>IF($B26=0,"",_xlfn.XLOOKUP($B26,INPUT_DATA!$BP:$BP,INPUT_DATA!CN:CN))</f>
        <v>0</v>
      </c>
      <c r="AM26" s="1300">
        <f t="shared" si="13"/>
        <v>0.6</v>
      </c>
      <c r="AN26" s="139">
        <f>IF($B26=0,"",_xlfn.XLOOKUP($B26,INPUT_DATA!$BP:$BP,INPUT_DATA!CO:CO))</f>
        <v>7044.9869000000008</v>
      </c>
      <c r="AO26" s="139">
        <f t="shared" si="14"/>
        <v>1221467.8831</v>
      </c>
      <c r="AP26" s="1275">
        <f>IF($B26=0,"",_xlfn.XLOOKUP($B26,INPUT_DATA!$BP:$BP,INPUT_DATA!CP:CP))</f>
        <v>10</v>
      </c>
      <c r="AQ26" s="139">
        <f t="shared" si="17"/>
        <v>4978159.1531000007</v>
      </c>
      <c r="AR26" s="1275">
        <f t="shared" si="15"/>
        <v>33</v>
      </c>
    </row>
    <row r="27" spans="2:45">
      <c r="B27" s="137">
        <f>INPUT_DATA!BP18</f>
        <v>45777</v>
      </c>
      <c r="C27" s="1291">
        <f>IF($B27=0,"",_xlfn.XLOOKUP($B27,INPUT_DATA!$BP:$BP,INPUT_DATA!BQ:BQ))</f>
        <v>1</v>
      </c>
      <c r="D27" s="140">
        <f>IF($B27=0,"",_xlfn.XLOOKUP($B27,INPUT_DATA!$BP:$BP,INPUT_DATA!BR:BR))</f>
        <v>78474.25</v>
      </c>
      <c r="E27" s="140">
        <f>IF($B27=0,"",_xlfn.XLOOKUP($B27,INPUT_DATA!$BP:$BP,INPUT_DATA!BS:BS))</f>
        <v>75.2</v>
      </c>
      <c r="F27" s="140">
        <f>IF($B27=0,"",_xlfn.XLOOKUP($B27,INPUT_DATA!$BP:$BP,INPUT_DATA!BT:BT))</f>
        <v>0</v>
      </c>
      <c r="G27" s="140">
        <f t="shared" si="1"/>
        <v>78549.45</v>
      </c>
      <c r="H27" s="1291">
        <f>IF($B27=0,"",_xlfn.XLOOKUP($B27,INPUT_DATA!$BP:$BP,INPUT_DATA!BU:BU))</f>
        <v>21</v>
      </c>
      <c r="I27" s="140">
        <f>IF($B27=0,"",_xlfn.XLOOKUP($B27,INPUT_DATA!$BP:$BP,INPUT_DATA!BV:BV))</f>
        <v>4040646.3600000003</v>
      </c>
      <c r="J27" s="140">
        <f>IF($B27=0,"",_xlfn.XLOOKUP($B27,INPUT_DATA!$BP:$BP,INPUT_DATA!BW:BW))</f>
        <v>2824.41</v>
      </c>
      <c r="K27" s="140">
        <f>IF($B27=0,"",_xlfn.XLOOKUP($B27,INPUT_DATA!$BP:$BP,INPUT_DATA!BX:BX))</f>
        <v>0</v>
      </c>
      <c r="L27" s="140">
        <f t="shared" si="2"/>
        <v>4043470.7700000005</v>
      </c>
      <c r="M27" s="1291">
        <f>IF($B27=0,"",_xlfn.XLOOKUP($B27,INPUT_DATA!$BP:$BP,INPUT_DATA!BY:BY))</f>
        <v>0</v>
      </c>
      <c r="N27" s="140">
        <f>IF($B27=0,"",_xlfn.XLOOKUP($B27,INPUT_DATA!$BP:$BP,INPUT_DATA!BZ:BZ))</f>
        <v>0</v>
      </c>
      <c r="O27" s="140">
        <f>IF($B27=0,"",_xlfn.XLOOKUP($B27,INPUT_DATA!$BP:$BP,INPUT_DATA!CA:CA))</f>
        <v>0</v>
      </c>
      <c r="P27" s="140">
        <f>IF($B27=0,"",_xlfn.XLOOKUP($B27,INPUT_DATA!$BP:$BP,INPUT_DATA!CB:CB))</f>
        <v>0</v>
      </c>
      <c r="Q27" s="140">
        <f t="shared" si="3"/>
        <v>0</v>
      </c>
      <c r="R27" s="1275">
        <f t="shared" si="4"/>
        <v>22</v>
      </c>
      <c r="S27" s="139">
        <f t="shared" si="5"/>
        <v>4119120.6100000003</v>
      </c>
      <c r="T27" s="139">
        <f t="shared" si="6"/>
        <v>2899.6099999999997</v>
      </c>
      <c r="U27" s="1880">
        <f t="shared" si="7"/>
        <v>0</v>
      </c>
      <c r="V27" s="139">
        <f t="shared" si="8"/>
        <v>4122020.2200000007</v>
      </c>
      <c r="W27" s="140">
        <f>IF($B27=0,"",_xlfn.XLOOKUP($B27,INPUT_DATA!$BP:$BP,INPUT_DATA!CC:CC))</f>
        <v>4119120.6100000003</v>
      </c>
      <c r="X27" s="140">
        <f>IF($B27=0,"",_xlfn.XLOOKUP($B27,INPUT_DATA!$BP:$BP,INPUT_DATA!CD:CD))</f>
        <v>2899.6099999999997</v>
      </c>
      <c r="Y27" s="140">
        <f>IF($B27=0,"",_xlfn.XLOOKUP($B27,INPUT_DATA!$BP:$BP,INPUT_DATA!CE:CE))</f>
        <v>0</v>
      </c>
      <c r="Z27" s="1300">
        <f t="shared" si="9"/>
        <v>1</v>
      </c>
      <c r="AA27" s="139">
        <f t="shared" si="10"/>
        <v>4122020.22</v>
      </c>
      <c r="AB27" s="139">
        <f>IF($B27=0,"",_xlfn.XLOOKUP($B27,INPUT_DATA!$BP:$BP,INPUT_DATA!CF:CF))</f>
        <v>22</v>
      </c>
      <c r="AC27" s="140">
        <f>IF($B27=0,"",_xlfn.XLOOKUP($B27,INPUT_DATA!$BP:$BP,INPUT_DATA!CG:CG))</f>
        <v>0</v>
      </c>
      <c r="AD27" s="140">
        <f>IF($B27=0,"",_xlfn.XLOOKUP($B27,INPUT_DATA!$BP:$BP,INPUT_DATA!CH:CH))</f>
        <v>0</v>
      </c>
      <c r="AE27" s="140">
        <f>IF($B27=0,"",_xlfn.XLOOKUP($B27,INPUT_DATA!$BP:$BP,INPUT_DATA!CI:CI))</f>
        <v>0</v>
      </c>
      <c r="AF27" s="1300">
        <f t="shared" si="11"/>
        <v>0.93</v>
      </c>
      <c r="AG27" s="139">
        <f>IF($B27=0,"",_xlfn.XLOOKUP($B27,INPUT_DATA!$BP:$BP,INPUT_DATA!CJ:CJ))</f>
        <v>0</v>
      </c>
      <c r="AH27" s="139">
        <f t="shared" si="18"/>
        <v>0</v>
      </c>
      <c r="AI27" s="1275">
        <f>IF($B27=0,"",_xlfn.XLOOKUP($B27,INPUT_DATA!$BP:$BP,INPUT_DATA!CK:CK))</f>
        <v>0</v>
      </c>
      <c r="AJ27" s="140">
        <f>IF($B27=0,"",_xlfn.XLOOKUP($B27,INPUT_DATA!$BP:$BP,INPUT_DATA!CL:CL))</f>
        <v>279860.35000000003</v>
      </c>
      <c r="AK27" s="140">
        <f>IF($B27=0,"",_xlfn.XLOOKUP($B27,INPUT_DATA!$BP:$BP,INPUT_DATA!CM:CM))</f>
        <v>140.32</v>
      </c>
      <c r="AL27" s="140">
        <f>IF($B27=0,"",_xlfn.XLOOKUP($B27,INPUT_DATA!$BP:$BP,INPUT_DATA!CN:CN))</f>
        <v>2841.66</v>
      </c>
      <c r="AM27" s="1300">
        <f t="shared" si="13"/>
        <v>0.6</v>
      </c>
      <c r="AN27" s="139">
        <f>IF($B27=0,"",_xlfn.XLOOKUP($B27,INPUT_DATA!$BP:$BP,INPUT_DATA!CO:CO))</f>
        <v>0</v>
      </c>
      <c r="AO27" s="139">
        <f t="shared" si="14"/>
        <v>282842.33</v>
      </c>
      <c r="AP27" s="1275">
        <f>IF($B27=0,"",_xlfn.XLOOKUP($B27,INPUT_DATA!$BP:$BP,INPUT_DATA!CP:CP))</f>
        <v>4</v>
      </c>
      <c r="AQ27" s="139">
        <f t="shared" si="17"/>
        <v>4404862.55</v>
      </c>
      <c r="AR27" s="1275">
        <f t="shared" si="15"/>
        <v>26</v>
      </c>
    </row>
    <row r="28" spans="2:45">
      <c r="B28" s="137">
        <f>INPUT_DATA!BP19</f>
        <v>45747</v>
      </c>
      <c r="C28" s="1291">
        <f>IF($B28=0,"",_xlfn.XLOOKUP($B28,INPUT_DATA!$BP:$BP,INPUT_DATA!BQ:BQ))</f>
        <v>0</v>
      </c>
      <c r="D28" s="140">
        <f>IF($B28=0,"",_xlfn.XLOOKUP($B28,INPUT_DATA!$BP:$BP,INPUT_DATA!BR:BR))</f>
        <v>0</v>
      </c>
      <c r="E28" s="140">
        <f>IF($B28=0,"",_xlfn.XLOOKUP($B28,INPUT_DATA!$BP:$BP,INPUT_DATA!BS:BS))</f>
        <v>0</v>
      </c>
      <c r="F28" s="140">
        <f>IF($B28=0,"",_xlfn.XLOOKUP($B28,INPUT_DATA!$BP:$BP,INPUT_DATA!BT:BT))</f>
        <v>0</v>
      </c>
      <c r="G28" s="140">
        <f t="shared" si="1"/>
        <v>0</v>
      </c>
      <c r="H28" s="1291">
        <f>IF($B28=0,"",_xlfn.XLOOKUP($B28,INPUT_DATA!$BP:$BP,INPUT_DATA!BU:BU))</f>
        <v>19</v>
      </c>
      <c r="I28" s="140">
        <f>IF($B28=0,"",_xlfn.XLOOKUP($B28,INPUT_DATA!$BP:$BP,INPUT_DATA!BV:BV))</f>
        <v>1994383.5400000005</v>
      </c>
      <c r="J28" s="140">
        <f>IF($B28=0,"",_xlfn.XLOOKUP($B28,INPUT_DATA!$BP:$BP,INPUT_DATA!BW:BW))</f>
        <v>1968.1099999999997</v>
      </c>
      <c r="K28" s="140">
        <f>IF($B28=0,"",_xlfn.XLOOKUP($B28,INPUT_DATA!$BP:$BP,INPUT_DATA!BX:BX))</f>
        <v>0</v>
      </c>
      <c r="L28" s="140">
        <f t="shared" si="2"/>
        <v>1996351.6500000006</v>
      </c>
      <c r="M28" s="1291">
        <f>IF($B28=0,"",_xlfn.XLOOKUP($B28,INPUT_DATA!$BP:$BP,INPUT_DATA!BY:BY))</f>
        <v>0</v>
      </c>
      <c r="N28" s="140">
        <f>IF($B28=0,"",_xlfn.XLOOKUP($B28,INPUT_DATA!$BP:$BP,INPUT_DATA!BZ:BZ))</f>
        <v>0</v>
      </c>
      <c r="O28" s="140">
        <f>IF($B28=0,"",_xlfn.XLOOKUP($B28,INPUT_DATA!$BP:$BP,INPUT_DATA!CA:CA))</f>
        <v>0</v>
      </c>
      <c r="P28" s="140">
        <f>IF($B28=0,"",_xlfn.XLOOKUP($B28,INPUT_DATA!$BP:$BP,INPUT_DATA!CB:CB))</f>
        <v>0</v>
      </c>
      <c r="Q28" s="140">
        <f t="shared" si="3"/>
        <v>0</v>
      </c>
      <c r="R28" s="1275">
        <f t="shared" si="4"/>
        <v>19</v>
      </c>
      <c r="S28" s="139">
        <f t="shared" si="5"/>
        <v>1994383.5400000005</v>
      </c>
      <c r="T28" s="139">
        <f t="shared" si="6"/>
        <v>1968.1099999999997</v>
      </c>
      <c r="U28" s="1880">
        <f t="shared" si="7"/>
        <v>0</v>
      </c>
      <c r="V28" s="139">
        <f t="shared" si="8"/>
        <v>1996351.6500000006</v>
      </c>
      <c r="W28" s="140">
        <f>IF($B28=0,"",_xlfn.XLOOKUP($B28,INPUT_DATA!$BP:$BP,INPUT_DATA!CC:CC))</f>
        <v>1994383.5400000005</v>
      </c>
      <c r="X28" s="140">
        <f>IF($B28=0,"",_xlfn.XLOOKUP($B28,INPUT_DATA!$BP:$BP,INPUT_DATA!CD:CD))</f>
        <v>1968.1099999999997</v>
      </c>
      <c r="Y28" s="140">
        <f>IF($B28=0,"",_xlfn.XLOOKUP($B28,INPUT_DATA!$BP:$BP,INPUT_DATA!CE:CE))</f>
        <v>0</v>
      </c>
      <c r="Z28" s="1300">
        <f t="shared" si="9"/>
        <v>1</v>
      </c>
      <c r="AA28" s="139">
        <f t="shared" si="10"/>
        <v>1996351.6500000006</v>
      </c>
      <c r="AB28" s="139">
        <f>IF($B28=0,"",_xlfn.XLOOKUP($B28,INPUT_DATA!$BP:$BP,INPUT_DATA!CF:CF))</f>
        <v>19</v>
      </c>
      <c r="AC28" s="140">
        <f>IF($B28=0,"",_xlfn.XLOOKUP($B28,INPUT_DATA!$BP:$BP,INPUT_DATA!CG:CG))</f>
        <v>0</v>
      </c>
      <c r="AD28" s="140">
        <f>IF($B28=0,"",_xlfn.XLOOKUP($B28,INPUT_DATA!$BP:$BP,INPUT_DATA!CH:CH))</f>
        <v>0</v>
      </c>
      <c r="AE28" s="140">
        <f>IF($B28=0,"",_xlfn.XLOOKUP($B28,INPUT_DATA!$BP:$BP,INPUT_DATA!CI:CI))</f>
        <v>0</v>
      </c>
      <c r="AF28" s="1300">
        <f t="shared" si="11"/>
        <v>0.93</v>
      </c>
      <c r="AG28" s="139">
        <f>IF($B28=0,"",_xlfn.XLOOKUP($B28,INPUT_DATA!$BP:$BP,INPUT_DATA!CJ:CJ))</f>
        <v>0</v>
      </c>
      <c r="AH28" s="139">
        <f t="shared" si="18"/>
        <v>0</v>
      </c>
      <c r="AI28" s="1275">
        <f>IF($B28=0,"",_xlfn.XLOOKUP($B28,INPUT_DATA!$BP:$BP,INPUT_DATA!CK:CK))</f>
        <v>0</v>
      </c>
      <c r="AJ28" s="140">
        <f>IF($B28=0,"",_xlfn.XLOOKUP($B28,INPUT_DATA!$BP:$BP,INPUT_DATA!CL:CL))</f>
        <v>206709.84000000003</v>
      </c>
      <c r="AK28" s="140">
        <f>IF($B28=0,"",_xlfn.XLOOKUP($B28,INPUT_DATA!$BP:$BP,INPUT_DATA!CM:CM))</f>
        <v>359.76</v>
      </c>
      <c r="AL28" s="140">
        <f>IF($B28=0,"",_xlfn.XLOOKUP($B28,INPUT_DATA!$BP:$BP,INPUT_DATA!CN:CN))</f>
        <v>0</v>
      </c>
      <c r="AM28" s="1300">
        <f t="shared" si="13"/>
        <v>0.6</v>
      </c>
      <c r="AN28" s="139">
        <f>IF($B28=0,"",_xlfn.XLOOKUP($B28,INPUT_DATA!$BP:$BP,INPUT_DATA!CO:CO))</f>
        <v>0</v>
      </c>
      <c r="AO28" s="139">
        <f t="shared" si="14"/>
        <v>207069.60000000003</v>
      </c>
      <c r="AP28" s="1275">
        <f>IF($B28=0,"",_xlfn.XLOOKUP($B28,INPUT_DATA!$BP:$BP,INPUT_DATA!CP:CP))</f>
        <v>2</v>
      </c>
      <c r="AQ28" s="139">
        <f t="shared" si="17"/>
        <v>2203421.2500000005</v>
      </c>
      <c r="AR28" s="1275">
        <f t="shared" si="15"/>
        <v>21</v>
      </c>
    </row>
    <row r="29" spans="2:45">
      <c r="B29" s="137">
        <f>INPUT_DATA!BP20</f>
        <v>45716</v>
      </c>
      <c r="C29" s="1291">
        <f>IF($B29=0,"",_xlfn.XLOOKUP($B29,INPUT_DATA!$BP:$BP,INPUT_DATA!BQ:BQ))</f>
        <v>0</v>
      </c>
      <c r="D29" s="140">
        <f>IF($B29=0,"",_xlfn.XLOOKUP($B29,INPUT_DATA!$BP:$BP,INPUT_DATA!BR:BR))</f>
        <v>0</v>
      </c>
      <c r="E29" s="140">
        <f>IF($B29=0,"",_xlfn.XLOOKUP($B29,INPUT_DATA!$BP:$BP,INPUT_DATA!BS:BS))</f>
        <v>0</v>
      </c>
      <c r="F29" s="140">
        <f>IF($B29=0,"",_xlfn.XLOOKUP($B29,INPUT_DATA!$BP:$BP,INPUT_DATA!BT:BT))</f>
        <v>0</v>
      </c>
      <c r="G29" s="140">
        <f t="shared" si="1"/>
        <v>0</v>
      </c>
      <c r="H29" s="1291">
        <f>IF($B29=0,"",_xlfn.XLOOKUP($B29,INPUT_DATA!$BP:$BP,INPUT_DATA!BU:BU))</f>
        <v>20</v>
      </c>
      <c r="I29" s="140">
        <f>IF($B29=0,"",_xlfn.XLOOKUP($B29,INPUT_DATA!$BP:$BP,INPUT_DATA!BV:BV))</f>
        <v>4466570.6999999993</v>
      </c>
      <c r="J29" s="140">
        <f>IF($B29=0,"",_xlfn.XLOOKUP($B29,INPUT_DATA!$BP:$BP,INPUT_DATA!BW:BW))</f>
        <v>3668.8299999999995</v>
      </c>
      <c r="K29" s="140">
        <f>IF($B29=0,"",_xlfn.XLOOKUP($B29,INPUT_DATA!$BP:$BP,INPUT_DATA!BX:BX))</f>
        <v>0</v>
      </c>
      <c r="L29" s="140">
        <f t="shared" si="2"/>
        <v>4470239.5299999993</v>
      </c>
      <c r="M29" s="1291">
        <f>IF($B29=0,"",_xlfn.XLOOKUP($B29,INPUT_DATA!$BP:$BP,INPUT_DATA!BY:BY))</f>
        <v>0</v>
      </c>
      <c r="N29" s="140">
        <f>IF($B29=0,"",_xlfn.XLOOKUP($B29,INPUT_DATA!$BP:$BP,INPUT_DATA!BZ:BZ))</f>
        <v>0</v>
      </c>
      <c r="O29" s="140">
        <f>IF($B29=0,"",_xlfn.XLOOKUP($B29,INPUT_DATA!$BP:$BP,INPUT_DATA!CA:CA))</f>
        <v>0</v>
      </c>
      <c r="P29" s="140">
        <f>IF($B29=0,"",_xlfn.XLOOKUP($B29,INPUT_DATA!$BP:$BP,INPUT_DATA!CB:CB))</f>
        <v>0</v>
      </c>
      <c r="Q29" s="140">
        <f t="shared" si="3"/>
        <v>0</v>
      </c>
      <c r="R29" s="1275">
        <f t="shared" si="4"/>
        <v>20</v>
      </c>
      <c r="S29" s="139">
        <f t="shared" si="5"/>
        <v>4466570.6999999993</v>
      </c>
      <c r="T29" s="139">
        <f t="shared" si="6"/>
        <v>3668.8299999999995</v>
      </c>
      <c r="U29" s="1880">
        <f t="shared" si="7"/>
        <v>0</v>
      </c>
      <c r="V29" s="139">
        <f t="shared" si="8"/>
        <v>4470239.5299999993</v>
      </c>
      <c r="W29" s="140">
        <f>IF($B29=0,"",_xlfn.XLOOKUP($B29,INPUT_DATA!$BP:$BP,INPUT_DATA!CC:CC))</f>
        <v>4466570.6999999993</v>
      </c>
      <c r="X29" s="140">
        <f>IF($B29=0,"",_xlfn.XLOOKUP($B29,INPUT_DATA!$BP:$BP,INPUT_DATA!CD:CD))</f>
        <v>3668.8299999999995</v>
      </c>
      <c r="Y29" s="140">
        <f>IF($B29=0,"",_xlfn.XLOOKUP($B29,INPUT_DATA!$BP:$BP,INPUT_DATA!CE:CE))</f>
        <v>0</v>
      </c>
      <c r="Z29" s="1300">
        <f t="shared" si="9"/>
        <v>1</v>
      </c>
      <c r="AA29" s="139">
        <f t="shared" si="10"/>
        <v>4470239.5299999993</v>
      </c>
      <c r="AB29" s="139">
        <f>IF($B29=0,"",_xlfn.XLOOKUP($B29,INPUT_DATA!$BP:$BP,INPUT_DATA!CF:CF))</f>
        <v>20</v>
      </c>
      <c r="AC29" s="140">
        <f>IF($B29=0,"",_xlfn.XLOOKUP($B29,INPUT_DATA!$BP:$BP,INPUT_DATA!CG:CG))</f>
        <v>0</v>
      </c>
      <c r="AD29" s="140">
        <f>IF($B29=0,"",_xlfn.XLOOKUP($B29,INPUT_DATA!$BP:$BP,INPUT_DATA!CH:CH))</f>
        <v>0</v>
      </c>
      <c r="AE29" s="140">
        <f>IF($B29=0,"",_xlfn.XLOOKUP($B29,INPUT_DATA!$BP:$BP,INPUT_DATA!CI:CI))</f>
        <v>0</v>
      </c>
      <c r="AF29" s="1300">
        <f t="shared" si="11"/>
        <v>0.93</v>
      </c>
      <c r="AG29" s="139">
        <f>IF($B29=0,"",_xlfn.XLOOKUP($B29,INPUT_DATA!$BP:$BP,INPUT_DATA!CJ:CJ))</f>
        <v>0</v>
      </c>
      <c r="AH29" s="139">
        <f t="shared" si="18"/>
        <v>0</v>
      </c>
      <c r="AI29" s="1275">
        <f>IF($B29=0,"",_xlfn.XLOOKUP($B29,INPUT_DATA!$BP:$BP,INPUT_DATA!CK:CK))</f>
        <v>0</v>
      </c>
      <c r="AJ29" s="140">
        <f>IF($B29=0,"",_xlfn.XLOOKUP($B29,INPUT_DATA!$BP:$BP,INPUT_DATA!CL:CL))</f>
        <v>409364.52000000008</v>
      </c>
      <c r="AK29" s="140">
        <f>IF($B29=0,"",_xlfn.XLOOKUP($B29,INPUT_DATA!$BP:$BP,INPUT_DATA!CM:CM))</f>
        <v>168.14</v>
      </c>
      <c r="AL29" s="140">
        <f>IF($B29=0,"",_xlfn.XLOOKUP($B29,INPUT_DATA!$BP:$BP,INPUT_DATA!CN:CN))</f>
        <v>0</v>
      </c>
      <c r="AM29" s="1300">
        <f t="shared" si="13"/>
        <v>0.6</v>
      </c>
      <c r="AN29" s="139">
        <f>IF($B29=0,"",_xlfn.XLOOKUP($B29,INPUT_DATA!$BP:$BP,INPUT_DATA!CO:CO))</f>
        <v>0</v>
      </c>
      <c r="AO29" s="139">
        <f t="shared" si="14"/>
        <v>409532.66000000009</v>
      </c>
      <c r="AP29" s="1275">
        <f>IF($B29=0,"",_xlfn.XLOOKUP($B29,INPUT_DATA!$BP:$BP,INPUT_DATA!CP:CP))</f>
        <v>6</v>
      </c>
      <c r="AQ29" s="139">
        <f t="shared" si="17"/>
        <v>4879772.1899999995</v>
      </c>
      <c r="AR29" s="1275">
        <f t="shared" si="15"/>
        <v>26</v>
      </c>
    </row>
    <row r="30" spans="2:45">
      <c r="B30" s="137">
        <f>INPUT_DATA!BP21</f>
        <v>45688</v>
      </c>
      <c r="C30" s="1291">
        <f>IF($B30=0,"",_xlfn.XLOOKUP($B30,INPUT_DATA!$BP:$BP,INPUT_DATA!BQ:BQ))</f>
        <v>1</v>
      </c>
      <c r="D30" s="140">
        <f>IF($B30=0,"",_xlfn.XLOOKUP($B30,INPUT_DATA!$BP:$BP,INPUT_DATA!BR:BR))</f>
        <v>72001.25</v>
      </c>
      <c r="E30" s="140">
        <f>IF($B30=0,"",_xlfn.XLOOKUP($B30,INPUT_DATA!$BP:$BP,INPUT_DATA!BS:BS))</f>
        <v>50.4</v>
      </c>
      <c r="F30" s="140">
        <f>IF($B30=0,"",_xlfn.XLOOKUP($B30,INPUT_DATA!$BP:$BP,INPUT_DATA!BT:BT))</f>
        <v>0</v>
      </c>
      <c r="G30" s="140">
        <f t="shared" si="1"/>
        <v>72051.649999999994</v>
      </c>
      <c r="H30" s="1291">
        <f>IF($B30=0,"",_xlfn.XLOOKUP($B30,INPUT_DATA!$BP:$BP,INPUT_DATA!BU:BU))</f>
        <v>20</v>
      </c>
      <c r="I30" s="140">
        <f>IF($B30=0,"",_xlfn.XLOOKUP($B30,INPUT_DATA!$BP:$BP,INPUT_DATA!BV:BV))</f>
        <v>3671628.52</v>
      </c>
      <c r="J30" s="140">
        <f>IF($B30=0,"",_xlfn.XLOOKUP($B30,INPUT_DATA!$BP:$BP,INPUT_DATA!BW:BW))</f>
        <v>3756.21</v>
      </c>
      <c r="K30" s="140">
        <f>IF($B30=0,"",_xlfn.XLOOKUP($B30,INPUT_DATA!$BP:$BP,INPUT_DATA!BX:BX))</f>
        <v>0</v>
      </c>
      <c r="L30" s="140">
        <f t="shared" si="2"/>
        <v>3675384.73</v>
      </c>
      <c r="M30" s="1291">
        <f>IF($B30=0,"",_xlfn.XLOOKUP($B30,INPUT_DATA!$BP:$BP,INPUT_DATA!BY:BY))</f>
        <v>0</v>
      </c>
      <c r="N30" s="140">
        <f>IF($B30=0,"",_xlfn.XLOOKUP($B30,INPUT_DATA!$BP:$BP,INPUT_DATA!BZ:BZ))</f>
        <v>0</v>
      </c>
      <c r="O30" s="140">
        <f>IF($B30=0,"",_xlfn.XLOOKUP($B30,INPUT_DATA!$BP:$BP,INPUT_DATA!CA:CA))</f>
        <v>0</v>
      </c>
      <c r="P30" s="140">
        <f>IF($B30=0,"",_xlfn.XLOOKUP($B30,INPUT_DATA!$BP:$BP,INPUT_DATA!CB:CB))</f>
        <v>0</v>
      </c>
      <c r="Q30" s="140">
        <f t="shared" si="3"/>
        <v>0</v>
      </c>
      <c r="R30" s="1275">
        <f t="shared" si="4"/>
        <v>21</v>
      </c>
      <c r="S30" s="139">
        <f t="shared" si="5"/>
        <v>3743629.77</v>
      </c>
      <c r="T30" s="139">
        <f t="shared" si="6"/>
        <v>3806.61</v>
      </c>
      <c r="U30" s="1880">
        <f t="shared" si="7"/>
        <v>0</v>
      </c>
      <c r="V30" s="139">
        <f t="shared" si="8"/>
        <v>3747436.38</v>
      </c>
      <c r="W30" s="140">
        <f>IF($B30=0,"",_xlfn.XLOOKUP($B30,INPUT_DATA!$BP:$BP,INPUT_DATA!CC:CC))</f>
        <v>3743629.77</v>
      </c>
      <c r="X30" s="140">
        <f>IF($B30=0,"",_xlfn.XLOOKUP($B30,INPUT_DATA!$BP:$BP,INPUT_DATA!CD:CD))</f>
        <v>3806.61</v>
      </c>
      <c r="Y30" s="140">
        <f>IF($B30=0,"",_xlfn.XLOOKUP($B30,INPUT_DATA!$BP:$BP,INPUT_DATA!CE:CE))</f>
        <v>0</v>
      </c>
      <c r="Z30" s="1300">
        <f t="shared" si="9"/>
        <v>1</v>
      </c>
      <c r="AA30" s="139">
        <f t="shared" si="10"/>
        <v>3747436.38</v>
      </c>
      <c r="AB30" s="139">
        <f>IF($B30=0,"",_xlfn.XLOOKUP($B30,INPUT_DATA!$BP:$BP,INPUT_DATA!CF:CF))</f>
        <v>21</v>
      </c>
      <c r="AC30" s="140">
        <f>IF($B30=0,"",_xlfn.XLOOKUP($B30,INPUT_DATA!$BP:$BP,INPUT_DATA!CG:CG))</f>
        <v>0</v>
      </c>
      <c r="AD30" s="140">
        <f>IF($B30=0,"",_xlfn.XLOOKUP($B30,INPUT_DATA!$BP:$BP,INPUT_DATA!CH:CH))</f>
        <v>0</v>
      </c>
      <c r="AE30" s="140">
        <f>IF($B30=0,"",_xlfn.XLOOKUP($B30,INPUT_DATA!$BP:$BP,INPUT_DATA!CI:CI))</f>
        <v>0</v>
      </c>
      <c r="AF30" s="1300">
        <f t="shared" si="11"/>
        <v>0.93</v>
      </c>
      <c r="AG30" s="139"/>
      <c r="AH30" s="139">
        <f t="shared" si="18"/>
        <v>0</v>
      </c>
      <c r="AI30" s="1275">
        <f>IF($B30=0,"",_xlfn.XLOOKUP($B30,INPUT_DATA!$BP:$BP,INPUT_DATA!CK:CK))</f>
        <v>0</v>
      </c>
      <c r="AJ30" s="140">
        <f>IF($B30=0,"",_xlfn.XLOOKUP($B30,INPUT_DATA!$BP:$BP,INPUT_DATA!CL:CL))</f>
        <v>238668.41</v>
      </c>
      <c r="AK30" s="140">
        <f>IF($B30=0,"",_xlfn.XLOOKUP($B30,INPUT_DATA!$BP:$BP,INPUT_DATA!CM:CM))</f>
        <v>90.25</v>
      </c>
      <c r="AL30" s="140">
        <f>IF($B30=0,"",_xlfn.XLOOKUP($B30,INPUT_DATA!$BP:$BP,INPUT_DATA!CN:CN))</f>
        <v>0</v>
      </c>
      <c r="AM30" s="1300">
        <f t="shared" si="13"/>
        <v>0.6</v>
      </c>
      <c r="AN30" s="139">
        <f>IF($B30=0,"",_xlfn.XLOOKUP($B30,INPUT_DATA!$BP:$BP,INPUT_DATA!CO:CO))</f>
        <v>0</v>
      </c>
      <c r="AO30" s="139">
        <f t="shared" si="14"/>
        <v>238758.66</v>
      </c>
      <c r="AP30" s="1275">
        <f>IF($B30=0,"",_xlfn.XLOOKUP($B30,INPUT_DATA!$BP:$BP,INPUT_DATA!CP:CP))</f>
        <v>2</v>
      </c>
      <c r="AQ30" s="139">
        <f t="shared" si="17"/>
        <v>3986195.04</v>
      </c>
      <c r="AR30" s="1275">
        <f t="shared" si="15"/>
        <v>23</v>
      </c>
    </row>
    <row r="31" spans="2:45">
      <c r="B31" s="137">
        <f>INPUT_DATA!BP22</f>
        <v>45657</v>
      </c>
      <c r="C31" s="1291">
        <f>IF($B31=0,"",_xlfn.XLOOKUP($B31,INPUT_DATA!$BP:$BP,INPUT_DATA!BQ:BQ))</f>
        <v>2</v>
      </c>
      <c r="D31" s="140">
        <f>IF($B31=0,"",_xlfn.XLOOKUP($B31,INPUT_DATA!$BP:$BP,INPUT_DATA!BR:BR))</f>
        <v>574406.91999999993</v>
      </c>
      <c r="E31" s="140">
        <f>IF($B31=0,"",_xlfn.XLOOKUP($B31,INPUT_DATA!$BP:$BP,INPUT_DATA!BS:BS))</f>
        <v>417.5</v>
      </c>
      <c r="F31" s="140">
        <f>IF($B31=0,"",_xlfn.XLOOKUP($B31,INPUT_DATA!$BP:$BP,INPUT_DATA!BT:BT))</f>
        <v>0</v>
      </c>
      <c r="G31" s="140">
        <f t="shared" si="1"/>
        <v>574824.41999999993</v>
      </c>
      <c r="H31" s="1291">
        <f>IF($B31=0,"",_xlfn.XLOOKUP($B31,INPUT_DATA!$BP:$BP,INPUT_DATA!BU:BU))</f>
        <v>6</v>
      </c>
      <c r="I31" s="140">
        <f>IF($B31=0,"",_xlfn.XLOOKUP($B31,INPUT_DATA!$BP:$BP,INPUT_DATA!BV:BV))</f>
        <v>820697.87</v>
      </c>
      <c r="J31" s="140">
        <f>IF($B31=0,"",_xlfn.XLOOKUP($B31,INPUT_DATA!$BP:$BP,INPUT_DATA!BW:BW))</f>
        <v>1068.02</v>
      </c>
      <c r="K31" s="140">
        <f>IF($B31=0,"",_xlfn.XLOOKUP($B31,INPUT_DATA!$BP:$BP,INPUT_DATA!BX:BX))</f>
        <v>0</v>
      </c>
      <c r="L31" s="140">
        <f t="shared" si="2"/>
        <v>821765.89</v>
      </c>
      <c r="M31" s="1291">
        <f>IF($B31=0,"",_xlfn.XLOOKUP($B31,INPUT_DATA!$BP:$BP,INPUT_DATA!BY:BY))</f>
        <v>14</v>
      </c>
      <c r="N31" s="140">
        <f>IF($B31=0,"",_xlfn.XLOOKUP($B31,INPUT_DATA!$BP:$BP,INPUT_DATA!BZ:BZ))</f>
        <v>1995804.8499999996</v>
      </c>
      <c r="O31" s="140">
        <f>IF($B31=0,"",_xlfn.XLOOKUP($B31,INPUT_DATA!$BP:$BP,INPUT_DATA!CA:CA))</f>
        <v>1808.9099999999996</v>
      </c>
      <c r="P31" s="140">
        <f>IF($B31=0,"",_xlfn.XLOOKUP($B31,INPUT_DATA!$BP:$BP,INPUT_DATA!CB:CB))</f>
        <v>0</v>
      </c>
      <c r="Q31" s="140">
        <f t="shared" si="3"/>
        <v>1997613.7599999995</v>
      </c>
      <c r="R31" s="1275">
        <f t="shared" si="4"/>
        <v>22</v>
      </c>
      <c r="S31" s="139">
        <f t="shared" si="5"/>
        <v>3390909.6399999997</v>
      </c>
      <c r="T31" s="139">
        <f t="shared" si="6"/>
        <v>3294.4299999999994</v>
      </c>
      <c r="U31" s="1880">
        <f t="shared" si="7"/>
        <v>0</v>
      </c>
      <c r="V31" s="139">
        <f t="shared" si="8"/>
        <v>3394204.0699999994</v>
      </c>
      <c r="W31" s="140">
        <f>IF($B31=0,"",_xlfn.XLOOKUP($B31,INPUT_DATA!$BP:$BP,INPUT_DATA!CC:CC))</f>
        <v>3390909.6399999997</v>
      </c>
      <c r="X31" s="140">
        <f>IF($B31=0,"",_xlfn.XLOOKUP($B31,INPUT_DATA!$BP:$BP,INPUT_DATA!CD:CD))</f>
        <v>3294.4299999999994</v>
      </c>
      <c r="Y31" s="140">
        <f>IF($B31=0,"",_xlfn.XLOOKUP($B31,INPUT_DATA!$BP:$BP,INPUT_DATA!CE:CE))</f>
        <v>0</v>
      </c>
      <c r="Z31" s="1300">
        <f t="shared" si="9"/>
        <v>1</v>
      </c>
      <c r="AA31" s="139">
        <f t="shared" si="10"/>
        <v>3394204.07</v>
      </c>
      <c r="AB31" s="139">
        <f>IF($B31=0,"",_xlfn.XLOOKUP($B31,INPUT_DATA!$BP:$BP,INPUT_DATA!CF:CF))</f>
        <v>22</v>
      </c>
      <c r="AC31" s="140">
        <f>IF($B31=0,"",_xlfn.XLOOKUP($B31,INPUT_DATA!$BP:$BP,INPUT_DATA!CG:CG))</f>
        <v>0</v>
      </c>
      <c r="AD31" s="140">
        <f>IF($B31=0,"",_xlfn.XLOOKUP($B31,INPUT_DATA!$BP:$BP,INPUT_DATA!CH:CH))</f>
        <v>0</v>
      </c>
      <c r="AE31" s="140">
        <f>IF($B31=0,"",_xlfn.XLOOKUP($B31,INPUT_DATA!$BP:$BP,INPUT_DATA!CI:CI))</f>
        <v>0</v>
      </c>
      <c r="AF31" s="1300">
        <f t="shared" si="11"/>
        <v>0.93</v>
      </c>
      <c r="AG31" s="139"/>
      <c r="AH31" s="139">
        <f t="shared" si="18"/>
        <v>0</v>
      </c>
      <c r="AI31" s="1275">
        <f>IF($B31=0,"",_xlfn.XLOOKUP($B31,INPUT_DATA!$BP:$BP,INPUT_DATA!CK:CK))</f>
        <v>0</v>
      </c>
      <c r="AJ31" s="140">
        <f>IF($B31=0,"",_xlfn.XLOOKUP($B31,INPUT_DATA!$BP:$BP,INPUT_DATA!CL:CL))</f>
        <v>254831.75</v>
      </c>
      <c r="AK31" s="140">
        <f>IF($B31=0,"",_xlfn.XLOOKUP($B31,INPUT_DATA!$BP:$BP,INPUT_DATA!CM:CM))</f>
        <v>459.87</v>
      </c>
      <c r="AL31" s="140">
        <f>IF($B31=0,"",_xlfn.XLOOKUP($B31,INPUT_DATA!$BP:$BP,INPUT_DATA!CN:CN))</f>
        <v>0</v>
      </c>
      <c r="AM31" s="1300">
        <f t="shared" si="13"/>
        <v>0.6</v>
      </c>
      <c r="AN31" s="139">
        <f>IF($B31=0,"",_xlfn.XLOOKUP($B31,INPUT_DATA!$BP:$BP,INPUT_DATA!CO:CO))</f>
        <v>10910.39</v>
      </c>
      <c r="AO31" s="139">
        <f t="shared" si="14"/>
        <v>244381.22999999998</v>
      </c>
      <c r="AP31" s="1275">
        <f>IF($B31=0,"",_xlfn.XLOOKUP($B31,INPUT_DATA!$BP:$BP,INPUT_DATA!CP:CP))</f>
        <v>2</v>
      </c>
      <c r="AQ31" s="139">
        <f t="shared" si="17"/>
        <v>3638585.3</v>
      </c>
      <c r="AR31" s="1275">
        <f t="shared" si="15"/>
        <v>24</v>
      </c>
    </row>
    <row r="32" spans="2:45">
      <c r="B32" s="137">
        <f>INPUT_DATA!BP23</f>
        <v>45626</v>
      </c>
      <c r="C32" s="1291">
        <f>IF($B32=0,"",_xlfn.XLOOKUP($B32,INPUT_DATA!$BP:$BP,INPUT_DATA!BQ:BQ))</f>
        <v>4</v>
      </c>
      <c r="D32" s="140">
        <f>IF($B32=0,"",_xlfn.XLOOKUP($B32,INPUT_DATA!$BP:$BP,INPUT_DATA!BR:BR))</f>
        <v>408945.69999999995</v>
      </c>
      <c r="E32" s="140">
        <f>IF($B32=0,"",_xlfn.XLOOKUP($B32,INPUT_DATA!$BP:$BP,INPUT_DATA!BS:BS))</f>
        <v>436.15000000000003</v>
      </c>
      <c r="F32" s="140">
        <f>IF($B32=0,"",_xlfn.XLOOKUP($B32,INPUT_DATA!$BP:$BP,INPUT_DATA!BT:BT))</f>
        <v>0</v>
      </c>
      <c r="G32" s="140">
        <f t="shared" si="1"/>
        <v>409381.85</v>
      </c>
      <c r="H32" s="1291">
        <f>IF($B32=0,"",_xlfn.XLOOKUP($B32,INPUT_DATA!$BP:$BP,INPUT_DATA!BU:BU))</f>
        <v>22</v>
      </c>
      <c r="I32" s="140">
        <f>IF($B32=0,"",_xlfn.XLOOKUP($B32,INPUT_DATA!$BP:$BP,INPUT_DATA!BV:BV))</f>
        <v>2678021.54</v>
      </c>
      <c r="J32" s="140">
        <f>IF($B32=0,"",_xlfn.XLOOKUP($B32,INPUT_DATA!$BP:$BP,INPUT_DATA!BW:BW))</f>
        <v>1937.04</v>
      </c>
      <c r="K32" s="140">
        <f>IF($B32=0,"",_xlfn.XLOOKUP($B32,INPUT_DATA!$BP:$BP,INPUT_DATA!BX:BX))</f>
        <v>0</v>
      </c>
      <c r="L32" s="140">
        <f t="shared" si="2"/>
        <v>2679958.58</v>
      </c>
      <c r="M32" s="1291">
        <f>IF($B32=0,"",_xlfn.XLOOKUP($B32,INPUT_DATA!$BP:$BP,INPUT_DATA!BY:BY))</f>
        <v>0</v>
      </c>
      <c r="N32" s="140">
        <f>IF($B32=0,"",_xlfn.XLOOKUP($B32,INPUT_DATA!$BP:$BP,INPUT_DATA!BZ:BZ))</f>
        <v>0</v>
      </c>
      <c r="O32" s="140">
        <f>IF($B32=0,"",_xlfn.XLOOKUP($B32,INPUT_DATA!$BP:$BP,INPUT_DATA!CA:CA))</f>
        <v>0</v>
      </c>
      <c r="P32" s="140">
        <f>IF($B32=0,"",_xlfn.XLOOKUP($B32,INPUT_DATA!$BP:$BP,INPUT_DATA!CB:CB))</f>
        <v>0</v>
      </c>
      <c r="Q32" s="140">
        <f t="shared" si="3"/>
        <v>0</v>
      </c>
      <c r="R32" s="1275">
        <f t="shared" si="4"/>
        <v>26</v>
      </c>
      <c r="S32" s="139">
        <f t="shared" si="5"/>
        <v>3086967.24</v>
      </c>
      <c r="T32" s="139">
        <f t="shared" si="6"/>
        <v>2373.19</v>
      </c>
      <c r="U32" s="1880">
        <f t="shared" si="7"/>
        <v>0</v>
      </c>
      <c r="V32" s="139">
        <f t="shared" si="8"/>
        <v>3089340.43</v>
      </c>
      <c r="W32" s="140">
        <f>IF($B32=0,"",_xlfn.XLOOKUP($B32,INPUT_DATA!$BP:$BP,INPUT_DATA!CC:CC))</f>
        <v>3086967.2399999998</v>
      </c>
      <c r="X32" s="140">
        <f>IF($B32=0,"",_xlfn.XLOOKUP($B32,INPUT_DATA!$BP:$BP,INPUT_DATA!CD:CD))</f>
        <v>2373.19</v>
      </c>
      <c r="Y32" s="140">
        <f>IF($B32=0,"",_xlfn.XLOOKUP($B32,INPUT_DATA!$BP:$BP,INPUT_DATA!CE:CE))</f>
        <v>0</v>
      </c>
      <c r="Z32" s="1300">
        <f t="shared" si="9"/>
        <v>1</v>
      </c>
      <c r="AA32" s="139">
        <f t="shared" si="10"/>
        <v>3089340.4299999997</v>
      </c>
      <c r="AB32" s="139">
        <f>IF($B32=0,"",_xlfn.XLOOKUP($B32,INPUT_DATA!$BP:$BP,INPUT_DATA!CF:CF))</f>
        <v>26</v>
      </c>
      <c r="AC32" s="140">
        <f>IF($B32=0,"",_xlfn.XLOOKUP($B32,INPUT_DATA!$BP:$BP,INPUT_DATA!CG:CG))</f>
        <v>0</v>
      </c>
      <c r="AD32" s="140">
        <f>IF($B32=0,"",_xlfn.XLOOKUP($B32,INPUT_DATA!$BP:$BP,INPUT_DATA!CH:CH))</f>
        <v>0</v>
      </c>
      <c r="AE32" s="140">
        <f>IF($B32=0,"",_xlfn.XLOOKUP($B32,INPUT_DATA!$BP:$BP,INPUT_DATA!CI:CI))</f>
        <v>0</v>
      </c>
      <c r="AF32" s="1300">
        <f t="shared" si="11"/>
        <v>0.93</v>
      </c>
      <c r="AG32" s="139"/>
      <c r="AH32" s="139">
        <f t="shared" si="18"/>
        <v>0</v>
      </c>
      <c r="AI32" s="1275">
        <f>IF($B32=0,"",_xlfn.XLOOKUP($B32,INPUT_DATA!$BP:$BP,INPUT_DATA!CK:CK))</f>
        <v>0</v>
      </c>
      <c r="AJ32" s="140">
        <f>IF($B32=0,"",_xlfn.XLOOKUP($B32,INPUT_DATA!$BP:$BP,INPUT_DATA!CL:CL))</f>
        <v>63768.42</v>
      </c>
      <c r="AK32" s="140">
        <f>IF($B32=0,"",_xlfn.XLOOKUP($B32,INPUT_DATA!$BP:$BP,INPUT_DATA!CM:CM))</f>
        <v>101.85</v>
      </c>
      <c r="AL32" s="140">
        <f>IF($B32=0,"",_xlfn.XLOOKUP($B32,INPUT_DATA!$BP:$BP,INPUT_DATA!CN:CN))</f>
        <v>0</v>
      </c>
      <c r="AM32" s="1300">
        <f t="shared" si="13"/>
        <v>0.6</v>
      </c>
      <c r="AN32" s="139">
        <f>IF($B32=0,"",_xlfn.XLOOKUP($B32,INPUT_DATA!$BP:$BP,INPUT_DATA!CO:CO))</f>
        <v>0</v>
      </c>
      <c r="AO32" s="139">
        <f t="shared" si="14"/>
        <v>63870.27</v>
      </c>
      <c r="AP32" s="1275">
        <f>IF($B32=0,"",_xlfn.XLOOKUP($B32,INPUT_DATA!$BP:$BP,INPUT_DATA!CP:CP))</f>
        <v>1</v>
      </c>
      <c r="AQ32" s="139">
        <f t="shared" si="17"/>
        <v>3153210.6999999997</v>
      </c>
      <c r="AR32" s="1275">
        <f t="shared" si="15"/>
        <v>27</v>
      </c>
    </row>
    <row r="33" spans="2:44">
      <c r="B33" s="137">
        <f>INPUT_DATA!BP24</f>
        <v>45596</v>
      </c>
      <c r="C33" s="1291">
        <f>IF($B33=0,"",_xlfn.XLOOKUP($B33,INPUT_DATA!$BP:$BP,INPUT_DATA!BQ:BQ))</f>
        <v>0</v>
      </c>
      <c r="D33" s="140">
        <f>IF($B33=0,"",_xlfn.XLOOKUP($B33,INPUT_DATA!$BP:$BP,INPUT_DATA!BR:BR))</f>
        <v>0</v>
      </c>
      <c r="E33" s="140">
        <f>IF($B33=0,"",_xlfn.XLOOKUP($B33,INPUT_DATA!$BP:$BP,INPUT_DATA!BS:BS))</f>
        <v>0</v>
      </c>
      <c r="F33" s="140">
        <f>IF($B33=0,"",_xlfn.XLOOKUP($B33,INPUT_DATA!$BP:$BP,INPUT_DATA!BT:BT))</f>
        <v>0</v>
      </c>
      <c r="G33" s="140">
        <f t="shared" si="1"/>
        <v>0</v>
      </c>
      <c r="H33" s="1291">
        <f>IF($B33=0,"",_xlfn.XLOOKUP($B33,INPUT_DATA!$BP:$BP,INPUT_DATA!BU:BU))</f>
        <v>2</v>
      </c>
      <c r="I33" s="140">
        <f>IF($B33=0,"",_xlfn.XLOOKUP($B33,INPUT_DATA!$BP:$BP,INPUT_DATA!BV:BV))</f>
        <v>262375.61</v>
      </c>
      <c r="J33" s="140">
        <f>IF($B33=0,"",_xlfn.XLOOKUP($B33,INPUT_DATA!$BP:$BP,INPUT_DATA!BW:BW))</f>
        <v>232.45</v>
      </c>
      <c r="K33" s="140">
        <f>IF($B33=0,"",_xlfn.XLOOKUP($B33,INPUT_DATA!$BP:$BP,INPUT_DATA!BX:BX))</f>
        <v>0</v>
      </c>
      <c r="L33" s="140">
        <f t="shared" si="2"/>
        <v>262608.06</v>
      </c>
      <c r="M33" s="1291">
        <f>IF($B33=0,"",_xlfn.XLOOKUP($B33,INPUT_DATA!$BP:$BP,INPUT_DATA!BY:BY))</f>
        <v>10</v>
      </c>
      <c r="N33" s="140">
        <f>IF($B33=0,"",_xlfn.XLOOKUP($B33,INPUT_DATA!$BP:$BP,INPUT_DATA!BZ:BZ))</f>
        <v>1276580.07</v>
      </c>
      <c r="O33" s="140">
        <f>IF($B33=0,"",_xlfn.XLOOKUP($B33,INPUT_DATA!$BP:$BP,INPUT_DATA!CA:CA))</f>
        <v>1196.04</v>
      </c>
      <c r="P33" s="140">
        <f>IF($B33=0,"",_xlfn.XLOOKUP($B33,INPUT_DATA!$BP:$BP,INPUT_DATA!CB:CB))</f>
        <v>0</v>
      </c>
      <c r="Q33" s="140">
        <f t="shared" si="3"/>
        <v>1277776.1100000001</v>
      </c>
      <c r="R33" s="1275">
        <f t="shared" si="4"/>
        <v>12</v>
      </c>
      <c r="S33" s="139">
        <f t="shared" si="5"/>
        <v>1538955.6800000002</v>
      </c>
      <c r="T33" s="139">
        <f t="shared" si="6"/>
        <v>1428.49</v>
      </c>
      <c r="U33" s="1880">
        <f t="shared" si="7"/>
        <v>0</v>
      </c>
      <c r="V33" s="139">
        <f t="shared" si="8"/>
        <v>1540384.1700000002</v>
      </c>
      <c r="W33" s="140">
        <f>IF($B33=0,"",_xlfn.XLOOKUP($B33,INPUT_DATA!$BP:$BP,INPUT_DATA!CC:CC))</f>
        <v>1538955.6800000002</v>
      </c>
      <c r="X33" s="140">
        <f>IF($B33=0,"",_xlfn.XLOOKUP($B33,INPUT_DATA!$BP:$BP,INPUT_DATA!CD:CD))</f>
        <v>1428.49</v>
      </c>
      <c r="Y33" s="140">
        <f>IF($B33=0,"",_xlfn.XLOOKUP($B33,INPUT_DATA!$BP:$BP,INPUT_DATA!CE:CE))</f>
        <v>0</v>
      </c>
      <c r="Z33" s="1300">
        <f t="shared" si="9"/>
        <v>1</v>
      </c>
      <c r="AA33" s="139">
        <f t="shared" si="10"/>
        <v>1540384.1700000002</v>
      </c>
      <c r="AB33" s="139">
        <f>IF($B33=0,"",_xlfn.XLOOKUP($B33,INPUT_DATA!$BP:$BP,INPUT_DATA!CF:CF))</f>
        <v>12</v>
      </c>
      <c r="AC33" s="140">
        <f>IF($B33=0,"",_xlfn.XLOOKUP($B33,INPUT_DATA!$BP:$BP,INPUT_DATA!CG:CG))</f>
        <v>0</v>
      </c>
      <c r="AD33" s="140">
        <f>IF($B33=0,"",_xlfn.XLOOKUP($B33,INPUT_DATA!$BP:$BP,INPUT_DATA!CH:CH))</f>
        <v>0</v>
      </c>
      <c r="AE33" s="140">
        <f>IF($B33=0,"",_xlfn.XLOOKUP($B33,INPUT_DATA!$BP:$BP,INPUT_DATA!CI:CI))</f>
        <v>0</v>
      </c>
      <c r="AF33" s="1300">
        <f t="shared" si="11"/>
        <v>0.93</v>
      </c>
      <c r="AG33" s="139"/>
      <c r="AH33" s="139">
        <f t="shared" si="18"/>
        <v>0</v>
      </c>
      <c r="AI33" s="1275">
        <f>IF($B33=0,"",_xlfn.XLOOKUP($B33,INPUT_DATA!$BP:$BP,INPUT_DATA!CK:CK))</f>
        <v>0</v>
      </c>
      <c r="AJ33" s="140">
        <f>IF($B33=0,"",_xlfn.XLOOKUP($B33,INPUT_DATA!$BP:$BP,INPUT_DATA!CL:CL))</f>
        <v>0</v>
      </c>
      <c r="AK33" s="140">
        <f>IF($B33=0,"",_xlfn.XLOOKUP($B33,INPUT_DATA!$BP:$BP,INPUT_DATA!CM:CM))</f>
        <v>0</v>
      </c>
      <c r="AL33" s="140">
        <f>IF($B33=0,"",_xlfn.XLOOKUP($B33,INPUT_DATA!$BP:$BP,INPUT_DATA!CN:CN))</f>
        <v>0</v>
      </c>
      <c r="AM33" s="1300">
        <f t="shared" si="13"/>
        <v>0.6</v>
      </c>
      <c r="AN33" s="139">
        <f>IF($B33=0,"",_xlfn.XLOOKUP($B33,INPUT_DATA!$BP:$BP,INPUT_DATA!CO:CO))</f>
        <v>0</v>
      </c>
      <c r="AO33" s="139">
        <f t="shared" si="14"/>
        <v>0</v>
      </c>
      <c r="AP33" s="1275">
        <f>IF($B33=0,"",_xlfn.XLOOKUP($B33,INPUT_DATA!$BP:$BP,INPUT_DATA!CP:CP))</f>
        <v>0</v>
      </c>
      <c r="AQ33" s="139">
        <f t="shared" si="17"/>
        <v>1540384.1700000002</v>
      </c>
      <c r="AR33" s="1275">
        <f t="shared" si="15"/>
        <v>12</v>
      </c>
    </row>
    <row r="34" spans="2:44">
      <c r="B34" s="137">
        <f>INPUT_DATA!BP25</f>
        <v>45565</v>
      </c>
      <c r="C34" s="1291">
        <f>IF($B34=0,"",_xlfn.XLOOKUP($B34,INPUT_DATA!$BP:$BP,INPUT_DATA!BQ:BQ))</f>
        <v>0</v>
      </c>
      <c r="D34" s="140">
        <f>IF($B34=0,"",_xlfn.XLOOKUP($B34,INPUT_DATA!$BP:$BP,INPUT_DATA!BR:BR))</f>
        <v>0</v>
      </c>
      <c r="E34" s="140">
        <f>IF($B34=0,"",_xlfn.XLOOKUP($B34,INPUT_DATA!$BP:$BP,INPUT_DATA!BS:BS))</f>
        <v>0</v>
      </c>
      <c r="F34" s="140">
        <f>IF($B34=0,"",_xlfn.XLOOKUP($B34,INPUT_DATA!$BP:$BP,INPUT_DATA!BT:BT))</f>
        <v>0</v>
      </c>
      <c r="G34" s="140">
        <f t="shared" si="1"/>
        <v>0</v>
      </c>
      <c r="H34" s="1291">
        <f>IF($B34=0,"",_xlfn.XLOOKUP($B34,INPUT_DATA!$BP:$BP,INPUT_DATA!BU:BU))</f>
        <v>0</v>
      </c>
      <c r="I34" s="140">
        <f>IF($B34=0,"",_xlfn.XLOOKUP($B34,INPUT_DATA!$BP:$BP,INPUT_DATA!BV:BV))</f>
        <v>0</v>
      </c>
      <c r="J34" s="140">
        <f>IF($B34=0,"",_xlfn.XLOOKUP($B34,INPUT_DATA!$BP:$BP,INPUT_DATA!BW:BW))</f>
        <v>0</v>
      </c>
      <c r="K34" s="140">
        <f>IF($B34=0,"",_xlfn.XLOOKUP($B34,INPUT_DATA!$BP:$BP,INPUT_DATA!BX:BX))</f>
        <v>0</v>
      </c>
      <c r="L34" s="140">
        <f t="shared" si="2"/>
        <v>0</v>
      </c>
      <c r="M34" s="1291">
        <f>IF($B34=0,"",_xlfn.XLOOKUP($B34,INPUT_DATA!$BP:$BP,INPUT_DATA!BY:BY))</f>
        <v>0</v>
      </c>
      <c r="N34" s="140">
        <f>IF($B34=0,"",_xlfn.XLOOKUP($B34,INPUT_DATA!$BP:$BP,INPUT_DATA!BZ:BZ))</f>
        <v>0</v>
      </c>
      <c r="O34" s="140">
        <f>IF($B34=0,"",_xlfn.XLOOKUP($B34,INPUT_DATA!$BP:$BP,INPUT_DATA!CA:CA))</f>
        <v>0</v>
      </c>
      <c r="P34" s="140">
        <f>IF($B34=0,"",_xlfn.XLOOKUP($B34,INPUT_DATA!$BP:$BP,INPUT_DATA!CB:CB))</f>
        <v>0</v>
      </c>
      <c r="Q34" s="140">
        <f t="shared" si="3"/>
        <v>0</v>
      </c>
      <c r="R34" s="1275">
        <f t="shared" si="4"/>
        <v>0</v>
      </c>
      <c r="S34" s="139">
        <f t="shared" si="5"/>
        <v>0</v>
      </c>
      <c r="T34" s="139">
        <f t="shared" si="6"/>
        <v>0</v>
      </c>
      <c r="U34" s="1880">
        <f t="shared" si="7"/>
        <v>0</v>
      </c>
      <c r="V34" s="139">
        <f t="shared" si="8"/>
        <v>0</v>
      </c>
      <c r="W34" s="140">
        <f>IF($B34=0,"",_xlfn.XLOOKUP($B34,INPUT_DATA!$BP:$BP,INPUT_DATA!CC:CC))</f>
        <v>0</v>
      </c>
      <c r="X34" s="140">
        <f>IF($B34=0,"",_xlfn.XLOOKUP($B34,INPUT_DATA!$BP:$BP,INPUT_DATA!CD:CD))</f>
        <v>0</v>
      </c>
      <c r="Y34" s="140">
        <f>IF($B34=0,"",_xlfn.XLOOKUP($B34,INPUT_DATA!$BP:$BP,INPUT_DATA!CE:CE))</f>
        <v>0</v>
      </c>
      <c r="Z34" s="1300">
        <f t="shared" si="9"/>
        <v>1</v>
      </c>
      <c r="AA34" s="139">
        <f t="shared" si="10"/>
        <v>0</v>
      </c>
      <c r="AB34" s="139">
        <f>IF($B34=0,"",_xlfn.XLOOKUP($B34,INPUT_DATA!$BP:$BP,INPUT_DATA!CF:CF))</f>
        <v>0</v>
      </c>
      <c r="AC34" s="140">
        <f>IF($B34=0,"",_xlfn.XLOOKUP($B34,INPUT_DATA!$BP:$BP,INPUT_DATA!CG:CG))</f>
        <v>0</v>
      </c>
      <c r="AD34" s="140">
        <f>IF($B34=0,"",_xlfn.XLOOKUP($B34,INPUT_DATA!$BP:$BP,INPUT_DATA!CH:CH))</f>
        <v>0</v>
      </c>
      <c r="AE34" s="140">
        <f>IF($B34=0,"",_xlfn.XLOOKUP($B34,INPUT_DATA!$BP:$BP,INPUT_DATA!CI:CI))</f>
        <v>0</v>
      </c>
      <c r="AF34" s="1300">
        <f t="shared" si="11"/>
        <v>0.93</v>
      </c>
      <c r="AG34" s="139"/>
      <c r="AH34" s="139">
        <f t="shared" si="18"/>
        <v>0</v>
      </c>
      <c r="AI34" s="1275">
        <f>IF($B34=0,"",_xlfn.XLOOKUP($B34,INPUT_DATA!$BP:$BP,INPUT_DATA!CK:CK))</f>
        <v>0</v>
      </c>
      <c r="AJ34" s="140">
        <f>IF($B34=0,"",_xlfn.XLOOKUP($B34,INPUT_DATA!$BP:$BP,INPUT_DATA!CL:CL))</f>
        <v>0</v>
      </c>
      <c r="AK34" s="140">
        <f>IF($B34=0,"",_xlfn.XLOOKUP($B34,INPUT_DATA!$BP:$BP,INPUT_DATA!CM:CM))</f>
        <v>0</v>
      </c>
      <c r="AL34" s="140">
        <f>IF($B34=0,"",_xlfn.XLOOKUP($B34,INPUT_DATA!$BP:$BP,INPUT_DATA!CN:CN))</f>
        <v>0</v>
      </c>
      <c r="AM34" s="1300">
        <f t="shared" si="13"/>
        <v>0.6</v>
      </c>
      <c r="AN34" s="139">
        <f>IF($B34=0,"",_xlfn.XLOOKUP($B34,INPUT_DATA!$BP:$BP,INPUT_DATA!CO:CO))</f>
        <v>0</v>
      </c>
      <c r="AO34" s="139">
        <f t="shared" si="14"/>
        <v>0</v>
      </c>
      <c r="AP34" s="1275">
        <f>IF($B34=0,"",_xlfn.XLOOKUP($B34,INPUT_DATA!$BP:$BP,INPUT_DATA!CP:CP))</f>
        <v>0</v>
      </c>
      <c r="AQ34" s="139">
        <f t="shared" si="17"/>
        <v>0</v>
      </c>
      <c r="AR34" s="1275">
        <f t="shared" si="15"/>
        <v>0</v>
      </c>
    </row>
    <row r="35" spans="2:44">
      <c r="B35" s="137">
        <f>INPUT_DATA!BP26</f>
        <v>0</v>
      </c>
      <c r="C35" s="1291" t="str">
        <f>IF($B35=0,"",_xlfn.XLOOKUP($B35,INPUT_DATA!$BP:$BP,INPUT_DATA!BQ:BQ))</f>
        <v/>
      </c>
      <c r="D35" s="140" t="str">
        <f>IF($B35=0,"",_xlfn.XLOOKUP($B35,INPUT_DATA!$BP:$BP,INPUT_DATA!BR:BR))</f>
        <v/>
      </c>
      <c r="E35" s="140" t="str">
        <f>IF($B35=0,"",_xlfn.XLOOKUP($B35,INPUT_DATA!$BP:$BP,INPUT_DATA!BS:BS))</f>
        <v/>
      </c>
      <c r="F35" s="140" t="str">
        <f>IF($B35=0,"",_xlfn.XLOOKUP($B35,INPUT_DATA!$BP:$BP,INPUT_DATA!BT:BT))</f>
        <v/>
      </c>
      <c r="G35" s="140" t="str">
        <f t="shared" si="1"/>
        <v/>
      </c>
      <c r="H35" s="1291" t="str">
        <f>IF($B35=0,"",_xlfn.XLOOKUP($B35,INPUT_DATA!$BP:$BP,INPUT_DATA!BU:BU))</f>
        <v/>
      </c>
      <c r="I35" s="140" t="str">
        <f>IF($B35=0,"",_xlfn.XLOOKUP($B35,INPUT_DATA!$BP:$BP,INPUT_DATA!BV:BV))</f>
        <v/>
      </c>
      <c r="J35" s="140" t="str">
        <f>IF($B35=0,"",_xlfn.XLOOKUP($B35,INPUT_DATA!$BP:$BP,INPUT_DATA!BW:BW))</f>
        <v/>
      </c>
      <c r="K35" s="140" t="str">
        <f>IF($B35=0,"",_xlfn.XLOOKUP($B35,INPUT_DATA!$BP:$BP,INPUT_DATA!BX:BX))</f>
        <v/>
      </c>
      <c r="L35" s="140" t="str">
        <f t="shared" si="2"/>
        <v/>
      </c>
      <c r="M35" s="1291" t="str">
        <f>IF($B35=0,"",_xlfn.XLOOKUP($B35,INPUT_DATA!$BP:$BP,INPUT_DATA!BY:BY))</f>
        <v/>
      </c>
      <c r="N35" s="140" t="str">
        <f>IF($B35=0,"",_xlfn.XLOOKUP($B35,INPUT_DATA!$BP:$BP,INPUT_DATA!BZ:BZ))</f>
        <v/>
      </c>
      <c r="O35" s="140" t="str">
        <f>IF($B35=0,"",_xlfn.XLOOKUP($B35,INPUT_DATA!$BP:$BP,INPUT_DATA!CA:CA))</f>
        <v/>
      </c>
      <c r="P35" s="140" t="str">
        <f>IF($B35=0,"",_xlfn.XLOOKUP($B35,INPUT_DATA!$BP:$BP,INPUT_DATA!CB:CB))</f>
        <v/>
      </c>
      <c r="Q35" s="140" t="str">
        <f t="shared" si="3"/>
        <v/>
      </c>
      <c r="R35" s="1275" t="str">
        <f t="shared" si="4"/>
        <v/>
      </c>
      <c r="S35" s="139" t="str">
        <f t="shared" si="5"/>
        <v/>
      </c>
      <c r="T35" s="139" t="str">
        <f t="shared" si="6"/>
        <v/>
      </c>
      <c r="U35" s="1880" t="str">
        <f t="shared" si="7"/>
        <v/>
      </c>
      <c r="V35" s="139" t="str">
        <f t="shared" si="8"/>
        <v/>
      </c>
      <c r="W35" s="140" t="str">
        <f>IF($B35=0,"",_xlfn.XLOOKUP($B35,INPUT_DATA!$BP:$BP,INPUT_DATA!CC:CC))</f>
        <v/>
      </c>
      <c r="X35" s="140" t="str">
        <f>IF($B35=0,"",_xlfn.XLOOKUP($B35,INPUT_DATA!$BP:$BP,INPUT_DATA!CD:CD))</f>
        <v/>
      </c>
      <c r="Y35" s="140" t="str">
        <f>IF($B35=0,"",_xlfn.XLOOKUP($B35,INPUT_DATA!$BP:$BP,INPUT_DATA!CE:CE))</f>
        <v/>
      </c>
      <c r="Z35" s="1300" t="str">
        <f t="shared" si="9"/>
        <v/>
      </c>
      <c r="AA35" s="139" t="str">
        <f t="shared" si="10"/>
        <v/>
      </c>
      <c r="AB35" s="139" t="str">
        <f>IF($B35=0,"",_xlfn.XLOOKUP($B35,INPUT_DATA!$BP:$BP,INPUT_DATA!CF:CF))</f>
        <v/>
      </c>
      <c r="AC35" s="140" t="str">
        <f>IF($B35=0,"",_xlfn.XLOOKUP($B35,INPUT_DATA!$BP:$BP,INPUT_DATA!CG:CG))</f>
        <v/>
      </c>
      <c r="AD35" s="140" t="str">
        <f>IF($B35=0,"",_xlfn.XLOOKUP($B35,INPUT_DATA!$BP:$BP,INPUT_DATA!CH:CH))</f>
        <v/>
      </c>
      <c r="AE35" s="140" t="str">
        <f>IF($B35=0,"",_xlfn.XLOOKUP($B35,INPUT_DATA!$BP:$BP,INPUT_DATA!CI:CI))</f>
        <v/>
      </c>
      <c r="AF35" s="1300" t="str">
        <f t="shared" si="11"/>
        <v/>
      </c>
      <c r="AG35" s="139"/>
      <c r="AH35" s="139" t="str">
        <f t="shared" si="18"/>
        <v/>
      </c>
      <c r="AI35" s="1275" t="str">
        <f>IF($B35=0,"",_xlfn.XLOOKUP($B35,INPUT_DATA!$BP:$BP,INPUT_DATA!CK:CK))</f>
        <v/>
      </c>
      <c r="AJ35" s="140" t="str">
        <f>IF($B35=0,"",_xlfn.XLOOKUP($B35,INPUT_DATA!$BP:$BP,INPUT_DATA!CL:CL))</f>
        <v/>
      </c>
      <c r="AK35" s="140" t="str">
        <f>IF($B35=0,"",_xlfn.XLOOKUP($B35,INPUT_DATA!$BP:$BP,INPUT_DATA!CM:CM))</f>
        <v/>
      </c>
      <c r="AL35" s="140" t="str">
        <f>IF($B35=0,"",_xlfn.XLOOKUP($B35,INPUT_DATA!$BP:$BP,INPUT_DATA!CN:CN))</f>
        <v/>
      </c>
      <c r="AM35" s="1300" t="str">
        <f t="shared" si="13"/>
        <v/>
      </c>
      <c r="AN35" s="139" t="str">
        <f>IF($B35=0,"",_xlfn.XLOOKUP($B35,INPUT_DATA!$BP:$BP,INPUT_DATA!CO:CO))</f>
        <v/>
      </c>
      <c r="AO35" s="139" t="str">
        <f t="shared" si="14"/>
        <v/>
      </c>
      <c r="AP35" s="1275" t="str">
        <f>IF($B35=0,"",_xlfn.XLOOKUP($B35,INPUT_DATA!$BP:$BP,INPUT_DATA!CP:CP))</f>
        <v/>
      </c>
      <c r="AQ35" s="139" t="str">
        <f t="shared" si="17"/>
        <v/>
      </c>
      <c r="AR35" s="1275" t="str">
        <f t="shared" si="15"/>
        <v/>
      </c>
    </row>
    <row r="36" spans="2:44">
      <c r="B36" s="137">
        <f>INPUT_DATA!BP27</f>
        <v>0</v>
      </c>
      <c r="C36" s="1291" t="str">
        <f>IF($B36=0,"",_xlfn.XLOOKUP($B36,INPUT_DATA!$BP:$BP,INPUT_DATA!BQ:BQ))</f>
        <v/>
      </c>
      <c r="D36" s="140" t="str">
        <f>IF($B36=0,"",_xlfn.XLOOKUP($B36,INPUT_DATA!$BP:$BP,INPUT_DATA!BR:BR))</f>
        <v/>
      </c>
      <c r="E36" s="140" t="str">
        <f>IF($B36=0,"",_xlfn.XLOOKUP($B36,INPUT_DATA!$BP:$BP,INPUT_DATA!BS:BS))</f>
        <v/>
      </c>
      <c r="F36" s="140" t="str">
        <f>IF($B36=0,"",_xlfn.XLOOKUP($B36,INPUT_DATA!$BP:$BP,INPUT_DATA!BT:BT))</f>
        <v/>
      </c>
      <c r="G36" s="140" t="str">
        <f t="shared" si="1"/>
        <v/>
      </c>
      <c r="H36" s="1291" t="str">
        <f>IF($B36=0,"",_xlfn.XLOOKUP($B36,INPUT_DATA!$BP:$BP,INPUT_DATA!BU:BU))</f>
        <v/>
      </c>
      <c r="I36" s="140" t="str">
        <f>IF($B36=0,"",_xlfn.XLOOKUP($B36,INPUT_DATA!$BP:$BP,INPUT_DATA!BV:BV))</f>
        <v/>
      </c>
      <c r="J36" s="140" t="str">
        <f>IF($B36=0,"",_xlfn.XLOOKUP($B36,INPUT_DATA!$BP:$BP,INPUT_DATA!BW:BW))</f>
        <v/>
      </c>
      <c r="K36" s="140" t="str">
        <f>IF($B36=0,"",_xlfn.XLOOKUP($B36,INPUT_DATA!$BP:$BP,INPUT_DATA!BX:BX))</f>
        <v/>
      </c>
      <c r="L36" s="140" t="str">
        <f t="shared" si="2"/>
        <v/>
      </c>
      <c r="M36" s="1291" t="str">
        <f>IF($B36=0,"",_xlfn.XLOOKUP($B36,INPUT_DATA!$BP:$BP,INPUT_DATA!BY:BY))</f>
        <v/>
      </c>
      <c r="N36" s="140" t="str">
        <f>IF($B36=0,"",_xlfn.XLOOKUP($B36,INPUT_DATA!$BP:$BP,INPUT_DATA!BZ:BZ))</f>
        <v/>
      </c>
      <c r="O36" s="140" t="str">
        <f>IF($B36=0,"",_xlfn.XLOOKUP($B36,INPUT_DATA!$BP:$BP,INPUT_DATA!CA:CA))</f>
        <v/>
      </c>
      <c r="P36" s="140" t="str">
        <f>IF($B36=0,"",_xlfn.XLOOKUP($B36,INPUT_DATA!$BP:$BP,INPUT_DATA!CB:CB))</f>
        <v/>
      </c>
      <c r="Q36" s="140" t="str">
        <f t="shared" si="3"/>
        <v/>
      </c>
      <c r="R36" s="1275" t="str">
        <f t="shared" si="4"/>
        <v/>
      </c>
      <c r="S36" s="139" t="str">
        <f t="shared" si="5"/>
        <v/>
      </c>
      <c r="T36" s="139" t="str">
        <f t="shared" si="6"/>
        <v/>
      </c>
      <c r="U36" s="1880" t="str">
        <f t="shared" si="7"/>
        <v/>
      </c>
      <c r="V36" s="139" t="str">
        <f t="shared" si="8"/>
        <v/>
      </c>
      <c r="W36" s="140" t="str">
        <f>IF($B36=0,"",_xlfn.XLOOKUP($B36,INPUT_DATA!$BP:$BP,INPUT_DATA!CC:CC))</f>
        <v/>
      </c>
      <c r="X36" s="140" t="str">
        <f>IF($B36=0,"",_xlfn.XLOOKUP($B36,INPUT_DATA!$BP:$BP,INPUT_DATA!CD:CD))</f>
        <v/>
      </c>
      <c r="Y36" s="140" t="str">
        <f>IF($B36=0,"",_xlfn.XLOOKUP($B36,INPUT_DATA!$BP:$BP,INPUT_DATA!CE:CE))</f>
        <v/>
      </c>
      <c r="Z36" s="1300" t="str">
        <f t="shared" si="9"/>
        <v/>
      </c>
      <c r="AA36" s="139" t="str">
        <f t="shared" si="10"/>
        <v/>
      </c>
      <c r="AB36" s="139" t="str">
        <f>IF($B36=0,"",_xlfn.XLOOKUP($B36,INPUT_DATA!$BP:$BP,INPUT_DATA!CF:CF))</f>
        <v/>
      </c>
      <c r="AC36" s="140" t="str">
        <f>IF($B36=0,"",_xlfn.XLOOKUP($B36,INPUT_DATA!$BP:$BP,INPUT_DATA!CG:CG))</f>
        <v/>
      </c>
      <c r="AD36" s="140" t="str">
        <f>IF($B36=0,"",_xlfn.XLOOKUP($B36,INPUT_DATA!$BP:$BP,INPUT_DATA!CH:CH))</f>
        <v/>
      </c>
      <c r="AE36" s="140" t="str">
        <f>IF($B36=0,"",_xlfn.XLOOKUP($B36,INPUT_DATA!$BP:$BP,INPUT_DATA!CI:CI))</f>
        <v/>
      </c>
      <c r="AF36" s="1300" t="str">
        <f t="shared" si="11"/>
        <v/>
      </c>
      <c r="AG36" s="139"/>
      <c r="AH36" s="139" t="str">
        <f t="shared" si="18"/>
        <v/>
      </c>
      <c r="AI36" s="1275" t="str">
        <f>IF($B36=0,"",_xlfn.XLOOKUP($B36,INPUT_DATA!$BP:$BP,INPUT_DATA!CK:CK))</f>
        <v/>
      </c>
      <c r="AJ36" s="140" t="str">
        <f>IF($B36=0,"",_xlfn.XLOOKUP($B36,INPUT_DATA!$BP:$BP,INPUT_DATA!CL:CL))</f>
        <v/>
      </c>
      <c r="AK36" s="140" t="str">
        <f>IF($B36=0,"",_xlfn.XLOOKUP($B36,INPUT_DATA!$BP:$BP,INPUT_DATA!CM:CM))</f>
        <v/>
      </c>
      <c r="AL36" s="140" t="str">
        <f>IF($B36=0,"",_xlfn.XLOOKUP($B36,INPUT_DATA!$BP:$BP,INPUT_DATA!CN:CN))</f>
        <v/>
      </c>
      <c r="AM36" s="1300" t="str">
        <f t="shared" si="13"/>
        <v/>
      </c>
      <c r="AN36" s="139" t="str">
        <f>IF($B36=0,"",_xlfn.XLOOKUP($B36,INPUT_DATA!$BP:$BP,INPUT_DATA!CO:CO))</f>
        <v/>
      </c>
      <c r="AO36" s="139" t="str">
        <f t="shared" si="14"/>
        <v/>
      </c>
      <c r="AP36" s="1275" t="str">
        <f>IF($B36=0,"",_xlfn.XLOOKUP($B36,INPUT_DATA!$BP:$BP,INPUT_DATA!CP:CP))</f>
        <v/>
      </c>
      <c r="AQ36" s="139" t="str">
        <f t="shared" si="17"/>
        <v/>
      </c>
      <c r="AR36" s="1275" t="str">
        <f t="shared" si="15"/>
        <v/>
      </c>
    </row>
    <row r="37" spans="2:44">
      <c r="B37" s="137">
        <f>INPUT_DATA!BP28</f>
        <v>0</v>
      </c>
      <c r="C37" s="1291" t="str">
        <f>IF($B37=0,"",_xlfn.XLOOKUP($B37,INPUT_DATA!$BP:$BP,INPUT_DATA!BQ:BQ))</f>
        <v/>
      </c>
      <c r="D37" s="140" t="str">
        <f>IF($B37=0,"",_xlfn.XLOOKUP($B37,INPUT_DATA!$BP:$BP,INPUT_DATA!BR:BR))</f>
        <v/>
      </c>
      <c r="E37" s="140" t="str">
        <f>IF($B37=0,"",_xlfn.XLOOKUP($B37,INPUT_DATA!$BP:$BP,INPUT_DATA!BS:BS))</f>
        <v/>
      </c>
      <c r="F37" s="140" t="str">
        <f>IF($B37=0,"",_xlfn.XLOOKUP($B37,INPUT_DATA!$BP:$BP,INPUT_DATA!BT:BT))</f>
        <v/>
      </c>
      <c r="G37" s="140" t="str">
        <f t="shared" si="1"/>
        <v/>
      </c>
      <c r="H37" s="1291" t="str">
        <f>IF($B37=0,"",_xlfn.XLOOKUP($B37,INPUT_DATA!$BP:$BP,INPUT_DATA!BU:BU))</f>
        <v/>
      </c>
      <c r="I37" s="140" t="str">
        <f>IF($B37=0,"",_xlfn.XLOOKUP($B37,INPUT_DATA!$BP:$BP,INPUT_DATA!BV:BV))</f>
        <v/>
      </c>
      <c r="J37" s="140" t="str">
        <f>IF($B37=0,"",_xlfn.XLOOKUP($B37,INPUT_DATA!$BP:$BP,INPUT_DATA!BW:BW))</f>
        <v/>
      </c>
      <c r="K37" s="140" t="str">
        <f>IF($B37=0,"",_xlfn.XLOOKUP($B37,INPUT_DATA!$BP:$BP,INPUT_DATA!BX:BX))</f>
        <v/>
      </c>
      <c r="L37" s="140" t="str">
        <f t="shared" si="2"/>
        <v/>
      </c>
      <c r="M37" s="1291" t="str">
        <f>IF($B37=0,"",_xlfn.XLOOKUP($B37,INPUT_DATA!$BP:$BP,INPUT_DATA!BY:BY))</f>
        <v/>
      </c>
      <c r="N37" s="140" t="str">
        <f>IF($B37=0,"",_xlfn.XLOOKUP($B37,INPUT_DATA!$BP:$BP,INPUT_DATA!BZ:BZ))</f>
        <v/>
      </c>
      <c r="O37" s="140" t="str">
        <f>IF($B37=0,"",_xlfn.XLOOKUP($B37,INPUT_DATA!$BP:$BP,INPUT_DATA!CA:CA))</f>
        <v/>
      </c>
      <c r="P37" s="140" t="str">
        <f>IF($B37=0,"",_xlfn.XLOOKUP($B37,INPUT_DATA!$BP:$BP,INPUT_DATA!CB:CB))</f>
        <v/>
      </c>
      <c r="Q37" s="140" t="str">
        <f t="shared" si="3"/>
        <v/>
      </c>
      <c r="R37" s="1275" t="str">
        <f t="shared" si="4"/>
        <v/>
      </c>
      <c r="S37" s="139" t="str">
        <f t="shared" si="5"/>
        <v/>
      </c>
      <c r="T37" s="139" t="str">
        <f t="shared" si="6"/>
        <v/>
      </c>
      <c r="U37" s="1880" t="str">
        <f t="shared" si="7"/>
        <v/>
      </c>
      <c r="V37" s="139" t="str">
        <f t="shared" si="8"/>
        <v/>
      </c>
      <c r="W37" s="140" t="str">
        <f>IF($B37=0,"",_xlfn.XLOOKUP($B37,INPUT_DATA!$BP:$BP,INPUT_DATA!CC:CC))</f>
        <v/>
      </c>
      <c r="X37" s="140" t="str">
        <f>IF($B37=0,"",_xlfn.XLOOKUP($B37,INPUT_DATA!$BP:$BP,INPUT_DATA!CD:CD))</f>
        <v/>
      </c>
      <c r="Y37" s="140" t="str">
        <f>IF($B37=0,"",_xlfn.XLOOKUP($B37,INPUT_DATA!$BP:$BP,INPUT_DATA!CE:CE))</f>
        <v/>
      </c>
      <c r="Z37" s="1300" t="str">
        <f t="shared" si="9"/>
        <v/>
      </c>
      <c r="AA37" s="139" t="str">
        <f t="shared" si="10"/>
        <v/>
      </c>
      <c r="AB37" s="139" t="str">
        <f>IF($B37=0,"",_xlfn.XLOOKUP($B37,INPUT_DATA!$BP:$BP,INPUT_DATA!CF:CF))</f>
        <v/>
      </c>
      <c r="AC37" s="140" t="str">
        <f>IF($B37=0,"",_xlfn.XLOOKUP($B37,INPUT_DATA!$BP:$BP,INPUT_DATA!CG:CG))</f>
        <v/>
      </c>
      <c r="AD37" s="140" t="str">
        <f>IF($B37=0,"",_xlfn.XLOOKUP($B37,INPUT_DATA!$BP:$BP,INPUT_DATA!CH:CH))</f>
        <v/>
      </c>
      <c r="AE37" s="140" t="str">
        <f>IF($B37=0,"",_xlfn.XLOOKUP($B37,INPUT_DATA!$BP:$BP,INPUT_DATA!CI:CI))</f>
        <v/>
      </c>
      <c r="AF37" s="1300" t="str">
        <f t="shared" si="11"/>
        <v/>
      </c>
      <c r="AG37" s="139"/>
      <c r="AH37" s="139" t="str">
        <f t="shared" si="18"/>
        <v/>
      </c>
      <c r="AI37" s="1275" t="str">
        <f>IF($B37=0,"",_xlfn.XLOOKUP($B37,INPUT_DATA!$BP:$BP,INPUT_DATA!CK:CK))</f>
        <v/>
      </c>
      <c r="AJ37" s="140" t="str">
        <f>IF($B37=0,"",_xlfn.XLOOKUP($B37,INPUT_DATA!$BP:$BP,INPUT_DATA!CL:CL))</f>
        <v/>
      </c>
      <c r="AK37" s="140" t="str">
        <f>IF($B37=0,"",_xlfn.XLOOKUP($B37,INPUT_DATA!$BP:$BP,INPUT_DATA!CM:CM))</f>
        <v/>
      </c>
      <c r="AL37" s="140" t="str">
        <f>IF($B37=0,"",_xlfn.XLOOKUP($B37,INPUT_DATA!$BP:$BP,INPUT_DATA!CN:CN))</f>
        <v/>
      </c>
      <c r="AM37" s="1300" t="str">
        <f t="shared" si="13"/>
        <v/>
      </c>
      <c r="AN37" s="139" t="str">
        <f>IF($B37=0,"",_xlfn.XLOOKUP($B37,INPUT_DATA!$BP:$BP,INPUT_DATA!CO:CO))</f>
        <v/>
      </c>
      <c r="AO37" s="139" t="str">
        <f t="shared" si="14"/>
        <v/>
      </c>
      <c r="AP37" s="1275" t="str">
        <f>IF($B37=0,"",_xlfn.XLOOKUP($B37,INPUT_DATA!$BP:$BP,INPUT_DATA!CP:CP))</f>
        <v/>
      </c>
      <c r="AQ37" s="139" t="str">
        <f t="shared" si="17"/>
        <v/>
      </c>
      <c r="AR37" s="1275" t="str">
        <f t="shared" si="15"/>
        <v/>
      </c>
    </row>
    <row r="38" spans="2:44">
      <c r="B38" s="137">
        <f>INPUT_DATA!BP29</f>
        <v>0</v>
      </c>
      <c r="C38" s="1291" t="str">
        <f>IF($B38=0,"",_xlfn.XLOOKUP($B38,INPUT_DATA!$BP:$BP,INPUT_DATA!BQ:BQ))</f>
        <v/>
      </c>
      <c r="D38" s="140" t="str">
        <f>IF($B38=0,"",_xlfn.XLOOKUP($B38,INPUT_DATA!$BP:$BP,INPUT_DATA!BR:BR))</f>
        <v/>
      </c>
      <c r="E38" s="140" t="str">
        <f>IF($B38=0,"",_xlfn.XLOOKUP($B38,INPUT_DATA!$BP:$BP,INPUT_DATA!BS:BS))</f>
        <v/>
      </c>
      <c r="F38" s="140" t="str">
        <f>IF($B38=0,"",_xlfn.XLOOKUP($B38,INPUT_DATA!$BP:$BP,INPUT_DATA!BT:BT))</f>
        <v/>
      </c>
      <c r="G38" s="140" t="str">
        <f t="shared" si="1"/>
        <v/>
      </c>
      <c r="H38" s="1291" t="str">
        <f>IF($B38=0,"",_xlfn.XLOOKUP($B38,INPUT_DATA!$BP:$BP,INPUT_DATA!BU:BU))</f>
        <v/>
      </c>
      <c r="I38" s="140" t="str">
        <f>IF($B38=0,"",_xlfn.XLOOKUP($B38,INPUT_DATA!$BP:$BP,INPUT_DATA!BV:BV))</f>
        <v/>
      </c>
      <c r="J38" s="140" t="str">
        <f>IF($B38=0,"",_xlfn.XLOOKUP($B38,INPUT_DATA!$BP:$BP,INPUT_DATA!BW:BW))</f>
        <v/>
      </c>
      <c r="K38" s="140" t="str">
        <f>IF($B38=0,"",_xlfn.XLOOKUP($B38,INPUT_DATA!$BP:$BP,INPUT_DATA!BX:BX))</f>
        <v/>
      </c>
      <c r="L38" s="140" t="str">
        <f t="shared" si="2"/>
        <v/>
      </c>
      <c r="M38" s="1291" t="str">
        <f>IF($B38=0,"",_xlfn.XLOOKUP($B38,INPUT_DATA!$BP:$BP,INPUT_DATA!BY:BY))</f>
        <v/>
      </c>
      <c r="N38" s="140" t="str">
        <f>IF($B38=0,"",_xlfn.XLOOKUP($B38,INPUT_DATA!$BP:$BP,INPUT_DATA!BZ:BZ))</f>
        <v/>
      </c>
      <c r="O38" s="140" t="str">
        <f>IF($B38=0,"",_xlfn.XLOOKUP($B38,INPUT_DATA!$BP:$BP,INPUT_DATA!CA:CA))</f>
        <v/>
      </c>
      <c r="P38" s="140" t="str">
        <f>IF($B38=0,"",_xlfn.XLOOKUP($B38,INPUT_DATA!$BP:$BP,INPUT_DATA!CB:CB))</f>
        <v/>
      </c>
      <c r="Q38" s="140" t="str">
        <f t="shared" si="3"/>
        <v/>
      </c>
      <c r="R38" s="1275" t="str">
        <f t="shared" si="4"/>
        <v/>
      </c>
      <c r="S38" s="139" t="str">
        <f t="shared" si="5"/>
        <v/>
      </c>
      <c r="T38" s="139" t="str">
        <f t="shared" si="6"/>
        <v/>
      </c>
      <c r="U38" s="1880" t="str">
        <f t="shared" si="7"/>
        <v/>
      </c>
      <c r="V38" s="139" t="str">
        <f t="shared" si="8"/>
        <v/>
      </c>
      <c r="W38" s="140" t="str">
        <f>IF($B38=0,"",_xlfn.XLOOKUP($B38,INPUT_DATA!$BP:$BP,INPUT_DATA!CC:CC))</f>
        <v/>
      </c>
      <c r="X38" s="140" t="str">
        <f>IF($B38=0,"",_xlfn.XLOOKUP($B38,INPUT_DATA!$BP:$BP,INPUT_DATA!CD:CD))</f>
        <v/>
      </c>
      <c r="Y38" s="140" t="str">
        <f>IF($B38=0,"",_xlfn.XLOOKUP($B38,INPUT_DATA!$BP:$BP,INPUT_DATA!CE:CE))</f>
        <v/>
      </c>
      <c r="Z38" s="1300" t="str">
        <f t="shared" si="9"/>
        <v/>
      </c>
      <c r="AA38" s="139" t="str">
        <f t="shared" si="10"/>
        <v/>
      </c>
      <c r="AB38" s="139" t="str">
        <f>IF($B38=0,"",_xlfn.XLOOKUP($B38,INPUT_DATA!$BP:$BP,INPUT_DATA!CF:CF))</f>
        <v/>
      </c>
      <c r="AC38" s="140" t="str">
        <f>IF($B38=0,"",_xlfn.XLOOKUP($B38,INPUT_DATA!$BP:$BP,INPUT_DATA!CG:CG))</f>
        <v/>
      </c>
      <c r="AD38" s="140" t="str">
        <f>IF($B38=0,"",_xlfn.XLOOKUP($B38,INPUT_DATA!$BP:$BP,INPUT_DATA!CH:CH))</f>
        <v/>
      </c>
      <c r="AE38" s="140" t="str">
        <f>IF($B38=0,"",_xlfn.XLOOKUP($B38,INPUT_DATA!$BP:$BP,INPUT_DATA!CI:CI))</f>
        <v/>
      </c>
      <c r="AF38" s="1300" t="str">
        <f t="shared" si="11"/>
        <v/>
      </c>
      <c r="AG38" s="139"/>
      <c r="AH38" s="139" t="str">
        <f t="shared" si="18"/>
        <v/>
      </c>
      <c r="AI38" s="1275" t="str">
        <f>IF($B38=0,"",_xlfn.XLOOKUP($B38,INPUT_DATA!$BP:$BP,INPUT_DATA!CK:CK))</f>
        <v/>
      </c>
      <c r="AJ38" s="140" t="str">
        <f>IF($B38=0,"",_xlfn.XLOOKUP($B38,INPUT_DATA!$BP:$BP,INPUT_DATA!CL:CL))</f>
        <v/>
      </c>
      <c r="AK38" s="140" t="str">
        <f>IF($B38=0,"",_xlfn.XLOOKUP($B38,INPUT_DATA!$BP:$BP,INPUT_DATA!CM:CM))</f>
        <v/>
      </c>
      <c r="AL38" s="140" t="str">
        <f>IF($B38=0,"",_xlfn.XLOOKUP($B38,INPUT_DATA!$BP:$BP,INPUT_DATA!CN:CN))</f>
        <v/>
      </c>
      <c r="AM38" s="1300" t="str">
        <f t="shared" si="13"/>
        <v/>
      </c>
      <c r="AN38" s="139" t="str">
        <f>IF($B38=0,"",_xlfn.XLOOKUP($B38,INPUT_DATA!$BP:$BP,INPUT_DATA!CO:CO))</f>
        <v/>
      </c>
      <c r="AO38" s="139" t="str">
        <f t="shared" si="14"/>
        <v/>
      </c>
      <c r="AP38" s="1275" t="str">
        <f>IF($B38=0,"",_xlfn.XLOOKUP($B38,INPUT_DATA!$BP:$BP,INPUT_DATA!CP:CP))</f>
        <v/>
      </c>
      <c r="AQ38" s="139" t="str">
        <f t="shared" si="17"/>
        <v/>
      </c>
      <c r="AR38" s="1275" t="str">
        <f t="shared" si="15"/>
        <v/>
      </c>
    </row>
    <row r="39" spans="2:44">
      <c r="B39" s="137">
        <f>INPUT_DATA!BP30</f>
        <v>0</v>
      </c>
      <c r="C39" s="1291" t="str">
        <f>IF($B39=0,"",_xlfn.XLOOKUP($B39,INPUT_DATA!$BP:$BP,INPUT_DATA!BQ:BQ))</f>
        <v/>
      </c>
      <c r="D39" s="140" t="str">
        <f>IF($B39=0,"",_xlfn.XLOOKUP($B39,INPUT_DATA!$BP:$BP,INPUT_DATA!BR:BR))</f>
        <v/>
      </c>
      <c r="E39" s="140" t="str">
        <f>IF($B39=0,"",_xlfn.XLOOKUP($B39,INPUT_DATA!$BP:$BP,INPUT_DATA!BS:BS))</f>
        <v/>
      </c>
      <c r="F39" s="140" t="str">
        <f>IF($B39=0,"",_xlfn.XLOOKUP($B39,INPUT_DATA!$BP:$BP,INPUT_DATA!BT:BT))</f>
        <v/>
      </c>
      <c r="G39" s="140" t="str">
        <f t="shared" si="1"/>
        <v/>
      </c>
      <c r="H39" s="1291" t="str">
        <f>IF($B39=0,"",_xlfn.XLOOKUP($B39,INPUT_DATA!$BP:$BP,INPUT_DATA!BU:BU))</f>
        <v/>
      </c>
      <c r="I39" s="140" t="str">
        <f>IF($B39=0,"",_xlfn.XLOOKUP($B39,INPUT_DATA!$BP:$BP,INPUT_DATA!BV:BV))</f>
        <v/>
      </c>
      <c r="J39" s="140" t="str">
        <f>IF($B39=0,"",_xlfn.XLOOKUP($B39,INPUT_DATA!$BP:$BP,INPUT_DATA!BW:BW))</f>
        <v/>
      </c>
      <c r="K39" s="140" t="str">
        <f>IF($B39=0,"",_xlfn.XLOOKUP($B39,INPUT_DATA!$BP:$BP,INPUT_DATA!BX:BX))</f>
        <v/>
      </c>
      <c r="L39" s="140" t="str">
        <f t="shared" si="2"/>
        <v/>
      </c>
      <c r="M39" s="1291" t="str">
        <f>IF($B39=0,"",_xlfn.XLOOKUP($B39,INPUT_DATA!$BP:$BP,INPUT_DATA!BY:BY))</f>
        <v/>
      </c>
      <c r="N39" s="140" t="str">
        <f>IF($B39=0,"",_xlfn.XLOOKUP($B39,INPUT_DATA!$BP:$BP,INPUT_DATA!BZ:BZ))</f>
        <v/>
      </c>
      <c r="O39" s="140" t="str">
        <f>IF($B39=0,"",_xlfn.XLOOKUP($B39,INPUT_DATA!$BP:$BP,INPUT_DATA!CA:CA))</f>
        <v/>
      </c>
      <c r="P39" s="140" t="str">
        <f>IF($B39=0,"",_xlfn.XLOOKUP($B39,INPUT_DATA!$BP:$BP,INPUT_DATA!CB:CB))</f>
        <v/>
      </c>
      <c r="Q39" s="140" t="str">
        <f t="shared" si="3"/>
        <v/>
      </c>
      <c r="R39" s="1275" t="str">
        <f t="shared" si="4"/>
        <v/>
      </c>
      <c r="S39" s="139" t="str">
        <f t="shared" si="5"/>
        <v/>
      </c>
      <c r="T39" s="139" t="str">
        <f t="shared" si="6"/>
        <v/>
      </c>
      <c r="U39" s="1880" t="str">
        <f t="shared" si="7"/>
        <v/>
      </c>
      <c r="V39" s="139" t="str">
        <f t="shared" si="8"/>
        <v/>
      </c>
      <c r="W39" s="140" t="str">
        <f>IF($B39=0,"",_xlfn.XLOOKUP($B39,INPUT_DATA!$BP:$BP,INPUT_DATA!CC:CC))</f>
        <v/>
      </c>
      <c r="X39" s="140" t="str">
        <f>IF($B39=0,"",_xlfn.XLOOKUP($B39,INPUT_DATA!$BP:$BP,INPUT_DATA!CD:CD))</f>
        <v/>
      </c>
      <c r="Y39" s="140" t="str">
        <f>IF($B39=0,"",_xlfn.XLOOKUP($B39,INPUT_DATA!$BP:$BP,INPUT_DATA!CE:CE))</f>
        <v/>
      </c>
      <c r="Z39" s="1300" t="str">
        <f t="shared" si="9"/>
        <v/>
      </c>
      <c r="AA39" s="139" t="str">
        <f t="shared" si="10"/>
        <v/>
      </c>
      <c r="AB39" s="139" t="str">
        <f>IF($B39=0,"",_xlfn.XLOOKUP($B39,INPUT_DATA!$BP:$BP,INPUT_DATA!CF:CF))</f>
        <v/>
      </c>
      <c r="AC39" s="140" t="str">
        <f>IF($B39=0,"",_xlfn.XLOOKUP($B39,INPUT_DATA!$BP:$BP,INPUT_DATA!CG:CG))</f>
        <v/>
      </c>
      <c r="AD39" s="140" t="str">
        <f>IF($B39=0,"",_xlfn.XLOOKUP($B39,INPUT_DATA!$BP:$BP,INPUT_DATA!CH:CH))</f>
        <v/>
      </c>
      <c r="AE39" s="140" t="str">
        <f>IF($B39=0,"",_xlfn.XLOOKUP($B39,INPUT_DATA!$BP:$BP,INPUT_DATA!CI:CI))</f>
        <v/>
      </c>
      <c r="AF39" s="1300" t="str">
        <f t="shared" si="11"/>
        <v/>
      </c>
      <c r="AG39" s="139"/>
      <c r="AH39" s="139" t="str">
        <f t="shared" si="18"/>
        <v/>
      </c>
      <c r="AI39" s="1275" t="str">
        <f>IF($B39=0,"",_xlfn.XLOOKUP($B39,INPUT_DATA!$BP:$BP,INPUT_DATA!CK:CK))</f>
        <v/>
      </c>
      <c r="AJ39" s="140" t="str">
        <f>IF($B39=0,"",_xlfn.XLOOKUP($B39,INPUT_DATA!$BP:$BP,INPUT_DATA!CL:CL))</f>
        <v/>
      </c>
      <c r="AK39" s="140" t="str">
        <f>IF($B39=0,"",_xlfn.XLOOKUP($B39,INPUT_DATA!$BP:$BP,INPUT_DATA!CM:CM))</f>
        <v/>
      </c>
      <c r="AL39" s="140" t="str">
        <f>IF($B39=0,"",_xlfn.XLOOKUP($B39,INPUT_DATA!$BP:$BP,INPUT_DATA!CN:CN))</f>
        <v/>
      </c>
      <c r="AM39" s="1300" t="str">
        <f t="shared" si="13"/>
        <v/>
      </c>
      <c r="AN39" s="139" t="str">
        <f>IF($B39=0,"",_xlfn.XLOOKUP($B39,INPUT_DATA!$BP:$BP,INPUT_DATA!CO:CO))</f>
        <v/>
      </c>
      <c r="AO39" s="139" t="str">
        <f t="shared" si="14"/>
        <v/>
      </c>
      <c r="AP39" s="1275" t="str">
        <f>IF($B39=0,"",_xlfn.XLOOKUP($B39,INPUT_DATA!$BP:$BP,INPUT_DATA!CP:CP))</f>
        <v/>
      </c>
      <c r="AQ39" s="139" t="str">
        <f t="shared" si="17"/>
        <v/>
      </c>
      <c r="AR39" s="1275" t="str">
        <f t="shared" si="15"/>
        <v/>
      </c>
    </row>
    <row r="40" spans="2:44">
      <c r="B40" s="137">
        <f>INPUT_DATA!BP31</f>
        <v>0</v>
      </c>
      <c r="C40" s="1291" t="str">
        <f>IF($B40=0,"",_xlfn.XLOOKUP($B40,INPUT_DATA!$BP:$BP,INPUT_DATA!BQ:BQ))</f>
        <v/>
      </c>
      <c r="D40" s="140" t="str">
        <f>IF($B40=0,"",_xlfn.XLOOKUP($B40,INPUT_DATA!$BP:$BP,INPUT_DATA!BR:BR))</f>
        <v/>
      </c>
      <c r="E40" s="140" t="str">
        <f>IF($B40=0,"",_xlfn.XLOOKUP($B40,INPUT_DATA!$BP:$BP,INPUT_DATA!BS:BS))</f>
        <v/>
      </c>
      <c r="F40" s="140" t="str">
        <f>IF($B40=0,"",_xlfn.XLOOKUP($B40,INPUT_DATA!$BP:$BP,INPUT_DATA!BT:BT))</f>
        <v/>
      </c>
      <c r="G40" s="140" t="str">
        <f t="shared" si="1"/>
        <v/>
      </c>
      <c r="H40" s="1291" t="str">
        <f>IF($B40=0,"",_xlfn.XLOOKUP($B40,INPUT_DATA!$BP:$BP,INPUT_DATA!BU:BU))</f>
        <v/>
      </c>
      <c r="I40" s="140" t="str">
        <f>IF($B40=0,"",_xlfn.XLOOKUP($B40,INPUT_DATA!$BP:$BP,INPUT_DATA!BV:BV))</f>
        <v/>
      </c>
      <c r="J40" s="140" t="str">
        <f>IF($B40=0,"",_xlfn.XLOOKUP($B40,INPUT_DATA!$BP:$BP,INPUT_DATA!BW:BW))</f>
        <v/>
      </c>
      <c r="K40" s="140" t="str">
        <f>IF($B40=0,"",_xlfn.XLOOKUP($B40,INPUT_DATA!$BP:$BP,INPUT_DATA!BX:BX))</f>
        <v/>
      </c>
      <c r="L40" s="140" t="str">
        <f t="shared" si="2"/>
        <v/>
      </c>
      <c r="M40" s="1291" t="str">
        <f>IF($B40=0,"",_xlfn.XLOOKUP($B40,INPUT_DATA!$BP:$BP,INPUT_DATA!BY:BY))</f>
        <v/>
      </c>
      <c r="N40" s="140" t="str">
        <f>IF($B40=0,"",_xlfn.XLOOKUP($B40,INPUT_DATA!$BP:$BP,INPUT_DATA!BZ:BZ))</f>
        <v/>
      </c>
      <c r="O40" s="140" t="str">
        <f>IF($B40=0,"",_xlfn.XLOOKUP($B40,INPUT_DATA!$BP:$BP,INPUT_DATA!CA:CA))</f>
        <v/>
      </c>
      <c r="P40" s="140" t="str">
        <f>IF($B40=0,"",_xlfn.XLOOKUP($B40,INPUT_DATA!$BP:$BP,INPUT_DATA!CB:CB))</f>
        <v/>
      </c>
      <c r="Q40" s="140" t="str">
        <f t="shared" si="3"/>
        <v/>
      </c>
      <c r="R40" s="1275" t="str">
        <f t="shared" si="4"/>
        <v/>
      </c>
      <c r="S40" s="139" t="str">
        <f t="shared" si="5"/>
        <v/>
      </c>
      <c r="T40" s="139" t="str">
        <f t="shared" si="6"/>
        <v/>
      </c>
      <c r="U40" s="1880" t="str">
        <f t="shared" si="7"/>
        <v/>
      </c>
      <c r="V40" s="139" t="str">
        <f t="shared" si="8"/>
        <v/>
      </c>
      <c r="W40" s="140" t="str">
        <f>IF($B40=0,"",_xlfn.XLOOKUP($B40,INPUT_DATA!$BP:$BP,INPUT_DATA!CC:CC))</f>
        <v/>
      </c>
      <c r="X40" s="140" t="str">
        <f>IF($B40=0,"",_xlfn.XLOOKUP($B40,INPUT_DATA!$BP:$BP,INPUT_DATA!CD:CD))</f>
        <v/>
      </c>
      <c r="Y40" s="140" t="str">
        <f>IF($B40=0,"",_xlfn.XLOOKUP($B40,INPUT_DATA!$BP:$BP,INPUT_DATA!CE:CE))</f>
        <v/>
      </c>
      <c r="Z40" s="1300" t="str">
        <f t="shared" si="9"/>
        <v/>
      </c>
      <c r="AA40" s="139" t="str">
        <f t="shared" si="10"/>
        <v/>
      </c>
      <c r="AB40" s="139" t="str">
        <f>IF($B40=0,"",_xlfn.XLOOKUP($B40,INPUT_DATA!$BP:$BP,INPUT_DATA!CF:CF))</f>
        <v/>
      </c>
      <c r="AC40" s="140" t="str">
        <f>IF($B40=0,"",_xlfn.XLOOKUP($B40,INPUT_DATA!$BP:$BP,INPUT_DATA!CG:CG))</f>
        <v/>
      </c>
      <c r="AD40" s="140" t="str">
        <f>IF($B40=0,"",_xlfn.XLOOKUP($B40,INPUT_DATA!$BP:$BP,INPUT_DATA!CH:CH))</f>
        <v/>
      </c>
      <c r="AE40" s="140" t="str">
        <f>IF($B40=0,"",_xlfn.XLOOKUP($B40,INPUT_DATA!$BP:$BP,INPUT_DATA!CI:CI))</f>
        <v/>
      </c>
      <c r="AF40" s="1300" t="str">
        <f t="shared" si="11"/>
        <v/>
      </c>
      <c r="AG40" s="139"/>
      <c r="AH40" s="139" t="str">
        <f t="shared" si="18"/>
        <v/>
      </c>
      <c r="AI40" s="1275" t="str">
        <f>IF($B40=0,"",_xlfn.XLOOKUP($B40,INPUT_DATA!$BP:$BP,INPUT_DATA!CK:CK))</f>
        <v/>
      </c>
      <c r="AJ40" s="140" t="str">
        <f>IF($B40=0,"",_xlfn.XLOOKUP($B40,INPUT_DATA!$BP:$BP,INPUT_DATA!CL:CL))</f>
        <v/>
      </c>
      <c r="AK40" s="140" t="str">
        <f>IF($B40=0,"",_xlfn.XLOOKUP($B40,INPUT_DATA!$BP:$BP,INPUT_DATA!CM:CM))</f>
        <v/>
      </c>
      <c r="AL40" s="140" t="str">
        <f>IF($B40=0,"",_xlfn.XLOOKUP($B40,INPUT_DATA!$BP:$BP,INPUT_DATA!CN:CN))</f>
        <v/>
      </c>
      <c r="AM40" s="1300" t="str">
        <f t="shared" si="13"/>
        <v/>
      </c>
      <c r="AN40" s="139" t="str">
        <f>IF($B40=0,"",_xlfn.XLOOKUP($B40,INPUT_DATA!$BP:$BP,INPUT_DATA!CO:CO))</f>
        <v/>
      </c>
      <c r="AO40" s="139" t="str">
        <f t="shared" si="14"/>
        <v/>
      </c>
      <c r="AP40" s="1275" t="str">
        <f>IF($B40=0,"",_xlfn.XLOOKUP($B40,INPUT_DATA!$BP:$BP,INPUT_DATA!CP:CP))</f>
        <v/>
      </c>
      <c r="AQ40" s="139" t="str">
        <f t="shared" si="17"/>
        <v/>
      </c>
      <c r="AR40" s="1275" t="str">
        <f t="shared" si="15"/>
        <v/>
      </c>
    </row>
    <row r="41" spans="2:44">
      <c r="B41" s="137">
        <f>INPUT_DATA!BP32</f>
        <v>0</v>
      </c>
      <c r="C41" s="1291" t="str">
        <f>IF($B41=0,"",_xlfn.XLOOKUP($B41,INPUT_DATA!$BP:$BP,INPUT_DATA!BQ:BQ))</f>
        <v/>
      </c>
      <c r="D41" s="140" t="str">
        <f>IF($B41=0,"",_xlfn.XLOOKUP($B41,INPUT_DATA!$BP:$BP,INPUT_DATA!BR:BR))</f>
        <v/>
      </c>
      <c r="E41" s="140" t="str">
        <f>IF($B41=0,"",_xlfn.XLOOKUP($B41,INPUT_DATA!$BP:$BP,INPUT_DATA!BS:BS))</f>
        <v/>
      </c>
      <c r="F41" s="140" t="str">
        <f>IF($B41=0,"",_xlfn.XLOOKUP($B41,INPUT_DATA!$BP:$BP,INPUT_DATA!BT:BT))</f>
        <v/>
      </c>
      <c r="G41" s="140" t="str">
        <f t="shared" si="1"/>
        <v/>
      </c>
      <c r="H41" s="1291" t="str">
        <f>IF($B41=0,"",_xlfn.XLOOKUP($B41,INPUT_DATA!$BP:$BP,INPUT_DATA!BU:BU))</f>
        <v/>
      </c>
      <c r="I41" s="140" t="str">
        <f>IF($B41=0,"",_xlfn.XLOOKUP($B41,INPUT_DATA!$BP:$BP,INPUT_DATA!BV:BV))</f>
        <v/>
      </c>
      <c r="J41" s="140" t="str">
        <f>IF($B41=0,"",_xlfn.XLOOKUP($B41,INPUT_DATA!$BP:$BP,INPUT_DATA!BW:BW))</f>
        <v/>
      </c>
      <c r="K41" s="140" t="str">
        <f>IF($B41=0,"",_xlfn.XLOOKUP($B41,INPUT_DATA!$BP:$BP,INPUT_DATA!BX:BX))</f>
        <v/>
      </c>
      <c r="L41" s="140" t="str">
        <f t="shared" si="2"/>
        <v/>
      </c>
      <c r="M41" s="1291" t="str">
        <f>IF($B41=0,"",_xlfn.XLOOKUP($B41,INPUT_DATA!$BP:$BP,INPUT_DATA!BY:BY))</f>
        <v/>
      </c>
      <c r="N41" s="140" t="str">
        <f>IF($B41=0,"",_xlfn.XLOOKUP($B41,INPUT_DATA!$BP:$BP,INPUT_DATA!BZ:BZ))</f>
        <v/>
      </c>
      <c r="O41" s="140" t="str">
        <f>IF($B41=0,"",_xlfn.XLOOKUP($B41,INPUT_DATA!$BP:$BP,INPUT_DATA!CA:CA))</f>
        <v/>
      </c>
      <c r="P41" s="140" t="str">
        <f>IF($B41=0,"",_xlfn.XLOOKUP($B41,INPUT_DATA!$BP:$BP,INPUT_DATA!CB:CB))</f>
        <v/>
      </c>
      <c r="Q41" s="140" t="str">
        <f t="shared" si="3"/>
        <v/>
      </c>
      <c r="R41" s="1275" t="str">
        <f t="shared" si="4"/>
        <v/>
      </c>
      <c r="S41" s="139" t="str">
        <f t="shared" si="5"/>
        <v/>
      </c>
      <c r="T41" s="139" t="str">
        <f t="shared" si="6"/>
        <v/>
      </c>
      <c r="U41" s="1880" t="str">
        <f t="shared" si="7"/>
        <v/>
      </c>
      <c r="V41" s="139" t="str">
        <f t="shared" si="8"/>
        <v/>
      </c>
      <c r="W41" s="140" t="str">
        <f>IF($B41=0,"",_xlfn.XLOOKUP($B41,INPUT_DATA!$BP:$BP,INPUT_DATA!CC:CC))</f>
        <v/>
      </c>
      <c r="X41" s="140" t="str">
        <f>IF($B41=0,"",_xlfn.XLOOKUP($B41,INPUT_DATA!$BP:$BP,INPUT_DATA!CD:CD))</f>
        <v/>
      </c>
      <c r="Y41" s="140" t="str">
        <f>IF($B41=0,"",_xlfn.XLOOKUP($B41,INPUT_DATA!$BP:$BP,INPUT_DATA!CE:CE))</f>
        <v/>
      </c>
      <c r="Z41" s="1300" t="str">
        <f t="shared" si="9"/>
        <v/>
      </c>
      <c r="AA41" s="139" t="str">
        <f t="shared" si="10"/>
        <v/>
      </c>
      <c r="AB41" s="139" t="str">
        <f>IF($B41=0,"",_xlfn.XLOOKUP($B41,INPUT_DATA!$BP:$BP,INPUT_DATA!CF:CF))</f>
        <v/>
      </c>
      <c r="AC41" s="140" t="str">
        <f>IF($B41=0,"",_xlfn.XLOOKUP($B41,INPUT_DATA!$BP:$BP,INPUT_DATA!CG:CG))</f>
        <v/>
      </c>
      <c r="AD41" s="140" t="str">
        <f>IF($B41=0,"",_xlfn.XLOOKUP($B41,INPUT_DATA!$BP:$BP,INPUT_DATA!CH:CH))</f>
        <v/>
      </c>
      <c r="AE41" s="140" t="str">
        <f>IF($B41=0,"",_xlfn.XLOOKUP($B41,INPUT_DATA!$BP:$BP,INPUT_DATA!CI:CI))</f>
        <v/>
      </c>
      <c r="AF41" s="1300" t="str">
        <f t="shared" si="11"/>
        <v/>
      </c>
      <c r="AG41" s="139"/>
      <c r="AH41" s="139" t="str">
        <f t="shared" si="18"/>
        <v/>
      </c>
      <c r="AI41" s="1275" t="str">
        <f>IF($B41=0,"",_xlfn.XLOOKUP($B41,INPUT_DATA!$BP:$BP,INPUT_DATA!CK:CK))</f>
        <v/>
      </c>
      <c r="AJ41" s="140" t="str">
        <f>IF($B41=0,"",_xlfn.XLOOKUP($B41,INPUT_DATA!$BP:$BP,INPUT_DATA!CL:CL))</f>
        <v/>
      </c>
      <c r="AK41" s="140" t="str">
        <f>IF($B41=0,"",_xlfn.XLOOKUP($B41,INPUT_DATA!$BP:$BP,INPUT_DATA!CM:CM))</f>
        <v/>
      </c>
      <c r="AL41" s="140" t="str">
        <f>IF($B41=0,"",_xlfn.XLOOKUP($B41,INPUT_DATA!$BP:$BP,INPUT_DATA!CN:CN))</f>
        <v/>
      </c>
      <c r="AM41" s="1300" t="str">
        <f t="shared" si="13"/>
        <v/>
      </c>
      <c r="AN41" s="139" t="str">
        <f>IF($B41=0,"",_xlfn.XLOOKUP($B41,INPUT_DATA!$BP:$BP,INPUT_DATA!CO:CO))</f>
        <v/>
      </c>
      <c r="AO41" s="139" t="str">
        <f t="shared" si="14"/>
        <v/>
      </c>
      <c r="AP41" s="1275" t="str">
        <f>IF($B41=0,"",_xlfn.XLOOKUP($B41,INPUT_DATA!$BP:$BP,INPUT_DATA!CP:CP))</f>
        <v/>
      </c>
      <c r="AQ41" s="139" t="str">
        <f t="shared" si="17"/>
        <v/>
      </c>
      <c r="AR41" s="1275" t="str">
        <f t="shared" si="15"/>
        <v/>
      </c>
    </row>
    <row r="42" spans="2:44">
      <c r="B42" s="137">
        <f>INPUT_DATA!BP33</f>
        <v>0</v>
      </c>
      <c r="C42" s="1291" t="str">
        <f>IF($B42=0,"",_xlfn.XLOOKUP($B42,INPUT_DATA!$BP:$BP,INPUT_DATA!BQ:BQ))</f>
        <v/>
      </c>
      <c r="D42" s="140" t="str">
        <f>IF($B42=0,"",_xlfn.XLOOKUP($B42,INPUT_DATA!$BP:$BP,INPUT_DATA!BR:BR))</f>
        <v/>
      </c>
      <c r="E42" s="140" t="str">
        <f>IF($B42=0,"",_xlfn.XLOOKUP($B42,INPUT_DATA!$BP:$BP,INPUT_DATA!BS:BS))</f>
        <v/>
      </c>
      <c r="F42" s="140" t="str">
        <f>IF($B42=0,"",_xlfn.XLOOKUP($B42,INPUT_DATA!$BP:$BP,INPUT_DATA!BT:BT))</f>
        <v/>
      </c>
      <c r="G42" s="140" t="str">
        <f t="shared" si="1"/>
        <v/>
      </c>
      <c r="H42" s="1291" t="str">
        <f>IF($B42=0,"",_xlfn.XLOOKUP($B42,INPUT_DATA!$BP:$BP,INPUT_DATA!BU:BU))</f>
        <v/>
      </c>
      <c r="I42" s="140" t="str">
        <f>IF($B42=0,"",_xlfn.XLOOKUP($B42,INPUT_DATA!$BP:$BP,INPUT_DATA!BV:BV))</f>
        <v/>
      </c>
      <c r="J42" s="140" t="str">
        <f>IF($B42=0,"",_xlfn.XLOOKUP($B42,INPUT_DATA!$BP:$BP,INPUT_DATA!BW:BW))</f>
        <v/>
      </c>
      <c r="K42" s="140" t="str">
        <f>IF($B42=0,"",_xlfn.XLOOKUP($B42,INPUT_DATA!$BP:$BP,INPUT_DATA!BX:BX))</f>
        <v/>
      </c>
      <c r="L42" s="140" t="str">
        <f t="shared" si="2"/>
        <v/>
      </c>
      <c r="M42" s="1291" t="str">
        <f>IF($B42=0,"",_xlfn.XLOOKUP($B42,INPUT_DATA!$BP:$BP,INPUT_DATA!BY:BY))</f>
        <v/>
      </c>
      <c r="N42" s="140" t="str">
        <f>IF($B42=0,"",_xlfn.XLOOKUP($B42,INPUT_DATA!$BP:$BP,INPUT_DATA!BZ:BZ))</f>
        <v/>
      </c>
      <c r="O42" s="140" t="str">
        <f>IF($B42=0,"",_xlfn.XLOOKUP($B42,INPUT_DATA!$BP:$BP,INPUT_DATA!CA:CA))</f>
        <v/>
      </c>
      <c r="P42" s="140" t="str">
        <f>IF($B42=0,"",_xlfn.XLOOKUP($B42,INPUT_DATA!$BP:$BP,INPUT_DATA!CB:CB))</f>
        <v/>
      </c>
      <c r="Q42" s="140" t="str">
        <f t="shared" si="3"/>
        <v/>
      </c>
      <c r="R42" s="1275" t="str">
        <f t="shared" si="4"/>
        <v/>
      </c>
      <c r="S42" s="139" t="str">
        <f t="shared" si="5"/>
        <v/>
      </c>
      <c r="T42" s="139" t="str">
        <f t="shared" si="6"/>
        <v/>
      </c>
      <c r="U42" s="1880" t="str">
        <f t="shared" si="7"/>
        <v/>
      </c>
      <c r="V42" s="139" t="str">
        <f t="shared" si="8"/>
        <v/>
      </c>
      <c r="W42" s="140" t="str">
        <f>IF($B42=0,"",_xlfn.XLOOKUP($B42,INPUT_DATA!$BP:$BP,INPUT_DATA!CC:CC))</f>
        <v/>
      </c>
      <c r="X42" s="140" t="str">
        <f>IF($B42=0,"",_xlfn.XLOOKUP($B42,INPUT_DATA!$BP:$BP,INPUT_DATA!CD:CD))</f>
        <v/>
      </c>
      <c r="Y42" s="140" t="str">
        <f>IF($B42=0,"",_xlfn.XLOOKUP($B42,INPUT_DATA!$BP:$BP,INPUT_DATA!CE:CE))</f>
        <v/>
      </c>
      <c r="Z42" s="1300" t="str">
        <f t="shared" si="9"/>
        <v/>
      </c>
      <c r="AA42" s="139" t="str">
        <f t="shared" si="10"/>
        <v/>
      </c>
      <c r="AB42" s="139" t="str">
        <f>IF($B42=0,"",_xlfn.XLOOKUP($B42,INPUT_DATA!$BP:$BP,INPUT_DATA!CF:CF))</f>
        <v/>
      </c>
      <c r="AC42" s="140" t="str">
        <f>IF($B42=0,"",_xlfn.XLOOKUP($B42,INPUT_DATA!$BP:$BP,INPUT_DATA!CG:CG))</f>
        <v/>
      </c>
      <c r="AD42" s="140" t="str">
        <f>IF($B42=0,"",_xlfn.XLOOKUP($B42,INPUT_DATA!$BP:$BP,INPUT_DATA!CH:CH))</f>
        <v/>
      </c>
      <c r="AE42" s="140" t="str">
        <f>IF($B42=0,"",_xlfn.XLOOKUP($B42,INPUT_DATA!$BP:$BP,INPUT_DATA!CI:CI))</f>
        <v/>
      </c>
      <c r="AF42" s="1300" t="str">
        <f t="shared" si="11"/>
        <v/>
      </c>
      <c r="AG42" s="139"/>
      <c r="AH42" s="139" t="str">
        <f t="shared" si="18"/>
        <v/>
      </c>
      <c r="AI42" s="1275" t="str">
        <f>IF($B42=0,"",_xlfn.XLOOKUP($B42,INPUT_DATA!$BP:$BP,INPUT_DATA!CK:CK))</f>
        <v/>
      </c>
      <c r="AJ42" s="140" t="str">
        <f>IF($B42=0,"",_xlfn.XLOOKUP($B42,INPUT_DATA!$BP:$BP,INPUT_DATA!CL:CL))</f>
        <v/>
      </c>
      <c r="AK42" s="140" t="str">
        <f>IF($B42=0,"",_xlfn.XLOOKUP($B42,INPUT_DATA!$BP:$BP,INPUT_DATA!CM:CM))</f>
        <v/>
      </c>
      <c r="AL42" s="140" t="str">
        <f>IF($B42=0,"",_xlfn.XLOOKUP($B42,INPUT_DATA!$BP:$BP,INPUT_DATA!CN:CN))</f>
        <v/>
      </c>
      <c r="AM42" s="1300" t="str">
        <f t="shared" si="13"/>
        <v/>
      </c>
      <c r="AN42" s="139" t="str">
        <f>IF($B42=0,"",_xlfn.XLOOKUP($B42,INPUT_DATA!$BP:$BP,INPUT_DATA!CO:CO))</f>
        <v/>
      </c>
      <c r="AO42" s="139" t="str">
        <f t="shared" si="14"/>
        <v/>
      </c>
      <c r="AP42" s="1275" t="str">
        <f>IF($B42=0,"",_xlfn.XLOOKUP($B42,INPUT_DATA!$BP:$BP,INPUT_DATA!CP:CP))</f>
        <v/>
      </c>
      <c r="AQ42" s="139" t="str">
        <f t="shared" si="17"/>
        <v/>
      </c>
      <c r="AR42" s="1275" t="str">
        <f t="shared" si="15"/>
        <v/>
      </c>
    </row>
    <row r="43" spans="2:44">
      <c r="B43" s="137">
        <f>INPUT_DATA!BP34</f>
        <v>0</v>
      </c>
      <c r="C43" s="1291" t="str">
        <f>IF($B43=0,"",_xlfn.XLOOKUP($B43,INPUT_DATA!$BP:$BP,INPUT_DATA!BQ:BQ))</f>
        <v/>
      </c>
      <c r="D43" s="140" t="str">
        <f>IF($B43=0,"",_xlfn.XLOOKUP($B43,INPUT_DATA!$BP:$BP,INPUT_DATA!BR:BR))</f>
        <v/>
      </c>
      <c r="E43" s="140" t="str">
        <f>IF($B43=0,"",_xlfn.XLOOKUP($B43,INPUT_DATA!$BP:$BP,INPUT_DATA!BS:BS))</f>
        <v/>
      </c>
      <c r="F43" s="140" t="str">
        <f>IF($B43=0,"",_xlfn.XLOOKUP($B43,INPUT_DATA!$BP:$BP,INPUT_DATA!BT:BT))</f>
        <v/>
      </c>
      <c r="G43" s="140" t="str">
        <f t="shared" si="1"/>
        <v/>
      </c>
      <c r="H43" s="1291" t="str">
        <f>IF($B43=0,"",_xlfn.XLOOKUP($B43,INPUT_DATA!$BP:$BP,INPUT_DATA!BU:BU))</f>
        <v/>
      </c>
      <c r="I43" s="140" t="str">
        <f>IF($B43=0,"",_xlfn.XLOOKUP($B43,INPUT_DATA!$BP:$BP,INPUT_DATA!BV:BV))</f>
        <v/>
      </c>
      <c r="J43" s="140" t="str">
        <f>IF($B43=0,"",_xlfn.XLOOKUP($B43,INPUT_DATA!$BP:$BP,INPUT_DATA!BW:BW))</f>
        <v/>
      </c>
      <c r="K43" s="140" t="str">
        <f>IF($B43=0,"",_xlfn.XLOOKUP($B43,INPUT_DATA!$BP:$BP,INPUT_DATA!BX:BX))</f>
        <v/>
      </c>
      <c r="L43" s="140" t="str">
        <f t="shared" si="2"/>
        <v/>
      </c>
      <c r="M43" s="1291" t="str">
        <f>IF($B43=0,"",_xlfn.XLOOKUP($B43,INPUT_DATA!$BP:$BP,INPUT_DATA!BY:BY))</f>
        <v/>
      </c>
      <c r="N43" s="140" t="str">
        <f>IF($B43=0,"",_xlfn.XLOOKUP($B43,INPUT_DATA!$BP:$BP,INPUT_DATA!BZ:BZ))</f>
        <v/>
      </c>
      <c r="O43" s="140" t="str">
        <f>IF($B43=0,"",_xlfn.XLOOKUP($B43,INPUT_DATA!$BP:$BP,INPUT_DATA!CA:CA))</f>
        <v/>
      </c>
      <c r="P43" s="140" t="str">
        <f>IF($B43=0,"",_xlfn.XLOOKUP($B43,INPUT_DATA!$BP:$BP,INPUT_DATA!CB:CB))</f>
        <v/>
      </c>
      <c r="Q43" s="140" t="str">
        <f t="shared" si="3"/>
        <v/>
      </c>
      <c r="R43" s="1275" t="str">
        <f t="shared" si="4"/>
        <v/>
      </c>
      <c r="S43" s="139" t="str">
        <f t="shared" si="5"/>
        <v/>
      </c>
      <c r="T43" s="139" t="str">
        <f t="shared" si="6"/>
        <v/>
      </c>
      <c r="U43" s="1880" t="str">
        <f t="shared" si="7"/>
        <v/>
      </c>
      <c r="V43" s="139" t="str">
        <f t="shared" si="8"/>
        <v/>
      </c>
      <c r="W43" s="140" t="str">
        <f>IF($B43=0,"",_xlfn.XLOOKUP($B43,INPUT_DATA!$BP:$BP,INPUT_DATA!CC:CC))</f>
        <v/>
      </c>
      <c r="X43" s="140" t="str">
        <f>IF($B43=0,"",_xlfn.XLOOKUP($B43,INPUT_DATA!$BP:$BP,INPUT_DATA!CD:CD))</f>
        <v/>
      </c>
      <c r="Y43" s="140" t="str">
        <f>IF($B43=0,"",_xlfn.XLOOKUP($B43,INPUT_DATA!$BP:$BP,INPUT_DATA!CE:CE))</f>
        <v/>
      </c>
      <c r="Z43" s="1300" t="str">
        <f t="shared" si="9"/>
        <v/>
      </c>
      <c r="AA43" s="139" t="str">
        <f t="shared" si="10"/>
        <v/>
      </c>
      <c r="AB43" s="139" t="str">
        <f>IF($B43=0,"",_xlfn.XLOOKUP($B43,INPUT_DATA!$BP:$BP,INPUT_DATA!CF:CF))</f>
        <v/>
      </c>
      <c r="AC43" s="140" t="str">
        <f>IF($B43=0,"",_xlfn.XLOOKUP($B43,INPUT_DATA!$BP:$BP,INPUT_DATA!CG:CG))</f>
        <v/>
      </c>
      <c r="AD43" s="140" t="str">
        <f>IF($B43=0,"",_xlfn.XLOOKUP($B43,INPUT_DATA!$BP:$BP,INPUT_DATA!CH:CH))</f>
        <v/>
      </c>
      <c r="AE43" s="140" t="str">
        <f>IF($B43=0,"",_xlfn.XLOOKUP($B43,INPUT_DATA!$BP:$BP,INPUT_DATA!CI:CI))</f>
        <v/>
      </c>
      <c r="AF43" s="1300" t="str">
        <f t="shared" si="11"/>
        <v/>
      </c>
      <c r="AG43" s="139"/>
      <c r="AH43" s="139" t="str">
        <f t="shared" si="18"/>
        <v/>
      </c>
      <c r="AI43" s="1275" t="str">
        <f>IF($B43=0,"",_xlfn.XLOOKUP($B43,INPUT_DATA!$BP:$BP,INPUT_DATA!CK:CK))</f>
        <v/>
      </c>
      <c r="AJ43" s="140" t="str">
        <f>IF($B43=0,"",_xlfn.XLOOKUP($B43,INPUT_DATA!$BP:$BP,INPUT_DATA!CL:CL))</f>
        <v/>
      </c>
      <c r="AK43" s="140" t="str">
        <f>IF($B43=0,"",_xlfn.XLOOKUP($B43,INPUT_DATA!$BP:$BP,INPUT_DATA!CM:CM))</f>
        <v/>
      </c>
      <c r="AL43" s="140" t="str">
        <f>IF($B43=0,"",_xlfn.XLOOKUP($B43,INPUT_DATA!$BP:$BP,INPUT_DATA!CN:CN))</f>
        <v/>
      </c>
      <c r="AM43" s="1300" t="str">
        <f t="shared" si="13"/>
        <v/>
      </c>
      <c r="AN43" s="139" t="str">
        <f>IF($B43=0,"",_xlfn.XLOOKUP($B43,INPUT_DATA!$BP:$BP,INPUT_DATA!CO:CO))</f>
        <v/>
      </c>
      <c r="AO43" s="139" t="str">
        <f t="shared" si="14"/>
        <v/>
      </c>
      <c r="AP43" s="1275" t="str">
        <f>IF($B43=0,"",_xlfn.XLOOKUP($B43,INPUT_DATA!$BP:$BP,INPUT_DATA!CP:CP))</f>
        <v/>
      </c>
      <c r="AQ43" s="139" t="str">
        <f t="shared" si="17"/>
        <v/>
      </c>
      <c r="AR43" s="1275" t="str">
        <f t="shared" si="15"/>
        <v/>
      </c>
    </row>
    <row r="44" spans="2:44">
      <c r="B44" s="137">
        <f>INPUT_DATA!BP35</f>
        <v>0</v>
      </c>
      <c r="C44" s="1291" t="str">
        <f>IF($B44=0,"",_xlfn.XLOOKUP($B44,INPUT_DATA!$BP:$BP,INPUT_DATA!BQ:BQ))</f>
        <v/>
      </c>
      <c r="D44" s="140" t="str">
        <f>IF($B44=0,"",_xlfn.XLOOKUP($B44,INPUT_DATA!$BP:$BP,INPUT_DATA!BR:BR))</f>
        <v/>
      </c>
      <c r="E44" s="140" t="str">
        <f>IF($B44=0,"",_xlfn.XLOOKUP($B44,INPUT_DATA!$BP:$BP,INPUT_DATA!BS:BS))</f>
        <v/>
      </c>
      <c r="F44" s="140" t="str">
        <f>IF($B44=0,"",_xlfn.XLOOKUP($B44,INPUT_DATA!$BP:$BP,INPUT_DATA!BT:BT))</f>
        <v/>
      </c>
      <c r="G44" s="140" t="str">
        <f t="shared" si="1"/>
        <v/>
      </c>
      <c r="H44" s="1291" t="str">
        <f>IF($B44=0,"",_xlfn.XLOOKUP($B44,INPUT_DATA!$BP:$BP,INPUT_DATA!BU:BU))</f>
        <v/>
      </c>
      <c r="I44" s="140" t="str">
        <f>IF($B44=0,"",_xlfn.XLOOKUP($B44,INPUT_DATA!$BP:$BP,INPUT_DATA!BV:BV))</f>
        <v/>
      </c>
      <c r="J44" s="140" t="str">
        <f>IF($B44=0,"",_xlfn.XLOOKUP($B44,INPUT_DATA!$BP:$BP,INPUT_DATA!BW:BW))</f>
        <v/>
      </c>
      <c r="K44" s="140" t="str">
        <f>IF($B44=0,"",_xlfn.XLOOKUP($B44,INPUT_DATA!$BP:$BP,INPUT_DATA!BX:BX))</f>
        <v/>
      </c>
      <c r="L44" s="140" t="str">
        <f t="shared" si="2"/>
        <v/>
      </c>
      <c r="M44" s="1291" t="str">
        <f>IF($B44=0,"",_xlfn.XLOOKUP($B44,INPUT_DATA!$BP:$BP,INPUT_DATA!BY:BY))</f>
        <v/>
      </c>
      <c r="N44" s="140" t="str">
        <f>IF($B44=0,"",_xlfn.XLOOKUP($B44,INPUT_DATA!$BP:$BP,INPUT_DATA!BZ:BZ))</f>
        <v/>
      </c>
      <c r="O44" s="140" t="str">
        <f>IF($B44=0,"",_xlfn.XLOOKUP($B44,INPUT_DATA!$BP:$BP,INPUT_DATA!CA:CA))</f>
        <v/>
      </c>
      <c r="P44" s="140" t="str">
        <f>IF($B44=0,"",_xlfn.XLOOKUP($B44,INPUT_DATA!$BP:$BP,INPUT_DATA!CB:CB))</f>
        <v/>
      </c>
      <c r="Q44" s="140" t="str">
        <f t="shared" si="3"/>
        <v/>
      </c>
      <c r="R44" s="1275" t="str">
        <f t="shared" si="4"/>
        <v/>
      </c>
      <c r="S44" s="139" t="str">
        <f t="shared" si="5"/>
        <v/>
      </c>
      <c r="T44" s="139" t="str">
        <f t="shared" si="6"/>
        <v/>
      </c>
      <c r="U44" s="1880" t="str">
        <f t="shared" si="7"/>
        <v/>
      </c>
      <c r="V44" s="139" t="str">
        <f t="shared" si="8"/>
        <v/>
      </c>
      <c r="W44" s="140" t="str">
        <f>IF($B44=0,"",_xlfn.XLOOKUP($B44,INPUT_DATA!$BP:$BP,INPUT_DATA!CC:CC))</f>
        <v/>
      </c>
      <c r="X44" s="140" t="str">
        <f>IF($B44=0,"",_xlfn.XLOOKUP($B44,INPUT_DATA!$BP:$BP,INPUT_DATA!CD:CD))</f>
        <v/>
      </c>
      <c r="Y44" s="140" t="str">
        <f>IF($B44=0,"",_xlfn.XLOOKUP($B44,INPUT_DATA!$BP:$BP,INPUT_DATA!CE:CE))</f>
        <v/>
      </c>
      <c r="Z44" s="1300" t="str">
        <f t="shared" si="9"/>
        <v/>
      </c>
      <c r="AA44" s="139" t="str">
        <f t="shared" si="10"/>
        <v/>
      </c>
      <c r="AB44" s="139" t="str">
        <f>IF($B44=0,"",_xlfn.XLOOKUP($B44,INPUT_DATA!$BP:$BP,INPUT_DATA!CF:CF))</f>
        <v/>
      </c>
      <c r="AC44" s="140" t="str">
        <f>IF($B44=0,"",_xlfn.XLOOKUP($B44,INPUT_DATA!$BP:$BP,INPUT_DATA!CG:CG))</f>
        <v/>
      </c>
      <c r="AD44" s="140" t="str">
        <f>IF($B44=0,"",_xlfn.XLOOKUP($B44,INPUT_DATA!$BP:$BP,INPUT_DATA!CH:CH))</f>
        <v/>
      </c>
      <c r="AE44" s="140" t="str">
        <f>IF($B44=0,"",_xlfn.XLOOKUP($B44,INPUT_DATA!$BP:$BP,INPUT_DATA!CI:CI))</f>
        <v/>
      </c>
      <c r="AF44" s="1300" t="str">
        <f t="shared" si="11"/>
        <v/>
      </c>
      <c r="AG44" s="139"/>
      <c r="AH44" s="139" t="str">
        <f t="shared" si="18"/>
        <v/>
      </c>
      <c r="AI44" s="1275" t="str">
        <f>IF($B44=0,"",_xlfn.XLOOKUP($B44,INPUT_DATA!$BP:$BP,INPUT_DATA!CK:CK))</f>
        <v/>
      </c>
      <c r="AJ44" s="140" t="str">
        <f>IF($B44=0,"",_xlfn.XLOOKUP($B44,INPUT_DATA!$BP:$BP,INPUT_DATA!CL:CL))</f>
        <v/>
      </c>
      <c r="AK44" s="140" t="str">
        <f>IF($B44=0,"",_xlfn.XLOOKUP($B44,INPUT_DATA!$BP:$BP,INPUT_DATA!CM:CM))</f>
        <v/>
      </c>
      <c r="AL44" s="140" t="str">
        <f>IF($B44=0,"",_xlfn.XLOOKUP($B44,INPUT_DATA!$BP:$BP,INPUT_DATA!CN:CN))</f>
        <v/>
      </c>
      <c r="AM44" s="1300" t="str">
        <f t="shared" si="13"/>
        <v/>
      </c>
      <c r="AN44" s="139" t="str">
        <f>IF($B44=0,"",_xlfn.XLOOKUP($B44,INPUT_DATA!$BP:$BP,INPUT_DATA!CO:CO))</f>
        <v/>
      </c>
      <c r="AO44" s="139" t="str">
        <f t="shared" si="14"/>
        <v/>
      </c>
      <c r="AP44" s="1275" t="str">
        <f>IF($B44=0,"",_xlfn.XLOOKUP($B44,INPUT_DATA!$BP:$BP,INPUT_DATA!CP:CP))</f>
        <v/>
      </c>
      <c r="AQ44" s="139" t="str">
        <f t="shared" si="17"/>
        <v/>
      </c>
      <c r="AR44" s="1275" t="str">
        <f t="shared" si="15"/>
        <v/>
      </c>
    </row>
    <row r="45" spans="2:44">
      <c r="B45" s="137">
        <f>INPUT_DATA!BP36</f>
        <v>0</v>
      </c>
      <c r="C45" s="1291" t="str">
        <f>IF($B45=0,"",_xlfn.XLOOKUP($B45,INPUT_DATA!$BP:$BP,INPUT_DATA!BQ:BQ))</f>
        <v/>
      </c>
      <c r="D45" s="140" t="str">
        <f>IF($B45=0,"",_xlfn.XLOOKUP($B45,INPUT_DATA!$BP:$BP,INPUT_DATA!BR:BR))</f>
        <v/>
      </c>
      <c r="E45" s="140" t="str">
        <f>IF($B45=0,"",_xlfn.XLOOKUP($B45,INPUT_DATA!$BP:$BP,INPUT_DATA!BS:BS))</f>
        <v/>
      </c>
      <c r="F45" s="140" t="str">
        <f>IF($B45=0,"",_xlfn.XLOOKUP($B45,INPUT_DATA!$BP:$BP,INPUT_DATA!BT:BT))</f>
        <v/>
      </c>
      <c r="G45" s="140" t="str">
        <f t="shared" si="1"/>
        <v/>
      </c>
      <c r="H45" s="1291" t="str">
        <f>IF($B45=0,"",_xlfn.XLOOKUP($B45,INPUT_DATA!$BP:$BP,INPUT_DATA!BU:BU))</f>
        <v/>
      </c>
      <c r="I45" s="140" t="str">
        <f>IF($B45=0,"",_xlfn.XLOOKUP($B45,INPUT_DATA!$BP:$BP,INPUT_DATA!BV:BV))</f>
        <v/>
      </c>
      <c r="J45" s="140" t="str">
        <f>IF($B45=0,"",_xlfn.XLOOKUP($B45,INPUT_DATA!$BP:$BP,INPUT_DATA!BW:BW))</f>
        <v/>
      </c>
      <c r="K45" s="140" t="str">
        <f>IF($B45=0,"",_xlfn.XLOOKUP($B45,INPUT_DATA!$BP:$BP,INPUT_DATA!BX:BX))</f>
        <v/>
      </c>
      <c r="L45" s="140" t="str">
        <f t="shared" si="2"/>
        <v/>
      </c>
      <c r="M45" s="1291" t="str">
        <f>IF($B45=0,"",_xlfn.XLOOKUP($B45,INPUT_DATA!$BP:$BP,INPUT_DATA!BY:BY))</f>
        <v/>
      </c>
      <c r="N45" s="140" t="str">
        <f>IF($B45=0,"",_xlfn.XLOOKUP($B45,INPUT_DATA!$BP:$BP,INPUT_DATA!BZ:BZ))</f>
        <v/>
      </c>
      <c r="O45" s="140" t="str">
        <f>IF($B45=0,"",_xlfn.XLOOKUP($B45,INPUT_DATA!$BP:$BP,INPUT_DATA!CA:CA))</f>
        <v/>
      </c>
      <c r="P45" s="140" t="str">
        <f>IF($B45=0,"",_xlfn.XLOOKUP($B45,INPUT_DATA!$BP:$BP,INPUT_DATA!CB:CB))</f>
        <v/>
      </c>
      <c r="Q45" s="140" t="str">
        <f t="shared" si="3"/>
        <v/>
      </c>
      <c r="R45" s="1275" t="str">
        <f t="shared" si="4"/>
        <v/>
      </c>
      <c r="S45" s="139" t="str">
        <f t="shared" si="5"/>
        <v/>
      </c>
      <c r="T45" s="139" t="str">
        <f t="shared" si="6"/>
        <v/>
      </c>
      <c r="U45" s="1880" t="str">
        <f t="shared" si="7"/>
        <v/>
      </c>
      <c r="V45" s="139" t="str">
        <f t="shared" si="8"/>
        <v/>
      </c>
      <c r="W45" s="140" t="str">
        <f>IF($B45=0,"",_xlfn.XLOOKUP($B45,INPUT_DATA!$BP:$BP,INPUT_DATA!CC:CC))</f>
        <v/>
      </c>
      <c r="X45" s="140" t="str">
        <f>IF($B45=0,"",_xlfn.XLOOKUP($B45,INPUT_DATA!$BP:$BP,INPUT_DATA!CD:CD))</f>
        <v/>
      </c>
      <c r="Y45" s="140" t="str">
        <f>IF($B45=0,"",_xlfn.XLOOKUP($B45,INPUT_DATA!$BP:$BP,INPUT_DATA!CE:CE))</f>
        <v/>
      </c>
      <c r="Z45" s="1300" t="str">
        <f t="shared" si="9"/>
        <v/>
      </c>
      <c r="AA45" s="139" t="str">
        <f t="shared" si="10"/>
        <v/>
      </c>
      <c r="AB45" s="139" t="str">
        <f>IF($B45=0,"",_xlfn.XLOOKUP($B45,INPUT_DATA!$BP:$BP,INPUT_DATA!CF:CF))</f>
        <v/>
      </c>
      <c r="AC45" s="140" t="str">
        <f>IF($B45=0,"",_xlfn.XLOOKUP($B45,INPUT_DATA!$BP:$BP,INPUT_DATA!CG:CG))</f>
        <v/>
      </c>
      <c r="AD45" s="140" t="str">
        <f>IF($B45=0,"",_xlfn.XLOOKUP($B45,INPUT_DATA!$BP:$BP,INPUT_DATA!CH:CH))</f>
        <v/>
      </c>
      <c r="AE45" s="140" t="str">
        <f>IF($B45=0,"",_xlfn.XLOOKUP($B45,INPUT_DATA!$BP:$BP,INPUT_DATA!CI:CI))</f>
        <v/>
      </c>
      <c r="AF45" s="1300" t="str">
        <f t="shared" si="11"/>
        <v/>
      </c>
      <c r="AG45" s="139"/>
      <c r="AH45" s="139" t="str">
        <f t="shared" si="18"/>
        <v/>
      </c>
      <c r="AI45" s="1275" t="str">
        <f>IF($B45=0,"",_xlfn.XLOOKUP($B45,INPUT_DATA!$BP:$BP,INPUT_DATA!CK:CK))</f>
        <v/>
      </c>
      <c r="AJ45" s="140" t="str">
        <f>IF($B45=0,"",_xlfn.XLOOKUP($B45,INPUT_DATA!$BP:$BP,INPUT_DATA!CL:CL))</f>
        <v/>
      </c>
      <c r="AK45" s="140" t="str">
        <f>IF($B45=0,"",_xlfn.XLOOKUP($B45,INPUT_DATA!$BP:$BP,INPUT_DATA!CM:CM))</f>
        <v/>
      </c>
      <c r="AL45" s="140" t="str">
        <f>IF($B45=0,"",_xlfn.XLOOKUP($B45,INPUT_DATA!$BP:$BP,INPUT_DATA!CN:CN))</f>
        <v/>
      </c>
      <c r="AM45" s="1300" t="str">
        <f t="shared" si="13"/>
        <v/>
      </c>
      <c r="AN45" s="139" t="str">
        <f>IF($B45=0,"",_xlfn.XLOOKUP($B45,INPUT_DATA!$BP:$BP,INPUT_DATA!CO:CO))</f>
        <v/>
      </c>
      <c r="AO45" s="139" t="str">
        <f t="shared" si="14"/>
        <v/>
      </c>
      <c r="AP45" s="1275" t="str">
        <f>IF($B45=0,"",_xlfn.XLOOKUP($B45,INPUT_DATA!$BP:$BP,INPUT_DATA!CP:CP))</f>
        <v/>
      </c>
      <c r="AQ45" s="139" t="str">
        <f t="shared" si="17"/>
        <v/>
      </c>
      <c r="AR45" s="1275" t="str">
        <f t="shared" si="15"/>
        <v/>
      </c>
    </row>
    <row r="46" spans="2:44">
      <c r="B46" s="137">
        <f>INPUT_DATA!BP37</f>
        <v>0</v>
      </c>
      <c r="C46" s="1291" t="str">
        <f>IF($B46=0,"",_xlfn.XLOOKUP($B46,INPUT_DATA!$BP:$BP,INPUT_DATA!BQ:BQ))</f>
        <v/>
      </c>
      <c r="D46" s="140" t="str">
        <f>IF($B46=0,"",_xlfn.XLOOKUP($B46,INPUT_DATA!$BP:$BP,INPUT_DATA!BR:BR))</f>
        <v/>
      </c>
      <c r="E46" s="140" t="str">
        <f>IF($B46=0,"",_xlfn.XLOOKUP($B46,INPUT_DATA!$BP:$BP,INPUT_DATA!BS:BS))</f>
        <v/>
      </c>
      <c r="F46" s="140" t="str">
        <f>IF($B46=0,"",_xlfn.XLOOKUP($B46,INPUT_DATA!$BP:$BP,INPUT_DATA!BT:BT))</f>
        <v/>
      </c>
      <c r="G46" s="140" t="str">
        <f t="shared" si="1"/>
        <v/>
      </c>
      <c r="H46" s="1291" t="str">
        <f>IF($B46=0,"",_xlfn.XLOOKUP($B46,INPUT_DATA!$BP:$BP,INPUT_DATA!BU:BU))</f>
        <v/>
      </c>
      <c r="I46" s="140" t="str">
        <f>IF($B46=0,"",_xlfn.XLOOKUP($B46,INPUT_DATA!$BP:$BP,INPUT_DATA!BV:BV))</f>
        <v/>
      </c>
      <c r="J46" s="140" t="str">
        <f>IF($B46=0,"",_xlfn.XLOOKUP($B46,INPUT_DATA!$BP:$BP,INPUT_DATA!BW:BW))</f>
        <v/>
      </c>
      <c r="K46" s="140" t="str">
        <f>IF($B46=0,"",_xlfn.XLOOKUP($B46,INPUT_DATA!$BP:$BP,INPUT_DATA!BX:BX))</f>
        <v/>
      </c>
      <c r="L46" s="140" t="str">
        <f t="shared" si="2"/>
        <v/>
      </c>
      <c r="M46" s="1291" t="str">
        <f>IF($B46=0,"",_xlfn.XLOOKUP($B46,INPUT_DATA!$BP:$BP,INPUT_DATA!BY:BY))</f>
        <v/>
      </c>
      <c r="N46" s="140" t="str">
        <f>IF($B46=0,"",_xlfn.XLOOKUP($B46,INPUT_DATA!$BP:$BP,INPUT_DATA!BZ:BZ))</f>
        <v/>
      </c>
      <c r="O46" s="140" t="str">
        <f>IF($B46=0,"",_xlfn.XLOOKUP($B46,INPUT_DATA!$BP:$BP,INPUT_DATA!CA:CA))</f>
        <v/>
      </c>
      <c r="P46" s="140" t="str">
        <f>IF($B46=0,"",_xlfn.XLOOKUP($B46,INPUT_DATA!$BP:$BP,INPUT_DATA!CB:CB))</f>
        <v/>
      </c>
      <c r="Q46" s="140" t="str">
        <f t="shared" si="3"/>
        <v/>
      </c>
      <c r="R46" s="1275" t="str">
        <f t="shared" si="4"/>
        <v/>
      </c>
      <c r="S46" s="139" t="str">
        <f t="shared" si="5"/>
        <v/>
      </c>
      <c r="T46" s="139" t="str">
        <f t="shared" si="6"/>
        <v/>
      </c>
      <c r="U46" s="1880" t="str">
        <f t="shared" si="7"/>
        <v/>
      </c>
      <c r="V46" s="139" t="str">
        <f t="shared" si="8"/>
        <v/>
      </c>
      <c r="W46" s="140" t="str">
        <f>IF($B46=0,"",_xlfn.XLOOKUP($B46,INPUT_DATA!$BP:$BP,INPUT_DATA!CC:CC))</f>
        <v/>
      </c>
      <c r="X46" s="140" t="str">
        <f>IF($B46=0,"",_xlfn.XLOOKUP($B46,INPUT_DATA!$BP:$BP,INPUT_DATA!CD:CD))</f>
        <v/>
      </c>
      <c r="Y46" s="140" t="str">
        <f>IF($B46=0,"",_xlfn.XLOOKUP($B46,INPUT_DATA!$BP:$BP,INPUT_DATA!CE:CE))</f>
        <v/>
      </c>
      <c r="Z46" s="1300" t="str">
        <f t="shared" si="9"/>
        <v/>
      </c>
      <c r="AA46" s="139" t="str">
        <f t="shared" si="10"/>
        <v/>
      </c>
      <c r="AB46" s="139" t="str">
        <f>IF($B46=0,"",_xlfn.XLOOKUP($B46,INPUT_DATA!$BP:$BP,INPUT_DATA!CF:CF))</f>
        <v/>
      </c>
      <c r="AC46" s="140" t="str">
        <f>IF($B46=0,"",_xlfn.XLOOKUP($B46,INPUT_DATA!$BP:$BP,INPUT_DATA!CG:CG))</f>
        <v/>
      </c>
      <c r="AD46" s="140" t="str">
        <f>IF($B46=0,"",_xlfn.XLOOKUP($B46,INPUT_DATA!$BP:$BP,INPUT_DATA!CH:CH))</f>
        <v/>
      </c>
      <c r="AE46" s="140" t="str">
        <f>IF($B46=0,"",_xlfn.XLOOKUP($B46,INPUT_DATA!$BP:$BP,INPUT_DATA!CI:CI))</f>
        <v/>
      </c>
      <c r="AF46" s="1300" t="str">
        <f t="shared" si="11"/>
        <v/>
      </c>
      <c r="AG46" s="139"/>
      <c r="AH46" s="139" t="str">
        <f t="shared" si="18"/>
        <v/>
      </c>
      <c r="AI46" s="1275" t="str">
        <f>IF($B46=0,"",_xlfn.XLOOKUP($B46,INPUT_DATA!$BP:$BP,INPUT_DATA!CK:CK))</f>
        <v/>
      </c>
      <c r="AJ46" s="140" t="str">
        <f>IF($B46=0,"",_xlfn.XLOOKUP($B46,INPUT_DATA!$BP:$BP,INPUT_DATA!CL:CL))</f>
        <v/>
      </c>
      <c r="AK46" s="140" t="str">
        <f>IF($B46=0,"",_xlfn.XLOOKUP($B46,INPUT_DATA!$BP:$BP,INPUT_DATA!CM:CM))</f>
        <v/>
      </c>
      <c r="AL46" s="140" t="str">
        <f>IF($B46=0,"",_xlfn.XLOOKUP($B46,INPUT_DATA!$BP:$BP,INPUT_DATA!CN:CN))</f>
        <v/>
      </c>
      <c r="AM46" s="1300" t="str">
        <f t="shared" si="13"/>
        <v/>
      </c>
      <c r="AN46" s="139" t="str">
        <f>IF($B46=0,"",_xlfn.XLOOKUP($B46,INPUT_DATA!$BP:$BP,INPUT_DATA!CO:CO))</f>
        <v/>
      </c>
      <c r="AO46" s="139" t="str">
        <f t="shared" si="14"/>
        <v/>
      </c>
      <c r="AP46" s="1275" t="str">
        <f>IF($B46=0,"",_xlfn.XLOOKUP($B46,INPUT_DATA!$BP:$BP,INPUT_DATA!CP:CP))</f>
        <v/>
      </c>
      <c r="AQ46" s="139" t="str">
        <f t="shared" si="17"/>
        <v/>
      </c>
      <c r="AR46" s="1275" t="str">
        <f t="shared" si="15"/>
        <v/>
      </c>
    </row>
    <row r="47" spans="2:44">
      <c r="B47" s="137">
        <f>INPUT_DATA!BP38</f>
        <v>0</v>
      </c>
      <c r="C47" s="1291" t="str">
        <f>IF($B47=0,"",_xlfn.XLOOKUP($B47,INPUT_DATA!$BP:$BP,INPUT_DATA!BQ:BQ))</f>
        <v/>
      </c>
      <c r="D47" s="140" t="str">
        <f>IF($B47=0,"",_xlfn.XLOOKUP($B47,INPUT_DATA!$BP:$BP,INPUT_DATA!BR:BR))</f>
        <v/>
      </c>
      <c r="E47" s="140" t="str">
        <f>IF($B47=0,"",_xlfn.XLOOKUP($B47,INPUT_DATA!$BP:$BP,INPUT_DATA!BS:BS))</f>
        <v/>
      </c>
      <c r="F47" s="140" t="str">
        <f>IF($B47=0,"",_xlfn.XLOOKUP($B47,INPUT_DATA!$BP:$BP,INPUT_DATA!BT:BT))</f>
        <v/>
      </c>
      <c r="G47" s="140" t="str">
        <f t="shared" si="1"/>
        <v/>
      </c>
      <c r="H47" s="1291" t="str">
        <f>IF($B47=0,"",_xlfn.XLOOKUP($B47,INPUT_DATA!$BP:$BP,INPUT_DATA!BU:BU))</f>
        <v/>
      </c>
      <c r="I47" s="140" t="str">
        <f>IF($B47=0,"",_xlfn.XLOOKUP($B47,INPUT_DATA!$BP:$BP,INPUT_DATA!BV:BV))</f>
        <v/>
      </c>
      <c r="J47" s="140" t="str">
        <f>IF($B47=0,"",_xlfn.XLOOKUP($B47,INPUT_DATA!$BP:$BP,INPUT_DATA!BW:BW))</f>
        <v/>
      </c>
      <c r="K47" s="140" t="str">
        <f>IF($B47=0,"",_xlfn.XLOOKUP($B47,INPUT_DATA!$BP:$BP,INPUT_DATA!BX:BX))</f>
        <v/>
      </c>
      <c r="L47" s="140" t="str">
        <f t="shared" si="2"/>
        <v/>
      </c>
      <c r="M47" s="1291" t="str">
        <f>IF($B47=0,"",_xlfn.XLOOKUP($B47,INPUT_DATA!$BP:$BP,INPUT_DATA!BY:BY))</f>
        <v/>
      </c>
      <c r="N47" s="140" t="str">
        <f>IF($B47=0,"",_xlfn.XLOOKUP($B47,INPUT_DATA!$BP:$BP,INPUT_DATA!BZ:BZ))</f>
        <v/>
      </c>
      <c r="O47" s="140" t="str">
        <f>IF($B47=0,"",_xlfn.XLOOKUP($B47,INPUT_DATA!$BP:$BP,INPUT_DATA!CA:CA))</f>
        <v/>
      </c>
      <c r="P47" s="140" t="str">
        <f>IF($B47=0,"",_xlfn.XLOOKUP($B47,INPUT_DATA!$BP:$BP,INPUT_DATA!CB:CB))</f>
        <v/>
      </c>
      <c r="Q47" s="140" t="str">
        <f t="shared" si="3"/>
        <v/>
      </c>
      <c r="R47" s="1275" t="str">
        <f t="shared" si="4"/>
        <v/>
      </c>
      <c r="S47" s="139" t="str">
        <f t="shared" si="5"/>
        <v/>
      </c>
      <c r="T47" s="139" t="str">
        <f t="shared" si="6"/>
        <v/>
      </c>
      <c r="U47" s="1880" t="str">
        <f t="shared" si="7"/>
        <v/>
      </c>
      <c r="V47" s="139" t="str">
        <f t="shared" si="8"/>
        <v/>
      </c>
      <c r="W47" s="140" t="str">
        <f>IF($B47=0,"",_xlfn.XLOOKUP($B47,INPUT_DATA!$BP:$BP,INPUT_DATA!CC:CC))</f>
        <v/>
      </c>
      <c r="X47" s="140" t="str">
        <f>IF($B47=0,"",_xlfn.XLOOKUP($B47,INPUT_DATA!$BP:$BP,INPUT_DATA!CD:CD))</f>
        <v/>
      </c>
      <c r="Y47" s="140" t="str">
        <f>IF($B47=0,"",_xlfn.XLOOKUP($B47,INPUT_DATA!$BP:$BP,INPUT_DATA!CE:CE))</f>
        <v/>
      </c>
      <c r="Z47" s="1300" t="str">
        <f t="shared" si="9"/>
        <v/>
      </c>
      <c r="AA47" s="139" t="str">
        <f t="shared" si="10"/>
        <v/>
      </c>
      <c r="AB47" s="139" t="str">
        <f>IF($B47=0,"",_xlfn.XLOOKUP($B47,INPUT_DATA!$BP:$BP,INPUT_DATA!CF:CF))</f>
        <v/>
      </c>
      <c r="AC47" s="140" t="str">
        <f>IF($B47=0,"",_xlfn.XLOOKUP($B47,INPUT_DATA!$BP:$BP,INPUT_DATA!CG:CG))</f>
        <v/>
      </c>
      <c r="AD47" s="140" t="str">
        <f>IF($B47=0,"",_xlfn.XLOOKUP($B47,INPUT_DATA!$BP:$BP,INPUT_DATA!CH:CH))</f>
        <v/>
      </c>
      <c r="AE47" s="140" t="str">
        <f>IF($B47=0,"",_xlfn.XLOOKUP($B47,INPUT_DATA!$BP:$BP,INPUT_DATA!CI:CI))</f>
        <v/>
      </c>
      <c r="AF47" s="1300" t="str">
        <f t="shared" si="11"/>
        <v/>
      </c>
      <c r="AG47" s="139"/>
      <c r="AH47" s="139" t="str">
        <f t="shared" si="18"/>
        <v/>
      </c>
      <c r="AI47" s="1275" t="str">
        <f>IF($B47=0,"",_xlfn.XLOOKUP($B47,INPUT_DATA!$BP:$BP,INPUT_DATA!CK:CK))</f>
        <v/>
      </c>
      <c r="AJ47" s="140" t="str">
        <f>IF($B47=0,"",_xlfn.XLOOKUP($B47,INPUT_DATA!$BP:$BP,INPUT_DATA!CL:CL))</f>
        <v/>
      </c>
      <c r="AK47" s="140" t="str">
        <f>IF($B47=0,"",_xlfn.XLOOKUP($B47,INPUT_DATA!$BP:$BP,INPUT_DATA!CM:CM))</f>
        <v/>
      </c>
      <c r="AL47" s="140" t="str">
        <f>IF($B47=0,"",_xlfn.XLOOKUP($B47,INPUT_DATA!$BP:$BP,INPUT_DATA!CN:CN))</f>
        <v/>
      </c>
      <c r="AM47" s="1300" t="str">
        <f t="shared" si="13"/>
        <v/>
      </c>
      <c r="AN47" s="139" t="str">
        <f>IF($B47=0,"",_xlfn.XLOOKUP($B47,INPUT_DATA!$BP:$BP,INPUT_DATA!CO:CO))</f>
        <v/>
      </c>
      <c r="AO47" s="139" t="str">
        <f t="shared" si="14"/>
        <v/>
      </c>
      <c r="AP47" s="1275" t="str">
        <f>IF($B47=0,"",_xlfn.XLOOKUP($B47,INPUT_DATA!$BP:$BP,INPUT_DATA!CP:CP))</f>
        <v/>
      </c>
      <c r="AQ47" s="139" t="str">
        <f t="shared" si="17"/>
        <v/>
      </c>
      <c r="AR47" s="1275" t="str">
        <f t="shared" si="15"/>
        <v/>
      </c>
    </row>
    <row r="48" spans="2:44">
      <c r="B48" s="137">
        <f>INPUT_DATA!BP39</f>
        <v>0</v>
      </c>
      <c r="C48" s="1291" t="str">
        <f>IF($B48=0,"",_xlfn.XLOOKUP($B48,INPUT_DATA!$BP:$BP,INPUT_DATA!BQ:BQ))</f>
        <v/>
      </c>
      <c r="D48" s="140" t="str">
        <f>IF($B48=0,"",_xlfn.XLOOKUP($B48,INPUT_DATA!$BP:$BP,INPUT_DATA!BR:BR))</f>
        <v/>
      </c>
      <c r="E48" s="140" t="str">
        <f>IF($B48=0,"",_xlfn.XLOOKUP($B48,INPUT_DATA!$BP:$BP,INPUT_DATA!BS:BS))</f>
        <v/>
      </c>
      <c r="F48" s="140" t="str">
        <f>IF($B48=0,"",_xlfn.XLOOKUP($B48,INPUT_DATA!$BP:$BP,INPUT_DATA!BT:BT))</f>
        <v/>
      </c>
      <c r="G48" s="140" t="str">
        <f t="shared" si="1"/>
        <v/>
      </c>
      <c r="H48" s="1291" t="str">
        <f>IF($B48=0,"",_xlfn.XLOOKUP($B48,INPUT_DATA!$BP:$BP,INPUT_DATA!BU:BU))</f>
        <v/>
      </c>
      <c r="I48" s="140" t="str">
        <f>IF($B48=0,"",_xlfn.XLOOKUP($B48,INPUT_DATA!$BP:$BP,INPUT_DATA!BV:BV))</f>
        <v/>
      </c>
      <c r="J48" s="140" t="str">
        <f>IF($B48=0,"",_xlfn.XLOOKUP($B48,INPUT_DATA!$BP:$BP,INPUT_DATA!BW:BW))</f>
        <v/>
      </c>
      <c r="K48" s="140" t="str">
        <f>IF($B48=0,"",_xlfn.XLOOKUP($B48,INPUT_DATA!$BP:$BP,INPUT_DATA!BX:BX))</f>
        <v/>
      </c>
      <c r="L48" s="140" t="str">
        <f t="shared" si="2"/>
        <v/>
      </c>
      <c r="M48" s="1291" t="str">
        <f>IF($B48=0,"",_xlfn.XLOOKUP($B48,INPUT_DATA!$BP:$BP,INPUT_DATA!BY:BY))</f>
        <v/>
      </c>
      <c r="N48" s="140" t="str">
        <f>IF($B48=0,"",_xlfn.XLOOKUP($B48,INPUT_DATA!$BP:$BP,INPUT_DATA!BZ:BZ))</f>
        <v/>
      </c>
      <c r="O48" s="140" t="str">
        <f>IF($B48=0,"",_xlfn.XLOOKUP($B48,INPUT_DATA!$BP:$BP,INPUT_DATA!CA:CA))</f>
        <v/>
      </c>
      <c r="P48" s="140" t="str">
        <f>IF($B48=0,"",_xlfn.XLOOKUP($B48,INPUT_DATA!$BP:$BP,INPUT_DATA!CB:CB))</f>
        <v/>
      </c>
      <c r="Q48" s="140" t="str">
        <f t="shared" si="3"/>
        <v/>
      </c>
      <c r="R48" s="1275" t="str">
        <f t="shared" si="4"/>
        <v/>
      </c>
      <c r="S48" s="139" t="str">
        <f t="shared" si="5"/>
        <v/>
      </c>
      <c r="T48" s="139" t="str">
        <f t="shared" si="6"/>
        <v/>
      </c>
      <c r="U48" s="1880" t="str">
        <f t="shared" si="7"/>
        <v/>
      </c>
      <c r="V48" s="139" t="str">
        <f t="shared" si="8"/>
        <v/>
      </c>
      <c r="W48" s="140" t="str">
        <f>IF($B48=0,"",_xlfn.XLOOKUP($B48,INPUT_DATA!$BP:$BP,INPUT_DATA!CC:CC))</f>
        <v/>
      </c>
      <c r="X48" s="140" t="str">
        <f>IF($B48=0,"",_xlfn.XLOOKUP($B48,INPUT_DATA!$BP:$BP,INPUT_DATA!CD:CD))</f>
        <v/>
      </c>
      <c r="Y48" s="140" t="str">
        <f>IF($B48=0,"",_xlfn.XLOOKUP($B48,INPUT_DATA!$BP:$BP,INPUT_DATA!CE:CE))</f>
        <v/>
      </c>
      <c r="Z48" s="1300" t="str">
        <f t="shared" si="9"/>
        <v/>
      </c>
      <c r="AA48" s="139" t="str">
        <f t="shared" si="10"/>
        <v/>
      </c>
      <c r="AB48" s="139" t="str">
        <f>IF($B48=0,"",_xlfn.XLOOKUP($B48,INPUT_DATA!$BP:$BP,INPUT_DATA!CF:CF))</f>
        <v/>
      </c>
      <c r="AC48" s="140" t="str">
        <f>IF($B48=0,"",_xlfn.XLOOKUP($B48,INPUT_DATA!$BP:$BP,INPUT_DATA!CG:CG))</f>
        <v/>
      </c>
      <c r="AD48" s="140" t="str">
        <f>IF($B48=0,"",_xlfn.XLOOKUP($B48,INPUT_DATA!$BP:$BP,INPUT_DATA!CH:CH))</f>
        <v/>
      </c>
      <c r="AE48" s="140" t="str">
        <f>IF($B48=0,"",_xlfn.XLOOKUP($B48,INPUT_DATA!$BP:$BP,INPUT_DATA!CI:CI))</f>
        <v/>
      </c>
      <c r="AF48" s="1300" t="str">
        <f t="shared" si="11"/>
        <v/>
      </c>
      <c r="AG48" s="139"/>
      <c r="AH48" s="139" t="str">
        <f t="shared" si="18"/>
        <v/>
      </c>
      <c r="AI48" s="1275" t="str">
        <f>IF($B48=0,"",_xlfn.XLOOKUP($B48,INPUT_DATA!$BP:$BP,INPUT_DATA!CK:CK))</f>
        <v/>
      </c>
      <c r="AJ48" s="140" t="str">
        <f>IF($B48=0,"",_xlfn.XLOOKUP($B48,INPUT_DATA!$BP:$BP,INPUT_DATA!CL:CL))</f>
        <v/>
      </c>
      <c r="AK48" s="140" t="str">
        <f>IF($B48=0,"",_xlfn.XLOOKUP($B48,INPUT_DATA!$BP:$BP,INPUT_DATA!CM:CM))</f>
        <v/>
      </c>
      <c r="AL48" s="140" t="str">
        <f>IF($B48=0,"",_xlfn.XLOOKUP($B48,INPUT_DATA!$BP:$BP,INPUT_DATA!CN:CN))</f>
        <v/>
      </c>
      <c r="AM48" s="1300" t="str">
        <f t="shared" si="13"/>
        <v/>
      </c>
      <c r="AN48" s="139" t="str">
        <f>IF($B48=0,"",_xlfn.XLOOKUP($B48,INPUT_DATA!$BP:$BP,INPUT_DATA!CO:CO))</f>
        <v/>
      </c>
      <c r="AO48" s="139" t="str">
        <f t="shared" si="14"/>
        <v/>
      </c>
      <c r="AP48" s="1275" t="str">
        <f>IF($B48=0,"",_xlfn.XLOOKUP($B48,INPUT_DATA!$BP:$BP,INPUT_DATA!CP:CP))</f>
        <v/>
      </c>
      <c r="AQ48" s="139" t="str">
        <f t="shared" si="17"/>
        <v/>
      </c>
      <c r="AR48" s="1275" t="str">
        <f t="shared" si="15"/>
        <v/>
      </c>
    </row>
    <row r="49" spans="2:44">
      <c r="B49" s="137">
        <f>INPUT_DATA!BP40</f>
        <v>0</v>
      </c>
      <c r="C49" s="1291" t="str">
        <f>IF($B49=0,"",_xlfn.XLOOKUP($B49,INPUT_DATA!$BP:$BP,INPUT_DATA!BQ:BQ))</f>
        <v/>
      </c>
      <c r="D49" s="140" t="str">
        <f>IF($B49=0,"",_xlfn.XLOOKUP($B49,INPUT_DATA!$BP:$BP,INPUT_DATA!BR:BR))</f>
        <v/>
      </c>
      <c r="E49" s="140" t="str">
        <f>IF($B49=0,"",_xlfn.XLOOKUP($B49,INPUT_DATA!$BP:$BP,INPUT_DATA!BS:BS))</f>
        <v/>
      </c>
      <c r="F49" s="140" t="str">
        <f>IF($B49=0,"",_xlfn.XLOOKUP($B49,INPUT_DATA!$BP:$BP,INPUT_DATA!BT:BT))</f>
        <v/>
      </c>
      <c r="G49" s="140" t="str">
        <f t="shared" si="1"/>
        <v/>
      </c>
      <c r="H49" s="1291" t="str">
        <f>IF($B49=0,"",_xlfn.XLOOKUP($B49,INPUT_DATA!$BP:$BP,INPUT_DATA!BU:BU))</f>
        <v/>
      </c>
      <c r="I49" s="140" t="str">
        <f>IF($B49=0,"",_xlfn.XLOOKUP($B49,INPUT_DATA!$BP:$BP,INPUT_DATA!BV:BV))</f>
        <v/>
      </c>
      <c r="J49" s="140" t="str">
        <f>IF($B49=0,"",_xlfn.XLOOKUP($B49,INPUT_DATA!$BP:$BP,INPUT_DATA!BW:BW))</f>
        <v/>
      </c>
      <c r="K49" s="140" t="str">
        <f>IF($B49=0,"",_xlfn.XLOOKUP($B49,INPUT_DATA!$BP:$BP,INPUT_DATA!BX:BX))</f>
        <v/>
      </c>
      <c r="L49" s="140" t="str">
        <f t="shared" si="2"/>
        <v/>
      </c>
      <c r="M49" s="1291" t="str">
        <f>IF($B49=0,"",_xlfn.XLOOKUP($B49,INPUT_DATA!$BP:$BP,INPUT_DATA!BY:BY))</f>
        <v/>
      </c>
      <c r="N49" s="140" t="str">
        <f>IF($B49=0,"",_xlfn.XLOOKUP($B49,INPUT_DATA!$BP:$BP,INPUT_DATA!BZ:BZ))</f>
        <v/>
      </c>
      <c r="O49" s="140" t="str">
        <f>IF($B49=0,"",_xlfn.XLOOKUP($B49,INPUT_DATA!$BP:$BP,INPUT_DATA!CA:CA))</f>
        <v/>
      </c>
      <c r="P49" s="140" t="str">
        <f>IF($B49=0,"",_xlfn.XLOOKUP($B49,INPUT_DATA!$BP:$BP,INPUT_DATA!CB:CB))</f>
        <v/>
      </c>
      <c r="Q49" s="140" t="str">
        <f t="shared" si="3"/>
        <v/>
      </c>
      <c r="R49" s="1275" t="str">
        <f t="shared" si="4"/>
        <v/>
      </c>
      <c r="S49" s="139" t="str">
        <f t="shared" si="5"/>
        <v/>
      </c>
      <c r="T49" s="139" t="str">
        <f t="shared" si="6"/>
        <v/>
      </c>
      <c r="U49" s="1880" t="str">
        <f t="shared" si="7"/>
        <v/>
      </c>
      <c r="V49" s="139" t="str">
        <f t="shared" si="8"/>
        <v/>
      </c>
      <c r="W49" s="140" t="str">
        <f>IF($B49=0,"",_xlfn.XLOOKUP($B49,INPUT_DATA!$BP:$BP,INPUT_DATA!CC:CC))</f>
        <v/>
      </c>
      <c r="X49" s="140" t="str">
        <f>IF($B49=0,"",_xlfn.XLOOKUP($B49,INPUT_DATA!$BP:$BP,INPUT_DATA!CD:CD))</f>
        <v/>
      </c>
      <c r="Y49" s="140" t="str">
        <f>IF($B49=0,"",_xlfn.XLOOKUP($B49,INPUT_DATA!$BP:$BP,INPUT_DATA!CE:CE))</f>
        <v/>
      </c>
      <c r="Z49" s="1300" t="str">
        <f t="shared" si="9"/>
        <v/>
      </c>
      <c r="AA49" s="139" t="str">
        <f t="shared" si="10"/>
        <v/>
      </c>
      <c r="AB49" s="139" t="str">
        <f>IF($B49=0,"",_xlfn.XLOOKUP($B49,INPUT_DATA!$BP:$BP,INPUT_DATA!CF:CF))</f>
        <v/>
      </c>
      <c r="AC49" s="140" t="str">
        <f>IF($B49=0,"",_xlfn.XLOOKUP($B49,INPUT_DATA!$BP:$BP,INPUT_DATA!CG:CG))</f>
        <v/>
      </c>
      <c r="AD49" s="140" t="str">
        <f>IF($B49=0,"",_xlfn.XLOOKUP($B49,INPUT_DATA!$BP:$BP,INPUT_DATA!CH:CH))</f>
        <v/>
      </c>
      <c r="AE49" s="140" t="str">
        <f>IF($B49=0,"",_xlfn.XLOOKUP($B49,INPUT_DATA!$BP:$BP,INPUT_DATA!CI:CI))</f>
        <v/>
      </c>
      <c r="AF49" s="1300" t="str">
        <f t="shared" si="11"/>
        <v/>
      </c>
      <c r="AG49" s="139"/>
      <c r="AH49" s="139" t="str">
        <f t="shared" si="18"/>
        <v/>
      </c>
      <c r="AI49" s="1275" t="str">
        <f>IF($B49=0,"",_xlfn.XLOOKUP($B49,INPUT_DATA!$BP:$BP,INPUT_DATA!CK:CK))</f>
        <v/>
      </c>
      <c r="AJ49" s="140" t="str">
        <f>IF($B49=0,"",_xlfn.XLOOKUP($B49,INPUT_DATA!$BP:$BP,INPUT_DATA!CL:CL))</f>
        <v/>
      </c>
      <c r="AK49" s="140" t="str">
        <f>IF($B49=0,"",_xlfn.XLOOKUP($B49,INPUT_DATA!$BP:$BP,INPUT_DATA!CM:CM))</f>
        <v/>
      </c>
      <c r="AL49" s="140" t="str">
        <f>IF($B49=0,"",_xlfn.XLOOKUP($B49,INPUT_DATA!$BP:$BP,INPUT_DATA!CN:CN))</f>
        <v/>
      </c>
      <c r="AM49" s="1300" t="str">
        <f t="shared" si="13"/>
        <v/>
      </c>
      <c r="AN49" s="139" t="str">
        <f>IF($B49=0,"",_xlfn.XLOOKUP($B49,INPUT_DATA!$BP:$BP,INPUT_DATA!CO:CO))</f>
        <v/>
      </c>
      <c r="AO49" s="139" t="str">
        <f t="shared" si="14"/>
        <v/>
      </c>
      <c r="AP49" s="1275" t="str">
        <f>IF($B49=0,"",_xlfn.XLOOKUP($B49,INPUT_DATA!$BP:$BP,INPUT_DATA!CP:CP))</f>
        <v/>
      </c>
      <c r="AQ49" s="139" t="str">
        <f t="shared" si="17"/>
        <v/>
      </c>
      <c r="AR49" s="1275" t="str">
        <f t="shared" si="15"/>
        <v/>
      </c>
    </row>
    <row r="50" spans="2:44">
      <c r="B50" s="137">
        <f>INPUT_DATA!BP41</f>
        <v>0</v>
      </c>
      <c r="C50" s="1291" t="str">
        <f>IF($B50=0,"",_xlfn.XLOOKUP($B50,INPUT_DATA!$BP:$BP,INPUT_DATA!BQ:BQ))</f>
        <v/>
      </c>
      <c r="D50" s="140" t="str">
        <f>IF($B50=0,"",_xlfn.XLOOKUP($B50,INPUT_DATA!$BP:$BP,INPUT_DATA!BR:BR))</f>
        <v/>
      </c>
      <c r="E50" s="140" t="str">
        <f>IF($B50=0,"",_xlfn.XLOOKUP($B50,INPUT_DATA!$BP:$BP,INPUT_DATA!BS:BS))</f>
        <v/>
      </c>
      <c r="F50" s="140" t="str">
        <f>IF($B50=0,"",_xlfn.XLOOKUP($B50,INPUT_DATA!$BP:$BP,INPUT_DATA!BT:BT))</f>
        <v/>
      </c>
      <c r="G50" s="140" t="str">
        <f t="shared" si="1"/>
        <v/>
      </c>
      <c r="H50" s="1291" t="str">
        <f>IF($B50=0,"",_xlfn.XLOOKUP($B50,INPUT_DATA!$BP:$BP,INPUT_DATA!BU:BU))</f>
        <v/>
      </c>
      <c r="I50" s="140" t="str">
        <f>IF($B50=0,"",_xlfn.XLOOKUP($B50,INPUT_DATA!$BP:$BP,INPUT_DATA!BV:BV))</f>
        <v/>
      </c>
      <c r="J50" s="140" t="str">
        <f>IF($B50=0,"",_xlfn.XLOOKUP($B50,INPUT_DATA!$BP:$BP,INPUT_DATA!BW:BW))</f>
        <v/>
      </c>
      <c r="K50" s="140" t="str">
        <f>IF($B50=0,"",_xlfn.XLOOKUP($B50,INPUT_DATA!$BP:$BP,INPUT_DATA!BX:BX))</f>
        <v/>
      </c>
      <c r="L50" s="140" t="str">
        <f t="shared" si="2"/>
        <v/>
      </c>
      <c r="M50" s="1291" t="str">
        <f>IF($B50=0,"",_xlfn.XLOOKUP($B50,INPUT_DATA!$BP:$BP,INPUT_DATA!BY:BY))</f>
        <v/>
      </c>
      <c r="N50" s="140" t="str">
        <f>IF($B50=0,"",_xlfn.XLOOKUP($B50,INPUT_DATA!$BP:$BP,INPUT_DATA!BZ:BZ))</f>
        <v/>
      </c>
      <c r="O50" s="140" t="str">
        <f>IF($B50=0,"",_xlfn.XLOOKUP($B50,INPUT_DATA!$BP:$BP,INPUT_DATA!CA:CA))</f>
        <v/>
      </c>
      <c r="P50" s="140" t="str">
        <f>IF($B50=0,"",_xlfn.XLOOKUP($B50,INPUT_DATA!$BP:$BP,INPUT_DATA!CB:CB))</f>
        <v/>
      </c>
      <c r="Q50" s="140" t="str">
        <f t="shared" si="3"/>
        <v/>
      </c>
      <c r="R50" s="1275" t="str">
        <f t="shared" si="4"/>
        <v/>
      </c>
      <c r="S50" s="139" t="str">
        <f t="shared" si="5"/>
        <v/>
      </c>
      <c r="T50" s="139" t="str">
        <f t="shared" si="6"/>
        <v/>
      </c>
      <c r="U50" s="1880" t="str">
        <f t="shared" si="7"/>
        <v/>
      </c>
      <c r="V50" s="139" t="str">
        <f t="shared" si="8"/>
        <v/>
      </c>
      <c r="W50" s="140" t="str">
        <f>IF($B50=0,"",_xlfn.XLOOKUP($B50,INPUT_DATA!$BP:$BP,INPUT_DATA!CC:CC))</f>
        <v/>
      </c>
      <c r="X50" s="140" t="str">
        <f>IF($B50=0,"",_xlfn.XLOOKUP($B50,INPUT_DATA!$BP:$BP,INPUT_DATA!CD:CD))</f>
        <v/>
      </c>
      <c r="Y50" s="140" t="str">
        <f>IF($B50=0,"",_xlfn.XLOOKUP($B50,INPUT_DATA!$BP:$BP,INPUT_DATA!CE:CE))</f>
        <v/>
      </c>
      <c r="Z50" s="1300" t="str">
        <f t="shared" si="9"/>
        <v/>
      </c>
      <c r="AA50" s="139" t="str">
        <f t="shared" si="10"/>
        <v/>
      </c>
      <c r="AB50" s="139" t="str">
        <f>IF($B50=0,"",_xlfn.XLOOKUP($B50,INPUT_DATA!$BP:$BP,INPUT_DATA!CF:CF))</f>
        <v/>
      </c>
      <c r="AC50" s="140" t="str">
        <f>IF($B50=0,"",_xlfn.XLOOKUP($B50,INPUT_DATA!$BP:$BP,INPUT_DATA!CG:CG))</f>
        <v/>
      </c>
      <c r="AD50" s="140" t="str">
        <f>IF($B50=0,"",_xlfn.XLOOKUP($B50,INPUT_DATA!$BP:$BP,INPUT_DATA!CH:CH))</f>
        <v/>
      </c>
      <c r="AE50" s="140" t="str">
        <f>IF($B50=0,"",_xlfn.XLOOKUP($B50,INPUT_DATA!$BP:$BP,INPUT_DATA!CI:CI))</f>
        <v/>
      </c>
      <c r="AF50" s="1300" t="str">
        <f t="shared" si="11"/>
        <v/>
      </c>
      <c r="AG50" s="139"/>
      <c r="AH50" s="139" t="str">
        <f t="shared" si="18"/>
        <v/>
      </c>
      <c r="AI50" s="1275" t="str">
        <f>IF($B50=0,"",_xlfn.XLOOKUP($B50,INPUT_DATA!$BP:$BP,INPUT_DATA!CK:CK))</f>
        <v/>
      </c>
      <c r="AJ50" s="140" t="str">
        <f>IF($B50=0,"",_xlfn.XLOOKUP($B50,INPUT_DATA!$BP:$BP,INPUT_DATA!CL:CL))</f>
        <v/>
      </c>
      <c r="AK50" s="140" t="str">
        <f>IF($B50=0,"",_xlfn.XLOOKUP($B50,INPUT_DATA!$BP:$BP,INPUT_DATA!CM:CM))</f>
        <v/>
      </c>
      <c r="AL50" s="140" t="str">
        <f>IF($B50=0,"",_xlfn.XLOOKUP($B50,INPUT_DATA!$BP:$BP,INPUT_DATA!CN:CN))</f>
        <v/>
      </c>
      <c r="AM50" s="1300" t="str">
        <f t="shared" si="13"/>
        <v/>
      </c>
      <c r="AN50" s="139" t="str">
        <f>IF($B50=0,"",_xlfn.XLOOKUP($B50,INPUT_DATA!$BP:$BP,INPUT_DATA!CO:CO))</f>
        <v/>
      </c>
      <c r="AO50" s="139" t="str">
        <f t="shared" si="14"/>
        <v/>
      </c>
      <c r="AP50" s="1275" t="str">
        <f>IF($B50=0,"",_xlfn.XLOOKUP($B50,INPUT_DATA!$BP:$BP,INPUT_DATA!CP:CP))</f>
        <v/>
      </c>
      <c r="AQ50" s="139" t="str">
        <f t="shared" si="17"/>
        <v/>
      </c>
      <c r="AR50" s="1275" t="str">
        <f t="shared" si="15"/>
        <v/>
      </c>
    </row>
    <row r="51" spans="2:44">
      <c r="B51" s="137">
        <f>INPUT_DATA!BP42</f>
        <v>0</v>
      </c>
      <c r="C51" s="1291" t="str">
        <f>IF($B51=0,"",_xlfn.XLOOKUP($B51,INPUT_DATA!$BP:$BP,INPUT_DATA!BQ:BQ))</f>
        <v/>
      </c>
      <c r="D51" s="140" t="str">
        <f>IF($B51=0,"",_xlfn.XLOOKUP($B51,INPUT_DATA!$BP:$BP,INPUT_DATA!BR:BR))</f>
        <v/>
      </c>
      <c r="E51" s="140" t="str">
        <f>IF($B51=0,"",_xlfn.XLOOKUP($B51,INPUT_DATA!$BP:$BP,INPUT_DATA!BS:BS))</f>
        <v/>
      </c>
      <c r="F51" s="140" t="str">
        <f>IF($B51=0,"",_xlfn.XLOOKUP($B51,INPUT_DATA!$BP:$BP,INPUT_DATA!BT:BT))</f>
        <v/>
      </c>
      <c r="G51" s="140" t="str">
        <f t="shared" si="1"/>
        <v/>
      </c>
      <c r="H51" s="1291" t="str">
        <f>IF($B51=0,"",_xlfn.XLOOKUP($B51,INPUT_DATA!$BP:$BP,INPUT_DATA!BU:BU))</f>
        <v/>
      </c>
      <c r="I51" s="140" t="str">
        <f>IF($B51=0,"",_xlfn.XLOOKUP($B51,INPUT_DATA!$BP:$BP,INPUT_DATA!BV:BV))</f>
        <v/>
      </c>
      <c r="J51" s="140" t="str">
        <f>IF($B51=0,"",_xlfn.XLOOKUP($B51,INPUT_DATA!$BP:$BP,INPUT_DATA!BW:BW))</f>
        <v/>
      </c>
      <c r="K51" s="140" t="str">
        <f>IF($B51=0,"",_xlfn.XLOOKUP($B51,INPUT_DATA!$BP:$BP,INPUT_DATA!BX:BX))</f>
        <v/>
      </c>
      <c r="L51" s="140" t="str">
        <f t="shared" si="2"/>
        <v/>
      </c>
      <c r="M51" s="1291" t="str">
        <f>IF($B51=0,"",_xlfn.XLOOKUP($B51,INPUT_DATA!$BP:$BP,INPUT_DATA!BY:BY))</f>
        <v/>
      </c>
      <c r="N51" s="140" t="str">
        <f>IF($B51=0,"",_xlfn.XLOOKUP($B51,INPUT_DATA!$BP:$BP,INPUT_DATA!BZ:BZ))</f>
        <v/>
      </c>
      <c r="O51" s="140" t="str">
        <f>IF($B51=0,"",_xlfn.XLOOKUP($B51,INPUT_DATA!$BP:$BP,INPUT_DATA!CA:CA))</f>
        <v/>
      </c>
      <c r="P51" s="140" t="str">
        <f>IF($B51=0,"",_xlfn.XLOOKUP($B51,INPUT_DATA!$BP:$BP,INPUT_DATA!CB:CB))</f>
        <v/>
      </c>
      <c r="Q51" s="140" t="str">
        <f t="shared" si="3"/>
        <v/>
      </c>
      <c r="R51" s="1275" t="str">
        <f t="shared" si="4"/>
        <v/>
      </c>
      <c r="S51" s="139" t="str">
        <f t="shared" si="5"/>
        <v/>
      </c>
      <c r="T51" s="139" t="str">
        <f t="shared" si="6"/>
        <v/>
      </c>
      <c r="U51" s="1880" t="str">
        <f t="shared" si="7"/>
        <v/>
      </c>
      <c r="V51" s="139" t="str">
        <f t="shared" si="8"/>
        <v/>
      </c>
      <c r="W51" s="140" t="str">
        <f>IF($B51=0,"",_xlfn.XLOOKUP($B51,INPUT_DATA!$BP:$BP,INPUT_DATA!CC:CC))</f>
        <v/>
      </c>
      <c r="X51" s="140" t="str">
        <f>IF($B51=0,"",_xlfn.XLOOKUP($B51,INPUT_DATA!$BP:$BP,INPUT_DATA!CD:CD))</f>
        <v/>
      </c>
      <c r="Y51" s="140" t="str">
        <f>IF($B51=0,"",_xlfn.XLOOKUP($B51,INPUT_DATA!$BP:$BP,INPUT_DATA!CE:CE))</f>
        <v/>
      </c>
      <c r="Z51" s="1300" t="str">
        <f t="shared" si="9"/>
        <v/>
      </c>
      <c r="AA51" s="139" t="str">
        <f t="shared" si="10"/>
        <v/>
      </c>
      <c r="AB51" s="139" t="str">
        <f>IF($B51=0,"",_xlfn.XLOOKUP($B51,INPUT_DATA!$BP:$BP,INPUT_DATA!CF:CF))</f>
        <v/>
      </c>
      <c r="AC51" s="140" t="str">
        <f>IF($B51=0,"",_xlfn.XLOOKUP($B51,INPUT_DATA!$BP:$BP,INPUT_DATA!CG:CG))</f>
        <v/>
      </c>
      <c r="AD51" s="140" t="str">
        <f>IF($B51=0,"",_xlfn.XLOOKUP($B51,INPUT_DATA!$BP:$BP,INPUT_DATA!CH:CH))</f>
        <v/>
      </c>
      <c r="AE51" s="140" t="str">
        <f>IF($B51=0,"",_xlfn.XLOOKUP($B51,INPUT_DATA!$BP:$BP,INPUT_DATA!CI:CI))</f>
        <v/>
      </c>
      <c r="AF51" s="1300" t="str">
        <f t="shared" si="11"/>
        <v/>
      </c>
      <c r="AG51" s="139"/>
      <c r="AH51" s="139" t="str">
        <f t="shared" si="18"/>
        <v/>
      </c>
      <c r="AI51" s="1275" t="str">
        <f>IF($B51=0,"",_xlfn.XLOOKUP($B51,INPUT_DATA!$BP:$BP,INPUT_DATA!CK:CK))</f>
        <v/>
      </c>
      <c r="AJ51" s="140" t="str">
        <f>IF($B51=0,"",_xlfn.XLOOKUP($B51,INPUT_DATA!$BP:$BP,INPUT_DATA!CL:CL))</f>
        <v/>
      </c>
      <c r="AK51" s="140" t="str">
        <f>IF($B51=0,"",_xlfn.XLOOKUP($B51,INPUT_DATA!$BP:$BP,INPUT_DATA!CM:CM))</f>
        <v/>
      </c>
      <c r="AL51" s="140" t="str">
        <f>IF($B51=0,"",_xlfn.XLOOKUP($B51,INPUT_DATA!$BP:$BP,INPUT_DATA!CN:CN))</f>
        <v/>
      </c>
      <c r="AM51" s="1300" t="str">
        <f t="shared" si="13"/>
        <v/>
      </c>
      <c r="AN51" s="139" t="str">
        <f>IF($B51=0,"",_xlfn.XLOOKUP($B51,INPUT_DATA!$BP:$BP,INPUT_DATA!CO:CO))</f>
        <v/>
      </c>
      <c r="AO51" s="139" t="str">
        <f t="shared" si="14"/>
        <v/>
      </c>
      <c r="AP51" s="1275" t="str">
        <f>IF($B51=0,"",_xlfn.XLOOKUP($B51,INPUT_DATA!$BP:$BP,INPUT_DATA!CP:CP))</f>
        <v/>
      </c>
      <c r="AQ51" s="139" t="str">
        <f t="shared" si="17"/>
        <v/>
      </c>
      <c r="AR51" s="1275" t="str">
        <f t="shared" si="15"/>
        <v/>
      </c>
    </row>
    <row r="52" spans="2:44">
      <c r="B52" s="137">
        <f>INPUT_DATA!BP43</f>
        <v>0</v>
      </c>
      <c r="C52" s="1291" t="str">
        <f>IF($B52=0,"",_xlfn.XLOOKUP($B52,INPUT_DATA!$BP:$BP,INPUT_DATA!BQ:BQ))</f>
        <v/>
      </c>
      <c r="D52" s="140" t="str">
        <f>IF($B52=0,"",_xlfn.XLOOKUP($B52,INPUT_DATA!$BP:$BP,INPUT_DATA!BR:BR))</f>
        <v/>
      </c>
      <c r="E52" s="140" t="str">
        <f>IF($B52=0,"",_xlfn.XLOOKUP($B52,INPUT_DATA!$BP:$BP,INPUT_DATA!BS:BS))</f>
        <v/>
      </c>
      <c r="F52" s="140" t="str">
        <f>IF($B52=0,"",_xlfn.XLOOKUP($B52,INPUT_DATA!$BP:$BP,INPUT_DATA!BT:BT))</f>
        <v/>
      </c>
      <c r="G52" s="140" t="str">
        <f t="shared" si="1"/>
        <v/>
      </c>
      <c r="H52" s="1291" t="str">
        <f>IF($B52=0,"",_xlfn.XLOOKUP($B52,INPUT_DATA!$BP:$BP,INPUT_DATA!BU:BU))</f>
        <v/>
      </c>
      <c r="I52" s="140" t="str">
        <f>IF($B52=0,"",_xlfn.XLOOKUP($B52,INPUT_DATA!$BP:$BP,INPUT_DATA!BV:BV))</f>
        <v/>
      </c>
      <c r="J52" s="140" t="str">
        <f>IF($B52=0,"",_xlfn.XLOOKUP($B52,INPUT_DATA!$BP:$BP,INPUT_DATA!BW:BW))</f>
        <v/>
      </c>
      <c r="K52" s="140" t="str">
        <f>IF($B52=0,"",_xlfn.XLOOKUP($B52,INPUT_DATA!$BP:$BP,INPUT_DATA!BX:BX))</f>
        <v/>
      </c>
      <c r="L52" s="140" t="str">
        <f t="shared" si="2"/>
        <v/>
      </c>
      <c r="M52" s="1291" t="str">
        <f>IF($B52=0,"",_xlfn.XLOOKUP($B52,INPUT_DATA!$BP:$BP,INPUT_DATA!BY:BY))</f>
        <v/>
      </c>
      <c r="N52" s="140" t="str">
        <f>IF($B52=0,"",_xlfn.XLOOKUP($B52,INPUT_DATA!$BP:$BP,INPUT_DATA!BZ:BZ))</f>
        <v/>
      </c>
      <c r="O52" s="140" t="str">
        <f>IF($B52=0,"",_xlfn.XLOOKUP($B52,INPUT_DATA!$BP:$BP,INPUT_DATA!CA:CA))</f>
        <v/>
      </c>
      <c r="P52" s="140" t="str">
        <f>IF($B52=0,"",_xlfn.XLOOKUP($B52,INPUT_DATA!$BP:$BP,INPUT_DATA!CB:CB))</f>
        <v/>
      </c>
      <c r="Q52" s="140" t="str">
        <f t="shared" si="3"/>
        <v/>
      </c>
      <c r="R52" s="1275" t="str">
        <f t="shared" si="4"/>
        <v/>
      </c>
      <c r="S52" s="139" t="str">
        <f t="shared" si="5"/>
        <v/>
      </c>
      <c r="T52" s="139" t="str">
        <f t="shared" si="6"/>
        <v/>
      </c>
      <c r="U52" s="1880" t="str">
        <f t="shared" si="7"/>
        <v/>
      </c>
      <c r="V52" s="139" t="str">
        <f t="shared" si="8"/>
        <v/>
      </c>
      <c r="W52" s="140" t="str">
        <f>IF($B52=0,"",_xlfn.XLOOKUP($B52,INPUT_DATA!$BP:$BP,INPUT_DATA!CC:CC))</f>
        <v/>
      </c>
      <c r="X52" s="140" t="str">
        <f>IF($B52=0,"",_xlfn.XLOOKUP($B52,INPUT_DATA!$BP:$BP,INPUT_DATA!CD:CD))</f>
        <v/>
      </c>
      <c r="Y52" s="140" t="str">
        <f>IF($B52=0,"",_xlfn.XLOOKUP($B52,INPUT_DATA!$BP:$BP,INPUT_DATA!CE:CE))</f>
        <v/>
      </c>
      <c r="Z52" s="1300" t="str">
        <f t="shared" si="9"/>
        <v/>
      </c>
      <c r="AA52" s="139" t="str">
        <f t="shared" si="10"/>
        <v/>
      </c>
      <c r="AB52" s="139" t="str">
        <f>IF($B52=0,"",_xlfn.XLOOKUP($B52,INPUT_DATA!$BP:$BP,INPUT_DATA!CF:CF))</f>
        <v/>
      </c>
      <c r="AC52" s="140" t="str">
        <f>IF($B52=0,"",_xlfn.XLOOKUP($B52,INPUT_DATA!$BP:$BP,INPUT_DATA!CG:CG))</f>
        <v/>
      </c>
      <c r="AD52" s="140" t="str">
        <f>IF($B52=0,"",_xlfn.XLOOKUP($B52,INPUT_DATA!$BP:$BP,INPUT_DATA!CH:CH))</f>
        <v/>
      </c>
      <c r="AE52" s="140" t="str">
        <f>IF($B52=0,"",_xlfn.XLOOKUP($B52,INPUT_DATA!$BP:$BP,INPUT_DATA!CI:CI))</f>
        <v/>
      </c>
      <c r="AF52" s="1300" t="str">
        <f t="shared" si="11"/>
        <v/>
      </c>
      <c r="AG52" s="139"/>
      <c r="AH52" s="139" t="str">
        <f t="shared" si="18"/>
        <v/>
      </c>
      <c r="AI52" s="1275" t="str">
        <f>IF($B52=0,"",_xlfn.XLOOKUP($B52,INPUT_DATA!$BP:$BP,INPUT_DATA!CK:CK))</f>
        <v/>
      </c>
      <c r="AJ52" s="140" t="str">
        <f>IF($B52=0,"",_xlfn.XLOOKUP($B52,INPUT_DATA!$BP:$BP,INPUT_DATA!CL:CL))</f>
        <v/>
      </c>
      <c r="AK52" s="140" t="str">
        <f>IF($B52=0,"",_xlfn.XLOOKUP($B52,INPUT_DATA!$BP:$BP,INPUT_DATA!CM:CM))</f>
        <v/>
      </c>
      <c r="AL52" s="140" t="str">
        <f>IF($B52=0,"",_xlfn.XLOOKUP($B52,INPUT_DATA!$BP:$BP,INPUT_DATA!CN:CN))</f>
        <v/>
      </c>
      <c r="AM52" s="1300" t="str">
        <f t="shared" si="13"/>
        <v/>
      </c>
      <c r="AN52" s="139" t="str">
        <f>IF($B52=0,"",_xlfn.XLOOKUP($B52,INPUT_DATA!$BP:$BP,INPUT_DATA!CO:CO))</f>
        <v/>
      </c>
      <c r="AO52" s="139" t="str">
        <f t="shared" si="14"/>
        <v/>
      </c>
      <c r="AP52" s="1275" t="str">
        <f>IF($B52=0,"",_xlfn.XLOOKUP($B52,INPUT_DATA!$BP:$BP,INPUT_DATA!CP:CP))</f>
        <v/>
      </c>
      <c r="AQ52" s="139" t="str">
        <f t="shared" si="17"/>
        <v/>
      </c>
      <c r="AR52" s="1275" t="str">
        <f t="shared" si="15"/>
        <v/>
      </c>
    </row>
    <row r="53" spans="2:44">
      <c r="B53" s="137">
        <f>INPUT_DATA!BP44</f>
        <v>0</v>
      </c>
      <c r="C53" s="1291" t="str">
        <f>IF($B53=0,"",_xlfn.XLOOKUP($B53,INPUT_DATA!$BP:$BP,INPUT_DATA!BQ:BQ))</f>
        <v/>
      </c>
      <c r="D53" s="140" t="str">
        <f>IF($B53=0,"",_xlfn.XLOOKUP($B53,INPUT_DATA!$BP:$BP,INPUT_DATA!BR:BR))</f>
        <v/>
      </c>
      <c r="E53" s="140" t="str">
        <f>IF($B53=0,"",_xlfn.XLOOKUP($B53,INPUT_DATA!$BP:$BP,INPUT_DATA!BS:BS))</f>
        <v/>
      </c>
      <c r="F53" s="140" t="str">
        <f>IF($B53=0,"",_xlfn.XLOOKUP($B53,INPUT_DATA!$BP:$BP,INPUT_DATA!BT:BT))</f>
        <v/>
      </c>
      <c r="G53" s="140" t="str">
        <f t="shared" si="1"/>
        <v/>
      </c>
      <c r="H53" s="1291" t="str">
        <f>IF($B53=0,"",_xlfn.XLOOKUP($B53,INPUT_DATA!$BP:$BP,INPUT_DATA!BU:BU))</f>
        <v/>
      </c>
      <c r="I53" s="140" t="str">
        <f>IF($B53=0,"",_xlfn.XLOOKUP($B53,INPUT_DATA!$BP:$BP,INPUT_DATA!BV:BV))</f>
        <v/>
      </c>
      <c r="J53" s="140" t="str">
        <f>IF($B53=0,"",_xlfn.XLOOKUP($B53,INPUT_DATA!$BP:$BP,INPUT_DATA!BW:BW))</f>
        <v/>
      </c>
      <c r="K53" s="140" t="str">
        <f>IF($B53=0,"",_xlfn.XLOOKUP($B53,INPUT_DATA!$BP:$BP,INPUT_DATA!BX:BX))</f>
        <v/>
      </c>
      <c r="L53" s="140" t="str">
        <f t="shared" si="2"/>
        <v/>
      </c>
      <c r="M53" s="1291" t="str">
        <f>IF($B53=0,"",_xlfn.XLOOKUP($B53,INPUT_DATA!$BP:$BP,INPUT_DATA!BY:BY))</f>
        <v/>
      </c>
      <c r="N53" s="140" t="str">
        <f>IF($B53=0,"",_xlfn.XLOOKUP($B53,INPUT_DATA!$BP:$BP,INPUT_DATA!BZ:BZ))</f>
        <v/>
      </c>
      <c r="O53" s="140" t="str">
        <f>IF($B53=0,"",_xlfn.XLOOKUP($B53,INPUT_DATA!$BP:$BP,INPUT_DATA!CA:CA))</f>
        <v/>
      </c>
      <c r="P53" s="140" t="str">
        <f>IF($B53=0,"",_xlfn.XLOOKUP($B53,INPUT_DATA!$BP:$BP,INPUT_DATA!CB:CB))</f>
        <v/>
      </c>
      <c r="Q53" s="140" t="str">
        <f t="shared" si="3"/>
        <v/>
      </c>
      <c r="R53" s="1275" t="str">
        <f t="shared" si="4"/>
        <v/>
      </c>
      <c r="S53" s="139" t="str">
        <f t="shared" si="5"/>
        <v/>
      </c>
      <c r="T53" s="139" t="str">
        <f t="shared" si="6"/>
        <v/>
      </c>
      <c r="U53" s="1880" t="str">
        <f t="shared" si="7"/>
        <v/>
      </c>
      <c r="V53" s="139" t="str">
        <f t="shared" si="8"/>
        <v/>
      </c>
      <c r="W53" s="140" t="str">
        <f>IF($B53=0,"",_xlfn.XLOOKUP($B53,INPUT_DATA!$BP:$BP,INPUT_DATA!CC:CC))</f>
        <v/>
      </c>
      <c r="X53" s="140" t="str">
        <f>IF($B53=0,"",_xlfn.XLOOKUP($B53,INPUT_DATA!$BP:$BP,INPUT_DATA!CD:CD))</f>
        <v/>
      </c>
      <c r="Y53" s="140" t="str">
        <f>IF($B53=0,"",_xlfn.XLOOKUP($B53,INPUT_DATA!$BP:$BP,INPUT_DATA!CE:CE))</f>
        <v/>
      </c>
      <c r="Z53" s="1300" t="str">
        <f t="shared" si="9"/>
        <v/>
      </c>
      <c r="AA53" s="139" t="str">
        <f t="shared" si="10"/>
        <v/>
      </c>
      <c r="AB53" s="139" t="str">
        <f>IF($B53=0,"",_xlfn.XLOOKUP($B53,INPUT_DATA!$BP:$BP,INPUT_DATA!CF:CF))</f>
        <v/>
      </c>
      <c r="AC53" s="140" t="str">
        <f>IF($B53=0,"",_xlfn.XLOOKUP($B53,INPUT_DATA!$BP:$BP,INPUT_DATA!CG:CG))</f>
        <v/>
      </c>
      <c r="AD53" s="140" t="str">
        <f>IF($B53=0,"",_xlfn.XLOOKUP($B53,INPUT_DATA!$BP:$BP,INPUT_DATA!CH:CH))</f>
        <v/>
      </c>
      <c r="AE53" s="140" t="str">
        <f>IF($B53=0,"",_xlfn.XLOOKUP($B53,INPUT_DATA!$BP:$BP,INPUT_DATA!CI:CI))</f>
        <v/>
      </c>
      <c r="AF53" s="1300" t="str">
        <f t="shared" si="11"/>
        <v/>
      </c>
      <c r="AG53" s="139"/>
      <c r="AH53" s="139" t="str">
        <f t="shared" si="18"/>
        <v/>
      </c>
      <c r="AI53" s="1275" t="str">
        <f>IF($B53=0,"",_xlfn.XLOOKUP($B53,INPUT_DATA!$BP:$BP,INPUT_DATA!CK:CK))</f>
        <v/>
      </c>
      <c r="AJ53" s="140" t="str">
        <f>IF($B53=0,"",_xlfn.XLOOKUP($B53,INPUT_DATA!$BP:$BP,INPUT_DATA!CL:CL))</f>
        <v/>
      </c>
      <c r="AK53" s="140" t="str">
        <f>IF($B53=0,"",_xlfn.XLOOKUP($B53,INPUT_DATA!$BP:$BP,INPUT_DATA!CM:CM))</f>
        <v/>
      </c>
      <c r="AL53" s="140" t="str">
        <f>IF($B53=0,"",_xlfn.XLOOKUP($B53,INPUT_DATA!$BP:$BP,INPUT_DATA!CN:CN))</f>
        <v/>
      </c>
      <c r="AM53" s="1300" t="str">
        <f t="shared" si="13"/>
        <v/>
      </c>
      <c r="AN53" s="139" t="str">
        <f>IF($B53=0,"",_xlfn.XLOOKUP($B53,INPUT_DATA!$BP:$BP,INPUT_DATA!CO:CO))</f>
        <v/>
      </c>
      <c r="AO53" s="139" t="str">
        <f t="shared" si="14"/>
        <v/>
      </c>
      <c r="AP53" s="1275" t="str">
        <f>IF($B53=0,"",_xlfn.XLOOKUP($B53,INPUT_DATA!$BP:$BP,INPUT_DATA!CP:CP))</f>
        <v/>
      </c>
      <c r="AQ53" s="139" t="str">
        <f t="shared" si="17"/>
        <v/>
      </c>
      <c r="AR53" s="1275" t="str">
        <f t="shared" si="15"/>
        <v/>
      </c>
    </row>
    <row r="54" spans="2:44">
      <c r="B54" s="137">
        <f>INPUT_DATA!BP45</f>
        <v>0</v>
      </c>
      <c r="C54" s="1291" t="str">
        <f>IF($B54=0,"",_xlfn.XLOOKUP($B54,INPUT_DATA!$BP:$BP,INPUT_DATA!BQ:BQ))</f>
        <v/>
      </c>
      <c r="D54" s="140" t="str">
        <f>IF($B54=0,"",_xlfn.XLOOKUP($B54,INPUT_DATA!$BP:$BP,INPUT_DATA!BR:BR))</f>
        <v/>
      </c>
      <c r="E54" s="140" t="str">
        <f>IF($B54=0,"",_xlfn.XLOOKUP($B54,INPUT_DATA!$BP:$BP,INPUT_DATA!BS:BS))</f>
        <v/>
      </c>
      <c r="F54" s="140" t="str">
        <f>IF($B54=0,"",_xlfn.XLOOKUP($B54,INPUT_DATA!$BP:$BP,INPUT_DATA!BT:BT))</f>
        <v/>
      </c>
      <c r="G54" s="140" t="str">
        <f t="shared" si="1"/>
        <v/>
      </c>
      <c r="H54" s="1291" t="str">
        <f>IF($B54=0,"",_xlfn.XLOOKUP($B54,INPUT_DATA!$BP:$BP,INPUT_DATA!BU:BU))</f>
        <v/>
      </c>
      <c r="I54" s="140" t="str">
        <f>IF($B54=0,"",_xlfn.XLOOKUP($B54,INPUT_DATA!$BP:$BP,INPUT_DATA!BV:BV))</f>
        <v/>
      </c>
      <c r="J54" s="140" t="str">
        <f>IF($B54=0,"",_xlfn.XLOOKUP($B54,INPUT_DATA!$BP:$BP,INPUT_DATA!BW:BW))</f>
        <v/>
      </c>
      <c r="K54" s="140" t="str">
        <f>IF($B54=0,"",_xlfn.XLOOKUP($B54,INPUT_DATA!$BP:$BP,INPUT_DATA!BX:BX))</f>
        <v/>
      </c>
      <c r="L54" s="140" t="str">
        <f t="shared" si="2"/>
        <v/>
      </c>
      <c r="M54" s="1291" t="str">
        <f>IF($B54=0,"",_xlfn.XLOOKUP($B54,INPUT_DATA!$BP:$BP,INPUT_DATA!BY:BY))</f>
        <v/>
      </c>
      <c r="N54" s="140" t="str">
        <f>IF($B54=0,"",_xlfn.XLOOKUP($B54,INPUT_DATA!$BP:$BP,INPUT_DATA!BZ:BZ))</f>
        <v/>
      </c>
      <c r="O54" s="140" t="str">
        <f>IF($B54=0,"",_xlfn.XLOOKUP($B54,INPUT_DATA!$BP:$BP,INPUT_DATA!CA:CA))</f>
        <v/>
      </c>
      <c r="P54" s="140" t="str">
        <f>IF($B54=0,"",_xlfn.XLOOKUP($B54,INPUT_DATA!$BP:$BP,INPUT_DATA!CB:CB))</f>
        <v/>
      </c>
      <c r="Q54" s="140" t="str">
        <f t="shared" si="3"/>
        <v/>
      </c>
      <c r="R54" s="1275" t="str">
        <f t="shared" si="4"/>
        <v/>
      </c>
      <c r="S54" s="139" t="str">
        <f t="shared" si="5"/>
        <v/>
      </c>
      <c r="T54" s="139" t="str">
        <f t="shared" si="6"/>
        <v/>
      </c>
      <c r="U54" s="1880" t="str">
        <f t="shared" si="7"/>
        <v/>
      </c>
      <c r="V54" s="139" t="str">
        <f t="shared" si="8"/>
        <v/>
      </c>
      <c r="W54" s="140" t="str">
        <f>IF($B54=0,"",_xlfn.XLOOKUP($B54,INPUT_DATA!$BP:$BP,INPUT_DATA!CC:CC))</f>
        <v/>
      </c>
      <c r="X54" s="140" t="str">
        <f>IF($B54=0,"",_xlfn.XLOOKUP($B54,INPUT_DATA!$BP:$BP,INPUT_DATA!CD:CD))</f>
        <v/>
      </c>
      <c r="Y54" s="140" t="str">
        <f>IF($B54=0,"",_xlfn.XLOOKUP($B54,INPUT_DATA!$BP:$BP,INPUT_DATA!CE:CE))</f>
        <v/>
      </c>
      <c r="Z54" s="1300" t="str">
        <f t="shared" si="9"/>
        <v/>
      </c>
      <c r="AA54" s="139" t="str">
        <f t="shared" si="10"/>
        <v/>
      </c>
      <c r="AB54" s="139" t="str">
        <f>IF($B54=0,"",_xlfn.XLOOKUP($B54,INPUT_DATA!$BP:$BP,INPUT_DATA!CF:CF))</f>
        <v/>
      </c>
      <c r="AC54" s="140" t="str">
        <f>IF($B54=0,"",_xlfn.XLOOKUP($B54,INPUT_DATA!$BP:$BP,INPUT_DATA!CG:CG))</f>
        <v/>
      </c>
      <c r="AD54" s="140" t="str">
        <f>IF($B54=0,"",_xlfn.XLOOKUP($B54,INPUT_DATA!$BP:$BP,INPUT_DATA!CH:CH))</f>
        <v/>
      </c>
      <c r="AE54" s="140" t="str">
        <f>IF($B54=0,"",_xlfn.XLOOKUP($B54,INPUT_DATA!$BP:$BP,INPUT_DATA!CI:CI))</f>
        <v/>
      </c>
      <c r="AF54" s="1300" t="str">
        <f t="shared" si="11"/>
        <v/>
      </c>
      <c r="AG54" s="139"/>
      <c r="AH54" s="139" t="str">
        <f t="shared" si="18"/>
        <v/>
      </c>
      <c r="AI54" s="1275" t="str">
        <f>IF($B54=0,"",_xlfn.XLOOKUP($B54,INPUT_DATA!$BP:$BP,INPUT_DATA!CK:CK))</f>
        <v/>
      </c>
      <c r="AJ54" s="140" t="str">
        <f>IF($B54=0,"",_xlfn.XLOOKUP($B54,INPUT_DATA!$BP:$BP,INPUT_DATA!CL:CL))</f>
        <v/>
      </c>
      <c r="AK54" s="140" t="str">
        <f>IF($B54=0,"",_xlfn.XLOOKUP($B54,INPUT_DATA!$BP:$BP,INPUT_DATA!CM:CM))</f>
        <v/>
      </c>
      <c r="AL54" s="140" t="str">
        <f>IF($B54=0,"",_xlfn.XLOOKUP($B54,INPUT_DATA!$BP:$BP,INPUT_DATA!CN:CN))</f>
        <v/>
      </c>
      <c r="AM54" s="1300" t="str">
        <f t="shared" si="13"/>
        <v/>
      </c>
      <c r="AN54" s="139" t="str">
        <f>IF($B54=0,"",_xlfn.XLOOKUP($B54,INPUT_DATA!$BP:$BP,INPUT_DATA!CO:CO))</f>
        <v/>
      </c>
      <c r="AO54" s="139" t="str">
        <f t="shared" si="14"/>
        <v/>
      </c>
      <c r="AP54" s="1275" t="str">
        <f>IF($B54=0,"",_xlfn.XLOOKUP($B54,INPUT_DATA!$BP:$BP,INPUT_DATA!CP:CP))</f>
        <v/>
      </c>
      <c r="AQ54" s="139" t="str">
        <f t="shared" si="17"/>
        <v/>
      </c>
      <c r="AR54" s="1275" t="str">
        <f t="shared" si="15"/>
        <v/>
      </c>
    </row>
    <row r="55" spans="2:44">
      <c r="B55" s="137">
        <f>INPUT_DATA!BP46</f>
        <v>0</v>
      </c>
      <c r="C55" s="1291" t="str">
        <f>IF($B55=0,"",_xlfn.XLOOKUP($B55,INPUT_DATA!$BP:$BP,INPUT_DATA!BQ:BQ))</f>
        <v/>
      </c>
      <c r="D55" s="140" t="str">
        <f>IF($B55=0,"",_xlfn.XLOOKUP($B55,INPUT_DATA!$BP:$BP,INPUT_DATA!BR:BR))</f>
        <v/>
      </c>
      <c r="E55" s="140" t="str">
        <f>IF($B55=0,"",_xlfn.XLOOKUP($B55,INPUT_DATA!$BP:$BP,INPUT_DATA!BS:BS))</f>
        <v/>
      </c>
      <c r="F55" s="140" t="str">
        <f>IF($B55=0,"",_xlfn.XLOOKUP($B55,INPUT_DATA!$BP:$BP,INPUT_DATA!BT:BT))</f>
        <v/>
      </c>
      <c r="G55" s="140" t="str">
        <f t="shared" si="1"/>
        <v/>
      </c>
      <c r="H55" s="1291" t="str">
        <f>IF($B55=0,"",_xlfn.XLOOKUP($B55,INPUT_DATA!$BP:$BP,INPUT_DATA!BU:BU))</f>
        <v/>
      </c>
      <c r="I55" s="140" t="str">
        <f>IF($B55=0,"",_xlfn.XLOOKUP($B55,INPUT_DATA!$BP:$BP,INPUT_DATA!BV:BV))</f>
        <v/>
      </c>
      <c r="J55" s="140" t="str">
        <f>IF($B55=0,"",_xlfn.XLOOKUP($B55,INPUT_DATA!$BP:$BP,INPUT_DATA!BW:BW))</f>
        <v/>
      </c>
      <c r="K55" s="140" t="str">
        <f>IF($B55=0,"",_xlfn.XLOOKUP($B55,INPUT_DATA!$BP:$BP,INPUT_DATA!BX:BX))</f>
        <v/>
      </c>
      <c r="L55" s="140" t="str">
        <f t="shared" si="2"/>
        <v/>
      </c>
      <c r="M55" s="1291" t="str">
        <f>IF($B55=0,"",_xlfn.XLOOKUP($B55,INPUT_DATA!$BP:$BP,INPUT_DATA!BY:BY))</f>
        <v/>
      </c>
      <c r="N55" s="140" t="str">
        <f>IF($B55=0,"",_xlfn.XLOOKUP($B55,INPUT_DATA!$BP:$BP,INPUT_DATA!BZ:BZ))</f>
        <v/>
      </c>
      <c r="O55" s="140" t="str">
        <f>IF($B55=0,"",_xlfn.XLOOKUP($B55,INPUT_DATA!$BP:$BP,INPUT_DATA!CA:CA))</f>
        <v/>
      </c>
      <c r="P55" s="140" t="str">
        <f>IF($B55=0,"",_xlfn.XLOOKUP($B55,INPUT_DATA!$BP:$BP,INPUT_DATA!CB:CB))</f>
        <v/>
      </c>
      <c r="Q55" s="140" t="str">
        <f t="shared" si="3"/>
        <v/>
      </c>
      <c r="R55" s="1275" t="str">
        <f t="shared" si="4"/>
        <v/>
      </c>
      <c r="S55" s="139" t="str">
        <f t="shared" si="5"/>
        <v/>
      </c>
      <c r="T55" s="139" t="str">
        <f t="shared" si="6"/>
        <v/>
      </c>
      <c r="U55" s="1880" t="str">
        <f t="shared" si="7"/>
        <v/>
      </c>
      <c r="V55" s="139" t="str">
        <f t="shared" si="8"/>
        <v/>
      </c>
      <c r="W55" s="140" t="str">
        <f>IF($B55=0,"",_xlfn.XLOOKUP($B55,INPUT_DATA!$BP:$BP,INPUT_DATA!CC:CC))</f>
        <v/>
      </c>
      <c r="X55" s="140" t="str">
        <f>IF($B55=0,"",_xlfn.XLOOKUP($B55,INPUT_DATA!$BP:$BP,INPUT_DATA!CD:CD))</f>
        <v/>
      </c>
      <c r="Y55" s="140" t="str">
        <f>IF($B55=0,"",_xlfn.XLOOKUP($B55,INPUT_DATA!$BP:$BP,INPUT_DATA!CE:CE))</f>
        <v/>
      </c>
      <c r="Z55" s="1300" t="str">
        <f t="shared" si="9"/>
        <v/>
      </c>
      <c r="AA55" s="139" t="str">
        <f t="shared" si="10"/>
        <v/>
      </c>
      <c r="AB55" s="139" t="str">
        <f>IF($B55=0,"",_xlfn.XLOOKUP($B55,INPUT_DATA!$BP:$BP,INPUT_DATA!CF:CF))</f>
        <v/>
      </c>
      <c r="AC55" s="140" t="str">
        <f>IF($B55=0,"",_xlfn.XLOOKUP($B55,INPUT_DATA!$BP:$BP,INPUT_DATA!CG:CG))</f>
        <v/>
      </c>
      <c r="AD55" s="140" t="str">
        <f>IF($B55=0,"",_xlfn.XLOOKUP($B55,INPUT_DATA!$BP:$BP,INPUT_DATA!CH:CH))</f>
        <v/>
      </c>
      <c r="AE55" s="140" t="str">
        <f>IF($B55=0,"",_xlfn.XLOOKUP($B55,INPUT_DATA!$BP:$BP,INPUT_DATA!CI:CI))</f>
        <v/>
      </c>
      <c r="AF55" s="1300" t="str">
        <f t="shared" si="11"/>
        <v/>
      </c>
      <c r="AG55" s="139"/>
      <c r="AH55" s="139" t="str">
        <f t="shared" si="18"/>
        <v/>
      </c>
      <c r="AI55" s="1275" t="str">
        <f>IF($B55=0,"",_xlfn.XLOOKUP($B55,INPUT_DATA!$BP:$BP,INPUT_DATA!CK:CK))</f>
        <v/>
      </c>
      <c r="AJ55" s="140" t="str">
        <f>IF($B55=0,"",_xlfn.XLOOKUP($B55,INPUT_DATA!$BP:$BP,INPUT_DATA!CL:CL))</f>
        <v/>
      </c>
      <c r="AK55" s="140" t="str">
        <f>IF($B55=0,"",_xlfn.XLOOKUP($B55,INPUT_DATA!$BP:$BP,INPUT_DATA!CM:CM))</f>
        <v/>
      </c>
      <c r="AL55" s="140" t="str">
        <f>IF($B55=0,"",_xlfn.XLOOKUP($B55,INPUT_DATA!$BP:$BP,INPUT_DATA!CN:CN))</f>
        <v/>
      </c>
      <c r="AM55" s="1300" t="str">
        <f t="shared" si="13"/>
        <v/>
      </c>
      <c r="AN55" s="139" t="str">
        <f>IF($B55=0,"",_xlfn.XLOOKUP($B55,INPUT_DATA!$BP:$BP,INPUT_DATA!CO:CO))</f>
        <v/>
      </c>
      <c r="AO55" s="139" t="str">
        <f t="shared" si="14"/>
        <v/>
      </c>
      <c r="AP55" s="1275" t="str">
        <f>IF($B55=0,"",_xlfn.XLOOKUP($B55,INPUT_DATA!$BP:$BP,INPUT_DATA!CP:CP))</f>
        <v/>
      </c>
      <c r="AQ55" s="139" t="str">
        <f t="shared" si="17"/>
        <v/>
      </c>
      <c r="AR55" s="1275" t="str">
        <f t="shared" si="15"/>
        <v/>
      </c>
    </row>
    <row r="56" spans="2:44">
      <c r="B56" s="137">
        <f>INPUT_DATA!BP47</f>
        <v>0</v>
      </c>
      <c r="C56" s="1291" t="str">
        <f>IF($B56=0,"",_xlfn.XLOOKUP($B56,INPUT_DATA!$BP:$BP,INPUT_DATA!BQ:BQ))</f>
        <v/>
      </c>
      <c r="D56" s="140" t="str">
        <f>IF($B56=0,"",_xlfn.XLOOKUP($B56,INPUT_DATA!$BP:$BP,INPUT_DATA!BR:BR))</f>
        <v/>
      </c>
      <c r="E56" s="140" t="str">
        <f>IF($B56=0,"",_xlfn.XLOOKUP($B56,INPUT_DATA!$BP:$BP,INPUT_DATA!BS:BS))</f>
        <v/>
      </c>
      <c r="F56" s="140" t="str">
        <f>IF($B56=0,"",_xlfn.XLOOKUP($B56,INPUT_DATA!$BP:$BP,INPUT_DATA!BT:BT))</f>
        <v/>
      </c>
      <c r="G56" s="140" t="str">
        <f t="shared" si="1"/>
        <v/>
      </c>
      <c r="H56" s="1291" t="str">
        <f>IF($B56=0,"",_xlfn.XLOOKUP($B56,INPUT_DATA!$BP:$BP,INPUT_DATA!BU:BU))</f>
        <v/>
      </c>
      <c r="I56" s="140" t="str">
        <f>IF($B56=0,"",_xlfn.XLOOKUP($B56,INPUT_DATA!$BP:$BP,INPUT_DATA!BV:BV))</f>
        <v/>
      </c>
      <c r="J56" s="140" t="str">
        <f>IF($B56=0,"",_xlfn.XLOOKUP($B56,INPUT_DATA!$BP:$BP,INPUT_DATA!BW:BW))</f>
        <v/>
      </c>
      <c r="K56" s="140" t="str">
        <f>IF($B56=0,"",_xlfn.XLOOKUP($B56,INPUT_DATA!$BP:$BP,INPUT_DATA!BX:BX))</f>
        <v/>
      </c>
      <c r="L56" s="140" t="str">
        <f t="shared" si="2"/>
        <v/>
      </c>
      <c r="M56" s="1291" t="str">
        <f>IF($B56=0,"",_xlfn.XLOOKUP($B56,INPUT_DATA!$BP:$BP,INPUT_DATA!BY:BY))</f>
        <v/>
      </c>
      <c r="N56" s="140" t="str">
        <f>IF($B56=0,"",_xlfn.XLOOKUP($B56,INPUT_DATA!$BP:$BP,INPUT_DATA!BZ:BZ))</f>
        <v/>
      </c>
      <c r="O56" s="140" t="str">
        <f>IF($B56=0,"",_xlfn.XLOOKUP($B56,INPUT_DATA!$BP:$BP,INPUT_DATA!CA:CA))</f>
        <v/>
      </c>
      <c r="P56" s="140" t="str">
        <f>IF($B56=0,"",_xlfn.XLOOKUP($B56,INPUT_DATA!$BP:$BP,INPUT_DATA!CB:CB))</f>
        <v/>
      </c>
      <c r="Q56" s="140" t="str">
        <f t="shared" si="3"/>
        <v/>
      </c>
      <c r="R56" s="1275" t="str">
        <f t="shared" si="4"/>
        <v/>
      </c>
      <c r="S56" s="139" t="str">
        <f t="shared" si="5"/>
        <v/>
      </c>
      <c r="T56" s="139" t="str">
        <f t="shared" si="6"/>
        <v/>
      </c>
      <c r="U56" s="1880" t="str">
        <f t="shared" si="7"/>
        <v/>
      </c>
      <c r="V56" s="139" t="str">
        <f t="shared" si="8"/>
        <v/>
      </c>
      <c r="W56" s="140" t="str">
        <f>IF($B56=0,"",_xlfn.XLOOKUP($B56,INPUT_DATA!$BP:$BP,INPUT_DATA!CC:CC))</f>
        <v/>
      </c>
      <c r="X56" s="140" t="str">
        <f>IF($B56=0,"",_xlfn.XLOOKUP($B56,INPUT_DATA!$BP:$BP,INPUT_DATA!CD:CD))</f>
        <v/>
      </c>
      <c r="Y56" s="140" t="str">
        <f>IF($B56=0,"",_xlfn.XLOOKUP($B56,INPUT_DATA!$BP:$BP,INPUT_DATA!CE:CE))</f>
        <v/>
      </c>
      <c r="Z56" s="1300" t="str">
        <f t="shared" si="9"/>
        <v/>
      </c>
      <c r="AA56" s="139" t="str">
        <f t="shared" si="10"/>
        <v/>
      </c>
      <c r="AB56" s="139" t="str">
        <f>IF($B56=0,"",_xlfn.XLOOKUP($B56,INPUT_DATA!$BP:$BP,INPUT_DATA!CF:CF))</f>
        <v/>
      </c>
      <c r="AC56" s="140" t="str">
        <f>IF($B56=0,"",_xlfn.XLOOKUP($B56,INPUT_DATA!$BP:$BP,INPUT_DATA!CG:CG))</f>
        <v/>
      </c>
      <c r="AD56" s="140" t="str">
        <f>IF($B56=0,"",_xlfn.XLOOKUP($B56,INPUT_DATA!$BP:$BP,INPUT_DATA!CH:CH))</f>
        <v/>
      </c>
      <c r="AE56" s="140" t="str">
        <f>IF($B56=0,"",_xlfn.XLOOKUP($B56,INPUT_DATA!$BP:$BP,INPUT_DATA!CI:CI))</f>
        <v/>
      </c>
      <c r="AF56" s="1300" t="str">
        <f t="shared" si="11"/>
        <v/>
      </c>
      <c r="AG56" s="139"/>
      <c r="AH56" s="139" t="str">
        <f t="shared" si="18"/>
        <v/>
      </c>
      <c r="AI56" s="1275" t="str">
        <f>IF($B56=0,"",_xlfn.XLOOKUP($B56,INPUT_DATA!$BP:$BP,INPUT_DATA!CK:CK))</f>
        <v/>
      </c>
      <c r="AJ56" s="140" t="str">
        <f>IF($B56=0,"",_xlfn.XLOOKUP($B56,INPUT_DATA!$BP:$BP,INPUT_DATA!CL:CL))</f>
        <v/>
      </c>
      <c r="AK56" s="140" t="str">
        <f>IF($B56=0,"",_xlfn.XLOOKUP($B56,INPUT_DATA!$BP:$BP,INPUT_DATA!CM:CM))</f>
        <v/>
      </c>
      <c r="AL56" s="140" t="str">
        <f>IF($B56=0,"",_xlfn.XLOOKUP($B56,INPUT_DATA!$BP:$BP,INPUT_DATA!CN:CN))</f>
        <v/>
      </c>
      <c r="AM56" s="1300" t="str">
        <f t="shared" si="13"/>
        <v/>
      </c>
      <c r="AN56" s="139" t="str">
        <f>IF($B56=0,"",_xlfn.XLOOKUP($B56,INPUT_DATA!$BP:$BP,INPUT_DATA!CO:CO))</f>
        <v/>
      </c>
      <c r="AO56" s="139" t="str">
        <f t="shared" si="14"/>
        <v/>
      </c>
      <c r="AP56" s="1275" t="str">
        <f>IF($B56=0,"",_xlfn.XLOOKUP($B56,INPUT_DATA!$BP:$BP,INPUT_DATA!CP:CP))</f>
        <v/>
      </c>
      <c r="AQ56" s="139" t="str">
        <f t="shared" si="17"/>
        <v/>
      </c>
      <c r="AR56" s="1275" t="str">
        <f t="shared" si="15"/>
        <v/>
      </c>
    </row>
    <row r="57" spans="2:44">
      <c r="B57" s="137">
        <f>INPUT_DATA!BP48</f>
        <v>0</v>
      </c>
      <c r="C57" s="1291" t="str">
        <f>IF($B57=0,"",_xlfn.XLOOKUP($B57,INPUT_DATA!$BP:$BP,INPUT_DATA!BQ:BQ))</f>
        <v/>
      </c>
      <c r="D57" s="140" t="str">
        <f>IF($B57=0,"",_xlfn.XLOOKUP($B57,INPUT_DATA!$BP:$BP,INPUT_DATA!BR:BR))</f>
        <v/>
      </c>
      <c r="E57" s="140" t="str">
        <f>IF($B57=0,"",_xlfn.XLOOKUP($B57,INPUT_DATA!$BP:$BP,INPUT_DATA!BS:BS))</f>
        <v/>
      </c>
      <c r="F57" s="140" t="str">
        <f>IF($B57=0,"",_xlfn.XLOOKUP($B57,INPUT_DATA!$BP:$BP,INPUT_DATA!BT:BT))</f>
        <v/>
      </c>
      <c r="G57" s="140" t="str">
        <f t="shared" si="1"/>
        <v/>
      </c>
      <c r="H57" s="1291" t="str">
        <f>IF($B57=0,"",_xlfn.XLOOKUP($B57,INPUT_DATA!$BP:$BP,INPUT_DATA!BU:BU))</f>
        <v/>
      </c>
      <c r="I57" s="140" t="str">
        <f>IF($B57=0,"",_xlfn.XLOOKUP($B57,INPUT_DATA!$BP:$BP,INPUT_DATA!BV:BV))</f>
        <v/>
      </c>
      <c r="J57" s="140" t="str">
        <f>IF($B57=0,"",_xlfn.XLOOKUP($B57,INPUT_DATA!$BP:$BP,INPUT_DATA!BW:BW))</f>
        <v/>
      </c>
      <c r="K57" s="140" t="str">
        <f>IF($B57=0,"",_xlfn.XLOOKUP($B57,INPUT_DATA!$BP:$BP,INPUT_DATA!BX:BX))</f>
        <v/>
      </c>
      <c r="L57" s="140" t="str">
        <f t="shared" si="2"/>
        <v/>
      </c>
      <c r="M57" s="1291" t="str">
        <f>IF($B57=0,"",_xlfn.XLOOKUP($B57,INPUT_DATA!$BP:$BP,INPUT_DATA!BY:BY))</f>
        <v/>
      </c>
      <c r="N57" s="140" t="str">
        <f>IF($B57=0,"",_xlfn.XLOOKUP($B57,INPUT_DATA!$BP:$BP,INPUT_DATA!BZ:BZ))</f>
        <v/>
      </c>
      <c r="O57" s="140" t="str">
        <f>IF($B57=0,"",_xlfn.XLOOKUP($B57,INPUT_DATA!$BP:$BP,INPUT_DATA!CA:CA))</f>
        <v/>
      </c>
      <c r="P57" s="140" t="str">
        <f>IF($B57=0,"",_xlfn.XLOOKUP($B57,INPUT_DATA!$BP:$BP,INPUT_DATA!CB:CB))</f>
        <v/>
      </c>
      <c r="Q57" s="140" t="str">
        <f t="shared" si="3"/>
        <v/>
      </c>
      <c r="R57" s="1275" t="str">
        <f t="shared" si="4"/>
        <v/>
      </c>
      <c r="S57" s="139" t="str">
        <f t="shared" si="5"/>
        <v/>
      </c>
      <c r="T57" s="139" t="str">
        <f t="shared" si="6"/>
        <v/>
      </c>
      <c r="U57" s="1880" t="str">
        <f t="shared" si="7"/>
        <v/>
      </c>
      <c r="V57" s="139" t="str">
        <f t="shared" si="8"/>
        <v/>
      </c>
      <c r="W57" s="140" t="str">
        <f>IF($B57=0,"",_xlfn.XLOOKUP($B57,INPUT_DATA!$BP:$BP,INPUT_DATA!CC:CC))</f>
        <v/>
      </c>
      <c r="X57" s="140" t="str">
        <f>IF($B57=0,"",_xlfn.XLOOKUP($B57,INPUT_DATA!$BP:$BP,INPUT_DATA!CD:CD))</f>
        <v/>
      </c>
      <c r="Y57" s="140" t="str">
        <f>IF($B57=0,"",_xlfn.XLOOKUP($B57,INPUT_DATA!$BP:$BP,INPUT_DATA!CE:CE))</f>
        <v/>
      </c>
      <c r="Z57" s="1300" t="str">
        <f t="shared" si="9"/>
        <v/>
      </c>
      <c r="AA57" s="139" t="str">
        <f t="shared" si="10"/>
        <v/>
      </c>
      <c r="AB57" s="139" t="str">
        <f>IF($B57=0,"",_xlfn.XLOOKUP($B57,INPUT_DATA!$BP:$BP,INPUT_DATA!CF:CF))</f>
        <v/>
      </c>
      <c r="AC57" s="140" t="str">
        <f>IF($B57=0,"",_xlfn.XLOOKUP($B57,INPUT_DATA!$BP:$BP,INPUT_DATA!CG:CG))</f>
        <v/>
      </c>
      <c r="AD57" s="140" t="str">
        <f>IF($B57=0,"",_xlfn.XLOOKUP($B57,INPUT_DATA!$BP:$BP,INPUT_DATA!CH:CH))</f>
        <v/>
      </c>
      <c r="AE57" s="140" t="str">
        <f>IF($B57=0,"",_xlfn.XLOOKUP($B57,INPUT_DATA!$BP:$BP,INPUT_DATA!CI:CI))</f>
        <v/>
      </c>
      <c r="AF57" s="1300" t="str">
        <f t="shared" si="11"/>
        <v/>
      </c>
      <c r="AG57" s="139"/>
      <c r="AH57" s="139" t="str">
        <f t="shared" si="18"/>
        <v/>
      </c>
      <c r="AI57" s="1275" t="str">
        <f>IF($B57=0,"",_xlfn.XLOOKUP($B57,INPUT_DATA!$BP:$BP,INPUT_DATA!CK:CK))</f>
        <v/>
      </c>
      <c r="AJ57" s="140" t="str">
        <f>IF($B57=0,"",_xlfn.XLOOKUP($B57,INPUT_DATA!$BP:$BP,INPUT_DATA!CL:CL))</f>
        <v/>
      </c>
      <c r="AK57" s="140" t="str">
        <f>IF($B57=0,"",_xlfn.XLOOKUP($B57,INPUT_DATA!$BP:$BP,INPUT_DATA!CM:CM))</f>
        <v/>
      </c>
      <c r="AL57" s="140" t="str">
        <f>IF($B57=0,"",_xlfn.XLOOKUP($B57,INPUT_DATA!$BP:$BP,INPUT_DATA!CN:CN))</f>
        <v/>
      </c>
      <c r="AM57" s="1300" t="str">
        <f t="shared" si="13"/>
        <v/>
      </c>
      <c r="AN57" s="139" t="str">
        <f>IF($B57=0,"",_xlfn.XLOOKUP($B57,INPUT_DATA!$BP:$BP,INPUT_DATA!CO:CO))</f>
        <v/>
      </c>
      <c r="AO57" s="139" t="str">
        <f t="shared" si="14"/>
        <v/>
      </c>
      <c r="AP57" s="1275" t="str">
        <f>IF($B57=0,"",_xlfn.XLOOKUP($B57,INPUT_DATA!$BP:$BP,INPUT_DATA!CP:CP))</f>
        <v/>
      </c>
      <c r="AQ57" s="139" t="str">
        <f t="shared" si="17"/>
        <v/>
      </c>
      <c r="AR57" s="1275" t="str">
        <f t="shared" si="15"/>
        <v/>
      </c>
    </row>
    <row r="58" spans="2:44">
      <c r="B58" s="137">
        <f>INPUT_DATA!BP49</f>
        <v>0</v>
      </c>
      <c r="C58" s="1291" t="str">
        <f>IF($B58=0,"",_xlfn.XLOOKUP($B58,INPUT_DATA!$BP:$BP,INPUT_DATA!BQ:BQ))</f>
        <v/>
      </c>
      <c r="D58" s="140" t="str">
        <f>IF($B58=0,"",_xlfn.XLOOKUP($B58,INPUT_DATA!$BP:$BP,INPUT_DATA!BR:BR))</f>
        <v/>
      </c>
      <c r="E58" s="140" t="str">
        <f>IF($B58=0,"",_xlfn.XLOOKUP($B58,INPUT_DATA!$BP:$BP,INPUT_DATA!BS:BS))</f>
        <v/>
      </c>
      <c r="F58" s="140" t="str">
        <f>IF($B58=0,"",_xlfn.XLOOKUP($B58,INPUT_DATA!$BP:$BP,INPUT_DATA!BT:BT))</f>
        <v/>
      </c>
      <c r="G58" s="140" t="str">
        <f t="shared" si="1"/>
        <v/>
      </c>
      <c r="H58" s="1291" t="str">
        <f>IF($B58=0,"",_xlfn.XLOOKUP($B58,INPUT_DATA!$BP:$BP,INPUT_DATA!BU:BU))</f>
        <v/>
      </c>
      <c r="I58" s="140" t="str">
        <f>IF($B58=0,"",_xlfn.XLOOKUP($B58,INPUT_DATA!$BP:$BP,INPUT_DATA!BV:BV))</f>
        <v/>
      </c>
      <c r="J58" s="140" t="str">
        <f>IF($B58=0,"",_xlfn.XLOOKUP($B58,INPUT_DATA!$BP:$BP,INPUT_DATA!BW:BW))</f>
        <v/>
      </c>
      <c r="K58" s="140" t="str">
        <f>IF($B58=0,"",_xlfn.XLOOKUP($B58,INPUT_DATA!$BP:$BP,INPUT_DATA!BX:BX))</f>
        <v/>
      </c>
      <c r="L58" s="140" t="str">
        <f t="shared" si="2"/>
        <v/>
      </c>
      <c r="M58" s="1291" t="str">
        <f>IF($B58=0,"",_xlfn.XLOOKUP($B58,INPUT_DATA!$BP:$BP,INPUT_DATA!BY:BY))</f>
        <v/>
      </c>
      <c r="N58" s="140" t="str">
        <f>IF($B58=0,"",_xlfn.XLOOKUP($B58,INPUT_DATA!$BP:$BP,INPUT_DATA!BZ:BZ))</f>
        <v/>
      </c>
      <c r="O58" s="140" t="str">
        <f>IF($B58=0,"",_xlfn.XLOOKUP($B58,INPUT_DATA!$BP:$BP,INPUT_DATA!CA:CA))</f>
        <v/>
      </c>
      <c r="P58" s="140" t="str">
        <f>IF($B58=0,"",_xlfn.XLOOKUP($B58,INPUT_DATA!$BP:$BP,INPUT_DATA!CB:CB))</f>
        <v/>
      </c>
      <c r="Q58" s="140" t="str">
        <f t="shared" si="3"/>
        <v/>
      </c>
      <c r="R58" s="1275" t="str">
        <f t="shared" si="4"/>
        <v/>
      </c>
      <c r="S58" s="139" t="str">
        <f t="shared" si="5"/>
        <v/>
      </c>
      <c r="T58" s="139" t="str">
        <f t="shared" si="6"/>
        <v/>
      </c>
      <c r="U58" s="1880" t="str">
        <f t="shared" si="7"/>
        <v/>
      </c>
      <c r="V58" s="139" t="str">
        <f t="shared" si="8"/>
        <v/>
      </c>
      <c r="W58" s="140" t="str">
        <f>IF($B58=0,"",_xlfn.XLOOKUP($B58,INPUT_DATA!$BP:$BP,INPUT_DATA!CC:CC))</f>
        <v/>
      </c>
      <c r="X58" s="140" t="str">
        <f>IF($B58=0,"",_xlfn.XLOOKUP($B58,INPUT_DATA!$BP:$BP,INPUT_DATA!CD:CD))</f>
        <v/>
      </c>
      <c r="Y58" s="140" t="str">
        <f>IF($B58=0,"",_xlfn.XLOOKUP($B58,INPUT_DATA!$BP:$BP,INPUT_DATA!CE:CE))</f>
        <v/>
      </c>
      <c r="Z58" s="1300" t="str">
        <f t="shared" si="9"/>
        <v/>
      </c>
      <c r="AA58" s="139" t="str">
        <f t="shared" si="10"/>
        <v/>
      </c>
      <c r="AB58" s="139" t="str">
        <f>IF($B58=0,"",_xlfn.XLOOKUP($B58,INPUT_DATA!$BP:$BP,INPUT_DATA!CF:CF))</f>
        <v/>
      </c>
      <c r="AC58" s="140" t="str">
        <f>IF($B58=0,"",_xlfn.XLOOKUP($B58,INPUT_DATA!$BP:$BP,INPUT_DATA!CG:CG))</f>
        <v/>
      </c>
      <c r="AD58" s="140" t="str">
        <f>IF($B58=0,"",_xlfn.XLOOKUP($B58,INPUT_DATA!$BP:$BP,INPUT_DATA!CH:CH))</f>
        <v/>
      </c>
      <c r="AE58" s="140" t="str">
        <f>IF($B58=0,"",_xlfn.XLOOKUP($B58,INPUT_DATA!$BP:$BP,INPUT_DATA!CI:CI))</f>
        <v/>
      </c>
      <c r="AF58" s="1300" t="str">
        <f t="shared" si="11"/>
        <v/>
      </c>
      <c r="AG58" s="139"/>
      <c r="AH58" s="139" t="str">
        <f t="shared" si="18"/>
        <v/>
      </c>
      <c r="AI58" s="1275" t="str">
        <f>IF($B58=0,"",_xlfn.XLOOKUP($B58,INPUT_DATA!$BP:$BP,INPUT_DATA!CK:CK))</f>
        <v/>
      </c>
      <c r="AJ58" s="140" t="str">
        <f>IF($B58=0,"",_xlfn.XLOOKUP($B58,INPUT_DATA!$BP:$BP,INPUT_DATA!CL:CL))</f>
        <v/>
      </c>
      <c r="AK58" s="140" t="str">
        <f>IF($B58=0,"",_xlfn.XLOOKUP($B58,INPUT_DATA!$BP:$BP,INPUT_DATA!CM:CM))</f>
        <v/>
      </c>
      <c r="AL58" s="140" t="str">
        <f>IF($B58=0,"",_xlfn.XLOOKUP($B58,INPUT_DATA!$BP:$BP,INPUT_DATA!CN:CN))</f>
        <v/>
      </c>
      <c r="AM58" s="1300" t="str">
        <f t="shared" si="13"/>
        <v/>
      </c>
      <c r="AN58" s="139" t="str">
        <f>IF($B58=0,"",_xlfn.XLOOKUP($B58,INPUT_DATA!$BP:$BP,INPUT_DATA!CO:CO))</f>
        <v/>
      </c>
      <c r="AO58" s="139" t="str">
        <f t="shared" si="14"/>
        <v/>
      </c>
      <c r="AP58" s="1275" t="str">
        <f>IF($B58=0,"",_xlfn.XLOOKUP($B58,INPUT_DATA!$BP:$BP,INPUT_DATA!CP:CP))</f>
        <v/>
      </c>
      <c r="AQ58" s="139" t="str">
        <f t="shared" si="17"/>
        <v/>
      </c>
      <c r="AR58" s="1275" t="str">
        <f t="shared" si="15"/>
        <v/>
      </c>
    </row>
    <row r="59" spans="2:44">
      <c r="B59" s="137">
        <f>INPUT_DATA!BP50</f>
        <v>0</v>
      </c>
      <c r="C59" s="1291" t="str">
        <f>IF($B59=0,"",_xlfn.XLOOKUP($B59,INPUT_DATA!$BP:$BP,INPUT_DATA!BQ:BQ))</f>
        <v/>
      </c>
      <c r="D59" s="140" t="str">
        <f>IF($B59=0,"",_xlfn.XLOOKUP($B59,INPUT_DATA!$BP:$BP,INPUT_DATA!BR:BR))</f>
        <v/>
      </c>
      <c r="E59" s="140" t="str">
        <f>IF($B59=0,"",_xlfn.XLOOKUP($B59,INPUT_DATA!$BP:$BP,INPUT_DATA!BS:BS))</f>
        <v/>
      </c>
      <c r="F59" s="140" t="str">
        <f>IF($B59=0,"",_xlfn.XLOOKUP($B59,INPUT_DATA!$BP:$BP,INPUT_DATA!BT:BT))</f>
        <v/>
      </c>
      <c r="G59" s="140" t="str">
        <f t="shared" si="1"/>
        <v/>
      </c>
      <c r="H59" s="1291" t="str">
        <f>IF($B59=0,"",_xlfn.XLOOKUP($B59,INPUT_DATA!$BP:$BP,INPUT_DATA!BU:BU))</f>
        <v/>
      </c>
      <c r="I59" s="140" t="str">
        <f>IF($B59=0,"",_xlfn.XLOOKUP($B59,INPUT_DATA!$BP:$BP,INPUT_DATA!BV:BV))</f>
        <v/>
      </c>
      <c r="J59" s="140" t="str">
        <f>IF($B59=0,"",_xlfn.XLOOKUP($B59,INPUT_DATA!$BP:$BP,INPUT_DATA!BW:BW))</f>
        <v/>
      </c>
      <c r="K59" s="140" t="str">
        <f>IF($B59=0,"",_xlfn.XLOOKUP($B59,INPUT_DATA!$BP:$BP,INPUT_DATA!BX:BX))</f>
        <v/>
      </c>
      <c r="L59" s="140" t="str">
        <f t="shared" si="2"/>
        <v/>
      </c>
      <c r="M59" s="1291" t="str">
        <f>IF($B59=0,"",_xlfn.XLOOKUP($B59,INPUT_DATA!$BP:$BP,INPUT_DATA!BY:BY))</f>
        <v/>
      </c>
      <c r="N59" s="140" t="str">
        <f>IF($B59=0,"",_xlfn.XLOOKUP($B59,INPUT_DATA!$BP:$BP,INPUT_DATA!BZ:BZ))</f>
        <v/>
      </c>
      <c r="O59" s="140" t="str">
        <f>IF($B59=0,"",_xlfn.XLOOKUP($B59,INPUT_DATA!$BP:$BP,INPUT_DATA!CA:CA))</f>
        <v/>
      </c>
      <c r="P59" s="140" t="str">
        <f>IF($B59=0,"",_xlfn.XLOOKUP($B59,INPUT_DATA!$BP:$BP,INPUT_DATA!CB:CB))</f>
        <v/>
      </c>
      <c r="Q59" s="140" t="str">
        <f t="shared" si="3"/>
        <v/>
      </c>
      <c r="R59" s="1275" t="str">
        <f t="shared" si="4"/>
        <v/>
      </c>
      <c r="S59" s="139" t="str">
        <f t="shared" si="5"/>
        <v/>
      </c>
      <c r="T59" s="139" t="str">
        <f t="shared" si="6"/>
        <v/>
      </c>
      <c r="U59" s="1880" t="str">
        <f t="shared" si="7"/>
        <v/>
      </c>
      <c r="V59" s="139" t="str">
        <f t="shared" si="8"/>
        <v/>
      </c>
      <c r="W59" s="140" t="str">
        <f>IF($B59=0,"",_xlfn.XLOOKUP($B59,INPUT_DATA!$BP:$BP,INPUT_DATA!CC:CC))</f>
        <v/>
      </c>
      <c r="X59" s="140" t="str">
        <f>IF($B59=0,"",_xlfn.XLOOKUP($B59,INPUT_DATA!$BP:$BP,INPUT_DATA!CD:CD))</f>
        <v/>
      </c>
      <c r="Y59" s="140" t="str">
        <f>IF($B59=0,"",_xlfn.XLOOKUP($B59,INPUT_DATA!$BP:$BP,INPUT_DATA!CE:CE))</f>
        <v/>
      </c>
      <c r="Z59" s="1300" t="str">
        <f t="shared" si="9"/>
        <v/>
      </c>
      <c r="AA59" s="139" t="str">
        <f t="shared" si="10"/>
        <v/>
      </c>
      <c r="AB59" s="139" t="str">
        <f>IF($B59=0,"",_xlfn.XLOOKUP($B59,INPUT_DATA!$BP:$BP,INPUT_DATA!CF:CF))</f>
        <v/>
      </c>
      <c r="AC59" s="140" t="str">
        <f>IF($B59=0,"",_xlfn.XLOOKUP($B59,INPUT_DATA!$BP:$BP,INPUT_DATA!CG:CG))</f>
        <v/>
      </c>
      <c r="AD59" s="140" t="str">
        <f>IF($B59=0,"",_xlfn.XLOOKUP($B59,INPUT_DATA!$BP:$BP,INPUT_DATA!CH:CH))</f>
        <v/>
      </c>
      <c r="AE59" s="140" t="str">
        <f>IF($B59=0,"",_xlfn.XLOOKUP($B59,INPUT_DATA!$BP:$BP,INPUT_DATA!CI:CI))</f>
        <v/>
      </c>
      <c r="AF59" s="1300" t="str">
        <f t="shared" si="11"/>
        <v/>
      </c>
      <c r="AG59" s="139"/>
      <c r="AH59" s="139" t="str">
        <f t="shared" si="18"/>
        <v/>
      </c>
      <c r="AI59" s="1275" t="str">
        <f>IF($B59=0,"",_xlfn.XLOOKUP($B59,INPUT_DATA!$BP:$BP,INPUT_DATA!CK:CK))</f>
        <v/>
      </c>
      <c r="AJ59" s="140" t="str">
        <f>IF($B59=0,"",_xlfn.XLOOKUP($B59,INPUT_DATA!$BP:$BP,INPUT_DATA!CL:CL))</f>
        <v/>
      </c>
      <c r="AK59" s="140" t="str">
        <f>IF($B59=0,"",_xlfn.XLOOKUP($B59,INPUT_DATA!$BP:$BP,INPUT_DATA!CM:CM))</f>
        <v/>
      </c>
      <c r="AL59" s="140" t="str">
        <f>IF($B59=0,"",_xlfn.XLOOKUP($B59,INPUT_DATA!$BP:$BP,INPUT_DATA!CN:CN))</f>
        <v/>
      </c>
      <c r="AM59" s="1300" t="str">
        <f t="shared" si="13"/>
        <v/>
      </c>
      <c r="AN59" s="139" t="str">
        <f>IF($B59=0,"",_xlfn.XLOOKUP($B59,INPUT_DATA!$BP:$BP,INPUT_DATA!CO:CO))</f>
        <v/>
      </c>
      <c r="AO59" s="139" t="str">
        <f t="shared" si="14"/>
        <v/>
      </c>
      <c r="AP59" s="1275" t="str">
        <f>IF($B59=0,"",_xlfn.XLOOKUP($B59,INPUT_DATA!$BP:$BP,INPUT_DATA!CP:CP))</f>
        <v/>
      </c>
      <c r="AQ59" s="139" t="str">
        <f t="shared" si="17"/>
        <v/>
      </c>
      <c r="AR59" s="1275" t="str">
        <f t="shared" si="15"/>
        <v/>
      </c>
    </row>
    <row r="60" spans="2:44">
      <c r="B60" s="137">
        <f>INPUT_DATA!BP51</f>
        <v>0</v>
      </c>
      <c r="C60" s="1291" t="str">
        <f>IF($B60=0,"",_xlfn.XLOOKUP($B60,INPUT_DATA!$BP:$BP,INPUT_DATA!BQ:BQ))</f>
        <v/>
      </c>
      <c r="D60" s="140" t="str">
        <f>IF($B60=0,"",_xlfn.XLOOKUP($B60,INPUT_DATA!$BP:$BP,INPUT_DATA!BR:BR))</f>
        <v/>
      </c>
      <c r="E60" s="140" t="str">
        <f>IF($B60=0,"",_xlfn.XLOOKUP($B60,INPUT_DATA!$BP:$BP,INPUT_DATA!BS:BS))</f>
        <v/>
      </c>
      <c r="F60" s="140" t="str">
        <f>IF($B60=0,"",_xlfn.XLOOKUP($B60,INPUT_DATA!$BP:$BP,INPUT_DATA!BT:BT))</f>
        <v/>
      </c>
      <c r="G60" s="140" t="str">
        <f t="shared" si="1"/>
        <v/>
      </c>
      <c r="H60" s="1291" t="str">
        <f>IF($B60=0,"",_xlfn.XLOOKUP($B60,INPUT_DATA!$BP:$BP,INPUT_DATA!BU:BU))</f>
        <v/>
      </c>
      <c r="I60" s="140" t="str">
        <f>IF($B60=0,"",_xlfn.XLOOKUP($B60,INPUT_DATA!$BP:$BP,INPUT_DATA!BV:BV))</f>
        <v/>
      </c>
      <c r="J60" s="140" t="str">
        <f>IF($B60=0,"",_xlfn.XLOOKUP($B60,INPUT_DATA!$BP:$BP,INPUT_DATA!BW:BW))</f>
        <v/>
      </c>
      <c r="K60" s="140" t="str">
        <f>IF($B60=0,"",_xlfn.XLOOKUP($B60,INPUT_DATA!$BP:$BP,INPUT_DATA!BX:BX))</f>
        <v/>
      </c>
      <c r="L60" s="140" t="str">
        <f t="shared" si="2"/>
        <v/>
      </c>
      <c r="M60" s="1291" t="str">
        <f>IF($B60=0,"",_xlfn.XLOOKUP($B60,INPUT_DATA!$BP:$BP,INPUT_DATA!BY:BY))</f>
        <v/>
      </c>
      <c r="N60" s="140" t="str">
        <f>IF($B60=0,"",_xlfn.XLOOKUP($B60,INPUT_DATA!$BP:$BP,INPUT_DATA!BZ:BZ))</f>
        <v/>
      </c>
      <c r="O60" s="140" t="str">
        <f>IF($B60=0,"",_xlfn.XLOOKUP($B60,INPUT_DATA!$BP:$BP,INPUT_DATA!CA:CA))</f>
        <v/>
      </c>
      <c r="P60" s="140" t="str">
        <f>IF($B60=0,"",_xlfn.XLOOKUP($B60,INPUT_DATA!$BP:$BP,INPUT_DATA!CB:CB))</f>
        <v/>
      </c>
      <c r="Q60" s="140" t="str">
        <f t="shared" si="3"/>
        <v/>
      </c>
      <c r="R60" s="1275" t="str">
        <f t="shared" si="4"/>
        <v/>
      </c>
      <c r="S60" s="139" t="str">
        <f t="shared" si="5"/>
        <v/>
      </c>
      <c r="T60" s="139" t="str">
        <f t="shared" si="6"/>
        <v/>
      </c>
      <c r="U60" s="1880" t="str">
        <f t="shared" si="7"/>
        <v/>
      </c>
      <c r="V60" s="139" t="str">
        <f t="shared" si="8"/>
        <v/>
      </c>
      <c r="W60" s="140" t="str">
        <f>IF($B60=0,"",_xlfn.XLOOKUP($B60,INPUT_DATA!$BP:$BP,INPUT_DATA!CC:CC))</f>
        <v/>
      </c>
      <c r="X60" s="140" t="str">
        <f>IF($B60=0,"",_xlfn.XLOOKUP($B60,INPUT_DATA!$BP:$BP,INPUT_DATA!CD:CD))</f>
        <v/>
      </c>
      <c r="Y60" s="140" t="str">
        <f>IF($B60=0,"",_xlfn.XLOOKUP($B60,INPUT_DATA!$BP:$BP,INPUT_DATA!CE:CE))</f>
        <v/>
      </c>
      <c r="Z60" s="1300" t="str">
        <f t="shared" si="9"/>
        <v/>
      </c>
      <c r="AA60" s="139" t="str">
        <f t="shared" si="10"/>
        <v/>
      </c>
      <c r="AB60" s="139" t="str">
        <f>IF($B60=0,"",_xlfn.XLOOKUP($B60,INPUT_DATA!$BP:$BP,INPUT_DATA!CF:CF))</f>
        <v/>
      </c>
      <c r="AC60" s="140" t="str">
        <f>IF($B60=0,"",_xlfn.XLOOKUP($B60,INPUT_DATA!$BP:$BP,INPUT_DATA!CG:CG))</f>
        <v/>
      </c>
      <c r="AD60" s="140" t="str">
        <f>IF($B60=0,"",_xlfn.XLOOKUP($B60,INPUT_DATA!$BP:$BP,INPUT_DATA!CH:CH))</f>
        <v/>
      </c>
      <c r="AE60" s="140" t="str">
        <f>IF($B60=0,"",_xlfn.XLOOKUP($B60,INPUT_DATA!$BP:$BP,INPUT_DATA!CI:CI))</f>
        <v/>
      </c>
      <c r="AF60" s="1300" t="str">
        <f t="shared" si="11"/>
        <v/>
      </c>
      <c r="AG60" s="139"/>
      <c r="AH60" s="139" t="str">
        <f t="shared" si="18"/>
        <v/>
      </c>
      <c r="AI60" s="1275" t="str">
        <f>IF($B60=0,"",_xlfn.XLOOKUP($B60,INPUT_DATA!$BP:$BP,INPUT_DATA!CK:CK))</f>
        <v/>
      </c>
      <c r="AJ60" s="140" t="str">
        <f>IF($B60=0,"",_xlfn.XLOOKUP($B60,INPUT_DATA!$BP:$BP,INPUT_DATA!CL:CL))</f>
        <v/>
      </c>
      <c r="AK60" s="140" t="str">
        <f>IF($B60=0,"",_xlfn.XLOOKUP($B60,INPUT_DATA!$BP:$BP,INPUT_DATA!CM:CM))</f>
        <v/>
      </c>
      <c r="AL60" s="140" t="str">
        <f>IF($B60=0,"",_xlfn.XLOOKUP($B60,INPUT_DATA!$BP:$BP,INPUT_DATA!CN:CN))</f>
        <v/>
      </c>
      <c r="AM60" s="1300" t="str">
        <f t="shared" si="13"/>
        <v/>
      </c>
      <c r="AN60" s="139" t="str">
        <f>IF($B60=0,"",_xlfn.XLOOKUP($B60,INPUT_DATA!$BP:$BP,INPUT_DATA!CO:CO))</f>
        <v/>
      </c>
      <c r="AO60" s="139" t="str">
        <f t="shared" si="14"/>
        <v/>
      </c>
      <c r="AP60" s="1275" t="str">
        <f>IF($B60=0,"",_xlfn.XLOOKUP($B60,INPUT_DATA!$BP:$BP,INPUT_DATA!CP:CP))</f>
        <v/>
      </c>
      <c r="AQ60" s="139" t="str">
        <f t="shared" si="17"/>
        <v/>
      </c>
      <c r="AR60" s="1275" t="str">
        <f t="shared" si="15"/>
        <v/>
      </c>
    </row>
    <row r="61" spans="2:44">
      <c r="B61" s="137">
        <f>INPUT_DATA!BP52</f>
        <v>0</v>
      </c>
      <c r="C61" s="1291" t="str">
        <f>IF($B61=0,"",_xlfn.XLOOKUP($B61,INPUT_DATA!$BP:$BP,INPUT_DATA!BQ:BQ))</f>
        <v/>
      </c>
      <c r="D61" s="140" t="str">
        <f>IF($B61=0,"",_xlfn.XLOOKUP($B61,INPUT_DATA!$BP:$BP,INPUT_DATA!BR:BR))</f>
        <v/>
      </c>
      <c r="E61" s="140" t="str">
        <f>IF($B61=0,"",_xlfn.XLOOKUP($B61,INPUT_DATA!$BP:$BP,INPUT_DATA!BS:BS))</f>
        <v/>
      </c>
      <c r="F61" s="140" t="str">
        <f>IF($B61=0,"",_xlfn.XLOOKUP($B61,INPUT_DATA!$BP:$BP,INPUT_DATA!BT:BT))</f>
        <v/>
      </c>
      <c r="G61" s="140" t="str">
        <f t="shared" si="1"/>
        <v/>
      </c>
      <c r="H61" s="1291" t="str">
        <f>IF($B61=0,"",_xlfn.XLOOKUP($B61,INPUT_DATA!$BP:$BP,INPUT_DATA!BU:BU))</f>
        <v/>
      </c>
      <c r="I61" s="140" t="str">
        <f>IF($B61=0,"",_xlfn.XLOOKUP($B61,INPUT_DATA!$BP:$BP,INPUT_DATA!BV:BV))</f>
        <v/>
      </c>
      <c r="J61" s="140" t="str">
        <f>IF($B61=0,"",_xlfn.XLOOKUP($B61,INPUT_DATA!$BP:$BP,INPUT_DATA!BW:BW))</f>
        <v/>
      </c>
      <c r="K61" s="140" t="str">
        <f>IF($B61=0,"",_xlfn.XLOOKUP($B61,INPUT_DATA!$BP:$BP,INPUT_DATA!BX:BX))</f>
        <v/>
      </c>
      <c r="L61" s="140" t="str">
        <f t="shared" si="2"/>
        <v/>
      </c>
      <c r="M61" s="1291" t="str">
        <f>IF($B61=0,"",_xlfn.XLOOKUP($B61,INPUT_DATA!$BP:$BP,INPUT_DATA!BY:BY))</f>
        <v/>
      </c>
      <c r="N61" s="140" t="str">
        <f>IF($B61=0,"",_xlfn.XLOOKUP($B61,INPUT_DATA!$BP:$BP,INPUT_DATA!BZ:BZ))</f>
        <v/>
      </c>
      <c r="O61" s="140" t="str">
        <f>IF($B61=0,"",_xlfn.XLOOKUP($B61,INPUT_DATA!$BP:$BP,INPUT_DATA!CA:CA))</f>
        <v/>
      </c>
      <c r="P61" s="140" t="str">
        <f>IF($B61=0,"",_xlfn.XLOOKUP($B61,INPUT_DATA!$BP:$BP,INPUT_DATA!CB:CB))</f>
        <v/>
      </c>
      <c r="Q61" s="140" t="str">
        <f t="shared" si="3"/>
        <v/>
      </c>
      <c r="R61" s="1275" t="str">
        <f t="shared" si="4"/>
        <v/>
      </c>
      <c r="S61" s="139" t="str">
        <f t="shared" si="5"/>
        <v/>
      </c>
      <c r="T61" s="139" t="str">
        <f t="shared" si="6"/>
        <v/>
      </c>
      <c r="U61" s="1880" t="str">
        <f t="shared" si="7"/>
        <v/>
      </c>
      <c r="V61" s="139" t="str">
        <f t="shared" si="8"/>
        <v/>
      </c>
      <c r="W61" s="140" t="str">
        <f>IF($B61=0,"",_xlfn.XLOOKUP($B61,INPUT_DATA!$BP:$BP,INPUT_DATA!CC:CC))</f>
        <v/>
      </c>
      <c r="X61" s="140" t="str">
        <f>IF($B61=0,"",_xlfn.XLOOKUP($B61,INPUT_DATA!$BP:$BP,INPUT_DATA!CD:CD))</f>
        <v/>
      </c>
      <c r="Y61" s="140" t="str">
        <f>IF($B61=0,"",_xlfn.XLOOKUP($B61,INPUT_DATA!$BP:$BP,INPUT_DATA!CE:CE))</f>
        <v/>
      </c>
      <c r="Z61" s="1300" t="str">
        <f t="shared" si="9"/>
        <v/>
      </c>
      <c r="AA61" s="139" t="str">
        <f t="shared" si="10"/>
        <v/>
      </c>
      <c r="AB61" s="139" t="str">
        <f>IF($B61=0,"",_xlfn.XLOOKUP($B61,INPUT_DATA!$BP:$BP,INPUT_DATA!CF:CF))</f>
        <v/>
      </c>
      <c r="AC61" s="140" t="str">
        <f>IF($B61=0,"",_xlfn.XLOOKUP($B61,INPUT_DATA!$BP:$BP,INPUT_DATA!CG:CG))</f>
        <v/>
      </c>
      <c r="AD61" s="140" t="str">
        <f>IF($B61=0,"",_xlfn.XLOOKUP($B61,INPUT_DATA!$BP:$BP,INPUT_DATA!CH:CH))</f>
        <v/>
      </c>
      <c r="AE61" s="140" t="str">
        <f>IF($B61=0,"",_xlfn.XLOOKUP($B61,INPUT_DATA!$BP:$BP,INPUT_DATA!CI:CI))</f>
        <v/>
      </c>
      <c r="AF61" s="1300" t="str">
        <f t="shared" si="11"/>
        <v/>
      </c>
      <c r="AG61" s="139"/>
      <c r="AH61" s="139" t="str">
        <f t="shared" si="18"/>
        <v/>
      </c>
      <c r="AI61" s="1275" t="str">
        <f>IF($B61=0,"",_xlfn.XLOOKUP($B61,INPUT_DATA!$BP:$BP,INPUT_DATA!CK:CK))</f>
        <v/>
      </c>
      <c r="AJ61" s="140" t="str">
        <f>IF($B61=0,"",_xlfn.XLOOKUP($B61,INPUT_DATA!$BP:$BP,INPUT_DATA!CL:CL))</f>
        <v/>
      </c>
      <c r="AK61" s="140" t="str">
        <f>IF($B61=0,"",_xlfn.XLOOKUP($B61,INPUT_DATA!$BP:$BP,INPUT_DATA!CM:CM))</f>
        <v/>
      </c>
      <c r="AL61" s="140" t="str">
        <f>IF($B61=0,"",_xlfn.XLOOKUP($B61,INPUT_DATA!$BP:$BP,INPUT_DATA!CN:CN))</f>
        <v/>
      </c>
      <c r="AM61" s="1300" t="str">
        <f t="shared" si="13"/>
        <v/>
      </c>
      <c r="AN61" s="139" t="str">
        <f>IF($B61=0,"",_xlfn.XLOOKUP($B61,INPUT_DATA!$BP:$BP,INPUT_DATA!CO:CO))</f>
        <v/>
      </c>
      <c r="AO61" s="139" t="str">
        <f t="shared" si="14"/>
        <v/>
      </c>
      <c r="AP61" s="1275" t="str">
        <f>IF($B61=0,"",_xlfn.XLOOKUP($B61,INPUT_DATA!$BP:$BP,INPUT_DATA!CP:CP))</f>
        <v/>
      </c>
      <c r="AQ61" s="139" t="str">
        <f t="shared" si="17"/>
        <v/>
      </c>
      <c r="AR61" s="1275" t="str">
        <f t="shared" si="15"/>
        <v/>
      </c>
    </row>
    <row r="62" spans="2:44">
      <c r="B62" s="137">
        <f>INPUT_DATA!BP53</f>
        <v>0</v>
      </c>
      <c r="C62" s="1291" t="str">
        <f>IF($B62=0,"",_xlfn.XLOOKUP($B62,INPUT_DATA!$BP:$BP,INPUT_DATA!BQ:BQ))</f>
        <v/>
      </c>
      <c r="D62" s="140" t="str">
        <f>IF($B62=0,"",_xlfn.XLOOKUP($B62,INPUT_DATA!$BP:$BP,INPUT_DATA!BR:BR))</f>
        <v/>
      </c>
      <c r="E62" s="140" t="str">
        <f>IF($B62=0,"",_xlfn.XLOOKUP($B62,INPUT_DATA!$BP:$BP,INPUT_DATA!BS:BS))</f>
        <v/>
      </c>
      <c r="F62" s="140" t="str">
        <f>IF($B62=0,"",_xlfn.XLOOKUP($B62,INPUT_DATA!$BP:$BP,INPUT_DATA!BT:BT))</f>
        <v/>
      </c>
      <c r="G62" s="140" t="str">
        <f t="shared" si="1"/>
        <v/>
      </c>
      <c r="H62" s="1291" t="str">
        <f>IF($B62=0,"",_xlfn.XLOOKUP($B62,INPUT_DATA!$BP:$BP,INPUT_DATA!BU:BU))</f>
        <v/>
      </c>
      <c r="I62" s="140" t="str">
        <f>IF($B62=0,"",_xlfn.XLOOKUP($B62,INPUT_DATA!$BP:$BP,INPUT_DATA!BV:BV))</f>
        <v/>
      </c>
      <c r="J62" s="140" t="str">
        <f>IF($B62=0,"",_xlfn.XLOOKUP($B62,INPUT_DATA!$BP:$BP,INPUT_DATA!BW:BW))</f>
        <v/>
      </c>
      <c r="K62" s="140" t="str">
        <f>IF($B62=0,"",_xlfn.XLOOKUP($B62,INPUT_DATA!$BP:$BP,INPUT_DATA!BX:BX))</f>
        <v/>
      </c>
      <c r="L62" s="140" t="str">
        <f t="shared" si="2"/>
        <v/>
      </c>
      <c r="M62" s="1291" t="str">
        <f>IF($B62=0,"",_xlfn.XLOOKUP($B62,INPUT_DATA!$BP:$BP,INPUT_DATA!BY:BY))</f>
        <v/>
      </c>
      <c r="N62" s="140" t="str">
        <f>IF($B62=0,"",_xlfn.XLOOKUP($B62,INPUT_DATA!$BP:$BP,INPUT_DATA!BZ:BZ))</f>
        <v/>
      </c>
      <c r="O62" s="140" t="str">
        <f>IF($B62=0,"",_xlfn.XLOOKUP($B62,INPUT_DATA!$BP:$BP,INPUT_DATA!CA:CA))</f>
        <v/>
      </c>
      <c r="P62" s="140" t="str">
        <f>IF($B62=0,"",_xlfn.XLOOKUP($B62,INPUT_DATA!$BP:$BP,INPUT_DATA!CB:CB))</f>
        <v/>
      </c>
      <c r="Q62" s="140" t="str">
        <f t="shared" si="3"/>
        <v/>
      </c>
      <c r="R62" s="1275" t="str">
        <f t="shared" si="4"/>
        <v/>
      </c>
      <c r="S62" s="139" t="str">
        <f t="shared" si="5"/>
        <v/>
      </c>
      <c r="T62" s="139" t="str">
        <f t="shared" si="6"/>
        <v/>
      </c>
      <c r="U62" s="1880" t="str">
        <f t="shared" si="7"/>
        <v/>
      </c>
      <c r="V62" s="139" t="str">
        <f t="shared" si="8"/>
        <v/>
      </c>
      <c r="W62" s="140" t="str">
        <f>IF($B62=0,"",_xlfn.XLOOKUP($B62,INPUT_DATA!$BP:$BP,INPUT_DATA!CC:CC))</f>
        <v/>
      </c>
      <c r="X62" s="140" t="str">
        <f>IF($B62=0,"",_xlfn.XLOOKUP($B62,INPUT_DATA!$BP:$BP,INPUT_DATA!CD:CD))</f>
        <v/>
      </c>
      <c r="Y62" s="140" t="str">
        <f>IF($B62=0,"",_xlfn.XLOOKUP($B62,INPUT_DATA!$BP:$BP,INPUT_DATA!CE:CE))</f>
        <v/>
      </c>
      <c r="Z62" s="1300" t="str">
        <f t="shared" si="9"/>
        <v/>
      </c>
      <c r="AA62" s="139" t="str">
        <f t="shared" si="10"/>
        <v/>
      </c>
      <c r="AB62" s="139" t="str">
        <f>IF($B62=0,"",_xlfn.XLOOKUP($B62,INPUT_DATA!$BP:$BP,INPUT_DATA!CF:CF))</f>
        <v/>
      </c>
      <c r="AC62" s="140" t="str">
        <f>IF($B62=0,"",_xlfn.XLOOKUP($B62,INPUT_DATA!$BP:$BP,INPUT_DATA!CG:CG))</f>
        <v/>
      </c>
      <c r="AD62" s="140" t="str">
        <f>IF($B62=0,"",_xlfn.XLOOKUP($B62,INPUT_DATA!$BP:$BP,INPUT_DATA!CH:CH))</f>
        <v/>
      </c>
      <c r="AE62" s="140" t="str">
        <f>IF($B62=0,"",_xlfn.XLOOKUP($B62,INPUT_DATA!$BP:$BP,INPUT_DATA!CI:CI))</f>
        <v/>
      </c>
      <c r="AF62" s="1300" t="str">
        <f t="shared" si="11"/>
        <v/>
      </c>
      <c r="AG62" s="139"/>
      <c r="AH62" s="139" t="str">
        <f t="shared" si="18"/>
        <v/>
      </c>
      <c r="AI62" s="1275" t="str">
        <f>IF($B62=0,"",_xlfn.XLOOKUP($B62,INPUT_DATA!$BP:$BP,INPUT_DATA!CK:CK))</f>
        <v/>
      </c>
      <c r="AJ62" s="140" t="str">
        <f>IF($B62=0,"",_xlfn.XLOOKUP($B62,INPUT_DATA!$BP:$BP,INPUT_DATA!CL:CL))</f>
        <v/>
      </c>
      <c r="AK62" s="140" t="str">
        <f>IF($B62=0,"",_xlfn.XLOOKUP($B62,INPUT_DATA!$BP:$BP,INPUT_DATA!CM:CM))</f>
        <v/>
      </c>
      <c r="AL62" s="140" t="str">
        <f>IF($B62=0,"",_xlfn.XLOOKUP($B62,INPUT_DATA!$BP:$BP,INPUT_DATA!CN:CN))</f>
        <v/>
      </c>
      <c r="AM62" s="1300" t="str">
        <f t="shared" si="13"/>
        <v/>
      </c>
      <c r="AN62" s="139" t="str">
        <f>IF($B62=0,"",_xlfn.XLOOKUP($B62,INPUT_DATA!$BP:$BP,INPUT_DATA!CO:CO))</f>
        <v/>
      </c>
      <c r="AO62" s="139" t="str">
        <f t="shared" si="14"/>
        <v/>
      </c>
      <c r="AP62" s="1275" t="str">
        <f>IF($B62=0,"",_xlfn.XLOOKUP($B62,INPUT_DATA!$BP:$BP,INPUT_DATA!CP:CP))</f>
        <v/>
      </c>
      <c r="AQ62" s="139" t="str">
        <f t="shared" si="17"/>
        <v/>
      </c>
      <c r="AR62" s="1275" t="str">
        <f t="shared" si="15"/>
        <v/>
      </c>
    </row>
    <row r="63" spans="2:44">
      <c r="B63" s="137">
        <f>INPUT_DATA!BP54</f>
        <v>0</v>
      </c>
      <c r="C63" s="1291" t="str">
        <f>IF($B63=0,"",_xlfn.XLOOKUP($B63,INPUT_DATA!$BP:$BP,INPUT_DATA!BQ:BQ))</f>
        <v/>
      </c>
      <c r="D63" s="140" t="str">
        <f>IF($B63=0,"",_xlfn.XLOOKUP($B63,INPUT_DATA!$BP:$BP,INPUT_DATA!BR:BR))</f>
        <v/>
      </c>
      <c r="E63" s="140" t="str">
        <f>IF($B63=0,"",_xlfn.XLOOKUP($B63,INPUT_DATA!$BP:$BP,INPUT_DATA!BS:BS))</f>
        <v/>
      </c>
      <c r="F63" s="140" t="str">
        <f>IF($B63=0,"",_xlfn.XLOOKUP($B63,INPUT_DATA!$BP:$BP,INPUT_DATA!BT:BT))</f>
        <v/>
      </c>
      <c r="G63" s="140" t="str">
        <f t="shared" si="1"/>
        <v/>
      </c>
      <c r="H63" s="1291" t="str">
        <f>IF($B63=0,"",_xlfn.XLOOKUP($B63,INPUT_DATA!$BP:$BP,INPUT_DATA!BU:BU))</f>
        <v/>
      </c>
      <c r="I63" s="140" t="str">
        <f>IF($B63=0,"",_xlfn.XLOOKUP($B63,INPUT_DATA!$BP:$BP,INPUT_DATA!BV:BV))</f>
        <v/>
      </c>
      <c r="J63" s="140" t="str">
        <f>IF($B63=0,"",_xlfn.XLOOKUP($B63,INPUT_DATA!$BP:$BP,INPUT_DATA!BW:BW))</f>
        <v/>
      </c>
      <c r="K63" s="140" t="str">
        <f>IF($B63=0,"",_xlfn.XLOOKUP($B63,INPUT_DATA!$BP:$BP,INPUT_DATA!BX:BX))</f>
        <v/>
      </c>
      <c r="L63" s="140" t="str">
        <f t="shared" si="2"/>
        <v/>
      </c>
      <c r="M63" s="1291" t="str">
        <f>IF($B63=0,"",_xlfn.XLOOKUP($B63,INPUT_DATA!$BP:$BP,INPUT_DATA!BY:BY))</f>
        <v/>
      </c>
      <c r="N63" s="140" t="str">
        <f>IF($B63=0,"",_xlfn.XLOOKUP($B63,INPUT_DATA!$BP:$BP,INPUT_DATA!BZ:BZ))</f>
        <v/>
      </c>
      <c r="O63" s="140" t="str">
        <f>IF($B63=0,"",_xlfn.XLOOKUP($B63,INPUT_DATA!$BP:$BP,INPUT_DATA!CA:CA))</f>
        <v/>
      </c>
      <c r="P63" s="140" t="str">
        <f>IF($B63=0,"",_xlfn.XLOOKUP($B63,INPUT_DATA!$BP:$BP,INPUT_DATA!CB:CB))</f>
        <v/>
      </c>
      <c r="Q63" s="140" t="str">
        <f t="shared" si="3"/>
        <v/>
      </c>
      <c r="R63" s="1275" t="str">
        <f t="shared" si="4"/>
        <v/>
      </c>
      <c r="S63" s="139" t="str">
        <f t="shared" si="5"/>
        <v/>
      </c>
      <c r="T63" s="139" t="str">
        <f t="shared" si="6"/>
        <v/>
      </c>
      <c r="U63" s="1880" t="str">
        <f t="shared" si="7"/>
        <v/>
      </c>
      <c r="V63" s="139" t="str">
        <f t="shared" si="8"/>
        <v/>
      </c>
      <c r="W63" s="140" t="str">
        <f>IF($B63=0,"",_xlfn.XLOOKUP($B63,INPUT_DATA!$BP:$BP,INPUT_DATA!CC:CC))</f>
        <v/>
      </c>
      <c r="X63" s="140" t="str">
        <f>IF($B63=0,"",_xlfn.XLOOKUP($B63,INPUT_DATA!$BP:$BP,INPUT_DATA!CD:CD))</f>
        <v/>
      </c>
      <c r="Y63" s="140" t="str">
        <f>IF($B63=0,"",_xlfn.XLOOKUP($B63,INPUT_DATA!$BP:$BP,INPUT_DATA!CE:CE))</f>
        <v/>
      </c>
      <c r="Z63" s="1300" t="str">
        <f t="shared" si="9"/>
        <v/>
      </c>
      <c r="AA63" s="139" t="str">
        <f t="shared" si="10"/>
        <v/>
      </c>
      <c r="AB63" s="139" t="str">
        <f>IF($B63=0,"",_xlfn.XLOOKUP($B63,INPUT_DATA!$BP:$BP,INPUT_DATA!CF:CF))</f>
        <v/>
      </c>
      <c r="AC63" s="140" t="str">
        <f>IF($B63=0,"",_xlfn.XLOOKUP($B63,INPUT_DATA!$BP:$BP,INPUT_DATA!CG:CG))</f>
        <v/>
      </c>
      <c r="AD63" s="140" t="str">
        <f>IF($B63=0,"",_xlfn.XLOOKUP($B63,INPUT_DATA!$BP:$BP,INPUT_DATA!CH:CH))</f>
        <v/>
      </c>
      <c r="AE63" s="140" t="str">
        <f>IF($B63=0,"",_xlfn.XLOOKUP($B63,INPUT_DATA!$BP:$BP,INPUT_DATA!CI:CI))</f>
        <v/>
      </c>
      <c r="AF63" s="1300" t="str">
        <f t="shared" si="11"/>
        <v/>
      </c>
      <c r="AG63" s="139"/>
      <c r="AH63" s="139" t="str">
        <f t="shared" si="18"/>
        <v/>
      </c>
      <c r="AI63" s="1275" t="str">
        <f>IF($B63=0,"",_xlfn.XLOOKUP($B63,INPUT_DATA!$BP:$BP,INPUT_DATA!CK:CK))</f>
        <v/>
      </c>
      <c r="AJ63" s="140" t="str">
        <f>IF($B63=0,"",_xlfn.XLOOKUP($B63,INPUT_DATA!$BP:$BP,INPUT_DATA!CL:CL))</f>
        <v/>
      </c>
      <c r="AK63" s="140" t="str">
        <f>IF($B63=0,"",_xlfn.XLOOKUP($B63,INPUT_DATA!$BP:$BP,INPUT_DATA!CM:CM))</f>
        <v/>
      </c>
      <c r="AL63" s="140" t="str">
        <f>IF($B63=0,"",_xlfn.XLOOKUP($B63,INPUT_DATA!$BP:$BP,INPUT_DATA!CN:CN))</f>
        <v/>
      </c>
      <c r="AM63" s="1300" t="str">
        <f t="shared" si="13"/>
        <v/>
      </c>
      <c r="AN63" s="139" t="str">
        <f>IF($B63=0,"",_xlfn.XLOOKUP($B63,INPUT_DATA!$BP:$BP,INPUT_DATA!CO:CO))</f>
        <v/>
      </c>
      <c r="AO63" s="139" t="str">
        <f t="shared" si="14"/>
        <v/>
      </c>
      <c r="AP63" s="1275" t="str">
        <f>IF($B63=0,"",_xlfn.XLOOKUP($B63,INPUT_DATA!$BP:$BP,INPUT_DATA!CP:CP))</f>
        <v/>
      </c>
      <c r="AQ63" s="139" t="str">
        <f t="shared" si="17"/>
        <v/>
      </c>
      <c r="AR63" s="1275" t="str">
        <f t="shared" si="15"/>
        <v/>
      </c>
    </row>
    <row r="64" spans="2:44">
      <c r="B64" s="137">
        <f>INPUT_DATA!BP55</f>
        <v>0</v>
      </c>
      <c r="C64" s="1291" t="str">
        <f>IF($B64=0,"",_xlfn.XLOOKUP($B64,INPUT_DATA!$BP:$BP,INPUT_DATA!BQ:BQ))</f>
        <v/>
      </c>
      <c r="D64" s="140" t="str">
        <f>IF($B64=0,"",_xlfn.XLOOKUP($B64,INPUT_DATA!$BP:$BP,INPUT_DATA!BR:BR))</f>
        <v/>
      </c>
      <c r="E64" s="140" t="str">
        <f>IF($B64=0,"",_xlfn.XLOOKUP($B64,INPUT_DATA!$BP:$BP,INPUT_DATA!BS:BS))</f>
        <v/>
      </c>
      <c r="F64" s="140" t="str">
        <f>IF($B64=0,"",_xlfn.XLOOKUP($B64,INPUT_DATA!$BP:$BP,INPUT_DATA!BT:BT))</f>
        <v/>
      </c>
      <c r="G64" s="140" t="str">
        <f t="shared" si="1"/>
        <v/>
      </c>
      <c r="H64" s="1291" t="str">
        <f>IF($B64=0,"",_xlfn.XLOOKUP($B64,INPUT_DATA!$BP:$BP,INPUT_DATA!BU:BU))</f>
        <v/>
      </c>
      <c r="I64" s="140" t="str">
        <f>IF($B64=0,"",_xlfn.XLOOKUP($B64,INPUT_DATA!$BP:$BP,INPUT_DATA!BV:BV))</f>
        <v/>
      </c>
      <c r="J64" s="140" t="str">
        <f>IF($B64=0,"",_xlfn.XLOOKUP($B64,INPUT_DATA!$BP:$BP,INPUT_DATA!BW:BW))</f>
        <v/>
      </c>
      <c r="K64" s="140" t="str">
        <f>IF($B64=0,"",_xlfn.XLOOKUP($B64,INPUT_DATA!$BP:$BP,INPUT_DATA!BX:BX))</f>
        <v/>
      </c>
      <c r="L64" s="140" t="str">
        <f t="shared" si="2"/>
        <v/>
      </c>
      <c r="M64" s="1291" t="str">
        <f>IF($B64=0,"",_xlfn.XLOOKUP($B64,INPUT_DATA!$BP:$BP,INPUT_DATA!BY:BY))</f>
        <v/>
      </c>
      <c r="N64" s="140" t="str">
        <f>IF($B64=0,"",_xlfn.XLOOKUP($B64,INPUT_DATA!$BP:$BP,INPUT_DATA!BZ:BZ))</f>
        <v/>
      </c>
      <c r="O64" s="140" t="str">
        <f>IF($B64=0,"",_xlfn.XLOOKUP($B64,INPUT_DATA!$BP:$BP,INPUT_DATA!CA:CA))</f>
        <v/>
      </c>
      <c r="P64" s="140" t="str">
        <f>IF($B64=0,"",_xlfn.XLOOKUP($B64,INPUT_DATA!$BP:$BP,INPUT_DATA!CB:CB))</f>
        <v/>
      </c>
      <c r="Q64" s="140" t="str">
        <f t="shared" si="3"/>
        <v/>
      </c>
      <c r="R64" s="1275" t="str">
        <f t="shared" si="4"/>
        <v/>
      </c>
      <c r="S64" s="139" t="str">
        <f t="shared" si="5"/>
        <v/>
      </c>
      <c r="T64" s="139" t="str">
        <f t="shared" si="6"/>
        <v/>
      </c>
      <c r="U64" s="1880" t="str">
        <f t="shared" si="7"/>
        <v/>
      </c>
      <c r="V64" s="139" t="str">
        <f t="shared" si="8"/>
        <v/>
      </c>
      <c r="W64" s="140" t="str">
        <f>IF($B64=0,"",_xlfn.XLOOKUP($B64,INPUT_DATA!$BP:$BP,INPUT_DATA!CC:CC))</f>
        <v/>
      </c>
      <c r="X64" s="140" t="str">
        <f>IF($B64=0,"",_xlfn.XLOOKUP($B64,INPUT_DATA!$BP:$BP,INPUT_DATA!CD:CD))</f>
        <v/>
      </c>
      <c r="Y64" s="140" t="str">
        <f>IF($B64=0,"",_xlfn.XLOOKUP($B64,INPUT_DATA!$BP:$BP,INPUT_DATA!CE:CE))</f>
        <v/>
      </c>
      <c r="Z64" s="1300" t="str">
        <f t="shared" si="9"/>
        <v/>
      </c>
      <c r="AA64" s="139" t="str">
        <f t="shared" si="10"/>
        <v/>
      </c>
      <c r="AB64" s="139" t="str">
        <f>IF($B64=0,"",_xlfn.XLOOKUP($B64,INPUT_DATA!$BP:$BP,INPUT_DATA!CF:CF))</f>
        <v/>
      </c>
      <c r="AC64" s="140" t="str">
        <f>IF($B64=0,"",_xlfn.XLOOKUP($B64,INPUT_DATA!$BP:$BP,INPUT_DATA!CG:CG))</f>
        <v/>
      </c>
      <c r="AD64" s="140" t="str">
        <f>IF($B64=0,"",_xlfn.XLOOKUP($B64,INPUT_DATA!$BP:$BP,INPUT_DATA!CH:CH))</f>
        <v/>
      </c>
      <c r="AE64" s="140" t="str">
        <f>IF($B64=0,"",_xlfn.XLOOKUP($B64,INPUT_DATA!$BP:$BP,INPUT_DATA!CI:CI))</f>
        <v/>
      </c>
      <c r="AF64" s="1300" t="str">
        <f t="shared" si="11"/>
        <v/>
      </c>
      <c r="AG64" s="139"/>
      <c r="AH64" s="139" t="str">
        <f t="shared" si="18"/>
        <v/>
      </c>
      <c r="AI64" s="1275" t="str">
        <f>IF($B64=0,"",_xlfn.XLOOKUP($B64,INPUT_DATA!$BP:$BP,INPUT_DATA!CK:CK))</f>
        <v/>
      </c>
      <c r="AJ64" s="140" t="str">
        <f>IF($B64=0,"",_xlfn.XLOOKUP($B64,INPUT_DATA!$BP:$BP,INPUT_DATA!CL:CL))</f>
        <v/>
      </c>
      <c r="AK64" s="140" t="str">
        <f>IF($B64=0,"",_xlfn.XLOOKUP($B64,INPUT_DATA!$BP:$BP,INPUT_DATA!CM:CM))</f>
        <v/>
      </c>
      <c r="AL64" s="140" t="str">
        <f>IF($B64=0,"",_xlfn.XLOOKUP($B64,INPUT_DATA!$BP:$BP,INPUT_DATA!CN:CN))</f>
        <v/>
      </c>
      <c r="AM64" s="1300" t="str">
        <f t="shared" si="13"/>
        <v/>
      </c>
      <c r="AN64" s="139" t="str">
        <f>IF($B64=0,"",_xlfn.XLOOKUP($B64,INPUT_DATA!$BP:$BP,INPUT_DATA!CO:CO))</f>
        <v/>
      </c>
      <c r="AO64" s="139" t="str">
        <f t="shared" si="14"/>
        <v/>
      </c>
      <c r="AP64" s="1275" t="str">
        <f>IF($B64=0,"",_xlfn.XLOOKUP($B64,INPUT_DATA!$BP:$BP,INPUT_DATA!CP:CP))</f>
        <v/>
      </c>
      <c r="AQ64" s="139" t="str">
        <f t="shared" si="17"/>
        <v/>
      </c>
      <c r="AR64" s="1275" t="str">
        <f t="shared" si="15"/>
        <v/>
      </c>
    </row>
    <row r="65" spans="2:44">
      <c r="B65" s="137">
        <f>INPUT_DATA!BP56</f>
        <v>0</v>
      </c>
      <c r="C65" s="1291" t="str">
        <f>IF($B65=0,"",_xlfn.XLOOKUP($B65,INPUT_DATA!$BP:$BP,INPUT_DATA!BQ:BQ))</f>
        <v/>
      </c>
      <c r="D65" s="140" t="str">
        <f>IF($B65=0,"",_xlfn.XLOOKUP($B65,INPUT_DATA!$BP:$BP,INPUT_DATA!BR:BR))</f>
        <v/>
      </c>
      <c r="E65" s="140" t="str">
        <f>IF($B65=0,"",_xlfn.XLOOKUP($B65,INPUT_DATA!$BP:$BP,INPUT_DATA!BS:BS))</f>
        <v/>
      </c>
      <c r="F65" s="140" t="str">
        <f>IF($B65=0,"",_xlfn.XLOOKUP($B65,INPUT_DATA!$BP:$BP,INPUT_DATA!BT:BT))</f>
        <v/>
      </c>
      <c r="G65" s="140" t="str">
        <f t="shared" si="1"/>
        <v/>
      </c>
      <c r="H65" s="1291" t="str">
        <f>IF($B65=0,"",_xlfn.XLOOKUP($B65,INPUT_DATA!$BP:$BP,INPUT_DATA!BU:BU))</f>
        <v/>
      </c>
      <c r="I65" s="140" t="str">
        <f>IF($B65=0,"",_xlfn.XLOOKUP($B65,INPUT_DATA!$BP:$BP,INPUT_DATA!BV:BV))</f>
        <v/>
      </c>
      <c r="J65" s="140" t="str">
        <f>IF($B65=0,"",_xlfn.XLOOKUP($B65,INPUT_DATA!$BP:$BP,INPUT_DATA!BW:BW))</f>
        <v/>
      </c>
      <c r="K65" s="140" t="str">
        <f>IF($B65=0,"",_xlfn.XLOOKUP($B65,INPUT_DATA!$BP:$BP,INPUT_DATA!BX:BX))</f>
        <v/>
      </c>
      <c r="L65" s="140" t="str">
        <f t="shared" si="2"/>
        <v/>
      </c>
      <c r="M65" s="1291" t="str">
        <f>IF($B65=0,"",_xlfn.XLOOKUP($B65,INPUT_DATA!$BP:$BP,INPUT_DATA!BY:BY))</f>
        <v/>
      </c>
      <c r="N65" s="140" t="str">
        <f>IF($B65=0,"",_xlfn.XLOOKUP($B65,INPUT_DATA!$BP:$BP,INPUT_DATA!BZ:BZ))</f>
        <v/>
      </c>
      <c r="O65" s="140" t="str">
        <f>IF($B65=0,"",_xlfn.XLOOKUP($B65,INPUT_DATA!$BP:$BP,INPUT_DATA!CA:CA))</f>
        <v/>
      </c>
      <c r="P65" s="140" t="str">
        <f>IF($B65=0,"",_xlfn.XLOOKUP($B65,INPUT_DATA!$BP:$BP,INPUT_DATA!CB:CB))</f>
        <v/>
      </c>
      <c r="Q65" s="140" t="str">
        <f t="shared" si="3"/>
        <v/>
      </c>
      <c r="R65" s="1275" t="str">
        <f t="shared" si="4"/>
        <v/>
      </c>
      <c r="S65" s="139" t="str">
        <f t="shared" si="5"/>
        <v/>
      </c>
      <c r="T65" s="139" t="str">
        <f t="shared" si="6"/>
        <v/>
      </c>
      <c r="U65" s="1880" t="str">
        <f t="shared" si="7"/>
        <v/>
      </c>
      <c r="V65" s="139" t="str">
        <f t="shared" si="8"/>
        <v/>
      </c>
      <c r="W65" s="140" t="str">
        <f>IF($B65=0,"",_xlfn.XLOOKUP($B65,INPUT_DATA!$BP:$BP,INPUT_DATA!CC:CC))</f>
        <v/>
      </c>
      <c r="X65" s="140" t="str">
        <f>IF($B65=0,"",_xlfn.XLOOKUP($B65,INPUT_DATA!$BP:$BP,INPUT_DATA!CD:CD))</f>
        <v/>
      </c>
      <c r="Y65" s="140" t="str">
        <f>IF($B65=0,"",_xlfn.XLOOKUP($B65,INPUT_DATA!$BP:$BP,INPUT_DATA!CE:CE))</f>
        <v/>
      </c>
      <c r="Z65" s="1300" t="str">
        <f t="shared" si="9"/>
        <v/>
      </c>
      <c r="AA65" s="139" t="str">
        <f t="shared" si="10"/>
        <v/>
      </c>
      <c r="AB65" s="139" t="str">
        <f>IF($B65=0,"",_xlfn.XLOOKUP($B65,INPUT_DATA!$BP:$BP,INPUT_DATA!CF:CF))</f>
        <v/>
      </c>
      <c r="AC65" s="140" t="str">
        <f>IF($B65=0,"",_xlfn.XLOOKUP($B65,INPUT_DATA!$BP:$BP,INPUT_DATA!CG:CG))</f>
        <v/>
      </c>
      <c r="AD65" s="140" t="str">
        <f>IF($B65=0,"",_xlfn.XLOOKUP($B65,INPUT_DATA!$BP:$BP,INPUT_DATA!CH:CH))</f>
        <v/>
      </c>
      <c r="AE65" s="140" t="str">
        <f>IF($B65=0,"",_xlfn.XLOOKUP($B65,INPUT_DATA!$BP:$BP,INPUT_DATA!CI:CI))</f>
        <v/>
      </c>
      <c r="AF65" s="1300" t="str">
        <f t="shared" si="11"/>
        <v/>
      </c>
      <c r="AG65" s="139"/>
      <c r="AH65" s="139" t="str">
        <f t="shared" si="18"/>
        <v/>
      </c>
      <c r="AI65" s="1275" t="str">
        <f>IF($B65=0,"",_xlfn.XLOOKUP($B65,INPUT_DATA!$BP:$BP,INPUT_DATA!CK:CK))</f>
        <v/>
      </c>
      <c r="AJ65" s="140" t="str">
        <f>IF($B65=0,"",_xlfn.XLOOKUP($B65,INPUT_DATA!$BP:$BP,INPUT_DATA!CL:CL))</f>
        <v/>
      </c>
      <c r="AK65" s="140" t="str">
        <f>IF($B65=0,"",_xlfn.XLOOKUP($B65,INPUT_DATA!$BP:$BP,INPUT_DATA!CM:CM))</f>
        <v/>
      </c>
      <c r="AL65" s="140" t="str">
        <f>IF($B65=0,"",_xlfn.XLOOKUP($B65,INPUT_DATA!$BP:$BP,INPUT_DATA!CN:CN))</f>
        <v/>
      </c>
      <c r="AM65" s="1300" t="str">
        <f t="shared" si="13"/>
        <v/>
      </c>
      <c r="AN65" s="139" t="str">
        <f>IF($B65=0,"",_xlfn.XLOOKUP($B65,INPUT_DATA!$BP:$BP,INPUT_DATA!CO:CO))</f>
        <v/>
      </c>
      <c r="AO65" s="139" t="str">
        <f t="shared" si="14"/>
        <v/>
      </c>
      <c r="AP65" s="1275" t="str">
        <f>IF($B65=0,"",_xlfn.XLOOKUP($B65,INPUT_DATA!$BP:$BP,INPUT_DATA!CP:CP))</f>
        <v/>
      </c>
      <c r="AQ65" s="139" t="str">
        <f t="shared" si="17"/>
        <v/>
      </c>
      <c r="AR65" s="1275" t="str">
        <f t="shared" si="15"/>
        <v/>
      </c>
    </row>
    <row r="66" spans="2:44">
      <c r="B66" s="137">
        <f>INPUT_DATA!BP57</f>
        <v>0</v>
      </c>
      <c r="C66" s="1291" t="str">
        <f>IF($B66=0,"",_xlfn.XLOOKUP($B66,INPUT_DATA!$BP:$BP,INPUT_DATA!BQ:BQ))</f>
        <v/>
      </c>
      <c r="D66" s="140" t="str">
        <f>IF($B66=0,"",_xlfn.XLOOKUP($B66,INPUT_DATA!$BP:$BP,INPUT_DATA!BR:BR))</f>
        <v/>
      </c>
      <c r="E66" s="140" t="str">
        <f>IF($B66=0,"",_xlfn.XLOOKUP($B66,INPUT_DATA!$BP:$BP,INPUT_DATA!BS:BS))</f>
        <v/>
      </c>
      <c r="F66" s="140" t="str">
        <f>IF($B66=0,"",_xlfn.XLOOKUP($B66,INPUT_DATA!$BP:$BP,INPUT_DATA!BT:BT))</f>
        <v/>
      </c>
      <c r="G66" s="140" t="str">
        <f t="shared" si="1"/>
        <v/>
      </c>
      <c r="H66" s="1291" t="str">
        <f>IF($B66=0,"",_xlfn.XLOOKUP($B66,INPUT_DATA!$BP:$BP,INPUT_DATA!BU:BU))</f>
        <v/>
      </c>
      <c r="I66" s="140" t="str">
        <f>IF($B66=0,"",_xlfn.XLOOKUP($B66,INPUT_DATA!$BP:$BP,INPUT_DATA!BV:BV))</f>
        <v/>
      </c>
      <c r="J66" s="140" t="str">
        <f>IF($B66=0,"",_xlfn.XLOOKUP($B66,INPUT_DATA!$BP:$BP,INPUT_DATA!BW:BW))</f>
        <v/>
      </c>
      <c r="K66" s="140" t="str">
        <f>IF($B66=0,"",_xlfn.XLOOKUP($B66,INPUT_DATA!$BP:$BP,INPUT_DATA!BX:BX))</f>
        <v/>
      </c>
      <c r="L66" s="140" t="str">
        <f t="shared" si="2"/>
        <v/>
      </c>
      <c r="M66" s="1291" t="str">
        <f>IF($B66=0,"",_xlfn.XLOOKUP($B66,INPUT_DATA!$BP:$BP,INPUT_DATA!BY:BY))</f>
        <v/>
      </c>
      <c r="N66" s="140" t="str">
        <f>IF($B66=0,"",_xlfn.XLOOKUP($B66,INPUT_DATA!$BP:$BP,INPUT_DATA!BZ:BZ))</f>
        <v/>
      </c>
      <c r="O66" s="140" t="str">
        <f>IF($B66=0,"",_xlfn.XLOOKUP($B66,INPUT_DATA!$BP:$BP,INPUT_DATA!CA:CA))</f>
        <v/>
      </c>
      <c r="P66" s="140" t="str">
        <f>IF($B66=0,"",_xlfn.XLOOKUP($B66,INPUT_DATA!$BP:$BP,INPUT_DATA!CB:CB))</f>
        <v/>
      </c>
      <c r="Q66" s="140" t="str">
        <f t="shared" si="3"/>
        <v/>
      </c>
      <c r="R66" s="1275" t="str">
        <f t="shared" si="4"/>
        <v/>
      </c>
      <c r="S66" s="139" t="str">
        <f t="shared" si="5"/>
        <v/>
      </c>
      <c r="T66" s="139" t="str">
        <f t="shared" si="6"/>
        <v/>
      </c>
      <c r="U66" s="1880" t="str">
        <f t="shared" si="7"/>
        <v/>
      </c>
      <c r="V66" s="139" t="str">
        <f t="shared" si="8"/>
        <v/>
      </c>
      <c r="W66" s="140" t="str">
        <f>IF($B66=0,"",_xlfn.XLOOKUP($B66,INPUT_DATA!$BP:$BP,INPUT_DATA!CC:CC))</f>
        <v/>
      </c>
      <c r="X66" s="140" t="str">
        <f>IF($B66=0,"",_xlfn.XLOOKUP($B66,INPUT_DATA!$BP:$BP,INPUT_DATA!CD:CD))</f>
        <v/>
      </c>
      <c r="Y66" s="140" t="str">
        <f>IF($B66=0,"",_xlfn.XLOOKUP($B66,INPUT_DATA!$BP:$BP,INPUT_DATA!CE:CE))</f>
        <v/>
      </c>
      <c r="Z66" s="1300" t="str">
        <f t="shared" si="9"/>
        <v/>
      </c>
      <c r="AA66" s="139" t="str">
        <f t="shared" si="10"/>
        <v/>
      </c>
      <c r="AB66" s="139" t="str">
        <f>IF($B66=0,"",_xlfn.XLOOKUP($B66,INPUT_DATA!$BP:$BP,INPUT_DATA!CF:CF))</f>
        <v/>
      </c>
      <c r="AC66" s="140" t="str">
        <f>IF($B66=0,"",_xlfn.XLOOKUP($B66,INPUT_DATA!$BP:$BP,INPUT_DATA!CG:CG))</f>
        <v/>
      </c>
      <c r="AD66" s="140" t="str">
        <f>IF($B66=0,"",_xlfn.XLOOKUP($B66,INPUT_DATA!$BP:$BP,INPUT_DATA!CH:CH))</f>
        <v/>
      </c>
      <c r="AE66" s="140" t="str">
        <f>IF($B66=0,"",_xlfn.XLOOKUP($B66,INPUT_DATA!$BP:$BP,INPUT_DATA!CI:CI))</f>
        <v/>
      </c>
      <c r="AF66" s="1300" t="str">
        <f t="shared" si="11"/>
        <v/>
      </c>
      <c r="AG66" s="139"/>
      <c r="AH66" s="139" t="str">
        <f t="shared" si="18"/>
        <v/>
      </c>
      <c r="AI66" s="1275" t="str">
        <f>IF($B66=0,"",_xlfn.XLOOKUP($B66,INPUT_DATA!$BP:$BP,INPUT_DATA!CK:CK))</f>
        <v/>
      </c>
      <c r="AJ66" s="140" t="str">
        <f>IF($B66=0,"",_xlfn.XLOOKUP($B66,INPUT_DATA!$BP:$BP,INPUT_DATA!CL:CL))</f>
        <v/>
      </c>
      <c r="AK66" s="140" t="str">
        <f>IF($B66=0,"",_xlfn.XLOOKUP($B66,INPUT_DATA!$BP:$BP,INPUT_DATA!CM:CM))</f>
        <v/>
      </c>
      <c r="AL66" s="140" t="str">
        <f>IF($B66=0,"",_xlfn.XLOOKUP($B66,INPUT_DATA!$BP:$BP,INPUT_DATA!CN:CN))</f>
        <v/>
      </c>
      <c r="AM66" s="1300" t="str">
        <f t="shared" si="13"/>
        <v/>
      </c>
      <c r="AN66" s="139" t="str">
        <f>IF($B66=0,"",_xlfn.XLOOKUP($B66,INPUT_DATA!$BP:$BP,INPUT_DATA!CO:CO))</f>
        <v/>
      </c>
      <c r="AO66" s="139" t="str">
        <f t="shared" si="14"/>
        <v/>
      </c>
      <c r="AP66" s="1275" t="str">
        <f>IF($B66=0,"",_xlfn.XLOOKUP($B66,INPUT_DATA!$BP:$BP,INPUT_DATA!CP:CP))</f>
        <v/>
      </c>
      <c r="AQ66" s="139" t="str">
        <f t="shared" si="17"/>
        <v/>
      </c>
      <c r="AR66" s="1275" t="str">
        <f t="shared" si="15"/>
        <v/>
      </c>
    </row>
    <row r="67" spans="2:44">
      <c r="B67" s="137">
        <f>INPUT_DATA!BP58</f>
        <v>0</v>
      </c>
      <c r="C67" s="1291" t="str">
        <f>IF($B67=0,"",_xlfn.XLOOKUP($B67,INPUT_DATA!$BP:$BP,INPUT_DATA!BQ:BQ))</f>
        <v/>
      </c>
      <c r="D67" s="140" t="str">
        <f>IF($B67=0,"",_xlfn.XLOOKUP($B67,INPUT_DATA!$BP:$BP,INPUT_DATA!BR:BR))</f>
        <v/>
      </c>
      <c r="E67" s="140" t="str">
        <f>IF($B67=0,"",_xlfn.XLOOKUP($B67,INPUT_DATA!$BP:$BP,INPUT_DATA!BS:BS))</f>
        <v/>
      </c>
      <c r="F67" s="140" t="str">
        <f>IF($B67=0,"",_xlfn.XLOOKUP($B67,INPUT_DATA!$BP:$BP,INPUT_DATA!BT:BT))</f>
        <v/>
      </c>
      <c r="G67" s="140" t="str">
        <f t="shared" si="1"/>
        <v/>
      </c>
      <c r="H67" s="1291" t="str">
        <f>IF($B67=0,"",_xlfn.XLOOKUP($B67,INPUT_DATA!$BP:$BP,INPUT_DATA!BU:BU))</f>
        <v/>
      </c>
      <c r="I67" s="140" t="str">
        <f>IF($B67=0,"",_xlfn.XLOOKUP($B67,INPUT_DATA!$BP:$BP,INPUT_DATA!BV:BV))</f>
        <v/>
      </c>
      <c r="J67" s="140" t="str">
        <f>IF($B67=0,"",_xlfn.XLOOKUP($B67,INPUT_DATA!$BP:$BP,INPUT_DATA!BW:BW))</f>
        <v/>
      </c>
      <c r="K67" s="140" t="str">
        <f>IF($B67=0,"",_xlfn.XLOOKUP($B67,INPUT_DATA!$BP:$BP,INPUT_DATA!BX:BX))</f>
        <v/>
      </c>
      <c r="L67" s="140" t="str">
        <f t="shared" si="2"/>
        <v/>
      </c>
      <c r="M67" s="1291" t="str">
        <f>IF($B67=0,"",_xlfn.XLOOKUP($B67,INPUT_DATA!$BP:$BP,INPUT_DATA!BY:BY))</f>
        <v/>
      </c>
      <c r="N67" s="140" t="str">
        <f>IF($B67=0,"",_xlfn.XLOOKUP($B67,INPUT_DATA!$BP:$BP,INPUT_DATA!BZ:BZ))</f>
        <v/>
      </c>
      <c r="O67" s="140" t="str">
        <f>IF($B67=0,"",_xlfn.XLOOKUP($B67,INPUT_DATA!$BP:$BP,INPUT_DATA!CA:CA))</f>
        <v/>
      </c>
      <c r="P67" s="140" t="str">
        <f>IF($B67=0,"",_xlfn.XLOOKUP($B67,INPUT_DATA!$BP:$BP,INPUT_DATA!CB:CB))</f>
        <v/>
      </c>
      <c r="Q67" s="140" t="str">
        <f t="shared" si="3"/>
        <v/>
      </c>
      <c r="R67" s="1275" t="str">
        <f t="shared" si="4"/>
        <v/>
      </c>
      <c r="S67" s="139" t="str">
        <f t="shared" si="5"/>
        <v/>
      </c>
      <c r="T67" s="139" t="str">
        <f t="shared" si="6"/>
        <v/>
      </c>
      <c r="U67" s="1880" t="str">
        <f t="shared" si="7"/>
        <v/>
      </c>
      <c r="V67" s="139" t="str">
        <f t="shared" si="8"/>
        <v/>
      </c>
      <c r="W67" s="140" t="str">
        <f>IF($B67=0,"",_xlfn.XLOOKUP($B67,INPUT_DATA!$BP:$BP,INPUT_DATA!CC:CC))</f>
        <v/>
      </c>
      <c r="X67" s="140" t="str">
        <f>IF($B67=0,"",_xlfn.XLOOKUP($B67,INPUT_DATA!$BP:$BP,INPUT_DATA!CD:CD))</f>
        <v/>
      </c>
      <c r="Y67" s="140" t="str">
        <f>IF($B67=0,"",_xlfn.XLOOKUP($B67,INPUT_DATA!$BP:$BP,INPUT_DATA!CE:CE))</f>
        <v/>
      </c>
      <c r="Z67" s="1300" t="str">
        <f t="shared" si="9"/>
        <v/>
      </c>
      <c r="AA67" s="139" t="str">
        <f t="shared" si="10"/>
        <v/>
      </c>
      <c r="AB67" s="139" t="str">
        <f>IF($B67=0,"",_xlfn.XLOOKUP($B67,INPUT_DATA!$BP:$BP,INPUT_DATA!CF:CF))</f>
        <v/>
      </c>
      <c r="AC67" s="140" t="str">
        <f>IF($B67=0,"",_xlfn.XLOOKUP($B67,INPUT_DATA!$BP:$BP,INPUT_DATA!CG:CG))</f>
        <v/>
      </c>
      <c r="AD67" s="140" t="str">
        <f>IF($B67=0,"",_xlfn.XLOOKUP($B67,INPUT_DATA!$BP:$BP,INPUT_DATA!CH:CH))</f>
        <v/>
      </c>
      <c r="AE67" s="140" t="str">
        <f>IF($B67=0,"",_xlfn.XLOOKUP($B67,INPUT_DATA!$BP:$BP,INPUT_DATA!CI:CI))</f>
        <v/>
      </c>
      <c r="AF67" s="1300" t="str">
        <f t="shared" si="11"/>
        <v/>
      </c>
      <c r="AG67" s="139"/>
      <c r="AH67" s="139" t="str">
        <f t="shared" si="18"/>
        <v/>
      </c>
      <c r="AI67" s="1275" t="str">
        <f>IF($B67=0,"",_xlfn.XLOOKUP($B67,INPUT_DATA!$BP:$BP,INPUT_DATA!CK:CK))</f>
        <v/>
      </c>
      <c r="AJ67" s="140" t="str">
        <f>IF($B67=0,"",_xlfn.XLOOKUP($B67,INPUT_DATA!$BP:$BP,INPUT_DATA!CL:CL))</f>
        <v/>
      </c>
      <c r="AK67" s="140" t="str">
        <f>IF($B67=0,"",_xlfn.XLOOKUP($B67,INPUT_DATA!$BP:$BP,INPUT_DATA!CM:CM))</f>
        <v/>
      </c>
      <c r="AL67" s="140" t="str">
        <f>IF($B67=0,"",_xlfn.XLOOKUP($B67,INPUT_DATA!$BP:$BP,INPUT_DATA!CN:CN))</f>
        <v/>
      </c>
      <c r="AM67" s="1300" t="str">
        <f t="shared" si="13"/>
        <v/>
      </c>
      <c r="AN67" s="139" t="str">
        <f>IF($B67=0,"",_xlfn.XLOOKUP($B67,INPUT_DATA!$BP:$BP,INPUT_DATA!CO:CO))</f>
        <v/>
      </c>
      <c r="AO67" s="139" t="str">
        <f t="shared" si="14"/>
        <v/>
      </c>
      <c r="AP67" s="1275" t="str">
        <f>IF($B67=0,"",_xlfn.XLOOKUP($B67,INPUT_DATA!$BP:$BP,INPUT_DATA!CP:CP))</f>
        <v/>
      </c>
      <c r="AQ67" s="139" t="str">
        <f t="shared" si="17"/>
        <v/>
      </c>
      <c r="AR67" s="1275" t="str">
        <f t="shared" si="15"/>
        <v/>
      </c>
    </row>
    <row r="68" spans="2:44">
      <c r="B68" s="137">
        <f>INPUT_DATA!BP59</f>
        <v>0</v>
      </c>
      <c r="C68" s="1291" t="str">
        <f>IF($B68=0,"",_xlfn.XLOOKUP($B68,INPUT_DATA!$BP:$BP,INPUT_DATA!BQ:BQ))</f>
        <v/>
      </c>
      <c r="D68" s="140" t="str">
        <f>IF($B68=0,"",_xlfn.XLOOKUP($B68,INPUT_DATA!$BP:$BP,INPUT_DATA!BR:BR))</f>
        <v/>
      </c>
      <c r="E68" s="140" t="str">
        <f>IF($B68=0,"",_xlfn.XLOOKUP($B68,INPUT_DATA!$BP:$BP,INPUT_DATA!BS:BS))</f>
        <v/>
      </c>
      <c r="F68" s="140" t="str">
        <f>IF($B68=0,"",_xlfn.XLOOKUP($B68,INPUT_DATA!$BP:$BP,INPUT_DATA!BT:BT))</f>
        <v/>
      </c>
      <c r="G68" s="140" t="str">
        <f t="shared" si="1"/>
        <v/>
      </c>
      <c r="H68" s="1291" t="str">
        <f>IF($B68=0,"",_xlfn.XLOOKUP($B68,INPUT_DATA!$BP:$BP,INPUT_DATA!BU:BU))</f>
        <v/>
      </c>
      <c r="I68" s="140" t="str">
        <f>IF($B68=0,"",_xlfn.XLOOKUP($B68,INPUT_DATA!$BP:$BP,INPUT_DATA!BV:BV))</f>
        <v/>
      </c>
      <c r="J68" s="140" t="str">
        <f>IF($B68=0,"",_xlfn.XLOOKUP($B68,INPUT_DATA!$BP:$BP,INPUT_DATA!BW:BW))</f>
        <v/>
      </c>
      <c r="K68" s="140" t="str">
        <f>IF($B68=0,"",_xlfn.XLOOKUP($B68,INPUT_DATA!$BP:$BP,INPUT_DATA!BX:BX))</f>
        <v/>
      </c>
      <c r="L68" s="140" t="str">
        <f t="shared" si="2"/>
        <v/>
      </c>
      <c r="M68" s="1291" t="str">
        <f>IF($B68=0,"",_xlfn.XLOOKUP($B68,INPUT_DATA!$BP:$BP,INPUT_DATA!BY:BY))</f>
        <v/>
      </c>
      <c r="N68" s="140" t="str">
        <f>IF($B68=0,"",_xlfn.XLOOKUP($B68,INPUT_DATA!$BP:$BP,INPUT_DATA!BZ:BZ))</f>
        <v/>
      </c>
      <c r="O68" s="140" t="str">
        <f>IF($B68=0,"",_xlfn.XLOOKUP($B68,INPUT_DATA!$BP:$BP,INPUT_DATA!CA:CA))</f>
        <v/>
      </c>
      <c r="P68" s="140" t="str">
        <f>IF($B68=0,"",_xlfn.XLOOKUP($B68,INPUT_DATA!$BP:$BP,INPUT_DATA!CB:CB))</f>
        <v/>
      </c>
      <c r="Q68" s="140" t="str">
        <f t="shared" si="3"/>
        <v/>
      </c>
      <c r="R68" s="1275" t="str">
        <f t="shared" si="4"/>
        <v/>
      </c>
      <c r="S68" s="139" t="str">
        <f t="shared" si="5"/>
        <v/>
      </c>
      <c r="T68" s="139" t="str">
        <f t="shared" si="6"/>
        <v/>
      </c>
      <c r="U68" s="1880" t="str">
        <f t="shared" si="7"/>
        <v/>
      </c>
      <c r="V68" s="139" t="str">
        <f t="shared" si="8"/>
        <v/>
      </c>
      <c r="W68" s="140" t="str">
        <f>IF($B68=0,"",_xlfn.XLOOKUP($B68,INPUT_DATA!$BP:$BP,INPUT_DATA!CC:CC))</f>
        <v/>
      </c>
      <c r="X68" s="140" t="str">
        <f>IF($B68=0,"",_xlfn.XLOOKUP($B68,INPUT_DATA!$BP:$BP,INPUT_DATA!CD:CD))</f>
        <v/>
      </c>
      <c r="Y68" s="140" t="str">
        <f>IF($B68=0,"",_xlfn.XLOOKUP($B68,INPUT_DATA!$BP:$BP,INPUT_DATA!CE:CE))</f>
        <v/>
      </c>
      <c r="Z68" s="1300" t="str">
        <f t="shared" si="9"/>
        <v/>
      </c>
      <c r="AA68" s="139" t="str">
        <f t="shared" si="10"/>
        <v/>
      </c>
      <c r="AB68" s="139" t="str">
        <f>IF($B68=0,"",_xlfn.XLOOKUP($B68,INPUT_DATA!$BP:$BP,INPUT_DATA!CF:CF))</f>
        <v/>
      </c>
      <c r="AC68" s="140" t="str">
        <f>IF($B68=0,"",_xlfn.XLOOKUP($B68,INPUT_DATA!$BP:$BP,INPUT_DATA!CG:CG))</f>
        <v/>
      </c>
      <c r="AD68" s="140" t="str">
        <f>IF($B68=0,"",_xlfn.XLOOKUP($B68,INPUT_DATA!$BP:$BP,INPUT_DATA!CH:CH))</f>
        <v/>
      </c>
      <c r="AE68" s="140" t="str">
        <f>IF($B68=0,"",_xlfn.XLOOKUP($B68,INPUT_DATA!$BP:$BP,INPUT_DATA!CI:CI))</f>
        <v/>
      </c>
      <c r="AF68" s="1300" t="str">
        <f t="shared" si="11"/>
        <v/>
      </c>
      <c r="AG68" s="139"/>
      <c r="AH68" s="139" t="str">
        <f t="shared" si="18"/>
        <v/>
      </c>
      <c r="AI68" s="1275" t="str">
        <f>IF($B68=0,"",_xlfn.XLOOKUP($B68,INPUT_DATA!$BP:$BP,INPUT_DATA!CK:CK))</f>
        <v/>
      </c>
      <c r="AJ68" s="140" t="str">
        <f>IF($B68=0,"",_xlfn.XLOOKUP($B68,INPUT_DATA!$BP:$BP,INPUT_DATA!CL:CL))</f>
        <v/>
      </c>
      <c r="AK68" s="140" t="str">
        <f>IF($B68=0,"",_xlfn.XLOOKUP($B68,INPUT_DATA!$BP:$BP,INPUT_DATA!CM:CM))</f>
        <v/>
      </c>
      <c r="AL68" s="140" t="str">
        <f>IF($B68=0,"",_xlfn.XLOOKUP($B68,INPUT_DATA!$BP:$BP,INPUT_DATA!CN:CN))</f>
        <v/>
      </c>
      <c r="AM68" s="1300" t="str">
        <f t="shared" si="13"/>
        <v/>
      </c>
      <c r="AN68" s="139" t="str">
        <f>IF($B68=0,"",_xlfn.XLOOKUP($B68,INPUT_DATA!$BP:$BP,INPUT_DATA!CO:CO))</f>
        <v/>
      </c>
      <c r="AO68" s="139" t="str">
        <f t="shared" si="14"/>
        <v/>
      </c>
      <c r="AP68" s="1275" t="str">
        <f>IF($B68=0,"",_xlfn.XLOOKUP($B68,INPUT_DATA!$BP:$BP,INPUT_DATA!CP:CP))</f>
        <v/>
      </c>
      <c r="AQ68" s="139" t="str">
        <f t="shared" si="17"/>
        <v/>
      </c>
      <c r="AR68" s="1275" t="str">
        <f t="shared" si="15"/>
        <v/>
      </c>
    </row>
    <row r="69" spans="2:44">
      <c r="B69" s="137">
        <f>INPUT_DATA!BP60</f>
        <v>0</v>
      </c>
      <c r="C69" s="1291" t="str">
        <f>IF($B69=0,"",_xlfn.XLOOKUP($B69,INPUT_DATA!$BP:$BP,INPUT_DATA!BQ:BQ))</f>
        <v/>
      </c>
      <c r="D69" s="140" t="str">
        <f>IF($B69=0,"",_xlfn.XLOOKUP($B69,INPUT_DATA!$BP:$BP,INPUT_DATA!BR:BR))</f>
        <v/>
      </c>
      <c r="E69" s="140" t="str">
        <f>IF($B69=0,"",_xlfn.XLOOKUP($B69,INPUT_DATA!$BP:$BP,INPUT_DATA!BS:BS))</f>
        <v/>
      </c>
      <c r="F69" s="140" t="str">
        <f>IF($B69=0,"",_xlfn.XLOOKUP($B69,INPUT_DATA!$BP:$BP,INPUT_DATA!BT:BT))</f>
        <v/>
      </c>
      <c r="G69" s="140" t="str">
        <f t="shared" si="1"/>
        <v/>
      </c>
      <c r="H69" s="1291" t="str">
        <f>IF($B69=0,"",_xlfn.XLOOKUP($B69,INPUT_DATA!$BP:$BP,INPUT_DATA!BU:BU))</f>
        <v/>
      </c>
      <c r="I69" s="140" t="str">
        <f>IF($B69=0,"",_xlfn.XLOOKUP($B69,INPUT_DATA!$BP:$BP,INPUT_DATA!BV:BV))</f>
        <v/>
      </c>
      <c r="J69" s="140" t="str">
        <f>IF($B69=0,"",_xlfn.XLOOKUP($B69,INPUT_DATA!$BP:$BP,INPUT_DATA!BW:BW))</f>
        <v/>
      </c>
      <c r="K69" s="140" t="str">
        <f>IF($B69=0,"",_xlfn.XLOOKUP($B69,INPUT_DATA!$BP:$BP,INPUT_DATA!BX:BX))</f>
        <v/>
      </c>
      <c r="L69" s="140" t="str">
        <f t="shared" si="2"/>
        <v/>
      </c>
      <c r="M69" s="1291" t="str">
        <f>IF($B69=0,"",_xlfn.XLOOKUP($B69,INPUT_DATA!$BP:$BP,INPUT_DATA!BY:BY))</f>
        <v/>
      </c>
      <c r="N69" s="140" t="str">
        <f>IF($B69=0,"",_xlfn.XLOOKUP($B69,INPUT_DATA!$BP:$BP,INPUT_DATA!BZ:BZ))</f>
        <v/>
      </c>
      <c r="O69" s="140" t="str">
        <f>IF($B69=0,"",_xlfn.XLOOKUP($B69,INPUT_DATA!$BP:$BP,INPUT_DATA!CA:CA))</f>
        <v/>
      </c>
      <c r="P69" s="140" t="str">
        <f>IF($B69=0,"",_xlfn.XLOOKUP($B69,INPUT_DATA!$BP:$BP,INPUT_DATA!CB:CB))</f>
        <v/>
      </c>
      <c r="Q69" s="140" t="str">
        <f t="shared" si="3"/>
        <v/>
      </c>
      <c r="R69" s="1275" t="str">
        <f t="shared" si="4"/>
        <v/>
      </c>
      <c r="S69" s="139" t="str">
        <f t="shared" si="5"/>
        <v/>
      </c>
      <c r="T69" s="139" t="str">
        <f t="shared" si="6"/>
        <v/>
      </c>
      <c r="U69" s="1880" t="str">
        <f t="shared" si="7"/>
        <v/>
      </c>
      <c r="V69" s="139" t="str">
        <f t="shared" si="8"/>
        <v/>
      </c>
      <c r="W69" s="140" t="str">
        <f>IF($B69=0,"",_xlfn.XLOOKUP($B69,INPUT_DATA!$BP:$BP,INPUT_DATA!CC:CC))</f>
        <v/>
      </c>
      <c r="X69" s="140" t="str">
        <f>IF($B69=0,"",_xlfn.XLOOKUP($B69,INPUT_DATA!$BP:$BP,INPUT_DATA!CD:CD))</f>
        <v/>
      </c>
      <c r="Y69" s="140" t="str">
        <f>IF($B69=0,"",_xlfn.XLOOKUP($B69,INPUT_DATA!$BP:$BP,INPUT_DATA!CE:CE))</f>
        <v/>
      </c>
      <c r="Z69" s="1300" t="str">
        <f t="shared" si="9"/>
        <v/>
      </c>
      <c r="AA69" s="139" t="str">
        <f t="shared" si="10"/>
        <v/>
      </c>
      <c r="AB69" s="139" t="str">
        <f>IF($B69=0,"",_xlfn.XLOOKUP($B69,INPUT_DATA!$BP:$BP,INPUT_DATA!CF:CF))</f>
        <v/>
      </c>
      <c r="AC69" s="140" t="str">
        <f>IF($B69=0,"",_xlfn.XLOOKUP($B69,INPUT_DATA!$BP:$BP,INPUT_DATA!CG:CG))</f>
        <v/>
      </c>
      <c r="AD69" s="140" t="str">
        <f>IF($B69=0,"",_xlfn.XLOOKUP($B69,INPUT_DATA!$BP:$BP,INPUT_DATA!CH:CH))</f>
        <v/>
      </c>
      <c r="AE69" s="140" t="str">
        <f>IF($B69=0,"",_xlfn.XLOOKUP($B69,INPUT_DATA!$BP:$BP,INPUT_DATA!CI:CI))</f>
        <v/>
      </c>
      <c r="AF69" s="1300" t="str">
        <f t="shared" si="11"/>
        <v/>
      </c>
      <c r="AG69" s="139"/>
      <c r="AH69" s="139" t="str">
        <f t="shared" si="18"/>
        <v/>
      </c>
      <c r="AI69" s="1275" t="str">
        <f>IF($B69=0,"",_xlfn.XLOOKUP($B69,INPUT_DATA!$BP:$BP,INPUT_DATA!CK:CK))</f>
        <v/>
      </c>
      <c r="AJ69" s="140" t="str">
        <f>IF($B69=0,"",_xlfn.XLOOKUP($B69,INPUT_DATA!$BP:$BP,INPUT_DATA!CL:CL))</f>
        <v/>
      </c>
      <c r="AK69" s="140" t="str">
        <f>IF($B69=0,"",_xlfn.XLOOKUP($B69,INPUT_DATA!$BP:$BP,INPUT_DATA!CM:CM))</f>
        <v/>
      </c>
      <c r="AL69" s="140" t="str">
        <f>IF($B69=0,"",_xlfn.XLOOKUP($B69,INPUT_DATA!$BP:$BP,INPUT_DATA!CN:CN))</f>
        <v/>
      </c>
      <c r="AM69" s="1300" t="str">
        <f t="shared" si="13"/>
        <v/>
      </c>
      <c r="AN69" s="139" t="str">
        <f>IF($B69=0,"",_xlfn.XLOOKUP($B69,INPUT_DATA!$BP:$BP,INPUT_DATA!CO:CO))</f>
        <v/>
      </c>
      <c r="AO69" s="139" t="str">
        <f t="shared" si="14"/>
        <v/>
      </c>
      <c r="AP69" s="1275" t="str">
        <f>IF($B69=0,"",_xlfn.XLOOKUP($B69,INPUT_DATA!$BP:$BP,INPUT_DATA!CP:CP))</f>
        <v/>
      </c>
      <c r="AQ69" s="139" t="str">
        <f t="shared" si="17"/>
        <v/>
      </c>
      <c r="AR69" s="1275" t="str">
        <f t="shared" si="15"/>
        <v/>
      </c>
    </row>
    <row r="70" spans="2:44">
      <c r="B70" s="137">
        <f>INPUT_DATA!BP61</f>
        <v>0</v>
      </c>
      <c r="C70" s="1291" t="str">
        <f>IF($B70=0,"",_xlfn.XLOOKUP($B70,INPUT_DATA!$BP:$BP,INPUT_DATA!BQ:BQ))</f>
        <v/>
      </c>
      <c r="D70" s="140" t="str">
        <f>IF($B70=0,"",_xlfn.XLOOKUP($B70,INPUT_DATA!$BP:$BP,INPUT_DATA!BR:BR))</f>
        <v/>
      </c>
      <c r="E70" s="140" t="str">
        <f>IF($B70=0,"",_xlfn.XLOOKUP($B70,INPUT_DATA!$BP:$BP,INPUT_DATA!BS:BS))</f>
        <v/>
      </c>
      <c r="F70" s="140" t="str">
        <f>IF($B70=0,"",_xlfn.XLOOKUP($B70,INPUT_DATA!$BP:$BP,INPUT_DATA!BT:BT))</f>
        <v/>
      </c>
      <c r="G70" s="140" t="str">
        <f t="shared" si="1"/>
        <v/>
      </c>
      <c r="H70" s="1291" t="str">
        <f>IF($B70=0,"",_xlfn.XLOOKUP($B70,INPUT_DATA!$BP:$BP,INPUT_DATA!BU:BU))</f>
        <v/>
      </c>
      <c r="I70" s="140" t="str">
        <f>IF($B70=0,"",_xlfn.XLOOKUP($B70,INPUT_DATA!$BP:$BP,INPUT_DATA!BV:BV))</f>
        <v/>
      </c>
      <c r="J70" s="140" t="str">
        <f>IF($B70=0,"",_xlfn.XLOOKUP($B70,INPUT_DATA!$BP:$BP,INPUT_DATA!BW:BW))</f>
        <v/>
      </c>
      <c r="K70" s="140" t="str">
        <f>IF($B70=0,"",_xlfn.XLOOKUP($B70,INPUT_DATA!$BP:$BP,INPUT_DATA!BX:BX))</f>
        <v/>
      </c>
      <c r="L70" s="140" t="str">
        <f t="shared" si="2"/>
        <v/>
      </c>
      <c r="M70" s="1291" t="str">
        <f>IF($B70=0,"",_xlfn.XLOOKUP($B70,INPUT_DATA!$BP:$BP,INPUT_DATA!BY:BY))</f>
        <v/>
      </c>
      <c r="N70" s="140" t="str">
        <f>IF($B70=0,"",_xlfn.XLOOKUP($B70,INPUT_DATA!$BP:$BP,INPUT_DATA!BZ:BZ))</f>
        <v/>
      </c>
      <c r="O70" s="140" t="str">
        <f>IF($B70=0,"",_xlfn.XLOOKUP($B70,INPUT_DATA!$BP:$BP,INPUT_DATA!CA:CA))</f>
        <v/>
      </c>
      <c r="P70" s="140" t="str">
        <f>IF($B70=0,"",_xlfn.XLOOKUP($B70,INPUT_DATA!$BP:$BP,INPUT_DATA!CB:CB))</f>
        <v/>
      </c>
      <c r="Q70" s="140" t="str">
        <f t="shared" si="3"/>
        <v/>
      </c>
      <c r="R70" s="1275" t="str">
        <f t="shared" si="4"/>
        <v/>
      </c>
      <c r="S70" s="139" t="str">
        <f t="shared" si="5"/>
        <v/>
      </c>
      <c r="T70" s="139" t="str">
        <f t="shared" si="6"/>
        <v/>
      </c>
      <c r="U70" s="1880" t="str">
        <f t="shared" si="7"/>
        <v/>
      </c>
      <c r="V70" s="139" t="str">
        <f t="shared" si="8"/>
        <v/>
      </c>
      <c r="W70" s="140" t="str">
        <f>IF($B70=0,"",_xlfn.XLOOKUP($B70,INPUT_DATA!$BP:$BP,INPUT_DATA!CC:CC))</f>
        <v/>
      </c>
      <c r="X70" s="140" t="str">
        <f>IF($B70=0,"",_xlfn.XLOOKUP($B70,INPUT_DATA!$BP:$BP,INPUT_DATA!CD:CD))</f>
        <v/>
      </c>
      <c r="Y70" s="140" t="str">
        <f>IF($B70=0,"",_xlfn.XLOOKUP($B70,INPUT_DATA!$BP:$BP,INPUT_DATA!CE:CE))</f>
        <v/>
      </c>
      <c r="Z70" s="1300" t="str">
        <f t="shared" si="9"/>
        <v/>
      </c>
      <c r="AA70" s="139" t="str">
        <f t="shared" si="10"/>
        <v/>
      </c>
      <c r="AB70" s="139" t="str">
        <f>IF($B70=0,"",_xlfn.XLOOKUP($B70,INPUT_DATA!$BP:$BP,INPUT_DATA!CF:CF))</f>
        <v/>
      </c>
      <c r="AC70" s="140" t="str">
        <f>IF($B70=0,"",_xlfn.XLOOKUP($B70,INPUT_DATA!$BP:$BP,INPUT_DATA!CG:CG))</f>
        <v/>
      </c>
      <c r="AD70" s="140" t="str">
        <f>IF($B70=0,"",_xlfn.XLOOKUP($B70,INPUT_DATA!$BP:$BP,INPUT_DATA!CH:CH))</f>
        <v/>
      </c>
      <c r="AE70" s="140" t="str">
        <f>IF($B70=0,"",_xlfn.XLOOKUP($B70,INPUT_DATA!$BP:$BP,INPUT_DATA!CI:CI))</f>
        <v/>
      </c>
      <c r="AF70" s="1300" t="str">
        <f t="shared" si="11"/>
        <v/>
      </c>
      <c r="AG70" s="139"/>
      <c r="AH70" s="139" t="str">
        <f t="shared" si="18"/>
        <v/>
      </c>
      <c r="AI70" s="1275" t="str">
        <f>IF($B70=0,"",_xlfn.XLOOKUP($B70,INPUT_DATA!$BP:$BP,INPUT_DATA!CK:CK))</f>
        <v/>
      </c>
      <c r="AJ70" s="140" t="str">
        <f>IF($B70=0,"",_xlfn.XLOOKUP($B70,INPUT_DATA!$BP:$BP,INPUT_DATA!CL:CL))</f>
        <v/>
      </c>
      <c r="AK70" s="140" t="str">
        <f>IF($B70=0,"",_xlfn.XLOOKUP($B70,INPUT_DATA!$BP:$BP,INPUT_DATA!CM:CM))</f>
        <v/>
      </c>
      <c r="AL70" s="140" t="str">
        <f>IF($B70=0,"",_xlfn.XLOOKUP($B70,INPUT_DATA!$BP:$BP,INPUT_DATA!CN:CN))</f>
        <v/>
      </c>
      <c r="AM70" s="1300" t="str">
        <f t="shared" si="13"/>
        <v/>
      </c>
      <c r="AN70" s="139" t="str">
        <f>IF($B70=0,"",_xlfn.XLOOKUP($B70,INPUT_DATA!$BP:$BP,INPUT_DATA!CO:CO))</f>
        <v/>
      </c>
      <c r="AO70" s="139" t="str">
        <f t="shared" si="14"/>
        <v/>
      </c>
      <c r="AP70" s="1275" t="str">
        <f>IF($B70=0,"",_xlfn.XLOOKUP($B70,INPUT_DATA!$BP:$BP,INPUT_DATA!CP:CP))</f>
        <v/>
      </c>
      <c r="AQ70" s="139" t="str">
        <f t="shared" si="17"/>
        <v/>
      </c>
      <c r="AR70" s="1275" t="str">
        <f t="shared" si="15"/>
        <v/>
      </c>
    </row>
    <row r="71" spans="2:44">
      <c r="B71" s="137">
        <f>INPUT_DATA!BP62</f>
        <v>0</v>
      </c>
      <c r="C71" s="1291" t="str">
        <f>IF($B71=0,"",_xlfn.XLOOKUP($B71,INPUT_DATA!$BP:$BP,INPUT_DATA!BQ:BQ))</f>
        <v/>
      </c>
      <c r="D71" s="140" t="str">
        <f>IF($B71=0,"",_xlfn.XLOOKUP($B71,INPUT_DATA!$BP:$BP,INPUT_DATA!BR:BR))</f>
        <v/>
      </c>
      <c r="E71" s="140" t="str">
        <f>IF($B71=0,"",_xlfn.XLOOKUP($B71,INPUT_DATA!$BP:$BP,INPUT_DATA!BS:BS))</f>
        <v/>
      </c>
      <c r="F71" s="140" t="str">
        <f>IF($B71=0,"",_xlfn.XLOOKUP($B71,INPUT_DATA!$BP:$BP,INPUT_DATA!BT:BT))</f>
        <v/>
      </c>
      <c r="G71" s="140" t="str">
        <f t="shared" si="1"/>
        <v/>
      </c>
      <c r="H71" s="1291" t="str">
        <f>IF($B71=0,"",_xlfn.XLOOKUP($B71,INPUT_DATA!$BP:$BP,INPUT_DATA!BU:BU))</f>
        <v/>
      </c>
      <c r="I71" s="140" t="str">
        <f>IF($B71=0,"",_xlfn.XLOOKUP($B71,INPUT_DATA!$BP:$BP,INPUT_DATA!BV:BV))</f>
        <v/>
      </c>
      <c r="J71" s="140" t="str">
        <f>IF($B71=0,"",_xlfn.XLOOKUP($B71,INPUT_DATA!$BP:$BP,INPUT_DATA!BW:BW))</f>
        <v/>
      </c>
      <c r="K71" s="140" t="str">
        <f>IF($B71=0,"",_xlfn.XLOOKUP($B71,INPUT_DATA!$BP:$BP,INPUT_DATA!BX:BX))</f>
        <v/>
      </c>
      <c r="L71" s="140" t="str">
        <f t="shared" si="2"/>
        <v/>
      </c>
      <c r="M71" s="1291" t="str">
        <f>IF($B71=0,"",_xlfn.XLOOKUP($B71,INPUT_DATA!$BP:$BP,INPUT_DATA!BY:BY))</f>
        <v/>
      </c>
      <c r="N71" s="140" t="str">
        <f>IF($B71=0,"",_xlfn.XLOOKUP($B71,INPUT_DATA!$BP:$BP,INPUT_DATA!BZ:BZ))</f>
        <v/>
      </c>
      <c r="O71" s="140" t="str">
        <f>IF($B71=0,"",_xlfn.XLOOKUP($B71,INPUT_DATA!$BP:$BP,INPUT_DATA!CA:CA))</f>
        <v/>
      </c>
      <c r="P71" s="140" t="str">
        <f>IF($B71=0,"",_xlfn.XLOOKUP($B71,INPUT_DATA!$BP:$BP,INPUT_DATA!CB:CB))</f>
        <v/>
      </c>
      <c r="Q71" s="140" t="str">
        <f t="shared" si="3"/>
        <v/>
      </c>
      <c r="R71" s="1275" t="str">
        <f t="shared" si="4"/>
        <v/>
      </c>
      <c r="S71" s="139" t="str">
        <f t="shared" si="5"/>
        <v/>
      </c>
      <c r="T71" s="139" t="str">
        <f t="shared" si="6"/>
        <v/>
      </c>
      <c r="U71" s="1880" t="str">
        <f t="shared" si="7"/>
        <v/>
      </c>
      <c r="V71" s="139" t="str">
        <f t="shared" si="8"/>
        <v/>
      </c>
      <c r="W71" s="140" t="str">
        <f>IF($B71=0,"",_xlfn.XLOOKUP($B71,INPUT_DATA!$BP:$BP,INPUT_DATA!CC:CC))</f>
        <v/>
      </c>
      <c r="X71" s="140" t="str">
        <f>IF($B71=0,"",_xlfn.XLOOKUP($B71,INPUT_DATA!$BP:$BP,INPUT_DATA!CD:CD))</f>
        <v/>
      </c>
      <c r="Y71" s="140" t="str">
        <f>IF($B71=0,"",_xlfn.XLOOKUP($B71,INPUT_DATA!$BP:$BP,INPUT_DATA!CE:CE))</f>
        <v/>
      </c>
      <c r="Z71" s="1300" t="str">
        <f t="shared" si="9"/>
        <v/>
      </c>
      <c r="AA71" s="139" t="str">
        <f t="shared" si="10"/>
        <v/>
      </c>
      <c r="AB71" s="139" t="str">
        <f>IF($B71=0,"",_xlfn.XLOOKUP($B71,INPUT_DATA!$BP:$BP,INPUT_DATA!CF:CF))</f>
        <v/>
      </c>
      <c r="AC71" s="140" t="str">
        <f>IF($B71=0,"",_xlfn.XLOOKUP($B71,INPUT_DATA!$BP:$BP,INPUT_DATA!CG:CG))</f>
        <v/>
      </c>
      <c r="AD71" s="140" t="str">
        <f>IF($B71=0,"",_xlfn.XLOOKUP($B71,INPUT_DATA!$BP:$BP,INPUT_DATA!CH:CH))</f>
        <v/>
      </c>
      <c r="AE71" s="140" t="str">
        <f>IF($B71=0,"",_xlfn.XLOOKUP($B71,INPUT_DATA!$BP:$BP,INPUT_DATA!CI:CI))</f>
        <v/>
      </c>
      <c r="AF71" s="1300" t="str">
        <f t="shared" si="11"/>
        <v/>
      </c>
      <c r="AG71" s="139"/>
      <c r="AH71" s="139" t="str">
        <f t="shared" si="18"/>
        <v/>
      </c>
      <c r="AI71" s="1275" t="str">
        <f>IF($B71=0,"",_xlfn.XLOOKUP($B71,INPUT_DATA!$BP:$BP,INPUT_DATA!CK:CK))</f>
        <v/>
      </c>
      <c r="AJ71" s="140" t="str">
        <f>IF($B71=0,"",_xlfn.XLOOKUP($B71,INPUT_DATA!$BP:$BP,INPUT_DATA!CL:CL))</f>
        <v/>
      </c>
      <c r="AK71" s="140" t="str">
        <f>IF($B71=0,"",_xlfn.XLOOKUP($B71,INPUT_DATA!$BP:$BP,INPUT_DATA!CM:CM))</f>
        <v/>
      </c>
      <c r="AL71" s="140" t="str">
        <f>IF($B71=0,"",_xlfn.XLOOKUP($B71,INPUT_DATA!$BP:$BP,INPUT_DATA!CN:CN))</f>
        <v/>
      </c>
      <c r="AM71" s="1300" t="str">
        <f t="shared" si="13"/>
        <v/>
      </c>
      <c r="AN71" s="139" t="str">
        <f>IF($B71=0,"",_xlfn.XLOOKUP($B71,INPUT_DATA!$BP:$BP,INPUT_DATA!CO:CO))</f>
        <v/>
      </c>
      <c r="AO71" s="139" t="str">
        <f t="shared" si="14"/>
        <v/>
      </c>
      <c r="AP71" s="1275" t="str">
        <f>IF($B71=0,"",_xlfn.XLOOKUP($B71,INPUT_DATA!$BP:$BP,INPUT_DATA!CP:CP))</f>
        <v/>
      </c>
      <c r="AQ71" s="139" t="str">
        <f t="shared" si="17"/>
        <v/>
      </c>
      <c r="AR71" s="1275" t="str">
        <f t="shared" si="15"/>
        <v/>
      </c>
    </row>
    <row r="72" spans="2:44">
      <c r="B72" s="137">
        <f>INPUT_DATA!BP63</f>
        <v>0</v>
      </c>
      <c r="C72" s="1291" t="str">
        <f>IF($B72=0,"",_xlfn.XLOOKUP($B72,INPUT_DATA!$BP:$BP,INPUT_DATA!BQ:BQ))</f>
        <v/>
      </c>
      <c r="D72" s="140" t="str">
        <f>IF($B72=0,"",_xlfn.XLOOKUP($B72,INPUT_DATA!$BP:$BP,INPUT_DATA!BR:BR))</f>
        <v/>
      </c>
      <c r="E72" s="140" t="str">
        <f>IF($B72=0,"",_xlfn.XLOOKUP($B72,INPUT_DATA!$BP:$BP,INPUT_DATA!BS:BS))</f>
        <v/>
      </c>
      <c r="F72" s="140" t="str">
        <f>IF($B72=0,"",_xlfn.XLOOKUP($B72,INPUT_DATA!$BP:$BP,INPUT_DATA!BT:BT))</f>
        <v/>
      </c>
      <c r="G72" s="140" t="str">
        <f t="shared" si="1"/>
        <v/>
      </c>
      <c r="H72" s="1291" t="str">
        <f>IF($B72=0,"",_xlfn.XLOOKUP($B72,INPUT_DATA!$BP:$BP,INPUT_DATA!BU:BU))</f>
        <v/>
      </c>
      <c r="I72" s="140" t="str">
        <f>IF($B72=0,"",_xlfn.XLOOKUP($B72,INPUT_DATA!$BP:$BP,INPUT_DATA!BV:BV))</f>
        <v/>
      </c>
      <c r="J72" s="140" t="str">
        <f>IF($B72=0,"",_xlfn.XLOOKUP($B72,INPUT_DATA!$BP:$BP,INPUT_DATA!BW:BW))</f>
        <v/>
      </c>
      <c r="K72" s="140" t="str">
        <f>IF($B72=0,"",_xlfn.XLOOKUP($B72,INPUT_DATA!$BP:$BP,INPUT_DATA!BX:BX))</f>
        <v/>
      </c>
      <c r="L72" s="140" t="str">
        <f t="shared" si="2"/>
        <v/>
      </c>
      <c r="M72" s="1291" t="str">
        <f>IF($B72=0,"",_xlfn.XLOOKUP($B72,INPUT_DATA!$BP:$BP,INPUT_DATA!BY:BY))</f>
        <v/>
      </c>
      <c r="N72" s="140" t="str">
        <f>IF($B72=0,"",_xlfn.XLOOKUP($B72,INPUT_DATA!$BP:$BP,INPUT_DATA!BZ:BZ))</f>
        <v/>
      </c>
      <c r="O72" s="140" t="str">
        <f>IF($B72=0,"",_xlfn.XLOOKUP($B72,INPUT_DATA!$BP:$BP,INPUT_DATA!CA:CA))</f>
        <v/>
      </c>
      <c r="P72" s="140" t="str">
        <f>IF($B72=0,"",_xlfn.XLOOKUP($B72,INPUT_DATA!$BP:$BP,INPUT_DATA!CB:CB))</f>
        <v/>
      </c>
      <c r="Q72" s="140" t="str">
        <f t="shared" si="3"/>
        <v/>
      </c>
      <c r="R72" s="1275" t="str">
        <f t="shared" si="4"/>
        <v/>
      </c>
      <c r="S72" s="139" t="str">
        <f t="shared" si="5"/>
        <v/>
      </c>
      <c r="T72" s="139" t="str">
        <f t="shared" si="6"/>
        <v/>
      </c>
      <c r="U72" s="1880" t="str">
        <f t="shared" si="7"/>
        <v/>
      </c>
      <c r="V72" s="139" t="str">
        <f t="shared" si="8"/>
        <v/>
      </c>
      <c r="W72" s="140" t="str">
        <f>IF($B72=0,"",_xlfn.XLOOKUP($B72,INPUT_DATA!$BP:$BP,INPUT_DATA!CC:CC))</f>
        <v/>
      </c>
      <c r="X72" s="140" t="str">
        <f>IF($B72=0,"",_xlfn.XLOOKUP($B72,INPUT_DATA!$BP:$BP,INPUT_DATA!CD:CD))</f>
        <v/>
      </c>
      <c r="Y72" s="140" t="str">
        <f>IF($B72=0,"",_xlfn.XLOOKUP($B72,INPUT_DATA!$BP:$BP,INPUT_DATA!CE:CE))</f>
        <v/>
      </c>
      <c r="Z72" s="1300" t="str">
        <f t="shared" si="9"/>
        <v/>
      </c>
      <c r="AA72" s="139" t="str">
        <f t="shared" si="10"/>
        <v/>
      </c>
      <c r="AB72" s="139" t="str">
        <f>IF($B72=0,"",_xlfn.XLOOKUP($B72,INPUT_DATA!$BP:$BP,INPUT_DATA!CF:CF))</f>
        <v/>
      </c>
      <c r="AC72" s="140" t="str">
        <f>IF($B72=0,"",_xlfn.XLOOKUP($B72,INPUT_DATA!$BP:$BP,INPUT_DATA!CG:CG))</f>
        <v/>
      </c>
      <c r="AD72" s="140" t="str">
        <f>IF($B72=0,"",_xlfn.XLOOKUP($B72,INPUT_DATA!$BP:$BP,INPUT_DATA!CH:CH))</f>
        <v/>
      </c>
      <c r="AE72" s="140" t="str">
        <f>IF($B72=0,"",_xlfn.XLOOKUP($B72,INPUT_DATA!$BP:$BP,INPUT_DATA!CI:CI))</f>
        <v/>
      </c>
      <c r="AF72" s="1300" t="str">
        <f t="shared" si="11"/>
        <v/>
      </c>
      <c r="AG72" s="139"/>
      <c r="AH72" s="139" t="str">
        <f t="shared" si="18"/>
        <v/>
      </c>
      <c r="AI72" s="1275" t="str">
        <f>IF($B72=0,"",_xlfn.XLOOKUP($B72,INPUT_DATA!$BP:$BP,INPUT_DATA!CK:CK))</f>
        <v/>
      </c>
      <c r="AJ72" s="140" t="str">
        <f>IF($B72=0,"",_xlfn.XLOOKUP($B72,INPUT_DATA!$BP:$BP,INPUT_DATA!CL:CL))</f>
        <v/>
      </c>
      <c r="AK72" s="140" t="str">
        <f>IF($B72=0,"",_xlfn.XLOOKUP($B72,INPUT_DATA!$BP:$BP,INPUT_DATA!CM:CM))</f>
        <v/>
      </c>
      <c r="AL72" s="140" t="str">
        <f>IF($B72=0,"",_xlfn.XLOOKUP($B72,INPUT_DATA!$BP:$BP,INPUT_DATA!CN:CN))</f>
        <v/>
      </c>
      <c r="AM72" s="1300" t="str">
        <f t="shared" si="13"/>
        <v/>
      </c>
      <c r="AN72" s="139" t="str">
        <f>IF($B72=0,"",_xlfn.XLOOKUP($B72,INPUT_DATA!$BP:$BP,INPUT_DATA!CO:CO))</f>
        <v/>
      </c>
      <c r="AO72" s="139" t="str">
        <f t="shared" si="14"/>
        <v/>
      </c>
      <c r="AP72" s="1275" t="str">
        <f>IF($B72=0,"",_xlfn.XLOOKUP($B72,INPUT_DATA!$BP:$BP,INPUT_DATA!CP:CP))</f>
        <v/>
      </c>
      <c r="AQ72" s="139" t="str">
        <f t="shared" si="17"/>
        <v/>
      </c>
      <c r="AR72" s="1275" t="str">
        <f t="shared" si="15"/>
        <v/>
      </c>
    </row>
    <row r="73" spans="2:44">
      <c r="B73" s="137">
        <f>INPUT_DATA!BP64</f>
        <v>0</v>
      </c>
      <c r="C73" s="1291" t="str">
        <f>IF($B73=0,"",_xlfn.XLOOKUP($B73,INPUT_DATA!$BP:$BP,INPUT_DATA!BQ:BQ))</f>
        <v/>
      </c>
      <c r="D73" s="140" t="str">
        <f>IF($B73=0,"",_xlfn.XLOOKUP($B73,INPUT_DATA!$BP:$BP,INPUT_DATA!BR:BR))</f>
        <v/>
      </c>
      <c r="E73" s="140" t="str">
        <f>IF($B73=0,"",_xlfn.XLOOKUP($B73,INPUT_DATA!$BP:$BP,INPUT_DATA!BS:BS))</f>
        <v/>
      </c>
      <c r="F73" s="140" t="str">
        <f>IF($B73=0,"",_xlfn.XLOOKUP($B73,INPUT_DATA!$BP:$BP,INPUT_DATA!BT:BT))</f>
        <v/>
      </c>
      <c r="G73" s="140" t="str">
        <f t="shared" si="1"/>
        <v/>
      </c>
      <c r="H73" s="1291" t="str">
        <f>IF($B73=0,"",_xlfn.XLOOKUP($B73,INPUT_DATA!$BP:$BP,INPUT_DATA!BU:BU))</f>
        <v/>
      </c>
      <c r="I73" s="140" t="str">
        <f>IF($B73=0,"",_xlfn.XLOOKUP($B73,INPUT_DATA!$BP:$BP,INPUT_DATA!BV:BV))</f>
        <v/>
      </c>
      <c r="J73" s="140" t="str">
        <f>IF($B73=0,"",_xlfn.XLOOKUP($B73,INPUT_DATA!$BP:$BP,INPUT_DATA!BW:BW))</f>
        <v/>
      </c>
      <c r="K73" s="140" t="str">
        <f>IF($B73=0,"",_xlfn.XLOOKUP($B73,INPUT_DATA!$BP:$BP,INPUT_DATA!BX:BX))</f>
        <v/>
      </c>
      <c r="L73" s="140" t="str">
        <f t="shared" si="2"/>
        <v/>
      </c>
      <c r="M73" s="1291" t="str">
        <f>IF($B73=0,"",_xlfn.XLOOKUP($B73,INPUT_DATA!$BP:$BP,INPUT_DATA!BY:BY))</f>
        <v/>
      </c>
      <c r="N73" s="140" t="str">
        <f>IF($B73=0,"",_xlfn.XLOOKUP($B73,INPUT_DATA!$BP:$BP,INPUT_DATA!BZ:BZ))</f>
        <v/>
      </c>
      <c r="O73" s="140" t="str">
        <f>IF($B73=0,"",_xlfn.XLOOKUP($B73,INPUT_DATA!$BP:$BP,INPUT_DATA!CA:CA))</f>
        <v/>
      </c>
      <c r="P73" s="140" t="str">
        <f>IF($B73=0,"",_xlfn.XLOOKUP($B73,INPUT_DATA!$BP:$BP,INPUT_DATA!CB:CB))</f>
        <v/>
      </c>
      <c r="Q73" s="140" t="str">
        <f t="shared" si="3"/>
        <v/>
      </c>
      <c r="R73" s="1275" t="str">
        <f t="shared" si="4"/>
        <v/>
      </c>
      <c r="S73" s="139" t="str">
        <f t="shared" si="5"/>
        <v/>
      </c>
      <c r="T73" s="139" t="str">
        <f t="shared" si="6"/>
        <v/>
      </c>
      <c r="U73" s="1880" t="str">
        <f t="shared" si="7"/>
        <v/>
      </c>
      <c r="V73" s="139" t="str">
        <f t="shared" si="8"/>
        <v/>
      </c>
      <c r="W73" s="140" t="str">
        <f>IF($B73=0,"",_xlfn.XLOOKUP($B73,INPUT_DATA!$BP:$BP,INPUT_DATA!CC:CC))</f>
        <v/>
      </c>
      <c r="X73" s="140" t="str">
        <f>IF($B73=0,"",_xlfn.XLOOKUP($B73,INPUT_DATA!$BP:$BP,INPUT_DATA!CD:CD))</f>
        <v/>
      </c>
      <c r="Y73" s="140" t="str">
        <f>IF($B73=0,"",_xlfn.XLOOKUP($B73,INPUT_DATA!$BP:$BP,INPUT_DATA!CE:CE))</f>
        <v/>
      </c>
      <c r="Z73" s="1300" t="str">
        <f t="shared" si="9"/>
        <v/>
      </c>
      <c r="AA73" s="139" t="str">
        <f t="shared" si="10"/>
        <v/>
      </c>
      <c r="AB73" s="139" t="str">
        <f>IF($B73=0,"",_xlfn.XLOOKUP($B73,INPUT_DATA!$BP:$BP,INPUT_DATA!CF:CF))</f>
        <v/>
      </c>
      <c r="AC73" s="140" t="str">
        <f>IF($B73=0,"",_xlfn.XLOOKUP($B73,INPUT_DATA!$BP:$BP,INPUT_DATA!CG:CG))</f>
        <v/>
      </c>
      <c r="AD73" s="140" t="str">
        <f>IF($B73=0,"",_xlfn.XLOOKUP($B73,INPUT_DATA!$BP:$BP,INPUT_DATA!CH:CH))</f>
        <v/>
      </c>
      <c r="AE73" s="140" t="str">
        <f>IF($B73=0,"",_xlfn.XLOOKUP($B73,INPUT_DATA!$BP:$BP,INPUT_DATA!CI:CI))</f>
        <v/>
      </c>
      <c r="AF73" s="1300" t="str">
        <f t="shared" si="11"/>
        <v/>
      </c>
      <c r="AG73" s="139"/>
      <c r="AH73" s="139" t="str">
        <f t="shared" si="18"/>
        <v/>
      </c>
      <c r="AI73" s="1275" t="str">
        <f>IF($B73=0,"",_xlfn.XLOOKUP($B73,INPUT_DATA!$BP:$BP,INPUT_DATA!CK:CK))</f>
        <v/>
      </c>
      <c r="AJ73" s="140" t="str">
        <f>IF($B73=0,"",_xlfn.XLOOKUP($B73,INPUT_DATA!$BP:$BP,INPUT_DATA!CL:CL))</f>
        <v/>
      </c>
      <c r="AK73" s="140" t="str">
        <f>IF($B73=0,"",_xlfn.XLOOKUP($B73,INPUT_DATA!$BP:$BP,INPUT_DATA!CM:CM))</f>
        <v/>
      </c>
      <c r="AL73" s="140" t="str">
        <f>IF($B73=0,"",_xlfn.XLOOKUP($B73,INPUT_DATA!$BP:$BP,INPUT_DATA!CN:CN))</f>
        <v/>
      </c>
      <c r="AM73" s="1300" t="str">
        <f t="shared" si="13"/>
        <v/>
      </c>
      <c r="AN73" s="139" t="str">
        <f>IF($B73=0,"",_xlfn.XLOOKUP($B73,INPUT_DATA!$BP:$BP,INPUT_DATA!CO:CO))</f>
        <v/>
      </c>
      <c r="AO73" s="139" t="str">
        <f t="shared" si="14"/>
        <v/>
      </c>
      <c r="AP73" s="1275" t="str">
        <f>IF($B73=0,"",_xlfn.XLOOKUP($B73,INPUT_DATA!$BP:$BP,INPUT_DATA!CP:CP))</f>
        <v/>
      </c>
      <c r="AQ73" s="139" t="str">
        <f t="shared" si="17"/>
        <v/>
      </c>
      <c r="AR73" s="1275" t="str">
        <f t="shared" si="15"/>
        <v/>
      </c>
    </row>
    <row r="74" spans="2:44">
      <c r="B74" s="137">
        <f>INPUT_DATA!BP65</f>
        <v>0</v>
      </c>
      <c r="C74" s="1291" t="str">
        <f>IF($B74=0,"",_xlfn.XLOOKUP($B74,INPUT_DATA!$BP:$BP,INPUT_DATA!BQ:BQ))</f>
        <v/>
      </c>
      <c r="D74" s="140" t="str">
        <f>IF($B74=0,"",_xlfn.XLOOKUP($B74,INPUT_DATA!$BP:$BP,INPUT_DATA!BR:BR))</f>
        <v/>
      </c>
      <c r="E74" s="140" t="str">
        <f>IF($B74=0,"",_xlfn.XLOOKUP($B74,INPUT_DATA!$BP:$BP,INPUT_DATA!BS:BS))</f>
        <v/>
      </c>
      <c r="F74" s="140" t="str">
        <f>IF($B74=0,"",_xlfn.XLOOKUP($B74,INPUT_DATA!$BP:$BP,INPUT_DATA!BT:BT))</f>
        <v/>
      </c>
      <c r="G74" s="140" t="str">
        <f t="shared" si="1"/>
        <v/>
      </c>
      <c r="H74" s="1291" t="str">
        <f>IF($B74=0,"",_xlfn.XLOOKUP($B74,INPUT_DATA!$BP:$BP,INPUT_DATA!BU:BU))</f>
        <v/>
      </c>
      <c r="I74" s="140" t="str">
        <f>IF($B74=0,"",_xlfn.XLOOKUP($B74,INPUT_DATA!$BP:$BP,INPUT_DATA!BV:BV))</f>
        <v/>
      </c>
      <c r="J74" s="140" t="str">
        <f>IF($B74=0,"",_xlfn.XLOOKUP($B74,INPUT_DATA!$BP:$BP,INPUT_DATA!BW:BW))</f>
        <v/>
      </c>
      <c r="K74" s="140" t="str">
        <f>IF($B74=0,"",_xlfn.XLOOKUP($B74,INPUT_DATA!$BP:$BP,INPUT_DATA!BX:BX))</f>
        <v/>
      </c>
      <c r="L74" s="140" t="str">
        <f t="shared" si="2"/>
        <v/>
      </c>
      <c r="M74" s="1291" t="str">
        <f>IF($B74=0,"",_xlfn.XLOOKUP($B74,INPUT_DATA!$BP:$BP,INPUT_DATA!BY:BY))</f>
        <v/>
      </c>
      <c r="N74" s="140" t="str">
        <f>IF($B74=0,"",_xlfn.XLOOKUP($B74,INPUT_DATA!$BP:$BP,INPUT_DATA!BZ:BZ))</f>
        <v/>
      </c>
      <c r="O74" s="140" t="str">
        <f>IF($B74=0,"",_xlfn.XLOOKUP($B74,INPUT_DATA!$BP:$BP,INPUT_DATA!CA:CA))</f>
        <v/>
      </c>
      <c r="P74" s="140" t="str">
        <f>IF($B74=0,"",_xlfn.XLOOKUP($B74,INPUT_DATA!$BP:$BP,INPUT_DATA!CB:CB))</f>
        <v/>
      </c>
      <c r="Q74" s="140" t="str">
        <f t="shared" si="3"/>
        <v/>
      </c>
      <c r="R74" s="1275" t="str">
        <f t="shared" si="4"/>
        <v/>
      </c>
      <c r="S74" s="139" t="str">
        <f t="shared" si="5"/>
        <v/>
      </c>
      <c r="T74" s="139" t="str">
        <f t="shared" si="6"/>
        <v/>
      </c>
      <c r="U74" s="1880" t="str">
        <f t="shared" si="7"/>
        <v/>
      </c>
      <c r="V74" s="139" t="str">
        <f t="shared" si="8"/>
        <v/>
      </c>
      <c r="W74" s="140" t="str">
        <f>IF($B74=0,"",_xlfn.XLOOKUP($B74,INPUT_DATA!$BP:$BP,INPUT_DATA!CC:CC))</f>
        <v/>
      </c>
      <c r="X74" s="140" t="str">
        <f>IF($B74=0,"",_xlfn.XLOOKUP($B74,INPUT_DATA!$BP:$BP,INPUT_DATA!CD:CD))</f>
        <v/>
      </c>
      <c r="Y74" s="140" t="str">
        <f>IF($B74=0,"",_xlfn.XLOOKUP($B74,INPUT_DATA!$BP:$BP,INPUT_DATA!CE:CE))</f>
        <v/>
      </c>
      <c r="Z74" s="1300" t="str">
        <f t="shared" si="9"/>
        <v/>
      </c>
      <c r="AA74" s="139" t="str">
        <f t="shared" si="10"/>
        <v/>
      </c>
      <c r="AB74" s="139" t="str">
        <f>IF($B74=0,"",_xlfn.XLOOKUP($B74,INPUT_DATA!$BP:$BP,INPUT_DATA!CF:CF))</f>
        <v/>
      </c>
      <c r="AC74" s="140" t="str">
        <f>IF($B74=0,"",_xlfn.XLOOKUP($B74,INPUT_DATA!$BP:$BP,INPUT_DATA!CG:CG))</f>
        <v/>
      </c>
      <c r="AD74" s="140" t="str">
        <f>IF($B74=0,"",_xlfn.XLOOKUP($B74,INPUT_DATA!$BP:$BP,INPUT_DATA!CH:CH))</f>
        <v/>
      </c>
      <c r="AE74" s="140" t="str">
        <f>IF($B74=0,"",_xlfn.XLOOKUP($B74,INPUT_DATA!$BP:$BP,INPUT_DATA!CI:CI))</f>
        <v/>
      </c>
      <c r="AF74" s="1300" t="str">
        <f t="shared" si="11"/>
        <v/>
      </c>
      <c r="AG74" s="139"/>
      <c r="AH74" s="139" t="str">
        <f t="shared" si="18"/>
        <v/>
      </c>
      <c r="AI74" s="1275" t="str">
        <f>IF($B74=0,"",_xlfn.XLOOKUP($B74,INPUT_DATA!$BP:$BP,INPUT_DATA!CK:CK))</f>
        <v/>
      </c>
      <c r="AJ74" s="140" t="str">
        <f>IF($B74=0,"",_xlfn.XLOOKUP($B74,INPUT_DATA!$BP:$BP,INPUT_DATA!CL:CL))</f>
        <v/>
      </c>
      <c r="AK74" s="140" t="str">
        <f>IF($B74=0,"",_xlfn.XLOOKUP($B74,INPUT_DATA!$BP:$BP,INPUT_DATA!CM:CM))</f>
        <v/>
      </c>
      <c r="AL74" s="140" t="str">
        <f>IF($B74=0,"",_xlfn.XLOOKUP($B74,INPUT_DATA!$BP:$BP,INPUT_DATA!CN:CN))</f>
        <v/>
      </c>
      <c r="AM74" s="1300" t="str">
        <f t="shared" si="13"/>
        <v/>
      </c>
      <c r="AN74" s="139" t="str">
        <f>IF($B74=0,"",_xlfn.XLOOKUP($B74,INPUT_DATA!$BP:$BP,INPUT_DATA!CO:CO))</f>
        <v/>
      </c>
      <c r="AO74" s="139" t="str">
        <f t="shared" si="14"/>
        <v/>
      </c>
      <c r="AP74" s="1275" t="str">
        <f>IF($B74=0,"",_xlfn.XLOOKUP($B74,INPUT_DATA!$BP:$BP,INPUT_DATA!CP:CP))</f>
        <v/>
      </c>
      <c r="AQ74" s="139" t="str">
        <f t="shared" si="17"/>
        <v/>
      </c>
      <c r="AR74" s="1275" t="str">
        <f t="shared" si="15"/>
        <v/>
      </c>
    </row>
    <row r="75" spans="2:44">
      <c r="B75" s="137">
        <f>INPUT_DATA!BP66</f>
        <v>0</v>
      </c>
      <c r="C75" s="1291" t="str">
        <f>IF($B75=0,"",_xlfn.XLOOKUP($B75,INPUT_DATA!$BP:$BP,INPUT_DATA!BQ:BQ))</f>
        <v/>
      </c>
      <c r="D75" s="140" t="str">
        <f>IF($B75=0,"",_xlfn.XLOOKUP($B75,INPUT_DATA!$BP:$BP,INPUT_DATA!BR:BR))</f>
        <v/>
      </c>
      <c r="E75" s="140" t="str">
        <f>IF($B75=0,"",_xlfn.XLOOKUP($B75,INPUT_DATA!$BP:$BP,INPUT_DATA!BS:BS))</f>
        <v/>
      </c>
      <c r="F75" s="140" t="str">
        <f>IF($B75=0,"",_xlfn.XLOOKUP($B75,INPUT_DATA!$BP:$BP,INPUT_DATA!BT:BT))</f>
        <v/>
      </c>
      <c r="G75" s="140" t="str">
        <f t="shared" si="1"/>
        <v/>
      </c>
      <c r="H75" s="1291" t="str">
        <f>IF($B75=0,"",_xlfn.XLOOKUP($B75,INPUT_DATA!$BP:$BP,INPUT_DATA!BU:BU))</f>
        <v/>
      </c>
      <c r="I75" s="140" t="str">
        <f>IF($B75=0,"",_xlfn.XLOOKUP($B75,INPUT_DATA!$BP:$BP,INPUT_DATA!BV:BV))</f>
        <v/>
      </c>
      <c r="J75" s="140" t="str">
        <f>IF($B75=0,"",_xlfn.XLOOKUP($B75,INPUT_DATA!$BP:$BP,INPUT_DATA!BW:BW))</f>
        <v/>
      </c>
      <c r="K75" s="140" t="str">
        <f>IF($B75=0,"",_xlfn.XLOOKUP($B75,INPUT_DATA!$BP:$BP,INPUT_DATA!BX:BX))</f>
        <v/>
      </c>
      <c r="L75" s="140" t="str">
        <f t="shared" si="2"/>
        <v/>
      </c>
      <c r="M75" s="1291" t="str">
        <f>IF($B75=0,"",_xlfn.XLOOKUP($B75,INPUT_DATA!$BP:$BP,INPUT_DATA!BY:BY))</f>
        <v/>
      </c>
      <c r="N75" s="140" t="str">
        <f>IF($B75=0,"",_xlfn.XLOOKUP($B75,INPUT_DATA!$BP:$BP,INPUT_DATA!BZ:BZ))</f>
        <v/>
      </c>
      <c r="O75" s="140" t="str">
        <f>IF($B75=0,"",_xlfn.XLOOKUP($B75,INPUT_DATA!$BP:$BP,INPUT_DATA!CA:CA))</f>
        <v/>
      </c>
      <c r="P75" s="140" t="str">
        <f>IF($B75=0,"",_xlfn.XLOOKUP($B75,INPUT_DATA!$BP:$BP,INPUT_DATA!CB:CB))</f>
        <v/>
      </c>
      <c r="Q75" s="140" t="str">
        <f t="shared" si="3"/>
        <v/>
      </c>
      <c r="R75" s="1275" t="str">
        <f t="shared" si="4"/>
        <v/>
      </c>
      <c r="S75" s="139" t="str">
        <f t="shared" si="5"/>
        <v/>
      </c>
      <c r="T75" s="139" t="str">
        <f t="shared" si="6"/>
        <v/>
      </c>
      <c r="U75" s="1880" t="str">
        <f t="shared" si="7"/>
        <v/>
      </c>
      <c r="V75" s="139" t="str">
        <f t="shared" si="8"/>
        <v/>
      </c>
      <c r="W75" s="140" t="str">
        <f>IF($B75=0,"",_xlfn.XLOOKUP($B75,INPUT_DATA!$BP:$BP,INPUT_DATA!CC:CC))</f>
        <v/>
      </c>
      <c r="X75" s="140" t="str">
        <f>IF($B75=0,"",_xlfn.XLOOKUP($B75,INPUT_DATA!$BP:$BP,INPUT_DATA!CD:CD))</f>
        <v/>
      </c>
      <c r="Y75" s="140" t="str">
        <f>IF($B75=0,"",_xlfn.XLOOKUP($B75,INPUT_DATA!$BP:$BP,INPUT_DATA!CE:CE))</f>
        <v/>
      </c>
      <c r="Z75" s="1300" t="str">
        <f t="shared" si="9"/>
        <v/>
      </c>
      <c r="AA75" s="139" t="str">
        <f t="shared" si="10"/>
        <v/>
      </c>
      <c r="AB75" s="139" t="str">
        <f>IF($B75=0,"",_xlfn.XLOOKUP($B75,INPUT_DATA!$BP:$BP,INPUT_DATA!CF:CF))</f>
        <v/>
      </c>
      <c r="AC75" s="140" t="str">
        <f>IF($B75=0,"",_xlfn.XLOOKUP($B75,INPUT_DATA!$BP:$BP,INPUT_DATA!CG:CG))</f>
        <v/>
      </c>
      <c r="AD75" s="140" t="str">
        <f>IF($B75=0,"",_xlfn.XLOOKUP($B75,INPUT_DATA!$BP:$BP,INPUT_DATA!CH:CH))</f>
        <v/>
      </c>
      <c r="AE75" s="140" t="str">
        <f>IF($B75=0,"",_xlfn.XLOOKUP($B75,INPUT_DATA!$BP:$BP,INPUT_DATA!CI:CI))</f>
        <v/>
      </c>
      <c r="AF75" s="1300" t="str">
        <f t="shared" si="11"/>
        <v/>
      </c>
      <c r="AG75" s="139"/>
      <c r="AH75" s="139" t="str">
        <f t="shared" si="18"/>
        <v/>
      </c>
      <c r="AI75" s="1275" t="str">
        <f>IF($B75=0,"",_xlfn.XLOOKUP($B75,INPUT_DATA!$BP:$BP,INPUT_DATA!CK:CK))</f>
        <v/>
      </c>
      <c r="AJ75" s="140" t="str">
        <f>IF($B75=0,"",_xlfn.XLOOKUP($B75,INPUT_DATA!$BP:$BP,INPUT_DATA!CL:CL))</f>
        <v/>
      </c>
      <c r="AK75" s="140" t="str">
        <f>IF($B75=0,"",_xlfn.XLOOKUP($B75,INPUT_DATA!$BP:$BP,INPUT_DATA!CM:CM))</f>
        <v/>
      </c>
      <c r="AL75" s="140" t="str">
        <f>IF($B75=0,"",_xlfn.XLOOKUP($B75,INPUT_DATA!$BP:$BP,INPUT_DATA!CN:CN))</f>
        <v/>
      </c>
      <c r="AM75" s="1300" t="str">
        <f t="shared" si="13"/>
        <v/>
      </c>
      <c r="AN75" s="139" t="str">
        <f>IF($B75=0,"",_xlfn.XLOOKUP($B75,INPUT_DATA!$BP:$BP,INPUT_DATA!CO:CO))</f>
        <v/>
      </c>
      <c r="AO75" s="139" t="str">
        <f t="shared" si="14"/>
        <v/>
      </c>
      <c r="AP75" s="1275" t="str">
        <f>IF($B75=0,"",_xlfn.XLOOKUP($B75,INPUT_DATA!$BP:$BP,INPUT_DATA!CP:CP))</f>
        <v/>
      </c>
      <c r="AQ75" s="139" t="str">
        <f t="shared" si="17"/>
        <v/>
      </c>
      <c r="AR75" s="1275" t="str">
        <f t="shared" si="15"/>
        <v/>
      </c>
    </row>
    <row r="76" spans="2:44">
      <c r="B76" s="137">
        <f>INPUT_DATA!BP67</f>
        <v>0</v>
      </c>
      <c r="C76" s="1291" t="str">
        <f>IF($B76=0,"",_xlfn.XLOOKUP($B76,INPUT_DATA!$BP:$BP,INPUT_DATA!BQ:BQ))</f>
        <v/>
      </c>
      <c r="D76" s="140" t="str">
        <f>IF($B76=0,"",_xlfn.XLOOKUP($B76,INPUT_DATA!$BP:$BP,INPUT_DATA!BR:BR))</f>
        <v/>
      </c>
      <c r="E76" s="140" t="str">
        <f>IF($B76=0,"",_xlfn.XLOOKUP($B76,INPUT_DATA!$BP:$BP,INPUT_DATA!BS:BS))</f>
        <v/>
      </c>
      <c r="F76" s="140" t="str">
        <f>IF($B76=0,"",_xlfn.XLOOKUP($B76,INPUT_DATA!$BP:$BP,INPUT_DATA!BT:BT))</f>
        <v/>
      </c>
      <c r="G76" s="140" t="str">
        <f t="shared" si="1"/>
        <v/>
      </c>
      <c r="H76" s="1291" t="str">
        <f>IF($B76=0,"",_xlfn.XLOOKUP($B76,INPUT_DATA!$BP:$BP,INPUT_DATA!BU:BU))</f>
        <v/>
      </c>
      <c r="I76" s="140" t="str">
        <f>IF($B76=0,"",_xlfn.XLOOKUP($B76,INPUT_DATA!$BP:$BP,INPUT_DATA!BV:BV))</f>
        <v/>
      </c>
      <c r="J76" s="140" t="str">
        <f>IF($B76=0,"",_xlfn.XLOOKUP($B76,INPUT_DATA!$BP:$BP,INPUT_DATA!BW:BW))</f>
        <v/>
      </c>
      <c r="K76" s="140" t="str">
        <f>IF($B76=0,"",_xlfn.XLOOKUP($B76,INPUT_DATA!$BP:$BP,INPUT_DATA!BX:BX))</f>
        <v/>
      </c>
      <c r="L76" s="140" t="str">
        <f t="shared" si="2"/>
        <v/>
      </c>
      <c r="M76" s="1291" t="str">
        <f>IF($B76=0,"",_xlfn.XLOOKUP($B76,INPUT_DATA!$BP:$BP,INPUT_DATA!BY:BY))</f>
        <v/>
      </c>
      <c r="N76" s="140" t="str">
        <f>IF($B76=0,"",_xlfn.XLOOKUP($B76,INPUT_DATA!$BP:$BP,INPUT_DATA!BZ:BZ))</f>
        <v/>
      </c>
      <c r="O76" s="140" t="str">
        <f>IF($B76=0,"",_xlfn.XLOOKUP($B76,INPUT_DATA!$BP:$BP,INPUT_DATA!CA:CA))</f>
        <v/>
      </c>
      <c r="P76" s="140" t="str">
        <f>IF($B76=0,"",_xlfn.XLOOKUP($B76,INPUT_DATA!$BP:$BP,INPUT_DATA!CB:CB))</f>
        <v/>
      </c>
      <c r="Q76" s="140" t="str">
        <f t="shared" si="3"/>
        <v/>
      </c>
      <c r="R76" s="1275" t="str">
        <f t="shared" si="4"/>
        <v/>
      </c>
      <c r="S76" s="139" t="str">
        <f t="shared" si="5"/>
        <v/>
      </c>
      <c r="T76" s="139" t="str">
        <f t="shared" si="6"/>
        <v/>
      </c>
      <c r="U76" s="1880" t="str">
        <f t="shared" si="7"/>
        <v/>
      </c>
      <c r="V76" s="139" t="str">
        <f t="shared" si="8"/>
        <v/>
      </c>
      <c r="W76" s="140" t="str">
        <f>IF($B76=0,"",_xlfn.XLOOKUP($B76,INPUT_DATA!$BP:$BP,INPUT_DATA!CC:CC))</f>
        <v/>
      </c>
      <c r="X76" s="140" t="str">
        <f>IF($B76=0,"",_xlfn.XLOOKUP($B76,INPUT_DATA!$BP:$BP,INPUT_DATA!CD:CD))</f>
        <v/>
      </c>
      <c r="Y76" s="140" t="str">
        <f>IF($B76=0,"",_xlfn.XLOOKUP($B76,INPUT_DATA!$BP:$BP,INPUT_DATA!CE:CE))</f>
        <v/>
      </c>
      <c r="Z76" s="1300" t="str">
        <f t="shared" si="9"/>
        <v/>
      </c>
      <c r="AA76" s="139" t="str">
        <f t="shared" si="10"/>
        <v/>
      </c>
      <c r="AB76" s="139" t="str">
        <f>IF($B76=0,"",_xlfn.XLOOKUP($B76,INPUT_DATA!$BP:$BP,INPUT_DATA!CF:CF))</f>
        <v/>
      </c>
      <c r="AC76" s="140" t="str">
        <f>IF($B76=0,"",_xlfn.XLOOKUP($B76,INPUT_DATA!$BP:$BP,INPUT_DATA!CG:CG))</f>
        <v/>
      </c>
      <c r="AD76" s="140" t="str">
        <f>IF($B76=0,"",_xlfn.XLOOKUP($B76,INPUT_DATA!$BP:$BP,INPUT_DATA!CH:CH))</f>
        <v/>
      </c>
      <c r="AE76" s="140" t="str">
        <f>IF($B76=0,"",_xlfn.XLOOKUP($B76,INPUT_DATA!$BP:$BP,INPUT_DATA!CI:CI))</f>
        <v/>
      </c>
      <c r="AF76" s="1300" t="str">
        <f t="shared" si="11"/>
        <v/>
      </c>
      <c r="AG76" s="139"/>
      <c r="AH76" s="139" t="str">
        <f t="shared" si="18"/>
        <v/>
      </c>
      <c r="AI76" s="1275" t="str">
        <f>IF($B76=0,"",_xlfn.XLOOKUP($B76,INPUT_DATA!$BP:$BP,INPUT_DATA!CK:CK))</f>
        <v/>
      </c>
      <c r="AJ76" s="140" t="str">
        <f>IF($B76=0,"",_xlfn.XLOOKUP($B76,INPUT_DATA!$BP:$BP,INPUT_DATA!CL:CL))</f>
        <v/>
      </c>
      <c r="AK76" s="140" t="str">
        <f>IF($B76=0,"",_xlfn.XLOOKUP($B76,INPUT_DATA!$BP:$BP,INPUT_DATA!CM:CM))</f>
        <v/>
      </c>
      <c r="AL76" s="140" t="str">
        <f>IF($B76=0,"",_xlfn.XLOOKUP($B76,INPUT_DATA!$BP:$BP,INPUT_DATA!CN:CN))</f>
        <v/>
      </c>
      <c r="AM76" s="1300" t="str">
        <f t="shared" si="13"/>
        <v/>
      </c>
      <c r="AN76" s="139" t="str">
        <f>IF($B76=0,"",_xlfn.XLOOKUP($B76,INPUT_DATA!$BP:$BP,INPUT_DATA!CO:CO))</f>
        <v/>
      </c>
      <c r="AO76" s="139" t="str">
        <f t="shared" si="14"/>
        <v/>
      </c>
      <c r="AP76" s="1275" t="str">
        <f>IF($B76=0,"",_xlfn.XLOOKUP($B76,INPUT_DATA!$BP:$BP,INPUT_DATA!CP:CP))</f>
        <v/>
      </c>
      <c r="AQ76" s="139" t="str">
        <f t="shared" si="17"/>
        <v/>
      </c>
      <c r="AR76" s="1275" t="str">
        <f t="shared" si="15"/>
        <v/>
      </c>
    </row>
    <row r="77" spans="2:44">
      <c r="B77" s="137">
        <f>INPUT_DATA!BP68</f>
        <v>0</v>
      </c>
      <c r="C77" s="1291" t="str">
        <f>IF($B77=0,"",_xlfn.XLOOKUP($B77,INPUT_DATA!$BP:$BP,INPUT_DATA!BQ:BQ))</f>
        <v/>
      </c>
      <c r="D77" s="140" t="str">
        <f>IF($B77=0,"",_xlfn.XLOOKUP($B77,INPUT_DATA!$BP:$BP,INPUT_DATA!BR:BR))</f>
        <v/>
      </c>
      <c r="E77" s="140" t="str">
        <f>IF($B77=0,"",_xlfn.XLOOKUP($B77,INPUT_DATA!$BP:$BP,INPUT_DATA!BS:BS))</f>
        <v/>
      </c>
      <c r="F77" s="140" t="str">
        <f>IF($B77=0,"",_xlfn.XLOOKUP($B77,INPUT_DATA!$BP:$BP,INPUT_DATA!BT:BT))</f>
        <v/>
      </c>
      <c r="G77" s="140" t="str">
        <f t="shared" si="1"/>
        <v/>
      </c>
      <c r="H77" s="1291" t="str">
        <f>IF($B77=0,"",_xlfn.XLOOKUP($B77,INPUT_DATA!$BP:$BP,INPUT_DATA!BU:BU))</f>
        <v/>
      </c>
      <c r="I77" s="140" t="str">
        <f>IF($B77=0,"",_xlfn.XLOOKUP($B77,INPUT_DATA!$BP:$BP,INPUT_DATA!BV:BV))</f>
        <v/>
      </c>
      <c r="J77" s="140" t="str">
        <f>IF($B77=0,"",_xlfn.XLOOKUP($B77,INPUT_DATA!$BP:$BP,INPUT_DATA!BW:BW))</f>
        <v/>
      </c>
      <c r="K77" s="140" t="str">
        <f>IF($B77=0,"",_xlfn.XLOOKUP($B77,INPUT_DATA!$BP:$BP,INPUT_DATA!BX:BX))</f>
        <v/>
      </c>
      <c r="L77" s="140" t="str">
        <f t="shared" si="2"/>
        <v/>
      </c>
      <c r="M77" s="1291" t="str">
        <f>IF($B77=0,"",_xlfn.XLOOKUP($B77,INPUT_DATA!$BP:$BP,INPUT_DATA!BY:BY))</f>
        <v/>
      </c>
      <c r="N77" s="140" t="str">
        <f>IF($B77=0,"",_xlfn.XLOOKUP($B77,INPUT_DATA!$BP:$BP,INPUT_DATA!BZ:BZ))</f>
        <v/>
      </c>
      <c r="O77" s="140" t="str">
        <f>IF($B77=0,"",_xlfn.XLOOKUP($B77,INPUT_DATA!$BP:$BP,INPUT_DATA!CA:CA))</f>
        <v/>
      </c>
      <c r="P77" s="140" t="str">
        <f>IF($B77=0,"",_xlfn.XLOOKUP($B77,INPUT_DATA!$BP:$BP,INPUT_DATA!CB:CB))</f>
        <v/>
      </c>
      <c r="Q77" s="140" t="str">
        <f t="shared" si="3"/>
        <v/>
      </c>
      <c r="R77" s="1275" t="str">
        <f t="shared" si="4"/>
        <v/>
      </c>
      <c r="S77" s="139" t="str">
        <f t="shared" si="5"/>
        <v/>
      </c>
      <c r="T77" s="139" t="str">
        <f t="shared" si="6"/>
        <v/>
      </c>
      <c r="U77" s="1880" t="str">
        <f t="shared" si="7"/>
        <v/>
      </c>
      <c r="V77" s="139" t="str">
        <f t="shared" si="8"/>
        <v/>
      </c>
      <c r="W77" s="140" t="str">
        <f>IF($B77=0,"",_xlfn.XLOOKUP($B77,INPUT_DATA!$BP:$BP,INPUT_DATA!CC:CC))</f>
        <v/>
      </c>
      <c r="X77" s="140" t="str">
        <f>IF($B77=0,"",_xlfn.XLOOKUP($B77,INPUT_DATA!$BP:$BP,INPUT_DATA!CD:CD))</f>
        <v/>
      </c>
      <c r="Y77" s="140" t="str">
        <f>IF($B77=0,"",_xlfn.XLOOKUP($B77,INPUT_DATA!$BP:$BP,INPUT_DATA!CE:CE))</f>
        <v/>
      </c>
      <c r="Z77" s="1300" t="str">
        <f t="shared" si="9"/>
        <v/>
      </c>
      <c r="AA77" s="139" t="str">
        <f t="shared" si="10"/>
        <v/>
      </c>
      <c r="AB77" s="139" t="str">
        <f>IF($B77=0,"",_xlfn.XLOOKUP($B77,INPUT_DATA!$BP:$BP,INPUT_DATA!CF:CF))</f>
        <v/>
      </c>
      <c r="AC77" s="140" t="str">
        <f>IF($B77=0,"",_xlfn.XLOOKUP($B77,INPUT_DATA!$BP:$BP,INPUT_DATA!CG:CG))</f>
        <v/>
      </c>
      <c r="AD77" s="140" t="str">
        <f>IF($B77=0,"",_xlfn.XLOOKUP($B77,INPUT_DATA!$BP:$BP,INPUT_DATA!CH:CH))</f>
        <v/>
      </c>
      <c r="AE77" s="140" t="str">
        <f>IF($B77=0,"",_xlfn.XLOOKUP($B77,INPUT_DATA!$BP:$BP,INPUT_DATA!CI:CI))</f>
        <v/>
      </c>
      <c r="AF77" s="1300" t="str">
        <f t="shared" si="11"/>
        <v/>
      </c>
      <c r="AG77" s="139"/>
      <c r="AH77" s="139" t="str">
        <f t="shared" si="18"/>
        <v/>
      </c>
      <c r="AI77" s="1275" t="str">
        <f>IF($B77=0,"",_xlfn.XLOOKUP($B77,INPUT_DATA!$BP:$BP,INPUT_DATA!CK:CK))</f>
        <v/>
      </c>
      <c r="AJ77" s="140" t="str">
        <f>IF($B77=0,"",_xlfn.XLOOKUP($B77,INPUT_DATA!$BP:$BP,INPUT_DATA!CL:CL))</f>
        <v/>
      </c>
      <c r="AK77" s="140" t="str">
        <f>IF($B77=0,"",_xlfn.XLOOKUP($B77,INPUT_DATA!$BP:$BP,INPUT_DATA!CM:CM))</f>
        <v/>
      </c>
      <c r="AL77" s="140" t="str">
        <f>IF($B77=0,"",_xlfn.XLOOKUP($B77,INPUT_DATA!$BP:$BP,INPUT_DATA!CN:CN))</f>
        <v/>
      </c>
      <c r="AM77" s="1300" t="str">
        <f t="shared" si="13"/>
        <v/>
      </c>
      <c r="AN77" s="139" t="str">
        <f>IF($B77=0,"",_xlfn.XLOOKUP($B77,INPUT_DATA!$BP:$BP,INPUT_DATA!CO:CO))</f>
        <v/>
      </c>
      <c r="AO77" s="139" t="str">
        <f t="shared" si="14"/>
        <v/>
      </c>
      <c r="AP77" s="1275" t="str">
        <f>IF($B77=0,"",_xlfn.XLOOKUP($B77,INPUT_DATA!$BP:$BP,INPUT_DATA!CP:CP))</f>
        <v/>
      </c>
      <c r="AQ77" s="139" t="str">
        <f t="shared" si="17"/>
        <v/>
      </c>
      <c r="AR77" s="1275" t="str">
        <f t="shared" si="15"/>
        <v/>
      </c>
    </row>
    <row r="78" spans="2:44">
      <c r="B78" s="137">
        <f>INPUT_DATA!BP69</f>
        <v>0</v>
      </c>
      <c r="C78" s="1291" t="str">
        <f>IF($B78=0,"",_xlfn.XLOOKUP($B78,INPUT_DATA!$BP:$BP,INPUT_DATA!BQ:BQ))</f>
        <v/>
      </c>
      <c r="D78" s="140" t="str">
        <f>IF($B78=0,"",_xlfn.XLOOKUP($B78,INPUT_DATA!$BP:$BP,INPUT_DATA!BR:BR))</f>
        <v/>
      </c>
      <c r="E78" s="140" t="str">
        <f>IF($B78=0,"",_xlfn.XLOOKUP($B78,INPUT_DATA!$BP:$BP,INPUT_DATA!BS:BS))</f>
        <v/>
      </c>
      <c r="F78" s="140" t="str">
        <f>IF($B78=0,"",_xlfn.XLOOKUP($B78,INPUT_DATA!$BP:$BP,INPUT_DATA!BT:BT))</f>
        <v/>
      </c>
      <c r="G78" s="140" t="str">
        <f t="shared" ref="G78:G83" si="19">IF($B78=0,"",D78+E78+F78)</f>
        <v/>
      </c>
      <c r="H78" s="1291" t="str">
        <f>IF($B78=0,"",_xlfn.XLOOKUP($B78,INPUT_DATA!$BP:$BP,INPUT_DATA!BU:BU))</f>
        <v/>
      </c>
      <c r="I78" s="140" t="str">
        <f>IF($B78=0,"",_xlfn.XLOOKUP($B78,INPUT_DATA!$BP:$BP,INPUT_DATA!BV:BV))</f>
        <v/>
      </c>
      <c r="J78" s="140" t="str">
        <f>IF($B78=0,"",_xlfn.XLOOKUP($B78,INPUT_DATA!$BP:$BP,INPUT_DATA!BW:BW))</f>
        <v/>
      </c>
      <c r="K78" s="140" t="str">
        <f>IF($B78=0,"",_xlfn.XLOOKUP($B78,INPUT_DATA!$BP:$BP,INPUT_DATA!BX:BX))</f>
        <v/>
      </c>
      <c r="L78" s="140" t="str">
        <f t="shared" ref="L78:L83" si="20">IF($B78=0,"",I78+J78+K78)</f>
        <v/>
      </c>
      <c r="M78" s="1291" t="str">
        <f>IF($B78=0,"",_xlfn.XLOOKUP($B78,INPUT_DATA!$BP:$BP,INPUT_DATA!BY:BY))</f>
        <v/>
      </c>
      <c r="N78" s="140" t="str">
        <f>IF($B78=0,"",_xlfn.XLOOKUP($B78,INPUT_DATA!$BP:$BP,INPUT_DATA!BZ:BZ))</f>
        <v/>
      </c>
      <c r="O78" s="140" t="str">
        <f>IF($B78=0,"",_xlfn.XLOOKUP($B78,INPUT_DATA!$BP:$BP,INPUT_DATA!CA:CA))</f>
        <v/>
      </c>
      <c r="P78" s="140" t="str">
        <f>IF($B78=0,"",_xlfn.XLOOKUP($B78,INPUT_DATA!$BP:$BP,INPUT_DATA!CB:CB))</f>
        <v/>
      </c>
      <c r="Q78" s="140" t="str">
        <f t="shared" ref="Q78:Q83" si="21">IF($B78=0,"",N78+O78+P78)</f>
        <v/>
      </c>
      <c r="R78" s="1275" t="str">
        <f t="shared" ref="R78:R83" si="22">IF($B78=0,"",SUM(C78,H78,M78))</f>
        <v/>
      </c>
      <c r="S78" s="139" t="str">
        <f t="shared" ref="S78:S83" si="23">IF($B78=0,"",SUM(D78,I78,N78))</f>
        <v/>
      </c>
      <c r="T78" s="139" t="str">
        <f t="shared" ref="T78:T83" si="24">IF($B78=0,"",SUM(E78,J78,O78))</f>
        <v/>
      </c>
      <c r="U78" s="1880" t="str">
        <f t="shared" ref="U78:U83" si="25">IF($B78=0,"",SUM(F78,K78,P78))</f>
        <v/>
      </c>
      <c r="V78" s="139" t="str">
        <f t="shared" ref="V78:V83" si="26">IF($B78=0,"",SUM(G78,L78,Q78))</f>
        <v/>
      </c>
      <c r="W78" s="140" t="str">
        <f>IF($B78=0,"",_xlfn.XLOOKUP($B78,INPUT_DATA!$BP:$BP,INPUT_DATA!CC:CC))</f>
        <v/>
      </c>
      <c r="X78" s="140" t="str">
        <f>IF($B78=0,"",_xlfn.XLOOKUP($B78,INPUT_DATA!$BP:$BP,INPUT_DATA!CD:CD))</f>
        <v/>
      </c>
      <c r="Y78" s="140" t="str">
        <f>IF($B78=0,"",_xlfn.XLOOKUP($B78,INPUT_DATA!$BP:$BP,INPUT_DATA!CE:CE))</f>
        <v/>
      </c>
      <c r="Z78" s="1300" t="str">
        <f t="shared" ref="Z78:Z83" si="27">IF($B78=0,"",100%)</f>
        <v/>
      </c>
      <c r="AA78" s="139" t="str">
        <f t="shared" ref="AA78:AA83" si="28">IF($B78=0,"",SUM(W78:Y78)*Z78)</f>
        <v/>
      </c>
      <c r="AB78" s="139" t="str">
        <f>IF($B78=0,"",_xlfn.XLOOKUP($B78,INPUT_DATA!$BP:$BP,INPUT_DATA!CF:CF))</f>
        <v/>
      </c>
      <c r="AC78" s="140" t="str">
        <f>IF($B78=0,"",_xlfn.XLOOKUP($B78,INPUT_DATA!$BP:$BP,INPUT_DATA!CG:CG))</f>
        <v/>
      </c>
      <c r="AD78" s="140" t="str">
        <f>IF($B78=0,"",_xlfn.XLOOKUP($B78,INPUT_DATA!$BP:$BP,INPUT_DATA!CH:CH))</f>
        <v/>
      </c>
      <c r="AE78" s="140" t="str">
        <f>IF($B78=0,"",_xlfn.XLOOKUP($B78,INPUT_DATA!$BP:$BP,INPUT_DATA!CI:CI))</f>
        <v/>
      </c>
      <c r="AF78" s="1300" t="str">
        <f t="shared" ref="AF78:AF83" si="29">IF($B78=0,"",93%)</f>
        <v/>
      </c>
      <c r="AG78" s="139"/>
      <c r="AH78" s="139" t="str">
        <f t="shared" ref="AH78:AH83" si="30">IF($B78=0,"",SUM(AC78:AE78)*AF78)</f>
        <v/>
      </c>
      <c r="AI78" s="1275" t="str">
        <f>IF($B78=0,"",_xlfn.XLOOKUP($B78,INPUT_DATA!$BP:$BP,INPUT_DATA!CK:CK))</f>
        <v/>
      </c>
      <c r="AJ78" s="140" t="str">
        <f>IF($B78=0,"",_xlfn.XLOOKUP($B78,INPUT_DATA!$BP:$BP,INPUT_DATA!CL:CL))</f>
        <v/>
      </c>
      <c r="AK78" s="140" t="str">
        <f>IF($B78=0,"",_xlfn.XLOOKUP($B78,INPUT_DATA!$BP:$BP,INPUT_DATA!CM:CM))</f>
        <v/>
      </c>
      <c r="AL78" s="140" t="str">
        <f>IF($B78=0,"",_xlfn.XLOOKUP($B78,INPUT_DATA!$BP:$BP,INPUT_DATA!CN:CN))</f>
        <v/>
      </c>
      <c r="AM78" s="1300" t="str">
        <f t="shared" ref="AM78:AM83" si="31">IF($B78=0,"",60%)</f>
        <v/>
      </c>
      <c r="AN78" s="139" t="str">
        <f>IF($B78=0,"",_xlfn.XLOOKUP($B78,INPUT_DATA!$BP:$BP,INPUT_DATA!CO:CO))</f>
        <v/>
      </c>
      <c r="AO78" s="139" t="str">
        <f t="shared" ref="AO78:AO83" si="32">IF($B78=0,"",AJ78+AK78-AN78+AL78)</f>
        <v/>
      </c>
      <c r="AP78" s="1275" t="str">
        <f>IF($B78=0,"",_xlfn.XLOOKUP($B78,INPUT_DATA!$BP:$BP,INPUT_DATA!CP:CP))</f>
        <v/>
      </c>
      <c r="AQ78" s="139" t="str">
        <f t="shared" ref="AQ78:AQ83" si="33">IF($B78=0,"",SUM(AA78,AH78,AO78))</f>
        <v/>
      </c>
      <c r="AR78" s="1275" t="str">
        <f t="shared" ref="AR78:AR83" si="34">IF($B78=0,"",SUM(AB78,AI78,AP78))</f>
        <v/>
      </c>
    </row>
    <row r="79" spans="2:44">
      <c r="B79" s="137">
        <f>INPUT_DATA!BP70</f>
        <v>0</v>
      </c>
      <c r="C79" s="1291" t="str">
        <f>IF($B79=0,"",_xlfn.XLOOKUP($B79,INPUT_DATA!$BP:$BP,INPUT_DATA!BQ:BQ))</f>
        <v/>
      </c>
      <c r="D79" s="140" t="str">
        <f>IF($B79=0,"",_xlfn.XLOOKUP($B79,INPUT_DATA!$BP:$BP,INPUT_DATA!BR:BR))</f>
        <v/>
      </c>
      <c r="E79" s="140" t="str">
        <f>IF($B79=0,"",_xlfn.XLOOKUP($B79,INPUT_DATA!$BP:$BP,INPUT_DATA!BS:BS))</f>
        <v/>
      </c>
      <c r="F79" s="140" t="str">
        <f>IF($B79=0,"",_xlfn.XLOOKUP($B79,INPUT_DATA!$BP:$BP,INPUT_DATA!BT:BT))</f>
        <v/>
      </c>
      <c r="G79" s="140" t="str">
        <f t="shared" si="19"/>
        <v/>
      </c>
      <c r="H79" s="1291" t="str">
        <f>IF($B79=0,"",_xlfn.XLOOKUP($B79,INPUT_DATA!$BP:$BP,INPUT_DATA!BU:BU))</f>
        <v/>
      </c>
      <c r="I79" s="140" t="str">
        <f>IF($B79=0,"",_xlfn.XLOOKUP($B79,INPUT_DATA!$BP:$BP,INPUT_DATA!BV:BV))</f>
        <v/>
      </c>
      <c r="J79" s="140" t="str">
        <f>IF($B79=0,"",_xlfn.XLOOKUP($B79,INPUT_DATA!$BP:$BP,INPUT_DATA!BW:BW))</f>
        <v/>
      </c>
      <c r="K79" s="140" t="str">
        <f>IF($B79=0,"",_xlfn.XLOOKUP($B79,INPUT_DATA!$BP:$BP,INPUT_DATA!BX:BX))</f>
        <v/>
      </c>
      <c r="L79" s="140" t="str">
        <f t="shared" si="20"/>
        <v/>
      </c>
      <c r="M79" s="1291" t="str">
        <f>IF($B79=0,"",_xlfn.XLOOKUP($B79,INPUT_DATA!$BP:$BP,INPUT_DATA!BY:BY))</f>
        <v/>
      </c>
      <c r="N79" s="140" t="str">
        <f>IF($B79=0,"",_xlfn.XLOOKUP($B79,INPUT_DATA!$BP:$BP,INPUT_DATA!BZ:BZ))</f>
        <v/>
      </c>
      <c r="O79" s="140" t="str">
        <f>IF($B79=0,"",_xlfn.XLOOKUP($B79,INPUT_DATA!$BP:$BP,INPUT_DATA!CA:CA))</f>
        <v/>
      </c>
      <c r="P79" s="140" t="str">
        <f>IF($B79=0,"",_xlfn.XLOOKUP($B79,INPUT_DATA!$BP:$BP,INPUT_DATA!CB:CB))</f>
        <v/>
      </c>
      <c r="Q79" s="140" t="str">
        <f t="shared" si="21"/>
        <v/>
      </c>
      <c r="R79" s="1275" t="str">
        <f t="shared" si="22"/>
        <v/>
      </c>
      <c r="S79" s="139" t="str">
        <f t="shared" si="23"/>
        <v/>
      </c>
      <c r="T79" s="139" t="str">
        <f t="shared" si="24"/>
        <v/>
      </c>
      <c r="U79" s="1880" t="str">
        <f t="shared" si="25"/>
        <v/>
      </c>
      <c r="V79" s="139" t="str">
        <f t="shared" si="26"/>
        <v/>
      </c>
      <c r="W79" s="140" t="str">
        <f>IF($B79=0,"",_xlfn.XLOOKUP($B79,INPUT_DATA!$BP:$BP,INPUT_DATA!CC:CC))</f>
        <v/>
      </c>
      <c r="X79" s="140" t="str">
        <f>IF($B79=0,"",_xlfn.XLOOKUP($B79,INPUT_DATA!$BP:$BP,INPUT_DATA!CD:CD))</f>
        <v/>
      </c>
      <c r="Y79" s="140" t="str">
        <f>IF($B79=0,"",_xlfn.XLOOKUP($B79,INPUT_DATA!$BP:$BP,INPUT_DATA!CE:CE))</f>
        <v/>
      </c>
      <c r="Z79" s="1300" t="str">
        <f t="shared" si="27"/>
        <v/>
      </c>
      <c r="AA79" s="139" t="str">
        <f t="shared" si="28"/>
        <v/>
      </c>
      <c r="AB79" s="139" t="str">
        <f>IF($B79=0,"",_xlfn.XLOOKUP($B79,INPUT_DATA!$BP:$BP,INPUT_DATA!CF:CF))</f>
        <v/>
      </c>
      <c r="AC79" s="140" t="str">
        <f>IF($B79=0,"",_xlfn.XLOOKUP($B79,INPUT_DATA!$BP:$BP,INPUT_DATA!CG:CG))</f>
        <v/>
      </c>
      <c r="AD79" s="140" t="str">
        <f>IF($B79=0,"",_xlfn.XLOOKUP($B79,INPUT_DATA!$BP:$BP,INPUT_DATA!CH:CH))</f>
        <v/>
      </c>
      <c r="AE79" s="140" t="str">
        <f>IF($B79=0,"",_xlfn.XLOOKUP($B79,INPUT_DATA!$BP:$BP,INPUT_DATA!CI:CI))</f>
        <v/>
      </c>
      <c r="AF79" s="1300" t="str">
        <f t="shared" si="29"/>
        <v/>
      </c>
      <c r="AG79" s="139"/>
      <c r="AH79" s="139" t="str">
        <f t="shared" si="30"/>
        <v/>
      </c>
      <c r="AI79" s="1275" t="str">
        <f>IF($B79=0,"",_xlfn.XLOOKUP($B79,INPUT_DATA!$BP:$BP,INPUT_DATA!CK:CK))</f>
        <v/>
      </c>
      <c r="AJ79" s="140" t="str">
        <f>IF($B79=0,"",_xlfn.XLOOKUP($B79,INPUT_DATA!$BP:$BP,INPUT_DATA!CL:CL))</f>
        <v/>
      </c>
      <c r="AK79" s="140" t="str">
        <f>IF($B79=0,"",_xlfn.XLOOKUP($B79,INPUT_DATA!$BP:$BP,INPUT_DATA!CM:CM))</f>
        <v/>
      </c>
      <c r="AL79" s="140" t="str">
        <f>IF($B79=0,"",_xlfn.XLOOKUP($B79,INPUT_DATA!$BP:$BP,INPUT_DATA!CN:CN))</f>
        <v/>
      </c>
      <c r="AM79" s="1300" t="str">
        <f t="shared" si="31"/>
        <v/>
      </c>
      <c r="AN79" s="139" t="str">
        <f>IF($B79=0,"",_xlfn.XLOOKUP($B79,INPUT_DATA!$BP:$BP,INPUT_DATA!CO:CO))</f>
        <v/>
      </c>
      <c r="AO79" s="139" t="str">
        <f t="shared" si="32"/>
        <v/>
      </c>
      <c r="AP79" s="1275" t="str">
        <f>IF($B79=0,"",_xlfn.XLOOKUP($B79,INPUT_DATA!$BP:$BP,INPUT_DATA!CP:CP))</f>
        <v/>
      </c>
      <c r="AQ79" s="139" t="str">
        <f t="shared" si="33"/>
        <v/>
      </c>
      <c r="AR79" s="1275" t="str">
        <f t="shared" si="34"/>
        <v/>
      </c>
    </row>
    <row r="80" spans="2:44">
      <c r="B80" s="137">
        <f>INPUT_DATA!BP71</f>
        <v>0</v>
      </c>
      <c r="C80" s="1291" t="str">
        <f>IF($B80=0,"",_xlfn.XLOOKUP($B80,INPUT_DATA!$BP:$BP,INPUT_DATA!BQ:BQ))</f>
        <v/>
      </c>
      <c r="D80" s="140" t="str">
        <f>IF($B80=0,"",_xlfn.XLOOKUP($B80,INPUT_DATA!$BP:$BP,INPUT_DATA!BR:BR))</f>
        <v/>
      </c>
      <c r="E80" s="140" t="str">
        <f>IF($B80=0,"",_xlfn.XLOOKUP($B80,INPUT_DATA!$BP:$BP,INPUT_DATA!BS:BS))</f>
        <v/>
      </c>
      <c r="F80" s="140" t="str">
        <f>IF($B80=0,"",_xlfn.XLOOKUP($B80,INPUT_DATA!$BP:$BP,INPUT_DATA!BT:BT))</f>
        <v/>
      </c>
      <c r="G80" s="140" t="str">
        <f t="shared" si="19"/>
        <v/>
      </c>
      <c r="H80" s="1291" t="str">
        <f>IF($B80=0,"",_xlfn.XLOOKUP($B80,INPUT_DATA!$BP:$BP,INPUT_DATA!BU:BU))</f>
        <v/>
      </c>
      <c r="I80" s="140" t="str">
        <f>IF($B80=0,"",_xlfn.XLOOKUP($B80,INPUT_DATA!$BP:$BP,INPUT_DATA!BV:BV))</f>
        <v/>
      </c>
      <c r="J80" s="140" t="str">
        <f>IF($B80=0,"",_xlfn.XLOOKUP($B80,INPUT_DATA!$BP:$BP,INPUT_DATA!BW:BW))</f>
        <v/>
      </c>
      <c r="K80" s="140" t="str">
        <f>IF($B80=0,"",_xlfn.XLOOKUP($B80,INPUT_DATA!$BP:$BP,INPUT_DATA!BX:BX))</f>
        <v/>
      </c>
      <c r="L80" s="140" t="str">
        <f t="shared" si="20"/>
        <v/>
      </c>
      <c r="M80" s="1291" t="str">
        <f>IF($B80=0,"",_xlfn.XLOOKUP($B80,INPUT_DATA!$BP:$BP,INPUT_DATA!BY:BY))</f>
        <v/>
      </c>
      <c r="N80" s="140" t="str">
        <f>IF($B80=0,"",_xlfn.XLOOKUP($B80,INPUT_DATA!$BP:$BP,INPUT_DATA!BZ:BZ))</f>
        <v/>
      </c>
      <c r="O80" s="140" t="str">
        <f>IF($B80=0,"",_xlfn.XLOOKUP($B80,INPUT_DATA!$BP:$BP,INPUT_DATA!CA:CA))</f>
        <v/>
      </c>
      <c r="P80" s="140" t="str">
        <f>IF($B80=0,"",_xlfn.XLOOKUP($B80,INPUT_DATA!$BP:$BP,INPUT_DATA!CB:CB))</f>
        <v/>
      </c>
      <c r="Q80" s="140" t="str">
        <f t="shared" si="21"/>
        <v/>
      </c>
      <c r="R80" s="1275" t="str">
        <f t="shared" si="22"/>
        <v/>
      </c>
      <c r="S80" s="139" t="str">
        <f t="shared" si="23"/>
        <v/>
      </c>
      <c r="T80" s="139" t="str">
        <f t="shared" si="24"/>
        <v/>
      </c>
      <c r="U80" s="1880" t="str">
        <f t="shared" si="25"/>
        <v/>
      </c>
      <c r="V80" s="139" t="str">
        <f t="shared" si="26"/>
        <v/>
      </c>
      <c r="W80" s="140" t="str">
        <f>IF($B80=0,"",_xlfn.XLOOKUP($B80,INPUT_DATA!$BP:$BP,INPUT_DATA!CC:CC))</f>
        <v/>
      </c>
      <c r="X80" s="140" t="str">
        <f>IF($B80=0,"",_xlfn.XLOOKUP($B80,INPUT_DATA!$BP:$BP,INPUT_DATA!CD:CD))</f>
        <v/>
      </c>
      <c r="Y80" s="140" t="str">
        <f>IF($B80=0,"",_xlfn.XLOOKUP($B80,INPUT_DATA!$BP:$BP,INPUT_DATA!CE:CE))</f>
        <v/>
      </c>
      <c r="Z80" s="1300" t="str">
        <f t="shared" si="27"/>
        <v/>
      </c>
      <c r="AA80" s="139" t="str">
        <f t="shared" si="28"/>
        <v/>
      </c>
      <c r="AB80" s="139" t="str">
        <f>IF($B80=0,"",_xlfn.XLOOKUP($B80,INPUT_DATA!$BP:$BP,INPUT_DATA!CF:CF))</f>
        <v/>
      </c>
      <c r="AC80" s="140" t="str">
        <f>IF($B80=0,"",_xlfn.XLOOKUP($B80,INPUT_DATA!$BP:$BP,INPUT_DATA!CG:CG))</f>
        <v/>
      </c>
      <c r="AD80" s="140" t="str">
        <f>IF($B80=0,"",_xlfn.XLOOKUP($B80,INPUT_DATA!$BP:$BP,INPUT_DATA!CH:CH))</f>
        <v/>
      </c>
      <c r="AE80" s="140" t="str">
        <f>IF($B80=0,"",_xlfn.XLOOKUP($B80,INPUT_DATA!$BP:$BP,INPUT_DATA!CI:CI))</f>
        <v/>
      </c>
      <c r="AF80" s="1300" t="str">
        <f t="shared" si="29"/>
        <v/>
      </c>
      <c r="AG80" s="139"/>
      <c r="AH80" s="139" t="str">
        <f t="shared" si="30"/>
        <v/>
      </c>
      <c r="AI80" s="1275" t="str">
        <f>IF($B80=0,"",_xlfn.XLOOKUP($B80,INPUT_DATA!$BP:$BP,INPUT_DATA!CK:CK))</f>
        <v/>
      </c>
      <c r="AJ80" s="140" t="str">
        <f>IF($B80=0,"",_xlfn.XLOOKUP($B80,INPUT_DATA!$BP:$BP,INPUT_DATA!CL:CL))</f>
        <v/>
      </c>
      <c r="AK80" s="140" t="str">
        <f>IF($B80=0,"",_xlfn.XLOOKUP($B80,INPUT_DATA!$BP:$BP,INPUT_DATA!CM:CM))</f>
        <v/>
      </c>
      <c r="AL80" s="140" t="str">
        <f>IF($B80=0,"",_xlfn.XLOOKUP($B80,INPUT_DATA!$BP:$BP,INPUT_DATA!CN:CN))</f>
        <v/>
      </c>
      <c r="AM80" s="1300" t="str">
        <f t="shared" si="31"/>
        <v/>
      </c>
      <c r="AN80" s="139" t="str">
        <f>IF($B80=0,"",_xlfn.XLOOKUP($B80,INPUT_DATA!$BP:$BP,INPUT_DATA!CO:CO))</f>
        <v/>
      </c>
      <c r="AO80" s="139" t="str">
        <f t="shared" si="32"/>
        <v/>
      </c>
      <c r="AP80" s="1275" t="str">
        <f>IF($B80=0,"",_xlfn.XLOOKUP($B80,INPUT_DATA!$BP:$BP,INPUT_DATA!CP:CP))</f>
        <v/>
      </c>
      <c r="AQ80" s="139" t="str">
        <f t="shared" si="33"/>
        <v/>
      </c>
      <c r="AR80" s="1275" t="str">
        <f t="shared" si="34"/>
        <v/>
      </c>
    </row>
    <row r="81" spans="2:44">
      <c r="B81" s="137">
        <f>INPUT_DATA!BP72</f>
        <v>0</v>
      </c>
      <c r="C81" s="1291" t="str">
        <f>IF($B81=0,"",_xlfn.XLOOKUP($B81,INPUT_DATA!$BP:$BP,INPUT_DATA!BQ:BQ))</f>
        <v/>
      </c>
      <c r="D81" s="140" t="str">
        <f>IF($B81=0,"",_xlfn.XLOOKUP($B81,INPUT_DATA!$BP:$BP,INPUT_DATA!BR:BR))</f>
        <v/>
      </c>
      <c r="E81" s="140" t="str">
        <f>IF($B81=0,"",_xlfn.XLOOKUP($B81,INPUT_DATA!$BP:$BP,INPUT_DATA!BS:BS))</f>
        <v/>
      </c>
      <c r="F81" s="140" t="str">
        <f>IF($B81=0,"",_xlfn.XLOOKUP($B81,INPUT_DATA!$BP:$BP,INPUT_DATA!BT:BT))</f>
        <v/>
      </c>
      <c r="G81" s="140" t="str">
        <f t="shared" si="19"/>
        <v/>
      </c>
      <c r="H81" s="1291" t="str">
        <f>IF($B81=0,"",_xlfn.XLOOKUP($B81,INPUT_DATA!$BP:$BP,INPUT_DATA!BU:BU))</f>
        <v/>
      </c>
      <c r="I81" s="140" t="str">
        <f>IF($B81=0,"",_xlfn.XLOOKUP($B81,INPUT_DATA!$BP:$BP,INPUT_DATA!BV:BV))</f>
        <v/>
      </c>
      <c r="J81" s="140" t="str">
        <f>IF($B81=0,"",_xlfn.XLOOKUP($B81,INPUT_DATA!$BP:$BP,INPUT_DATA!BW:BW))</f>
        <v/>
      </c>
      <c r="K81" s="140" t="str">
        <f>IF($B81=0,"",_xlfn.XLOOKUP($B81,INPUT_DATA!$BP:$BP,INPUT_DATA!BX:BX))</f>
        <v/>
      </c>
      <c r="L81" s="140" t="str">
        <f t="shared" si="20"/>
        <v/>
      </c>
      <c r="M81" s="1291" t="str">
        <f>IF($B81=0,"",_xlfn.XLOOKUP($B81,INPUT_DATA!$BP:$BP,INPUT_DATA!BY:BY))</f>
        <v/>
      </c>
      <c r="N81" s="140" t="str">
        <f>IF($B81=0,"",_xlfn.XLOOKUP($B81,INPUT_DATA!$BP:$BP,INPUT_DATA!BZ:BZ))</f>
        <v/>
      </c>
      <c r="O81" s="140" t="str">
        <f>IF($B81=0,"",_xlfn.XLOOKUP($B81,INPUT_DATA!$BP:$BP,INPUT_DATA!CA:CA))</f>
        <v/>
      </c>
      <c r="P81" s="140" t="str">
        <f>IF($B81=0,"",_xlfn.XLOOKUP($B81,INPUT_DATA!$BP:$BP,INPUT_DATA!CB:CB))</f>
        <v/>
      </c>
      <c r="Q81" s="140" t="str">
        <f t="shared" si="21"/>
        <v/>
      </c>
      <c r="R81" s="1275" t="str">
        <f t="shared" si="22"/>
        <v/>
      </c>
      <c r="S81" s="139" t="str">
        <f t="shared" si="23"/>
        <v/>
      </c>
      <c r="T81" s="139" t="str">
        <f t="shared" si="24"/>
        <v/>
      </c>
      <c r="U81" s="1880" t="str">
        <f t="shared" si="25"/>
        <v/>
      </c>
      <c r="V81" s="139" t="str">
        <f t="shared" si="26"/>
        <v/>
      </c>
      <c r="W81" s="140" t="str">
        <f>IF($B81=0,"",_xlfn.XLOOKUP($B81,INPUT_DATA!$BP:$BP,INPUT_DATA!CC:CC))</f>
        <v/>
      </c>
      <c r="X81" s="140" t="str">
        <f>IF($B81=0,"",_xlfn.XLOOKUP($B81,INPUT_DATA!$BP:$BP,INPUT_DATA!CD:CD))</f>
        <v/>
      </c>
      <c r="Y81" s="140" t="str">
        <f>IF($B81=0,"",_xlfn.XLOOKUP($B81,INPUT_DATA!$BP:$BP,INPUT_DATA!CE:CE))</f>
        <v/>
      </c>
      <c r="Z81" s="1300" t="str">
        <f t="shared" si="27"/>
        <v/>
      </c>
      <c r="AA81" s="139" t="str">
        <f t="shared" si="28"/>
        <v/>
      </c>
      <c r="AB81" s="139" t="str">
        <f>IF($B81=0,"",_xlfn.XLOOKUP($B81,INPUT_DATA!$BP:$BP,INPUT_DATA!CF:CF))</f>
        <v/>
      </c>
      <c r="AC81" s="140" t="str">
        <f>IF($B81=0,"",_xlfn.XLOOKUP($B81,INPUT_DATA!$BP:$BP,INPUT_DATA!CG:CG))</f>
        <v/>
      </c>
      <c r="AD81" s="140" t="str">
        <f>IF($B81=0,"",_xlfn.XLOOKUP($B81,INPUT_DATA!$BP:$BP,INPUT_DATA!CH:CH))</f>
        <v/>
      </c>
      <c r="AE81" s="140" t="str">
        <f>IF($B81=0,"",_xlfn.XLOOKUP($B81,INPUT_DATA!$BP:$BP,INPUT_DATA!CI:CI))</f>
        <v/>
      </c>
      <c r="AF81" s="1300" t="str">
        <f t="shared" si="29"/>
        <v/>
      </c>
      <c r="AG81" s="139"/>
      <c r="AH81" s="139" t="str">
        <f t="shared" si="30"/>
        <v/>
      </c>
      <c r="AI81" s="1275" t="str">
        <f>IF($B81=0,"",_xlfn.XLOOKUP($B81,INPUT_DATA!$BP:$BP,INPUT_DATA!CK:CK))</f>
        <v/>
      </c>
      <c r="AJ81" s="140" t="str">
        <f>IF($B81=0,"",_xlfn.XLOOKUP($B81,INPUT_DATA!$BP:$BP,INPUT_DATA!CL:CL))</f>
        <v/>
      </c>
      <c r="AK81" s="140" t="str">
        <f>IF($B81=0,"",_xlfn.XLOOKUP($B81,INPUT_DATA!$BP:$BP,INPUT_DATA!CM:CM))</f>
        <v/>
      </c>
      <c r="AL81" s="140" t="str">
        <f>IF($B81=0,"",_xlfn.XLOOKUP($B81,INPUT_DATA!$BP:$BP,INPUT_DATA!CN:CN))</f>
        <v/>
      </c>
      <c r="AM81" s="1300" t="str">
        <f t="shared" si="31"/>
        <v/>
      </c>
      <c r="AN81" s="139" t="str">
        <f>IF($B81=0,"",_xlfn.XLOOKUP($B81,INPUT_DATA!$BP:$BP,INPUT_DATA!CO:CO))</f>
        <v/>
      </c>
      <c r="AO81" s="139" t="str">
        <f t="shared" si="32"/>
        <v/>
      </c>
      <c r="AP81" s="1275" t="str">
        <f>IF($B81=0,"",_xlfn.XLOOKUP($B81,INPUT_DATA!$BP:$BP,INPUT_DATA!CP:CP))</f>
        <v/>
      </c>
      <c r="AQ81" s="139" t="str">
        <f t="shared" si="33"/>
        <v/>
      </c>
      <c r="AR81" s="1275" t="str">
        <f t="shared" si="34"/>
        <v/>
      </c>
    </row>
    <row r="82" spans="2:44">
      <c r="B82" s="137">
        <f>INPUT_DATA!BP73</f>
        <v>0</v>
      </c>
      <c r="C82" s="1291" t="str">
        <f>IF($B82=0,"",_xlfn.XLOOKUP($B82,INPUT_DATA!$BP:$BP,INPUT_DATA!BQ:BQ))</f>
        <v/>
      </c>
      <c r="D82" s="140" t="str">
        <f>IF($B82=0,"",_xlfn.XLOOKUP($B82,INPUT_DATA!$BP:$BP,INPUT_DATA!BR:BR))</f>
        <v/>
      </c>
      <c r="E82" s="140" t="str">
        <f>IF($B82=0,"",_xlfn.XLOOKUP($B82,INPUT_DATA!$BP:$BP,INPUT_DATA!BS:BS))</f>
        <v/>
      </c>
      <c r="F82" s="140" t="str">
        <f>IF($B82=0,"",_xlfn.XLOOKUP($B82,INPUT_DATA!$BP:$BP,INPUT_DATA!BT:BT))</f>
        <v/>
      </c>
      <c r="G82" s="140" t="str">
        <f t="shared" si="19"/>
        <v/>
      </c>
      <c r="H82" s="1291" t="str">
        <f>IF($B82=0,"",_xlfn.XLOOKUP($B82,INPUT_DATA!$BP:$BP,INPUT_DATA!BU:BU))</f>
        <v/>
      </c>
      <c r="I82" s="140" t="str">
        <f>IF($B82=0,"",_xlfn.XLOOKUP($B82,INPUT_DATA!$BP:$BP,INPUT_DATA!BV:BV))</f>
        <v/>
      </c>
      <c r="J82" s="140" t="str">
        <f>IF($B82=0,"",_xlfn.XLOOKUP($B82,INPUT_DATA!$BP:$BP,INPUT_DATA!BW:BW))</f>
        <v/>
      </c>
      <c r="K82" s="140" t="str">
        <f>IF($B82=0,"",_xlfn.XLOOKUP($B82,INPUT_DATA!$BP:$BP,INPUT_DATA!BX:BX))</f>
        <v/>
      </c>
      <c r="L82" s="140" t="str">
        <f t="shared" si="20"/>
        <v/>
      </c>
      <c r="M82" s="1291" t="str">
        <f>IF($B82=0,"",_xlfn.XLOOKUP($B82,INPUT_DATA!$BP:$BP,INPUT_DATA!BY:BY))</f>
        <v/>
      </c>
      <c r="N82" s="140" t="str">
        <f>IF($B82=0,"",_xlfn.XLOOKUP($B82,INPUT_DATA!$BP:$BP,INPUT_DATA!BZ:BZ))</f>
        <v/>
      </c>
      <c r="O82" s="140" t="str">
        <f>IF($B82=0,"",_xlfn.XLOOKUP($B82,INPUT_DATA!$BP:$BP,INPUT_DATA!CA:CA))</f>
        <v/>
      </c>
      <c r="P82" s="140" t="str">
        <f>IF($B82=0,"",_xlfn.XLOOKUP($B82,INPUT_DATA!$BP:$BP,INPUT_DATA!CB:CB))</f>
        <v/>
      </c>
      <c r="Q82" s="140" t="str">
        <f t="shared" si="21"/>
        <v/>
      </c>
      <c r="R82" s="1275" t="str">
        <f t="shared" si="22"/>
        <v/>
      </c>
      <c r="S82" s="139" t="str">
        <f t="shared" si="23"/>
        <v/>
      </c>
      <c r="T82" s="139" t="str">
        <f t="shared" si="24"/>
        <v/>
      </c>
      <c r="U82" s="1880" t="str">
        <f t="shared" si="25"/>
        <v/>
      </c>
      <c r="V82" s="139" t="str">
        <f t="shared" si="26"/>
        <v/>
      </c>
      <c r="W82" s="140" t="str">
        <f>IF($B82=0,"",_xlfn.XLOOKUP($B82,INPUT_DATA!$BP:$BP,INPUT_DATA!CC:CC))</f>
        <v/>
      </c>
      <c r="X82" s="140" t="str">
        <f>IF($B82=0,"",_xlfn.XLOOKUP($B82,INPUT_DATA!$BP:$BP,INPUT_DATA!CD:CD))</f>
        <v/>
      </c>
      <c r="Y82" s="140" t="str">
        <f>IF($B82=0,"",_xlfn.XLOOKUP($B82,INPUT_DATA!$BP:$BP,INPUT_DATA!CE:CE))</f>
        <v/>
      </c>
      <c r="Z82" s="1300" t="str">
        <f t="shared" si="27"/>
        <v/>
      </c>
      <c r="AA82" s="139" t="str">
        <f t="shared" si="28"/>
        <v/>
      </c>
      <c r="AB82" s="139" t="str">
        <f>IF($B82=0,"",_xlfn.XLOOKUP($B82,INPUT_DATA!$BP:$BP,INPUT_DATA!CF:CF))</f>
        <v/>
      </c>
      <c r="AC82" s="140" t="str">
        <f>IF($B82=0,"",_xlfn.XLOOKUP($B82,INPUT_DATA!$BP:$BP,INPUT_DATA!CG:CG))</f>
        <v/>
      </c>
      <c r="AD82" s="140" t="str">
        <f>IF($B82=0,"",_xlfn.XLOOKUP($B82,INPUT_DATA!$BP:$BP,INPUT_DATA!CH:CH))</f>
        <v/>
      </c>
      <c r="AE82" s="140" t="str">
        <f>IF($B82=0,"",_xlfn.XLOOKUP($B82,INPUT_DATA!$BP:$BP,INPUT_DATA!CI:CI))</f>
        <v/>
      </c>
      <c r="AF82" s="1300" t="str">
        <f t="shared" si="29"/>
        <v/>
      </c>
      <c r="AG82" s="139"/>
      <c r="AH82" s="139" t="str">
        <f t="shared" si="30"/>
        <v/>
      </c>
      <c r="AI82" s="1275" t="str">
        <f>IF($B82=0,"",_xlfn.XLOOKUP($B82,INPUT_DATA!$BP:$BP,INPUT_DATA!CK:CK))</f>
        <v/>
      </c>
      <c r="AJ82" s="140" t="str">
        <f>IF($B82=0,"",_xlfn.XLOOKUP($B82,INPUT_DATA!$BP:$BP,INPUT_DATA!CL:CL))</f>
        <v/>
      </c>
      <c r="AK82" s="140" t="str">
        <f>IF($B82=0,"",_xlfn.XLOOKUP($B82,INPUT_DATA!$BP:$BP,INPUT_DATA!CM:CM))</f>
        <v/>
      </c>
      <c r="AL82" s="140" t="str">
        <f>IF($B82=0,"",_xlfn.XLOOKUP($B82,INPUT_DATA!$BP:$BP,INPUT_DATA!CN:CN))</f>
        <v/>
      </c>
      <c r="AM82" s="1300" t="str">
        <f t="shared" si="31"/>
        <v/>
      </c>
      <c r="AN82" s="139" t="str">
        <f>IF($B82=0,"",_xlfn.XLOOKUP($B82,INPUT_DATA!$BP:$BP,INPUT_DATA!CO:CO))</f>
        <v/>
      </c>
      <c r="AO82" s="139" t="str">
        <f t="shared" si="32"/>
        <v/>
      </c>
      <c r="AP82" s="1275" t="str">
        <f>IF($B82=0,"",_xlfn.XLOOKUP($B82,INPUT_DATA!$BP:$BP,INPUT_DATA!CP:CP))</f>
        <v/>
      </c>
      <c r="AQ82" s="139" t="str">
        <f t="shared" si="33"/>
        <v/>
      </c>
      <c r="AR82" s="1275" t="str">
        <f t="shared" si="34"/>
        <v/>
      </c>
    </row>
    <row r="83" spans="2:44" ht="1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IF($B83=0,"",_xlfn.XLOOKUP($B83,INPUT_DATA!$BP:$BP,INPUT_DATA!BT:BT))</f>
        <v/>
      </c>
      <c r="G83" s="140" t="str">
        <f t="shared" si="19"/>
        <v/>
      </c>
      <c r="H83" s="1291" t="str">
        <f>IF($B83=0,"",_xlfn.XLOOKUP($B83,INPUT_DATA!$BP:$BP,INPUT_DATA!BU:BU))</f>
        <v/>
      </c>
      <c r="I83" s="140" t="str">
        <f>IF($B83=0,"",_xlfn.XLOOKUP($B83,INPUT_DATA!$BP:$BP,INPUT_DATA!BV:BV))</f>
        <v/>
      </c>
      <c r="J83" s="140" t="str">
        <f>IF($B83=0,"",_xlfn.XLOOKUP($B83,INPUT_DATA!$BP:$BP,INPUT_DATA!BW:BW))</f>
        <v/>
      </c>
      <c r="K83" s="140" t="str">
        <f>IF($B83=0,"",_xlfn.XLOOKUP($B83,INPUT_DATA!$BP:$BP,INPUT_DATA!BX:BX))</f>
        <v/>
      </c>
      <c r="L83" s="140" t="str">
        <f t="shared" si="20"/>
        <v/>
      </c>
      <c r="M83" s="1291" t="str">
        <f>IF($B83=0,"",_xlfn.XLOOKUP($B83,INPUT_DATA!$BP:$BP,INPUT_DATA!BY:BY))</f>
        <v/>
      </c>
      <c r="N83" s="140" t="str">
        <f>IF($B83=0,"",_xlfn.XLOOKUP($B83,INPUT_DATA!$BP:$BP,INPUT_DATA!BZ:BZ))</f>
        <v/>
      </c>
      <c r="O83" s="140" t="str">
        <f>IF($B83=0,"",_xlfn.XLOOKUP($B83,INPUT_DATA!$BP:$BP,INPUT_DATA!CA:CA))</f>
        <v/>
      </c>
      <c r="P83" s="140" t="str">
        <f>IF($B83=0,"",_xlfn.XLOOKUP($B83,INPUT_DATA!$BP:$BP,INPUT_DATA!CB:CB))</f>
        <v/>
      </c>
      <c r="Q83" s="140" t="str">
        <f t="shared" si="21"/>
        <v/>
      </c>
      <c r="R83" s="1275" t="str">
        <f t="shared" si="22"/>
        <v/>
      </c>
      <c r="S83" s="139" t="str">
        <f t="shared" si="23"/>
        <v/>
      </c>
      <c r="T83" s="139" t="str">
        <f t="shared" si="24"/>
        <v/>
      </c>
      <c r="U83" s="1880" t="str">
        <f t="shared" si="25"/>
        <v/>
      </c>
      <c r="V83" s="139" t="str">
        <f t="shared" si="26"/>
        <v/>
      </c>
      <c r="W83" s="140" t="str">
        <f>IF($B83=0,"",_xlfn.XLOOKUP($B83,INPUT_DATA!$BP:$BP,INPUT_DATA!CC:CC))</f>
        <v/>
      </c>
      <c r="X83" s="140" t="str">
        <f>IF($B83=0,"",_xlfn.XLOOKUP($B83,INPUT_DATA!$BP:$BP,INPUT_DATA!CD:CD))</f>
        <v/>
      </c>
      <c r="Y83" s="140" t="str">
        <f>IF($B83=0,"",_xlfn.XLOOKUP($B83,INPUT_DATA!$BP:$BP,INPUT_DATA!CE:CE))</f>
        <v/>
      </c>
      <c r="Z83" s="1299" t="str">
        <f t="shared" si="27"/>
        <v/>
      </c>
      <c r="AA83" s="124" t="str">
        <f t="shared" si="28"/>
        <v/>
      </c>
      <c r="AB83" s="124" t="str">
        <f>IF($B83=0,"",_xlfn.XLOOKUP($B83,INPUT_DATA!$BP:$BP,INPUT_DATA!CF:CF))</f>
        <v/>
      </c>
      <c r="AC83" s="140" t="str">
        <f>IF($B83=0,"",_xlfn.XLOOKUP($B83,INPUT_DATA!$BP:$BP,INPUT_DATA!CG:CG))</f>
        <v/>
      </c>
      <c r="AD83" s="140" t="str">
        <f>IF($B83=0,"",_xlfn.XLOOKUP($B83,INPUT_DATA!$BP:$BP,INPUT_DATA!CH:CH))</f>
        <v/>
      </c>
      <c r="AE83" s="140" t="str">
        <f>IF($B83=0,"",_xlfn.XLOOKUP($B83,INPUT_DATA!$BP:$BP,INPUT_DATA!CI:CI))</f>
        <v/>
      </c>
      <c r="AF83" s="1299" t="str">
        <f t="shared" si="29"/>
        <v/>
      </c>
      <c r="AG83" s="124"/>
      <c r="AH83" s="124" t="str">
        <f t="shared" si="30"/>
        <v/>
      </c>
      <c r="AI83" s="1274" t="str">
        <f>IF($B83=0,"",_xlfn.XLOOKUP($B83,INPUT_DATA!$BP:$BP,INPUT_DATA!CK:CK))</f>
        <v/>
      </c>
      <c r="AJ83" s="140" t="str">
        <f>IF($B83=0,"",_xlfn.XLOOKUP($B83,INPUT_DATA!$BP:$BP,INPUT_DATA!CL:CL))</f>
        <v/>
      </c>
      <c r="AK83" s="140" t="str">
        <f>IF($B83=0,"",_xlfn.XLOOKUP($B83,INPUT_DATA!$BP:$BP,INPUT_DATA!CM:CM))</f>
        <v/>
      </c>
      <c r="AL83" s="140" t="str">
        <f>IF($B83=0,"",_xlfn.XLOOKUP($B83,INPUT_DATA!$BP:$BP,INPUT_DATA!CN:CN))</f>
        <v/>
      </c>
      <c r="AM83" s="1299" t="str">
        <f t="shared" si="31"/>
        <v/>
      </c>
      <c r="AN83" s="124" t="str">
        <f>IF($B83=0,"",_xlfn.XLOOKUP($B83,INPUT_DATA!$BP:$BP,INPUT_DATA!CO:CO))</f>
        <v/>
      </c>
      <c r="AO83" s="124" t="str">
        <f t="shared" si="32"/>
        <v/>
      </c>
      <c r="AP83" s="1274" t="str">
        <f>IF($B83=0,"",_xlfn.XLOOKUP($B83,INPUT_DATA!$BP:$BP,INPUT_DATA!CP:CP))</f>
        <v/>
      </c>
      <c r="AQ83" s="124" t="str">
        <f t="shared" si="33"/>
        <v/>
      </c>
      <c r="AR83" s="1274" t="str">
        <f t="shared" si="34"/>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13" t="s">
        <v>99</v>
      </c>
      <c r="G3" s="1213">
        <f>'00 - Cover'!$F$17</f>
        <v>46203</v>
      </c>
      <c r="H3" s="37"/>
      <c r="I3" s="39"/>
      <c r="J3" s="39"/>
    </row>
    <row r="4" spans="1:10" ht="14.5" customHeight="1">
      <c r="A4" s="35"/>
      <c r="B4" s="37"/>
      <c r="C4" s="37"/>
      <c r="D4" s="37"/>
      <c r="E4" s="37"/>
      <c r="F4" s="1213" t="s">
        <v>4</v>
      </c>
      <c r="G4" s="1213">
        <f>'00 - Cover'!$F$19</f>
        <v>46223</v>
      </c>
      <c r="H4" s="37"/>
      <c r="I4" s="39"/>
      <c r="J4" s="39"/>
    </row>
    <row r="5" spans="1:10" ht="14.5" customHeight="1">
      <c r="A5" s="35"/>
      <c r="B5" s="37"/>
      <c r="C5" s="37"/>
      <c r="D5" s="37"/>
      <c r="E5" s="37"/>
      <c r="F5" s="1213" t="s">
        <v>5</v>
      </c>
      <c r="G5" s="1213">
        <f>'00 - Cover'!$F$20</f>
        <v>46230</v>
      </c>
      <c r="H5" s="37"/>
      <c r="I5" s="39"/>
      <c r="J5" s="39"/>
    </row>
    <row r="6" spans="1:10" ht="1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5" customHeight="1">
      <c r="A11" s="234"/>
      <c r="B11" s="235" t="s">
        <v>100</v>
      </c>
      <c r="C11" s="235" t="s">
        <v>603</v>
      </c>
      <c r="D11" s="235" t="s">
        <v>1356</v>
      </c>
      <c r="E11" s="235" t="s">
        <v>101</v>
      </c>
      <c r="F11" s="235" t="s">
        <v>1355</v>
      </c>
    </row>
    <row r="12" spans="1:10">
      <c r="A12" s="234"/>
      <c r="B12" s="236">
        <f>+'02 - Monthly Asset Follow up'!B17</f>
        <v>46203</v>
      </c>
      <c r="C12" s="237">
        <f>D12*12</f>
        <v>2.4147098713881602E-2</v>
      </c>
      <c r="D12" s="237">
        <f>IF(OR(B12=0,F12=""),"",E12/F12)</f>
        <v>2.0122582261568002E-3</v>
      </c>
      <c r="E12" s="1739">
        <f>IF(B12=0,"",'02 - Monthly Asset Follow up'!F17)</f>
        <v>21785339.800000001</v>
      </c>
      <c r="F12" s="1742">
        <f>IF(B12=0,"",'02 - Monthly Asset Follow up'!C17)</f>
        <v>10826314196.07</v>
      </c>
      <c r="G12" s="1741"/>
    </row>
    <row r="13" spans="1:10">
      <c r="A13" s="234"/>
      <c r="B13" s="254">
        <f>+'02 - Monthly Asset Follow up'!B18</f>
        <v>46173</v>
      </c>
      <c r="C13" s="1509">
        <f>IF(OR(B13=0,F13=""),"",D13*12)</f>
        <v>2.2728418660031762E-2</v>
      </c>
      <c r="D13" s="1509">
        <f t="shared" ref="D13:D71" si="0">IF(OR(B13=0,F13=""),"",E13/F13)</f>
        <v>1.8940348883359802E-3</v>
      </c>
      <c r="E13" s="1731">
        <f>IF(B14=0,"",'02 - Monthly Asset Follow up'!F18)</f>
        <v>20665137.280000001</v>
      </c>
      <c r="F13" s="1740">
        <f>IF(B14=0,"",'02 - Monthly Asset Follow up'!C18)</f>
        <v>10910642357.889999</v>
      </c>
      <c r="H13" s="1430"/>
    </row>
    <row r="14" spans="1:10">
      <c r="A14" s="234"/>
      <c r="B14" s="254">
        <f>+'02 - Monthly Asset Follow up'!B19</f>
        <v>46142</v>
      </c>
      <c r="C14" s="1509">
        <f t="shared" ref="C14:C71" si="1">IF(OR(B14=0,F14=""),"",D14*12)</f>
        <v>2.8184419033287104E-2</v>
      </c>
      <c r="D14" s="1509">
        <f t="shared" si="0"/>
        <v>2.3487015861072586E-3</v>
      </c>
      <c r="E14" s="1731">
        <f>IF(B15=0,"",'02 - Monthly Asset Follow up'!F19)</f>
        <v>25843781</v>
      </c>
      <c r="F14" s="1731">
        <f>IF(B15=0,"",'02 - Monthly Asset Follow up'!C19)</f>
        <v>11003433195.969999</v>
      </c>
    </row>
    <row r="15" spans="1:10">
      <c r="B15" s="254">
        <f>+'02 - Monthly Asset Follow up'!B20</f>
        <v>46112</v>
      </c>
      <c r="C15" s="1509">
        <f t="shared" si="1"/>
        <v>2.9979008566971561E-2</v>
      </c>
      <c r="D15" s="1509">
        <f t="shared" si="0"/>
        <v>2.4982507139142966E-3</v>
      </c>
      <c r="E15" s="1731">
        <f>IF(B16=0,"",'02 - Monthly Asset Follow up'!F20)</f>
        <v>27792090.75</v>
      </c>
      <c r="F15" s="1731">
        <f>IF(B16=0,"",'02 - Monthly Asset Follow up'!C20)</f>
        <v>11124620357.440001</v>
      </c>
    </row>
    <row r="16" spans="1:10">
      <c r="B16" s="254">
        <f>+'02 - Monthly Asset Follow up'!B21</f>
        <v>46081</v>
      </c>
      <c r="C16" s="1509">
        <f t="shared" si="1"/>
        <v>2.8492385795054507E-2</v>
      </c>
      <c r="D16" s="1509">
        <f t="shared" si="0"/>
        <v>2.3743654829212089E-3</v>
      </c>
      <c r="E16" s="1731">
        <f>IF(B17=0,"",'02 - Monthly Asset Follow up'!F21)</f>
        <v>26628699.350000001</v>
      </c>
      <c r="F16" s="1731">
        <f>IF(B17=0,"",'02 - Monthly Asset Follow up'!C21)</f>
        <v>11215080214.709999</v>
      </c>
    </row>
    <row r="17" spans="2:6">
      <c r="B17" s="254">
        <f>+'02 - Monthly Asset Follow up'!B22</f>
        <v>46053</v>
      </c>
      <c r="C17" s="1509">
        <f t="shared" si="1"/>
        <v>3.3877097718411769E-2</v>
      </c>
      <c r="D17" s="1509">
        <f t="shared" si="0"/>
        <v>2.823091476534314E-3</v>
      </c>
      <c r="E17" s="1731">
        <f>IF(B18=0,"",'02 - Monthly Asset Follow up'!F22)</f>
        <v>31941079.600000001</v>
      </c>
      <c r="F17" s="1731">
        <f>IF(B18=0,"",'02 - Monthly Asset Follow up'!C22)</f>
        <v>11314220550.59</v>
      </c>
    </row>
    <row r="18" spans="2:6">
      <c r="B18" s="254">
        <f>+'02 - Monthly Asset Follow up'!B23</f>
        <v>46022</v>
      </c>
      <c r="C18" s="1509">
        <f t="shared" si="1"/>
        <v>2.9761868439498192E-2</v>
      </c>
      <c r="D18" s="1509">
        <f t="shared" si="0"/>
        <v>2.4801557032915161E-3</v>
      </c>
      <c r="E18" s="1731">
        <f>IF(B19=0,"",'02 - Monthly Asset Follow up'!F23)</f>
        <v>28299915.91</v>
      </c>
      <c r="F18" s="1731">
        <f>IF(B19=0,"",'02 - Monthly Asset Follow up'!C23)</f>
        <v>11410540020.709999</v>
      </c>
    </row>
    <row r="19" spans="2:6">
      <c r="B19" s="254">
        <f>+'02 - Monthly Asset Follow up'!B24</f>
        <v>45991</v>
      </c>
      <c r="C19" s="1509">
        <f t="shared" si="1"/>
        <v>2.50785179838309E-2</v>
      </c>
      <c r="D19" s="1509">
        <f t="shared" si="0"/>
        <v>2.089876498652575E-3</v>
      </c>
      <c r="E19" s="1731">
        <f>IF(B20=0,"",'02 - Monthly Asset Follow up'!F24)</f>
        <v>24036133.25</v>
      </c>
      <c r="F19" s="1731">
        <f>IF(B20=0,"",'02 - Monthly Asset Follow up'!C24)</f>
        <v>11501221849.950001</v>
      </c>
    </row>
    <row r="20" spans="2:6">
      <c r="B20" s="254">
        <f>+'02 - Monthly Asset Follow up'!B25</f>
        <v>45961</v>
      </c>
      <c r="C20" s="1509">
        <f t="shared" si="1"/>
        <v>3.1977054959562295E-2</v>
      </c>
      <c r="D20" s="1509">
        <f t="shared" si="0"/>
        <v>2.6647545799635243E-3</v>
      </c>
      <c r="E20" s="1731">
        <f>IF(B21=0,"",'02 - Monthly Asset Follow up'!F25)</f>
        <v>30948441.43</v>
      </c>
      <c r="F20" s="1731">
        <f>IF(B21=0,"",'02 - Monthly Asset Follow up'!C25)</f>
        <v>11613993146.950001</v>
      </c>
    </row>
    <row r="21" spans="2:6">
      <c r="B21" s="254">
        <f>+'02 - Monthly Asset Follow up'!B26</f>
        <v>45930</v>
      </c>
      <c r="C21" s="1509">
        <f t="shared" si="1"/>
        <v>2.9294841021539758E-2</v>
      </c>
      <c r="D21" s="1509">
        <f t="shared" si="0"/>
        <v>2.4412367517949798E-3</v>
      </c>
      <c r="E21" s="1731">
        <f>IF(B22=0,"",'02 - Monthly Asset Follow up'!F26)</f>
        <v>18140271.010000002</v>
      </c>
      <c r="F21" s="1731">
        <f>IF(B22=0,"",'02 - Monthly Asset Follow up'!C26)</f>
        <v>7430770897.8500004</v>
      </c>
    </row>
    <row r="22" spans="2:6">
      <c r="B22" s="254">
        <f>+'02 - Monthly Asset Follow up'!B27</f>
        <v>45900</v>
      </c>
      <c r="C22" s="1509">
        <f t="shared" si="1"/>
        <v>3.8981747393720401E-2</v>
      </c>
      <c r="D22" s="1509">
        <f t="shared" si="0"/>
        <v>3.2484789494766999E-3</v>
      </c>
      <c r="E22" s="1731">
        <f>IF(B23=0,"",'02 - Monthly Asset Follow up'!F27)</f>
        <v>24368146.75</v>
      </c>
      <c r="F22" s="1731">
        <f>IF(B23=0,"",'02 - Monthly Asset Follow up'!C27)</f>
        <v>7501402080.4799995</v>
      </c>
    </row>
    <row r="23" spans="2:6">
      <c r="B23" s="254">
        <f>+'02 - Monthly Asset Follow up'!B28</f>
        <v>45869</v>
      </c>
      <c r="C23" s="1509">
        <f t="shared" si="1"/>
        <v>3.7301120015781175E-2</v>
      </c>
      <c r="D23" s="1509">
        <f t="shared" si="0"/>
        <v>3.1084266679817646E-3</v>
      </c>
      <c r="E23" s="1731">
        <f>IF(B24=0,"",'02 - Monthly Asset Follow up'!F28)</f>
        <v>23530806</v>
      </c>
      <c r="F23" s="1731">
        <f>IF(B24=0,"",'02 - Monthly Asset Follow up'!C28)</f>
        <v>7570005186.9899998</v>
      </c>
    </row>
    <row r="24" spans="2:6">
      <c r="B24" s="254">
        <f>+'02 - Monthly Asset Follow up'!B29</f>
        <v>45838</v>
      </c>
      <c r="C24" s="1509">
        <f t="shared" si="1"/>
        <v>2.7351720339595587E-2</v>
      </c>
      <c r="D24" s="1509">
        <f t="shared" si="0"/>
        <v>2.2793100282996323E-3</v>
      </c>
      <c r="E24" s="1731">
        <f>IF(B25=0,"",'02 - Monthly Asset Follow up'!F29)</f>
        <v>17402933.100000001</v>
      </c>
      <c r="F24" s="1731">
        <f>IF(B25=0,"",'02 - Monthly Asset Follow up'!C29)</f>
        <v>7635175945.3199997</v>
      </c>
    </row>
    <row r="25" spans="2:6">
      <c r="B25" s="254">
        <f>+'02 - Monthly Asset Follow up'!B30</f>
        <v>45808</v>
      </c>
      <c r="C25" s="1509">
        <f t="shared" si="1"/>
        <v>3.041708720881265E-2</v>
      </c>
      <c r="D25" s="1509">
        <f t="shared" si="0"/>
        <v>2.5347572674010543E-3</v>
      </c>
      <c r="E25" s="1731">
        <f>IF(B26=0,"",'02 - Monthly Asset Follow up'!F30)</f>
        <v>19519847.550000001</v>
      </c>
      <c r="F25" s="1731">
        <f>IF(B26=0,"",'02 - Monthly Asset Follow up'!C30)</f>
        <v>7700874478.6099997</v>
      </c>
    </row>
    <row r="26" spans="2:6">
      <c r="B26" s="254">
        <f>+'02 - Monthly Asset Follow up'!B31</f>
        <v>45777</v>
      </c>
      <c r="C26" s="1509">
        <f t="shared" si="1"/>
        <v>2.2945293583650217E-2</v>
      </c>
      <c r="D26" s="1509">
        <f t="shared" si="0"/>
        <v>1.9121077986375182E-3</v>
      </c>
      <c r="E26" s="1731">
        <f>IF(B27=0,"",'02 - Monthly Asset Follow up'!F31)</f>
        <v>14842897.939999999</v>
      </c>
      <c r="F26" s="1731">
        <f>IF(B27=0,"",'02 - Monthly Asset Follow up'!C31)</f>
        <v>7762584280.3299999</v>
      </c>
    </row>
    <row r="27" spans="2:6">
      <c r="B27" s="254">
        <f>+'02 - Monthly Asset Follow up'!B32</f>
        <v>45747</v>
      </c>
      <c r="C27" s="1509">
        <f t="shared" si="1"/>
        <v>2.3177549311461491E-2</v>
      </c>
      <c r="D27" s="1509">
        <f t="shared" si="0"/>
        <v>1.9314624426217909E-3</v>
      </c>
      <c r="E27" s="1731">
        <f>IF(B28=0,"",'02 - Monthly Asset Follow up'!F32)</f>
        <v>15107591.52</v>
      </c>
      <c r="F27" s="1731">
        <f>IF(B28=0,"",'02 - Monthly Asset Follow up'!C32)</f>
        <v>7821840687.46</v>
      </c>
    </row>
    <row r="28" spans="2:6">
      <c r="B28" s="254">
        <f>+'02 - Monthly Asset Follow up'!B33</f>
        <v>45716</v>
      </c>
      <c r="C28" s="1509">
        <f t="shared" si="1"/>
        <v>2.079140098954417E-2</v>
      </c>
      <c r="D28" s="1509">
        <f t="shared" si="0"/>
        <v>1.7326167491286807E-3</v>
      </c>
      <c r="E28" s="1731">
        <f>IF(B29=0,"",'02 - Monthly Asset Follow up'!F33)</f>
        <v>13656654.539999999</v>
      </c>
      <c r="F28" s="1731">
        <f>IF(B29=0,"",'02 - Monthly Asset Follow up'!C33)</f>
        <v>7882097726.96</v>
      </c>
    </row>
    <row r="29" spans="2:6">
      <c r="B29" s="254">
        <f>+'02 - Monthly Asset Follow up'!B34</f>
        <v>45688</v>
      </c>
      <c r="C29" s="1509">
        <f t="shared" si="1"/>
        <v>2.0851509775843345E-2</v>
      </c>
      <c r="D29" s="1509">
        <f t="shared" si="0"/>
        <v>1.737625814653612E-3</v>
      </c>
      <c r="E29" s="1731">
        <f>IF(B30=0,"",'02 - Monthly Asset Follow up'!F34)</f>
        <v>13800626.789999999</v>
      </c>
      <c r="F29" s="1731">
        <f>IF(B30=0,"",'02 - Monthly Asset Follow up'!C34)</f>
        <v>7942231678.1999998</v>
      </c>
    </row>
    <row r="30" spans="2:6">
      <c r="B30" s="254">
        <f>+'02 - Monthly Asset Follow up'!B35</f>
        <v>45657</v>
      </c>
      <c r="C30" s="1509">
        <f t="shared" si="1"/>
        <v>2.1983647908994354E-2</v>
      </c>
      <c r="D30" s="1509">
        <f t="shared" si="0"/>
        <v>1.8319706590828628E-3</v>
      </c>
      <c r="E30" s="1731">
        <f>IF(B31=0,"",'02 - Monthly Asset Follow up'!F35)</f>
        <v>14770590.32</v>
      </c>
      <c r="F30" s="1731">
        <f>IF(B31=0,"",'02 - Monthly Asset Follow up'!C35)</f>
        <v>8062678431.4300003</v>
      </c>
    </row>
    <row r="31" spans="2:6">
      <c r="B31" s="254">
        <f>+'02 - Monthly Asset Follow up'!B36</f>
        <v>45626</v>
      </c>
      <c r="C31" s="1509">
        <f t="shared" si="1"/>
        <v>1.8885672054024097E-2</v>
      </c>
      <c r="D31" s="1509">
        <f t="shared" si="0"/>
        <v>1.573806004502008E-3</v>
      </c>
      <c r="E31" s="1731">
        <f>IF(B32=0,"",'02 - Monthly Asset Follow up'!F36)</f>
        <v>12780562.119999999</v>
      </c>
      <c r="F31" s="1731">
        <f>IF(B32=0,"",'02 - Monthly Asset Follow up'!C36)</f>
        <v>8120798931.6599998</v>
      </c>
    </row>
    <row r="32" spans="2:6">
      <c r="B32" s="254">
        <f>+'02 - Monthly Asset Follow up'!B37</f>
        <v>45596</v>
      </c>
      <c r="C32" s="1509">
        <f t="shared" si="1"/>
        <v>1.8445462020741064E-2</v>
      </c>
      <c r="D32" s="1509">
        <f t="shared" si="0"/>
        <v>1.5371218350617552E-3</v>
      </c>
      <c r="E32" s="1731">
        <f>IF(B33=0,"",'02 - Monthly Asset Follow up'!F37)</f>
        <v>12577297.26</v>
      </c>
      <c r="F32" s="1731">
        <f>IF(B33=0,"",'02 - Monthly Asset Follow up'!C37)</f>
        <v>8182368484.4700003</v>
      </c>
    </row>
    <row r="33" spans="2:6">
      <c r="B33" s="254">
        <f>+'02 - Monthly Asset Follow up'!B38</f>
        <v>45565</v>
      </c>
      <c r="C33" s="1509" t="str">
        <f t="shared" si="1"/>
        <v/>
      </c>
      <c r="D33" s="1509" t="str">
        <f t="shared" si="0"/>
        <v/>
      </c>
      <c r="E33" s="1731" t="str">
        <f>IF(B34=0,"",'02 - Monthly Asset Follow up'!F38)</f>
        <v/>
      </c>
      <c r="F33" s="1731" t="str">
        <f>IF(B34=0,"",'02 - Monthly Asset Follow up'!C38)</f>
        <v/>
      </c>
    </row>
    <row r="34" spans="2:6">
      <c r="B34" s="254">
        <f>+'02 - Monthly Asset Follow up'!B39</f>
        <v>0</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election activeCell="K327" sqref="K327"/>
    </sheetView>
  </sheetViews>
  <sheetFormatPr defaultColWidth="9.1796875" defaultRowHeight="12.5"/>
  <cols>
    <col min="1" max="1" width="4" style="240" bestFit="1" customWidth="1"/>
    <col min="2" max="2" width="16.81640625" style="241" customWidth="1"/>
    <col min="3" max="3" width="1.453125" style="241" customWidth="1"/>
    <col min="4" max="6" width="27.453125" style="241" customWidth="1"/>
    <col min="7" max="7" width="20.1796875" style="241" customWidth="1"/>
    <col min="8" max="8" width="19.54296875" style="241" bestFit="1" customWidth="1"/>
    <col min="9" max="16384" width="9.1796875" style="241"/>
  </cols>
  <sheetData>
    <row r="3" spans="1:8" ht="14.5">
      <c r="F3" s="242"/>
      <c r="G3" s="1213" t="s">
        <v>99</v>
      </c>
      <c r="H3" s="1213">
        <f>'00 - Cover'!$F$17</f>
        <v>46203</v>
      </c>
    </row>
    <row r="4" spans="1:8" ht="14.5">
      <c r="F4" s="242"/>
      <c r="G4" s="1213" t="s">
        <v>4</v>
      </c>
      <c r="H4" s="1213">
        <f>'00 - Cover'!$F$19</f>
        <v>46223</v>
      </c>
    </row>
    <row r="5" spans="1:8" ht="14.5">
      <c r="F5" s="242"/>
      <c r="G5" s="1213" t="s">
        <v>5</v>
      </c>
      <c r="H5" s="1213">
        <f>'00 - Cover'!$F$20</f>
        <v>46230</v>
      </c>
    </row>
    <row r="6" spans="1:8" ht="13">
      <c r="G6" s="82"/>
      <c r="H6" s="82"/>
    </row>
    <row r="8" spans="1:8" ht="15.5">
      <c r="B8" s="44" t="s">
        <v>2001</v>
      </c>
      <c r="C8" s="84"/>
      <c r="D8" s="84"/>
      <c r="E8" s="84"/>
      <c r="F8" s="84"/>
      <c r="G8" s="84"/>
      <c r="H8" s="84"/>
    </row>
    <row r="9" spans="1:8" ht="13" thickBot="1"/>
    <row r="10" spans="1:8" ht="18.649999999999999" customHeight="1">
      <c r="A10" s="243"/>
      <c r="B10" s="1942" t="s">
        <v>102</v>
      </c>
      <c r="C10" s="244"/>
      <c r="D10" s="1942" t="s">
        <v>103</v>
      </c>
      <c r="E10" s="1942" t="s">
        <v>104</v>
      </c>
      <c r="F10" s="1942" t="s">
        <v>105</v>
      </c>
      <c r="G10" s="245"/>
    </row>
    <row r="11" spans="1:8" ht="18">
      <c r="A11" s="243"/>
      <c r="B11" s="1943"/>
      <c r="C11" s="244"/>
      <c r="D11" s="1943"/>
      <c r="E11" s="1943"/>
      <c r="F11" s="1943"/>
      <c r="G11" s="245"/>
    </row>
    <row r="12" spans="1:8" ht="13.5" thickBot="1">
      <c r="A12" s="243"/>
      <c r="B12" s="1944"/>
      <c r="C12" s="246"/>
      <c r="D12" s="1944"/>
      <c r="E12" s="1944"/>
      <c r="F12" s="1944"/>
      <c r="G12" s="245"/>
    </row>
    <row r="13" spans="1:8" ht="13">
      <c r="A13" s="243"/>
      <c r="B13" s="1547">
        <v>46203</v>
      </c>
      <c r="C13" s="247"/>
      <c r="D13" s="1541">
        <v>10825993837.959999</v>
      </c>
      <c r="E13" s="1539">
        <v>57682099.340000004</v>
      </c>
      <c r="F13" s="1540">
        <v>15167202.66</v>
      </c>
      <c r="G13" s="248"/>
      <c r="H13" s="1700">
        <f>D13-'02 - Monthly Asset Follow up'!P17</f>
        <v>94584110.149999619</v>
      </c>
    </row>
    <row r="14" spans="1:8" ht="13">
      <c r="A14" s="243"/>
      <c r="B14" s="1204">
        <v>46234</v>
      </c>
      <c r="C14" s="247"/>
      <c r="D14" s="1541">
        <v>10768311738.620001</v>
      </c>
      <c r="E14" s="1542">
        <v>57813265.840000004</v>
      </c>
      <c r="F14" s="1543">
        <v>15084668.91</v>
      </c>
      <c r="G14" s="245"/>
    </row>
    <row r="15" spans="1:8" ht="13">
      <c r="A15" s="243"/>
      <c r="B15" s="1204">
        <v>46265</v>
      </c>
      <c r="C15" s="247"/>
      <c r="D15" s="1541">
        <v>10710498472.780001</v>
      </c>
      <c r="E15" s="1542">
        <v>57870502.420000002</v>
      </c>
      <c r="F15" s="1543">
        <v>15025293.1</v>
      </c>
      <c r="G15" s="245"/>
      <c r="H15" s="1704">
        <f>'02 - Monthly Asset Follow up'!P17</f>
        <v>10731409727.809999</v>
      </c>
    </row>
    <row r="16" spans="1:8" ht="13">
      <c r="A16" s="243"/>
      <c r="B16" s="1204">
        <v>46295</v>
      </c>
      <c r="C16" s="247"/>
      <c r="D16" s="1541">
        <v>10652627970.360001</v>
      </c>
      <c r="E16" s="1542">
        <v>57955333.619999997</v>
      </c>
      <c r="F16" s="1543">
        <v>14952988.77</v>
      </c>
      <c r="G16" s="245"/>
    </row>
    <row r="17" spans="1:7" ht="13">
      <c r="A17" s="243"/>
      <c r="B17" s="1204">
        <v>46326</v>
      </c>
      <c r="C17" s="247"/>
      <c r="D17" s="1541">
        <v>10594672636.74</v>
      </c>
      <c r="E17" s="1542">
        <v>58039490.920000002</v>
      </c>
      <c r="F17" s="1543">
        <v>14868067.25</v>
      </c>
      <c r="G17" s="245"/>
    </row>
    <row r="18" spans="1:7" ht="13">
      <c r="A18" s="243"/>
      <c r="B18" s="1204">
        <v>46356</v>
      </c>
      <c r="C18" s="247"/>
      <c r="D18" s="1541">
        <v>10536633145.82</v>
      </c>
      <c r="E18" s="1542">
        <v>58094222.25</v>
      </c>
      <c r="F18" s="1543">
        <v>14807946.119999999</v>
      </c>
      <c r="G18" s="245"/>
    </row>
    <row r="19" spans="1:7" ht="13">
      <c r="A19" s="243"/>
      <c r="B19" s="1204">
        <v>46387</v>
      </c>
      <c r="C19" s="247"/>
      <c r="D19" s="1541">
        <v>10478538923.57</v>
      </c>
      <c r="E19" s="1542">
        <v>58149324.369999997</v>
      </c>
      <c r="F19" s="1543">
        <v>14723007.460000001</v>
      </c>
      <c r="G19" s="245"/>
    </row>
    <row r="20" spans="1:7" ht="13">
      <c r="A20" s="243"/>
      <c r="B20" s="1204">
        <v>46418</v>
      </c>
      <c r="C20" s="247"/>
      <c r="D20" s="1541">
        <v>10420389599.200001</v>
      </c>
      <c r="E20" s="1542">
        <v>58188071.479999997</v>
      </c>
      <c r="F20" s="1543">
        <v>14662387.109999999</v>
      </c>
      <c r="G20" s="245"/>
    </row>
    <row r="21" spans="1:7" ht="13">
      <c r="A21" s="243"/>
      <c r="B21" s="1204">
        <v>46446</v>
      </c>
      <c r="C21" s="247"/>
      <c r="D21" s="1541">
        <v>10362201527.719999</v>
      </c>
      <c r="E21" s="1542">
        <v>58245164.130000003</v>
      </c>
      <c r="F21" s="1543">
        <v>14589379.1</v>
      </c>
      <c r="G21" s="245"/>
    </row>
    <row r="22" spans="1:7" ht="13">
      <c r="A22" s="243"/>
      <c r="B22" s="1204">
        <v>46477</v>
      </c>
      <c r="C22" s="247"/>
      <c r="D22" s="1541">
        <v>10303956363.59</v>
      </c>
      <c r="E22" s="1542">
        <v>58334952.549999997</v>
      </c>
      <c r="F22" s="1543">
        <v>14481157.65</v>
      </c>
      <c r="G22" s="245"/>
    </row>
    <row r="23" spans="1:7" ht="13">
      <c r="A23" s="243"/>
      <c r="B23" s="1204">
        <v>46507</v>
      </c>
      <c r="C23" s="247"/>
      <c r="D23" s="1541">
        <v>10245621411.040001</v>
      </c>
      <c r="E23" s="1542">
        <v>58328631.369999997</v>
      </c>
      <c r="F23" s="1543">
        <v>14443483.32</v>
      </c>
      <c r="G23" s="245"/>
    </row>
    <row r="24" spans="1:7" ht="13">
      <c r="A24" s="243"/>
      <c r="B24" s="1204">
        <v>46538</v>
      </c>
      <c r="C24" s="247"/>
      <c r="D24" s="1541">
        <v>10187292779.67</v>
      </c>
      <c r="E24" s="1542">
        <v>58393219.630000003</v>
      </c>
      <c r="F24" s="1543">
        <v>14358597.359999999</v>
      </c>
      <c r="G24" s="245"/>
    </row>
    <row r="25" spans="1:7" ht="13">
      <c r="A25" s="243"/>
      <c r="B25" s="1204">
        <v>46568</v>
      </c>
      <c r="C25" s="247"/>
      <c r="D25" s="1541">
        <v>10128899560.040001</v>
      </c>
      <c r="E25" s="1542">
        <v>58408059.759999998</v>
      </c>
      <c r="F25" s="1543">
        <v>14296830.07</v>
      </c>
      <c r="G25" s="245"/>
    </row>
    <row r="26" spans="1:7" ht="13">
      <c r="A26" s="243"/>
      <c r="B26" s="1204">
        <v>46599</v>
      </c>
      <c r="C26" s="247"/>
      <c r="D26" s="1541">
        <v>10070491500.280001</v>
      </c>
      <c r="E26" s="1542">
        <v>58433298.560000002</v>
      </c>
      <c r="F26" s="1543">
        <v>14211984</v>
      </c>
      <c r="G26" s="245"/>
    </row>
    <row r="27" spans="1:7" ht="13">
      <c r="A27" s="243"/>
      <c r="B27" s="1204">
        <v>46630</v>
      </c>
      <c r="C27" s="247"/>
      <c r="D27" s="1541">
        <v>10012058201.719999</v>
      </c>
      <c r="E27" s="1542">
        <v>58423076.780000001</v>
      </c>
      <c r="F27" s="1543">
        <v>14149836.289999999</v>
      </c>
      <c r="G27" s="245"/>
    </row>
    <row r="28" spans="1:7" ht="13">
      <c r="A28" s="243"/>
      <c r="B28" s="1204">
        <v>46660</v>
      </c>
      <c r="C28" s="247"/>
      <c r="D28" s="1541">
        <v>9953635124.9400005</v>
      </c>
      <c r="E28" s="1542">
        <v>58417847.840000004</v>
      </c>
      <c r="F28" s="1543">
        <v>14076608.74</v>
      </c>
      <c r="G28" s="245"/>
    </row>
    <row r="29" spans="1:7" ht="13">
      <c r="A29" s="243"/>
      <c r="B29" s="1204">
        <v>46691</v>
      </c>
      <c r="C29" s="247"/>
      <c r="D29" s="1541">
        <v>9895217277.1000004</v>
      </c>
      <c r="E29" s="1542">
        <v>58430896.640000001</v>
      </c>
      <c r="F29" s="1543">
        <v>13992103.789999999</v>
      </c>
      <c r="G29" s="245"/>
    </row>
    <row r="30" spans="1:7" ht="13">
      <c r="A30" s="243"/>
      <c r="B30" s="1204">
        <v>46721</v>
      </c>
      <c r="C30" s="247"/>
      <c r="D30" s="1541">
        <v>9836786380.4599991</v>
      </c>
      <c r="E30" s="1542">
        <v>58417128.289999999</v>
      </c>
      <c r="F30" s="1543">
        <v>13929479.92</v>
      </c>
      <c r="G30" s="245"/>
    </row>
    <row r="31" spans="1:7" ht="13">
      <c r="A31" s="243"/>
      <c r="B31" s="1204">
        <v>46752</v>
      </c>
      <c r="C31" s="247"/>
      <c r="D31" s="1541">
        <v>9778369252.1700001</v>
      </c>
      <c r="E31" s="1542">
        <v>58438473.140000001</v>
      </c>
      <c r="F31" s="1543">
        <v>13845536.560000001</v>
      </c>
      <c r="G31" s="245"/>
    </row>
    <row r="32" spans="1:7" ht="13">
      <c r="A32" s="243"/>
      <c r="B32" s="1204">
        <v>46783</v>
      </c>
      <c r="C32" s="247"/>
      <c r="D32" s="1541">
        <v>9719930779.0300007</v>
      </c>
      <c r="E32" s="1542">
        <v>58421026.310000002</v>
      </c>
      <c r="F32" s="1543">
        <v>13782377.960000001</v>
      </c>
      <c r="G32" s="245"/>
    </row>
    <row r="33" spans="1:7" ht="13">
      <c r="A33" s="243"/>
      <c r="B33" s="1204">
        <v>46812</v>
      </c>
      <c r="C33" s="247"/>
      <c r="D33" s="1541">
        <v>9661509752.7199993</v>
      </c>
      <c r="E33" s="1542">
        <v>58417421.5</v>
      </c>
      <c r="F33" s="1543">
        <v>13707912.460000001</v>
      </c>
      <c r="G33" s="245"/>
    </row>
    <row r="34" spans="1:7" ht="13">
      <c r="A34" s="243"/>
      <c r="B34" s="1204">
        <v>46843</v>
      </c>
      <c r="C34" s="247"/>
      <c r="D34" s="1541">
        <v>9603092331.2199993</v>
      </c>
      <c r="E34" s="1542">
        <v>58459347.25</v>
      </c>
      <c r="F34" s="1543">
        <v>13613931.49</v>
      </c>
      <c r="G34" s="245"/>
    </row>
    <row r="35" spans="1:7" ht="13">
      <c r="A35" s="243"/>
      <c r="B35" s="1204">
        <v>46873</v>
      </c>
      <c r="C35" s="247"/>
      <c r="D35" s="1541">
        <v>9544632983.9699993</v>
      </c>
      <c r="E35" s="1542">
        <v>58458841.659999996</v>
      </c>
      <c r="F35" s="1543">
        <v>13561415.939999999</v>
      </c>
      <c r="G35" s="245"/>
    </row>
    <row r="36" spans="1:7" ht="13">
      <c r="A36" s="243"/>
      <c r="B36" s="1204">
        <v>46904</v>
      </c>
      <c r="C36" s="247"/>
      <c r="D36" s="1541">
        <v>9486174142.3099995</v>
      </c>
      <c r="E36" s="1542">
        <v>58458461.350000001</v>
      </c>
      <c r="F36" s="1543">
        <v>13477314.210000001</v>
      </c>
      <c r="G36" s="245"/>
    </row>
    <row r="37" spans="1:7" ht="13">
      <c r="A37" s="243"/>
      <c r="B37" s="1204">
        <v>46934</v>
      </c>
      <c r="C37" s="247"/>
      <c r="D37" s="1541">
        <v>9427715680.9599991</v>
      </c>
      <c r="E37" s="1542">
        <v>58399983.329999998</v>
      </c>
      <c r="F37" s="1543">
        <v>13413501.779999999</v>
      </c>
      <c r="G37" s="245"/>
    </row>
    <row r="38" spans="1:7" ht="13">
      <c r="A38" s="243"/>
      <c r="B38" s="1204">
        <v>46965</v>
      </c>
      <c r="C38" s="247"/>
      <c r="D38" s="1541">
        <v>9369315697.6299992</v>
      </c>
      <c r="E38" s="1542">
        <v>58390103.090000004</v>
      </c>
      <c r="F38" s="1543">
        <v>13329617.57</v>
      </c>
      <c r="G38" s="245"/>
    </row>
    <row r="39" spans="1:7" ht="13">
      <c r="A39" s="243"/>
      <c r="B39" s="1204">
        <v>46996</v>
      </c>
      <c r="C39" s="247"/>
      <c r="D39" s="1541">
        <v>9310925594.5400009</v>
      </c>
      <c r="E39" s="1542">
        <v>58352330.119999997</v>
      </c>
      <c r="F39" s="1543">
        <v>13265596.039999999</v>
      </c>
      <c r="G39" s="245"/>
    </row>
    <row r="40" spans="1:7" ht="13">
      <c r="A40" s="243"/>
      <c r="B40" s="1204">
        <v>47026</v>
      </c>
      <c r="C40" s="247"/>
      <c r="D40" s="1541">
        <v>9252573264.4200001</v>
      </c>
      <c r="E40" s="1542">
        <v>58291834.289999999</v>
      </c>
      <c r="F40" s="1543">
        <v>13191620.970000001</v>
      </c>
      <c r="G40" s="245"/>
    </row>
    <row r="41" spans="1:7" ht="13">
      <c r="A41" s="243"/>
      <c r="B41" s="1204">
        <v>47057</v>
      </c>
      <c r="C41" s="247"/>
      <c r="D41" s="1541">
        <v>9194281430.1299992</v>
      </c>
      <c r="E41" s="1542">
        <v>58263896.490000002</v>
      </c>
      <c r="F41" s="1543">
        <v>13108132.869999999</v>
      </c>
      <c r="G41" s="245"/>
    </row>
    <row r="42" spans="1:7" ht="13">
      <c r="A42" s="243"/>
      <c r="B42" s="1204">
        <v>47087</v>
      </c>
      <c r="C42" s="247"/>
      <c r="D42" s="1541">
        <v>9136017533.6399994</v>
      </c>
      <c r="E42" s="1542">
        <v>58204962.140000001</v>
      </c>
      <c r="F42" s="1543">
        <v>13043811.810000001</v>
      </c>
      <c r="G42" s="245"/>
    </row>
    <row r="43" spans="1:7" ht="13">
      <c r="A43" s="243"/>
      <c r="B43" s="1204">
        <v>47118</v>
      </c>
      <c r="C43" s="247"/>
      <c r="D43" s="1541">
        <v>9077812571.5</v>
      </c>
      <c r="E43" s="1542">
        <v>58177784.899999999</v>
      </c>
      <c r="F43" s="1543">
        <v>12960546.310000001</v>
      </c>
      <c r="G43" s="245"/>
    </row>
    <row r="44" spans="1:7" ht="13">
      <c r="A44" s="243"/>
      <c r="B44" s="1204">
        <v>47149</v>
      </c>
      <c r="C44" s="247"/>
      <c r="D44" s="1541">
        <v>9019634786.6000004</v>
      </c>
      <c r="E44" s="1542">
        <v>58137768.210000001</v>
      </c>
      <c r="F44" s="1543">
        <v>12896143.439999999</v>
      </c>
      <c r="G44" s="245"/>
    </row>
    <row r="45" spans="1:7" ht="13">
      <c r="A45" s="243"/>
      <c r="B45" s="1204">
        <v>47177</v>
      </c>
      <c r="C45" s="247"/>
      <c r="D45" s="1541">
        <v>8961497018.3899994</v>
      </c>
      <c r="E45" s="1542">
        <v>58099871.539999999</v>
      </c>
      <c r="F45" s="1543">
        <v>12822789.91</v>
      </c>
      <c r="G45" s="245"/>
    </row>
    <row r="46" spans="1:7" ht="13">
      <c r="A46" s="243"/>
      <c r="B46" s="1204">
        <v>47208</v>
      </c>
      <c r="C46" s="247"/>
      <c r="D46" s="1541">
        <v>8903397146.8500004</v>
      </c>
      <c r="E46" s="1542">
        <v>58087171.310000002</v>
      </c>
      <c r="F46" s="1543">
        <v>12721793.689999999</v>
      </c>
      <c r="G46" s="245"/>
    </row>
    <row r="47" spans="1:7" ht="13">
      <c r="A47" s="243"/>
      <c r="B47" s="1204">
        <v>47238</v>
      </c>
      <c r="C47" s="247"/>
      <c r="D47" s="1541">
        <v>8845309975.5400009</v>
      </c>
      <c r="E47" s="1542">
        <v>58032960.240000002</v>
      </c>
      <c r="F47" s="1543">
        <v>12674969.699999999</v>
      </c>
      <c r="G47" s="245"/>
    </row>
    <row r="48" spans="1:7" ht="13">
      <c r="A48" s="243"/>
      <c r="B48" s="1204">
        <v>47269</v>
      </c>
      <c r="C48" s="247"/>
      <c r="D48" s="1541">
        <v>8787277015.2999992</v>
      </c>
      <c r="E48" s="1542">
        <v>57996547.189999998</v>
      </c>
      <c r="F48" s="1543">
        <v>12592209.75</v>
      </c>
      <c r="G48" s="245"/>
    </row>
    <row r="49" spans="1:7" ht="13">
      <c r="A49" s="243"/>
      <c r="B49" s="1204">
        <v>47299</v>
      </c>
      <c r="C49" s="247"/>
      <c r="D49" s="1541">
        <v>8729280468.1100006</v>
      </c>
      <c r="E49" s="1542">
        <v>57932985.310000002</v>
      </c>
      <c r="F49" s="1543">
        <v>12527053.85</v>
      </c>
      <c r="G49" s="245"/>
    </row>
    <row r="50" spans="1:7" ht="13">
      <c r="A50" s="243"/>
      <c r="B50" s="1204">
        <v>47330</v>
      </c>
      <c r="C50" s="247"/>
      <c r="D50" s="1541">
        <v>8671347482.7999992</v>
      </c>
      <c r="E50" s="1542">
        <v>57882942.369999997</v>
      </c>
      <c r="F50" s="1543">
        <v>12444510.130000001</v>
      </c>
      <c r="G50" s="245"/>
    </row>
    <row r="51" spans="1:7" ht="13">
      <c r="A51" s="243"/>
      <c r="B51" s="1204">
        <v>47361</v>
      </c>
      <c r="C51" s="247"/>
      <c r="D51" s="1541">
        <v>8613464540.4300003</v>
      </c>
      <c r="E51" s="1542">
        <v>57837607.740000002</v>
      </c>
      <c r="F51" s="1543">
        <v>12379214.960000001</v>
      </c>
      <c r="G51" s="245"/>
    </row>
    <row r="52" spans="1:7" ht="13">
      <c r="A52" s="243"/>
      <c r="B52" s="1204">
        <v>47391</v>
      </c>
      <c r="C52" s="247"/>
      <c r="D52" s="1541">
        <v>8555626932.6899996</v>
      </c>
      <c r="E52" s="1542">
        <v>57763184.420000002</v>
      </c>
      <c r="F52" s="1543">
        <v>12305347.029999999</v>
      </c>
      <c r="G52" s="245"/>
    </row>
    <row r="53" spans="1:7" ht="13">
      <c r="A53" s="243"/>
      <c r="B53" s="1204">
        <v>47422</v>
      </c>
      <c r="C53" s="247"/>
      <c r="D53" s="1541">
        <v>8497863748.2700005</v>
      </c>
      <c r="E53" s="1542">
        <v>57727716.140000001</v>
      </c>
      <c r="F53" s="1543">
        <v>12223181.640000001</v>
      </c>
      <c r="G53" s="245"/>
    </row>
    <row r="54" spans="1:7" ht="13">
      <c r="A54" s="243"/>
      <c r="B54" s="1204">
        <v>47452</v>
      </c>
      <c r="C54" s="247"/>
      <c r="D54" s="1541">
        <v>8440136032.1300001</v>
      </c>
      <c r="E54" s="1542">
        <v>57641942.740000002</v>
      </c>
      <c r="F54" s="1543">
        <v>12157603.449999999</v>
      </c>
      <c r="G54" s="245"/>
    </row>
    <row r="55" spans="1:7" ht="13">
      <c r="A55" s="243"/>
      <c r="B55" s="1204">
        <v>47483</v>
      </c>
      <c r="C55" s="247"/>
      <c r="D55" s="1541">
        <v>8382494089.3900003</v>
      </c>
      <c r="E55" s="1542">
        <v>57585842.07</v>
      </c>
      <c r="F55" s="1543">
        <v>12075665.84</v>
      </c>
      <c r="G55" s="245"/>
    </row>
    <row r="56" spans="1:7" ht="13">
      <c r="A56" s="243"/>
      <c r="B56" s="1204">
        <v>47514</v>
      </c>
      <c r="C56" s="247"/>
      <c r="D56" s="1541">
        <v>8324908247.3199997</v>
      </c>
      <c r="E56" s="1542">
        <v>57504269.850000001</v>
      </c>
      <c r="F56" s="1543">
        <v>12009947.32</v>
      </c>
      <c r="G56" s="245"/>
    </row>
    <row r="57" spans="1:7" ht="13">
      <c r="A57" s="243"/>
      <c r="B57" s="1204">
        <v>47542</v>
      </c>
      <c r="C57" s="247"/>
      <c r="D57" s="1541">
        <v>8267403977.4700003</v>
      </c>
      <c r="E57" s="1542">
        <v>57427934.719999999</v>
      </c>
      <c r="F57" s="1543">
        <v>11936221.1</v>
      </c>
      <c r="G57" s="245"/>
    </row>
    <row r="58" spans="1:7" ht="13">
      <c r="A58" s="243"/>
      <c r="B58" s="1204">
        <v>47573</v>
      </c>
      <c r="C58" s="247"/>
      <c r="D58" s="1541">
        <v>8209976042.75</v>
      </c>
      <c r="E58" s="1542">
        <v>57376036.030000001</v>
      </c>
      <c r="F58" s="1543">
        <v>11839215.07</v>
      </c>
      <c r="G58" s="245"/>
    </row>
    <row r="59" spans="1:7" ht="13">
      <c r="A59" s="243"/>
      <c r="B59" s="1204">
        <v>47603</v>
      </c>
      <c r="C59" s="247"/>
      <c r="D59" s="1541">
        <v>8152600006.7200003</v>
      </c>
      <c r="E59" s="1542">
        <v>57313633.619999997</v>
      </c>
      <c r="F59" s="1543">
        <v>11788704.09</v>
      </c>
      <c r="G59" s="245"/>
    </row>
    <row r="60" spans="1:7" ht="13">
      <c r="A60" s="243"/>
      <c r="B60" s="1204">
        <v>47634</v>
      </c>
      <c r="C60" s="247"/>
      <c r="D60" s="1541">
        <v>8095286373.1000004</v>
      </c>
      <c r="E60" s="1542">
        <v>57277081.270000003</v>
      </c>
      <c r="F60" s="1543">
        <v>11707487.640000001</v>
      </c>
      <c r="G60" s="245"/>
    </row>
    <row r="61" spans="1:7" ht="13">
      <c r="A61" s="243"/>
      <c r="B61" s="1204">
        <v>47664</v>
      </c>
      <c r="C61" s="247"/>
      <c r="D61" s="1541">
        <v>8038009291.8299999</v>
      </c>
      <c r="E61" s="1542">
        <v>57227349.329999998</v>
      </c>
      <c r="F61" s="1543">
        <v>11641340.689999999</v>
      </c>
      <c r="G61" s="245"/>
    </row>
    <row r="62" spans="1:7" ht="13">
      <c r="A62" s="243"/>
      <c r="B62" s="1204">
        <v>47695</v>
      </c>
      <c r="C62" s="247"/>
      <c r="D62" s="1541">
        <v>7980781942.5</v>
      </c>
      <c r="E62" s="1542">
        <v>57180643.469999999</v>
      </c>
      <c r="F62" s="1543">
        <v>11560402.300000001</v>
      </c>
      <c r="G62" s="245"/>
    </row>
    <row r="63" spans="1:7" ht="13">
      <c r="A63" s="243"/>
      <c r="B63" s="1204">
        <v>47726</v>
      </c>
      <c r="C63" s="247"/>
      <c r="D63" s="1541">
        <v>7923601299.0299997</v>
      </c>
      <c r="E63" s="1542">
        <v>57041209.93</v>
      </c>
      <c r="F63" s="1543">
        <v>11494065.43</v>
      </c>
      <c r="G63" s="245"/>
    </row>
    <row r="64" spans="1:7" ht="13">
      <c r="A64" s="243"/>
      <c r="B64" s="1204">
        <v>47756</v>
      </c>
      <c r="C64" s="247"/>
      <c r="D64" s="1541">
        <v>7866560089.1000004</v>
      </c>
      <c r="E64" s="1542">
        <v>56963624.369999997</v>
      </c>
      <c r="F64" s="1543">
        <v>11420567.48</v>
      </c>
      <c r="G64" s="245"/>
    </row>
    <row r="65" spans="1:7" ht="13">
      <c r="A65" s="243"/>
      <c r="B65" s="1204">
        <v>47787</v>
      </c>
      <c r="C65" s="247"/>
      <c r="D65" s="1541">
        <v>7809596464.7299995</v>
      </c>
      <c r="E65" s="1542">
        <v>56911486.890000001</v>
      </c>
      <c r="F65" s="1543">
        <v>11340063.08</v>
      </c>
      <c r="G65" s="245"/>
    </row>
    <row r="66" spans="1:7" ht="13">
      <c r="A66" s="243"/>
      <c r="B66" s="1204">
        <v>47817</v>
      </c>
      <c r="C66" s="247"/>
      <c r="D66" s="1541">
        <v>7752684977.8400002</v>
      </c>
      <c r="E66" s="1542">
        <v>56809722.210000001</v>
      </c>
      <c r="F66" s="1543">
        <v>11273614.51</v>
      </c>
      <c r="G66" s="245"/>
    </row>
    <row r="67" spans="1:7" ht="13">
      <c r="A67" s="243"/>
      <c r="B67" s="1204">
        <v>47848</v>
      </c>
      <c r="C67" s="247"/>
      <c r="D67" s="1541">
        <v>7695875255.6300001</v>
      </c>
      <c r="E67" s="1542">
        <v>56708178.920000002</v>
      </c>
      <c r="F67" s="1543">
        <v>11193456.5</v>
      </c>
      <c r="G67" s="245"/>
    </row>
    <row r="68" spans="1:7" ht="13">
      <c r="A68" s="243"/>
      <c r="B68" s="1204">
        <v>47879</v>
      </c>
      <c r="C68" s="247"/>
      <c r="D68" s="1541">
        <v>7639167076.71</v>
      </c>
      <c r="E68" s="1542">
        <v>56605654.380000003</v>
      </c>
      <c r="F68" s="1543">
        <v>11126983.390000001</v>
      </c>
      <c r="G68" s="245"/>
    </row>
    <row r="69" spans="1:7" ht="13">
      <c r="A69" s="243"/>
      <c r="B69" s="1204">
        <v>47907</v>
      </c>
      <c r="C69" s="247"/>
      <c r="D69" s="1541">
        <v>7582561422.3299999</v>
      </c>
      <c r="E69" s="1542">
        <v>56515340.460000001</v>
      </c>
      <c r="F69" s="1543">
        <v>11053744.550000001</v>
      </c>
      <c r="G69" s="245"/>
    </row>
    <row r="70" spans="1:7" ht="13">
      <c r="A70" s="243"/>
      <c r="B70" s="1204">
        <v>47938</v>
      </c>
      <c r="C70" s="247"/>
      <c r="D70" s="1541">
        <v>7526046081.8699999</v>
      </c>
      <c r="E70" s="1542">
        <v>56459386.530000001</v>
      </c>
      <c r="F70" s="1543">
        <v>10961163.890000001</v>
      </c>
      <c r="G70" s="245"/>
    </row>
    <row r="71" spans="1:7" ht="13">
      <c r="A71" s="243"/>
      <c r="B71" s="1204">
        <v>47968</v>
      </c>
      <c r="C71" s="247"/>
      <c r="D71" s="1541">
        <v>7469586695.3400002</v>
      </c>
      <c r="E71" s="1542">
        <v>56371452.5</v>
      </c>
      <c r="F71" s="1543">
        <v>10907578.99</v>
      </c>
      <c r="G71" s="245"/>
    </row>
    <row r="72" spans="1:7" ht="13">
      <c r="A72" s="243"/>
      <c r="B72" s="1204">
        <v>47999</v>
      </c>
      <c r="C72" s="247"/>
      <c r="D72" s="1541">
        <v>7413215242.8400002</v>
      </c>
      <c r="E72" s="1542">
        <v>56299844.229999997</v>
      </c>
      <c r="F72" s="1543">
        <v>10828276.779999999</v>
      </c>
      <c r="G72" s="245"/>
    </row>
    <row r="73" spans="1:7" ht="13">
      <c r="A73" s="243"/>
      <c r="B73" s="1204">
        <v>48029</v>
      </c>
      <c r="C73" s="247"/>
      <c r="D73" s="1541">
        <v>7356915398.6099997</v>
      </c>
      <c r="E73" s="1542">
        <v>56215047.18</v>
      </c>
      <c r="F73" s="1543">
        <v>10761612.43</v>
      </c>
      <c r="G73" s="245"/>
    </row>
    <row r="74" spans="1:7" ht="13">
      <c r="A74" s="243"/>
      <c r="B74" s="1204">
        <v>48060</v>
      </c>
      <c r="C74" s="247"/>
      <c r="D74" s="1541">
        <v>7300700351.4300003</v>
      </c>
      <c r="E74" s="1542">
        <v>56102783.289999999</v>
      </c>
      <c r="F74" s="1543">
        <v>10682615.449999999</v>
      </c>
      <c r="G74" s="245"/>
    </row>
    <row r="75" spans="1:7" ht="13">
      <c r="A75" s="243"/>
      <c r="B75" s="1204">
        <v>48091</v>
      </c>
      <c r="C75" s="247"/>
      <c r="D75" s="1541">
        <v>7244597568.1400003</v>
      </c>
      <c r="E75" s="1542">
        <v>55969971.969999999</v>
      </c>
      <c r="F75" s="1543">
        <v>10615897.470000001</v>
      </c>
      <c r="G75" s="245"/>
    </row>
    <row r="76" spans="1:7" ht="13">
      <c r="A76" s="243"/>
      <c r="B76" s="1204">
        <v>48121</v>
      </c>
      <c r="C76" s="247"/>
      <c r="D76" s="1541">
        <v>7188627596.1700001</v>
      </c>
      <c r="E76" s="1542">
        <v>55865943.140000001</v>
      </c>
      <c r="F76" s="1543">
        <v>10543172.41</v>
      </c>
      <c r="G76" s="245"/>
    </row>
    <row r="77" spans="1:7" ht="13">
      <c r="A77" s="243"/>
      <c r="B77" s="1204">
        <v>48152</v>
      </c>
      <c r="C77" s="247"/>
      <c r="D77" s="1541">
        <v>7132761653.0299997</v>
      </c>
      <c r="E77" s="1542">
        <v>55796727.530000001</v>
      </c>
      <c r="F77" s="1543">
        <v>10464699.1</v>
      </c>
      <c r="G77" s="245"/>
    </row>
    <row r="78" spans="1:7" ht="13">
      <c r="A78" s="243"/>
      <c r="B78" s="1204">
        <v>48182</v>
      </c>
      <c r="C78" s="247"/>
      <c r="D78" s="1541">
        <v>7076964925.5</v>
      </c>
      <c r="E78" s="1542">
        <v>55628997.090000004</v>
      </c>
      <c r="F78" s="1543">
        <v>10397886</v>
      </c>
      <c r="G78" s="245"/>
    </row>
    <row r="79" spans="1:7" ht="13">
      <c r="A79" s="243"/>
      <c r="B79" s="1204">
        <v>48213</v>
      </c>
      <c r="C79" s="247"/>
      <c r="D79" s="1541">
        <v>7021335928.4099998</v>
      </c>
      <c r="E79" s="1542">
        <v>55505054.740000002</v>
      </c>
      <c r="F79" s="1543">
        <v>10319778.800000001</v>
      </c>
      <c r="G79" s="245"/>
    </row>
    <row r="80" spans="1:7" ht="13">
      <c r="A80" s="243"/>
      <c r="B80" s="1204">
        <v>48244</v>
      </c>
      <c r="C80" s="247"/>
      <c r="D80" s="1541">
        <v>6965830873.6700001</v>
      </c>
      <c r="E80" s="1542">
        <v>55383577.409999996</v>
      </c>
      <c r="F80" s="1543">
        <v>10252771.210000001</v>
      </c>
      <c r="G80" s="245"/>
    </row>
    <row r="81" spans="1:7" ht="13">
      <c r="A81" s="243"/>
      <c r="B81" s="1204">
        <v>48273</v>
      </c>
      <c r="C81" s="247"/>
      <c r="D81" s="1541">
        <v>6910447296.2600002</v>
      </c>
      <c r="E81" s="1542">
        <v>55234063.829999998</v>
      </c>
      <c r="F81" s="1543">
        <v>10180031.76</v>
      </c>
      <c r="G81" s="245"/>
    </row>
    <row r="82" spans="1:7" ht="13">
      <c r="A82" s="243"/>
      <c r="B82" s="1204">
        <v>48304</v>
      </c>
      <c r="C82" s="247"/>
      <c r="D82" s="1541">
        <v>6855213232.4300003</v>
      </c>
      <c r="E82" s="1542">
        <v>55133858.670000002</v>
      </c>
      <c r="F82" s="1543">
        <v>10097137.390000001</v>
      </c>
      <c r="G82" s="245"/>
    </row>
    <row r="83" spans="1:7" ht="13">
      <c r="A83" s="243"/>
      <c r="B83" s="1204">
        <v>48334</v>
      </c>
      <c r="C83" s="247"/>
      <c r="D83" s="1541">
        <v>6800079373.7600002</v>
      </c>
      <c r="E83" s="1542">
        <v>55011831.350000001</v>
      </c>
      <c r="F83" s="1543">
        <v>10035639.82</v>
      </c>
      <c r="G83" s="245"/>
    </row>
    <row r="84" spans="1:7" ht="13">
      <c r="A84" s="243"/>
      <c r="B84" s="1204">
        <v>48365</v>
      </c>
      <c r="C84" s="247"/>
      <c r="D84" s="1541">
        <v>6745067542.4099998</v>
      </c>
      <c r="E84" s="1542">
        <v>54883971.32</v>
      </c>
      <c r="F84" s="1543">
        <v>9958384.4299999997</v>
      </c>
      <c r="G84" s="245"/>
    </row>
    <row r="85" spans="1:7" ht="13">
      <c r="A85" s="243"/>
      <c r="B85" s="1204">
        <v>48395</v>
      </c>
      <c r="C85" s="247"/>
      <c r="D85" s="1541">
        <v>6690183571.0900002</v>
      </c>
      <c r="E85" s="1542">
        <v>54789024.670000002</v>
      </c>
      <c r="F85" s="1543">
        <v>9891526.5</v>
      </c>
      <c r="G85" s="245"/>
    </row>
    <row r="86" spans="1:7" ht="13">
      <c r="A86" s="243"/>
      <c r="B86" s="1204">
        <v>48426</v>
      </c>
      <c r="C86" s="247"/>
      <c r="D86" s="1541">
        <v>6635394546.4200001</v>
      </c>
      <c r="E86" s="1542">
        <v>54679354.969999999</v>
      </c>
      <c r="F86" s="1543">
        <v>9814613.8499999996</v>
      </c>
      <c r="G86" s="245"/>
    </row>
    <row r="87" spans="1:7" ht="13">
      <c r="A87" s="243"/>
      <c r="B87" s="1204">
        <v>48457</v>
      </c>
      <c r="C87" s="247"/>
      <c r="D87" s="1541">
        <v>6580715191.4499998</v>
      </c>
      <c r="E87" s="1542">
        <v>54496336.390000001</v>
      </c>
      <c r="F87" s="1543">
        <v>9747710.1699999999</v>
      </c>
      <c r="G87" s="245"/>
    </row>
    <row r="88" spans="1:7" ht="13">
      <c r="A88" s="243"/>
      <c r="B88" s="1204">
        <v>48487</v>
      </c>
      <c r="C88" s="247"/>
      <c r="D88" s="1541">
        <v>6526218855.0600004</v>
      </c>
      <c r="E88" s="1542">
        <v>54381130.590000004</v>
      </c>
      <c r="F88" s="1543">
        <v>9676026.2899999991</v>
      </c>
      <c r="G88" s="245"/>
    </row>
    <row r="89" spans="1:7" ht="13">
      <c r="A89" s="243"/>
      <c r="B89" s="1204">
        <v>48518</v>
      </c>
      <c r="C89" s="247"/>
      <c r="D89" s="1541">
        <v>6471837724.4700003</v>
      </c>
      <c r="E89" s="1542">
        <v>54316102.159999996</v>
      </c>
      <c r="F89" s="1543">
        <v>9599696.8599999994</v>
      </c>
      <c r="G89" s="245"/>
    </row>
    <row r="90" spans="1:7" ht="13">
      <c r="A90" s="243"/>
      <c r="B90" s="1204">
        <v>48548</v>
      </c>
      <c r="C90" s="247"/>
      <c r="D90" s="1541">
        <v>6417521622.3100004</v>
      </c>
      <c r="E90" s="1542">
        <v>54229946.859999999</v>
      </c>
      <c r="F90" s="1543">
        <v>9532944.8200000003</v>
      </c>
      <c r="G90" s="245"/>
    </row>
    <row r="91" spans="1:7" ht="13">
      <c r="A91" s="243"/>
      <c r="B91" s="1204">
        <v>48579</v>
      </c>
      <c r="C91" s="247"/>
      <c r="D91" s="1541">
        <v>6363291675.4499998</v>
      </c>
      <c r="E91" s="1542">
        <v>54141138.740000002</v>
      </c>
      <c r="F91" s="1543">
        <v>9456854.9900000002</v>
      </c>
      <c r="G91" s="245"/>
    </row>
    <row r="92" spans="1:7" ht="13">
      <c r="A92" s="243"/>
      <c r="B92" s="1204">
        <v>48610</v>
      </c>
      <c r="C92" s="247"/>
      <c r="D92" s="1541">
        <v>6309150536.71</v>
      </c>
      <c r="E92" s="1542">
        <v>54018768.140000001</v>
      </c>
      <c r="F92" s="1543">
        <v>9390069.0899999999</v>
      </c>
      <c r="G92" s="245"/>
    </row>
    <row r="93" spans="1:7" ht="13">
      <c r="A93" s="243"/>
      <c r="B93" s="1204">
        <v>48638</v>
      </c>
      <c r="C93" s="247"/>
      <c r="D93" s="1541">
        <v>6255131768.5699997</v>
      </c>
      <c r="E93" s="1542">
        <v>53901068.630000003</v>
      </c>
      <c r="F93" s="1543">
        <v>9319025.6699999999</v>
      </c>
      <c r="G93" s="245"/>
    </row>
    <row r="94" spans="1:7" ht="13">
      <c r="A94" s="243"/>
      <c r="B94" s="1204">
        <v>48669</v>
      </c>
      <c r="C94" s="247"/>
      <c r="D94" s="1541">
        <v>6201230699.9399996</v>
      </c>
      <c r="E94" s="1542">
        <v>53799945.329999998</v>
      </c>
      <c r="F94" s="1543">
        <v>9234871.6400000006</v>
      </c>
      <c r="G94" s="245"/>
    </row>
    <row r="95" spans="1:7" ht="13">
      <c r="A95" s="243"/>
      <c r="B95" s="1204">
        <v>48699</v>
      </c>
      <c r="C95" s="247"/>
      <c r="D95" s="1541">
        <v>6147430754.6099997</v>
      </c>
      <c r="E95" s="1542">
        <v>53656727.700000003</v>
      </c>
      <c r="F95" s="1543">
        <v>9176580.3000000007</v>
      </c>
      <c r="G95" s="245"/>
    </row>
    <row r="96" spans="1:7" ht="13">
      <c r="A96" s="243"/>
      <c r="B96" s="1204">
        <v>48730</v>
      </c>
      <c r="C96" s="247"/>
      <c r="D96" s="1541">
        <v>6093774026.9099998</v>
      </c>
      <c r="E96" s="1542">
        <v>53545148.210000001</v>
      </c>
      <c r="F96" s="1543">
        <v>9101338.3000000007</v>
      </c>
      <c r="G96" s="245"/>
    </row>
    <row r="97" spans="1:7" ht="13">
      <c r="A97" s="243"/>
      <c r="B97" s="1204">
        <v>48760</v>
      </c>
      <c r="C97" s="247"/>
      <c r="D97" s="1541">
        <v>6040228878.6999998</v>
      </c>
      <c r="E97" s="1542">
        <v>53387989.590000004</v>
      </c>
      <c r="F97" s="1543">
        <v>9034615.5999999996</v>
      </c>
      <c r="G97" s="245"/>
    </row>
    <row r="98" spans="1:7" ht="13">
      <c r="A98" s="243"/>
      <c r="B98" s="1204">
        <v>48791</v>
      </c>
      <c r="C98" s="247"/>
      <c r="D98" s="1541">
        <v>5986840889.1099997</v>
      </c>
      <c r="E98" s="1542">
        <v>53246102.32</v>
      </c>
      <c r="F98" s="1543">
        <v>8959822.0399999991</v>
      </c>
      <c r="G98" s="245"/>
    </row>
    <row r="99" spans="1:7" ht="13">
      <c r="A99" s="243"/>
      <c r="B99" s="1204">
        <v>48822</v>
      </c>
      <c r="C99" s="247"/>
      <c r="D99" s="1541">
        <v>5933594786.79</v>
      </c>
      <c r="E99" s="1542">
        <v>53056641.759999998</v>
      </c>
      <c r="F99" s="1543">
        <v>8893257.6199999992</v>
      </c>
      <c r="G99" s="245"/>
    </row>
    <row r="100" spans="1:7" ht="13">
      <c r="A100" s="243"/>
      <c r="B100" s="1204">
        <v>48852</v>
      </c>
      <c r="C100" s="247"/>
      <c r="D100" s="1541">
        <v>5880538145.0299997</v>
      </c>
      <c r="E100" s="1542">
        <v>52931653.390000001</v>
      </c>
      <c r="F100" s="1543">
        <v>8822873.5999999996</v>
      </c>
      <c r="G100" s="245"/>
    </row>
    <row r="101" spans="1:7" ht="13">
      <c r="A101" s="243"/>
      <c r="B101" s="1204">
        <v>48883</v>
      </c>
      <c r="C101" s="247"/>
      <c r="D101" s="1541">
        <v>5827606491.6400003</v>
      </c>
      <c r="E101" s="1542">
        <v>52778898.289999999</v>
      </c>
      <c r="F101" s="1543">
        <v>8748738.4000000004</v>
      </c>
      <c r="G101" s="245"/>
    </row>
    <row r="102" spans="1:7" ht="13">
      <c r="A102" s="243"/>
      <c r="B102" s="1204">
        <v>48913</v>
      </c>
      <c r="C102" s="247"/>
      <c r="D102" s="1541">
        <v>5774827593.3500004</v>
      </c>
      <c r="E102" s="1542">
        <v>52562239.079999998</v>
      </c>
      <c r="F102" s="1543">
        <v>8682385.5</v>
      </c>
      <c r="G102" s="245"/>
    </row>
    <row r="103" spans="1:7" ht="13">
      <c r="A103" s="243"/>
      <c r="B103" s="1204">
        <v>48944</v>
      </c>
      <c r="C103" s="247"/>
      <c r="D103" s="1541">
        <v>5722265354.2700005</v>
      </c>
      <c r="E103" s="1542">
        <v>52407601.530000001</v>
      </c>
      <c r="F103" s="1543">
        <v>8608872.9800000004</v>
      </c>
      <c r="G103" s="245"/>
    </row>
    <row r="104" spans="1:7" ht="13">
      <c r="A104" s="243"/>
      <c r="B104" s="1204">
        <v>48975</v>
      </c>
      <c r="C104" s="247"/>
      <c r="D104" s="1541">
        <v>5669857752.7399998</v>
      </c>
      <c r="E104" s="1542">
        <v>52247221.93</v>
      </c>
      <c r="F104" s="1543">
        <v>8542746.7699999996</v>
      </c>
      <c r="G104" s="245"/>
    </row>
    <row r="105" spans="1:7" ht="13">
      <c r="A105" s="243"/>
      <c r="B105" s="1204">
        <v>49003</v>
      </c>
      <c r="C105" s="247"/>
      <c r="D105" s="1541">
        <v>5617610530.8100004</v>
      </c>
      <c r="E105" s="1542">
        <v>52117676.140000001</v>
      </c>
      <c r="F105" s="1543">
        <v>8473073.1699999999</v>
      </c>
      <c r="G105" s="245"/>
    </row>
    <row r="106" spans="1:7" ht="13">
      <c r="A106" s="243"/>
      <c r="B106" s="1204">
        <v>49034</v>
      </c>
      <c r="C106" s="247"/>
      <c r="D106" s="1541">
        <v>5565492854.6700001</v>
      </c>
      <c r="E106" s="1542">
        <v>52020294.880000003</v>
      </c>
      <c r="F106" s="1543">
        <v>8393272.4700000007</v>
      </c>
      <c r="G106" s="245"/>
    </row>
    <row r="107" spans="1:7" ht="13">
      <c r="A107" s="243"/>
      <c r="B107" s="1204">
        <v>49064</v>
      </c>
      <c r="C107" s="247"/>
      <c r="D107" s="1541">
        <v>5513472559.79</v>
      </c>
      <c r="E107" s="1542">
        <v>51853298.240000002</v>
      </c>
      <c r="F107" s="1543">
        <v>8334264.1399999997</v>
      </c>
      <c r="G107" s="245"/>
    </row>
    <row r="108" spans="1:7" ht="13">
      <c r="A108" s="243"/>
      <c r="B108" s="1204">
        <v>49095</v>
      </c>
      <c r="C108" s="247"/>
      <c r="D108" s="1541">
        <v>5461619261.5500002</v>
      </c>
      <c r="E108" s="1542">
        <v>51694501.869999997</v>
      </c>
      <c r="F108" s="1543">
        <v>8261896.5</v>
      </c>
      <c r="G108" s="245"/>
    </row>
    <row r="109" spans="1:7" ht="13">
      <c r="A109" s="243"/>
      <c r="B109" s="1204">
        <v>49125</v>
      </c>
      <c r="C109" s="247"/>
      <c r="D109" s="1541">
        <v>5409924759.6800003</v>
      </c>
      <c r="E109" s="1542">
        <v>51532391.799999997</v>
      </c>
      <c r="F109" s="1543">
        <v>8196228.2599999998</v>
      </c>
      <c r="G109" s="245"/>
    </row>
    <row r="110" spans="1:7" ht="13">
      <c r="A110" s="243"/>
      <c r="B110" s="1204">
        <v>49156</v>
      </c>
      <c r="C110" s="247"/>
      <c r="D110" s="1541">
        <v>5358392367.8800001</v>
      </c>
      <c r="E110" s="1542">
        <v>51346508.829999998</v>
      </c>
      <c r="F110" s="1543">
        <v>8124235.8899999997</v>
      </c>
      <c r="G110" s="245"/>
    </row>
    <row r="111" spans="1:7" ht="13">
      <c r="A111" s="243"/>
      <c r="B111" s="1204">
        <v>49187</v>
      </c>
      <c r="C111" s="247"/>
      <c r="D111" s="1541">
        <v>5307045859.0500002</v>
      </c>
      <c r="E111" s="1542">
        <v>51120552.619999997</v>
      </c>
      <c r="F111" s="1543">
        <v>8058944.7400000002</v>
      </c>
      <c r="G111" s="245"/>
    </row>
    <row r="112" spans="1:7" ht="13">
      <c r="A112" s="243"/>
      <c r="B112" s="1204">
        <v>49217</v>
      </c>
      <c r="C112" s="247"/>
      <c r="D112" s="1541">
        <v>5255925306.4300003</v>
      </c>
      <c r="E112" s="1542">
        <v>50905162.020000003</v>
      </c>
      <c r="F112" s="1543">
        <v>7990576.4699999997</v>
      </c>
      <c r="G112" s="245"/>
    </row>
    <row r="113" spans="1:7" ht="13">
      <c r="A113" s="243"/>
      <c r="B113" s="1204">
        <v>49248</v>
      </c>
      <c r="C113" s="247"/>
      <c r="D113" s="1541">
        <v>5205020144.4099998</v>
      </c>
      <c r="E113" s="1542">
        <v>50747244.990000002</v>
      </c>
      <c r="F113" s="1543">
        <v>7919503.71</v>
      </c>
      <c r="G113" s="245"/>
    </row>
    <row r="114" spans="1:7" ht="13">
      <c r="A114" s="243"/>
      <c r="B114" s="1204">
        <v>49278</v>
      </c>
      <c r="C114" s="247"/>
      <c r="D114" s="1541">
        <v>5154272899.4200001</v>
      </c>
      <c r="E114" s="1542">
        <v>50539860.07</v>
      </c>
      <c r="F114" s="1543">
        <v>7854712.2199999997</v>
      </c>
      <c r="G114" s="245"/>
    </row>
    <row r="115" spans="1:7" ht="13">
      <c r="A115" s="243"/>
      <c r="B115" s="1204">
        <v>49309</v>
      </c>
      <c r="C115" s="247"/>
      <c r="D115" s="1541">
        <v>5103733039.3500004</v>
      </c>
      <c r="E115" s="1542">
        <v>50322786.359999999</v>
      </c>
      <c r="F115" s="1543">
        <v>7784054.9000000004</v>
      </c>
      <c r="G115" s="245"/>
    </row>
    <row r="116" spans="1:7" ht="13">
      <c r="A116" s="243"/>
      <c r="B116" s="1204">
        <v>49340</v>
      </c>
      <c r="C116" s="247"/>
      <c r="D116" s="1541">
        <v>5053410252.9899998</v>
      </c>
      <c r="E116" s="1542">
        <v>50115753.159999996</v>
      </c>
      <c r="F116" s="1543">
        <v>7719361.8700000001</v>
      </c>
      <c r="G116" s="245"/>
    </row>
    <row r="117" spans="1:7" ht="13">
      <c r="A117" s="243"/>
      <c r="B117" s="1204">
        <v>49368</v>
      </c>
      <c r="C117" s="247"/>
      <c r="D117" s="1541">
        <v>5003294499.8299999</v>
      </c>
      <c r="E117" s="1542">
        <v>49898092.369999997</v>
      </c>
      <c r="F117" s="1543">
        <v>7652208.8200000003</v>
      </c>
      <c r="G117" s="245"/>
    </row>
    <row r="118" spans="1:7" ht="13">
      <c r="A118" s="243"/>
      <c r="B118" s="1204">
        <v>49399</v>
      </c>
      <c r="C118" s="247"/>
      <c r="D118" s="1541">
        <v>4953396407.46</v>
      </c>
      <c r="E118" s="1542">
        <v>49624666.829999998</v>
      </c>
      <c r="F118" s="1543">
        <v>7577126.5599999996</v>
      </c>
      <c r="G118" s="245"/>
    </row>
    <row r="119" spans="1:7" ht="13">
      <c r="A119" s="243"/>
      <c r="B119" s="1204">
        <v>49429</v>
      </c>
      <c r="C119" s="247"/>
      <c r="D119" s="1541">
        <v>4903771740.6300001</v>
      </c>
      <c r="E119" s="1542">
        <v>49423785.530000001</v>
      </c>
      <c r="F119" s="1543">
        <v>7518430.2199999997</v>
      </c>
      <c r="G119" s="245"/>
    </row>
    <row r="120" spans="1:7" ht="13">
      <c r="A120" s="243"/>
      <c r="B120" s="1204">
        <v>49460</v>
      </c>
      <c r="C120" s="247"/>
      <c r="D120" s="1541">
        <v>4854347955.1000004</v>
      </c>
      <c r="E120" s="1542">
        <v>49260307.93</v>
      </c>
      <c r="F120" s="1543">
        <v>7449388.4000000004</v>
      </c>
      <c r="G120" s="245"/>
    </row>
    <row r="121" spans="1:7" ht="13">
      <c r="A121" s="243"/>
      <c r="B121" s="1204">
        <v>49490</v>
      </c>
      <c r="C121" s="247"/>
      <c r="D121" s="1541">
        <v>4805087647.1700001</v>
      </c>
      <c r="E121" s="1542">
        <v>49072987.140000001</v>
      </c>
      <c r="F121" s="1543">
        <v>7385694.6600000001</v>
      </c>
      <c r="G121" s="245"/>
    </row>
    <row r="122" spans="1:7" ht="13">
      <c r="A122" s="243"/>
      <c r="B122" s="1204">
        <v>49521</v>
      </c>
      <c r="C122" s="247"/>
      <c r="D122" s="1541">
        <v>4756014660.0299997</v>
      </c>
      <c r="E122" s="1542">
        <v>48886107.770000003</v>
      </c>
      <c r="F122" s="1543">
        <v>7317291.4199999999</v>
      </c>
      <c r="G122" s="245"/>
    </row>
    <row r="123" spans="1:7" ht="13">
      <c r="A123" s="243"/>
      <c r="B123" s="1204">
        <v>49552</v>
      </c>
      <c r="C123" s="247"/>
      <c r="D123" s="1541">
        <v>4707128552.2600002</v>
      </c>
      <c r="E123" s="1542">
        <v>48642433.649999999</v>
      </c>
      <c r="F123" s="1543">
        <v>7253793.3899999997</v>
      </c>
      <c r="G123" s="245"/>
    </row>
    <row r="124" spans="1:7" ht="13">
      <c r="A124" s="243"/>
      <c r="B124" s="1204">
        <v>49582</v>
      </c>
      <c r="C124" s="247"/>
      <c r="D124" s="1541">
        <v>4658486118.6099997</v>
      </c>
      <c r="E124" s="1542">
        <v>48352201.18</v>
      </c>
      <c r="F124" s="1543">
        <v>7188156.1299999999</v>
      </c>
      <c r="G124" s="245"/>
    </row>
    <row r="125" spans="1:7" ht="13">
      <c r="A125" s="243"/>
      <c r="B125" s="1204">
        <v>49613</v>
      </c>
      <c r="C125" s="247"/>
      <c r="D125" s="1541">
        <v>4610133917.4300003</v>
      </c>
      <c r="E125" s="1542">
        <v>48180216.310000002</v>
      </c>
      <c r="F125" s="1543">
        <v>7120931.9100000001</v>
      </c>
      <c r="G125" s="245"/>
    </row>
    <row r="126" spans="1:7" ht="13">
      <c r="A126" s="243"/>
      <c r="B126" s="1204">
        <v>49643</v>
      </c>
      <c r="C126" s="247"/>
      <c r="D126" s="1541">
        <v>4561953701.1199999</v>
      </c>
      <c r="E126" s="1542">
        <v>47956698.609999999</v>
      </c>
      <c r="F126" s="1543">
        <v>7058017.4800000004</v>
      </c>
      <c r="G126" s="245"/>
    </row>
    <row r="127" spans="1:7" ht="13">
      <c r="A127" s="243"/>
      <c r="B127" s="1204">
        <v>49674</v>
      </c>
      <c r="C127" s="247"/>
      <c r="D127" s="1541">
        <v>4513997002.5100002</v>
      </c>
      <c r="E127" s="1542">
        <v>47763829.270000003</v>
      </c>
      <c r="F127" s="1543">
        <v>6991103.79</v>
      </c>
      <c r="G127" s="245"/>
    </row>
    <row r="128" spans="1:7" ht="13">
      <c r="A128" s="243"/>
      <c r="B128" s="1204">
        <v>49705</v>
      </c>
      <c r="C128" s="247"/>
      <c r="D128" s="1541">
        <v>4466233173.2399998</v>
      </c>
      <c r="E128" s="1542">
        <v>47613585.82</v>
      </c>
      <c r="F128" s="1543">
        <v>6928701.4800000004</v>
      </c>
      <c r="G128" s="245"/>
    </row>
    <row r="129" spans="1:7" ht="13">
      <c r="A129" s="243"/>
      <c r="B129" s="1204">
        <v>49734</v>
      </c>
      <c r="C129" s="247"/>
      <c r="D129" s="1541">
        <v>4418619587.4200001</v>
      </c>
      <c r="E129" s="1542">
        <v>47399703.990000002</v>
      </c>
      <c r="F129" s="1543">
        <v>6864261.9800000004</v>
      </c>
      <c r="G129" s="245"/>
    </row>
    <row r="130" spans="1:7" ht="13">
      <c r="A130" s="243"/>
      <c r="B130" s="1204">
        <v>49765</v>
      </c>
      <c r="C130" s="247"/>
      <c r="D130" s="1541">
        <v>4371219883.4300003</v>
      </c>
      <c r="E130" s="1542">
        <v>47259753.32</v>
      </c>
      <c r="F130" s="1543">
        <v>6795940.2300000004</v>
      </c>
      <c r="G130" s="245"/>
    </row>
    <row r="131" spans="1:7" ht="13">
      <c r="A131" s="243"/>
      <c r="B131" s="1204">
        <v>49795</v>
      </c>
      <c r="C131" s="247"/>
      <c r="D131" s="1541">
        <v>4323960130.1099997</v>
      </c>
      <c r="E131" s="1542">
        <v>47071321.899999999</v>
      </c>
      <c r="F131" s="1543">
        <v>6735953.9100000001</v>
      </c>
      <c r="G131" s="245"/>
    </row>
    <row r="132" spans="1:7" ht="13">
      <c r="A132" s="243"/>
      <c r="B132" s="1204">
        <v>49826</v>
      </c>
      <c r="C132" s="247"/>
      <c r="D132" s="1541">
        <v>4276888808.21</v>
      </c>
      <c r="E132" s="1542">
        <v>46906650.740000002</v>
      </c>
      <c r="F132" s="1543">
        <v>6670201.9199999999</v>
      </c>
      <c r="G132" s="245"/>
    </row>
    <row r="133" spans="1:7" ht="13">
      <c r="A133" s="243"/>
      <c r="B133" s="1204">
        <v>49856</v>
      </c>
      <c r="C133" s="247"/>
      <c r="D133" s="1541">
        <v>4229982157.4699998</v>
      </c>
      <c r="E133" s="1542">
        <v>46719595.229999997</v>
      </c>
      <c r="F133" s="1543">
        <v>6608494.6600000001</v>
      </c>
      <c r="G133" s="245"/>
    </row>
    <row r="134" spans="1:7" ht="13">
      <c r="A134" s="243"/>
      <c r="B134" s="1204">
        <v>49887</v>
      </c>
      <c r="C134" s="247"/>
      <c r="D134" s="1541">
        <v>4183262562.2399998</v>
      </c>
      <c r="E134" s="1542">
        <v>46547375.030000001</v>
      </c>
      <c r="F134" s="1543">
        <v>6543112.6699999999</v>
      </c>
      <c r="G134" s="245"/>
    </row>
    <row r="135" spans="1:7" ht="13">
      <c r="A135" s="243"/>
      <c r="B135" s="1204">
        <v>49918</v>
      </c>
      <c r="C135" s="247"/>
      <c r="D135" s="1541">
        <v>4136715187.21</v>
      </c>
      <c r="E135" s="1542">
        <v>46298173.960000001</v>
      </c>
      <c r="F135" s="1543">
        <v>6481752.8200000003</v>
      </c>
      <c r="G135" s="245"/>
    </row>
    <row r="136" spans="1:7" ht="13">
      <c r="A136" s="243"/>
      <c r="B136" s="1204">
        <v>49948</v>
      </c>
      <c r="C136" s="247"/>
      <c r="D136" s="1541">
        <v>4090417013.25</v>
      </c>
      <c r="E136" s="1542">
        <v>46083759.159999996</v>
      </c>
      <c r="F136" s="1543">
        <v>6418640.0899999999</v>
      </c>
      <c r="G136" s="245"/>
    </row>
    <row r="137" spans="1:7" ht="13">
      <c r="A137" s="243"/>
      <c r="B137" s="1204">
        <v>49979</v>
      </c>
      <c r="C137" s="247"/>
      <c r="D137" s="1541">
        <v>4044333254.0900002</v>
      </c>
      <c r="E137" s="1542">
        <v>45850174.5</v>
      </c>
      <c r="F137" s="1543">
        <v>6353746.0999999996</v>
      </c>
      <c r="G137" s="245"/>
    </row>
    <row r="138" spans="1:7" ht="13">
      <c r="A138" s="243"/>
      <c r="B138" s="1204">
        <v>50009</v>
      </c>
      <c r="C138" s="247"/>
      <c r="D138" s="1541">
        <v>3998483079.5900002</v>
      </c>
      <c r="E138" s="1542">
        <v>45621179.479999997</v>
      </c>
      <c r="F138" s="1543">
        <v>6292717.7400000002</v>
      </c>
      <c r="G138" s="245"/>
    </row>
    <row r="139" spans="1:7" ht="13">
      <c r="A139" s="243"/>
      <c r="B139" s="1204">
        <v>50040</v>
      </c>
      <c r="C139" s="247"/>
      <c r="D139" s="1541">
        <v>3952861900.1100001</v>
      </c>
      <c r="E139" s="1542">
        <v>45363938.770000003</v>
      </c>
      <c r="F139" s="1543">
        <v>6228584.9800000004</v>
      </c>
      <c r="G139" s="245"/>
    </row>
    <row r="140" spans="1:7" ht="13">
      <c r="A140" s="243"/>
      <c r="B140" s="1204">
        <v>50071</v>
      </c>
      <c r="C140" s="247"/>
      <c r="D140" s="1541">
        <v>3907497961.3400002</v>
      </c>
      <c r="E140" s="1542">
        <v>45161326.270000003</v>
      </c>
      <c r="F140" s="1543">
        <v>6167971.2400000002</v>
      </c>
      <c r="G140" s="245"/>
    </row>
    <row r="141" spans="1:7" ht="13">
      <c r="A141" s="243"/>
      <c r="B141" s="1204">
        <v>50099</v>
      </c>
      <c r="C141" s="247"/>
      <c r="D141" s="1541">
        <v>3862336635.0700002</v>
      </c>
      <c r="E141" s="1542">
        <v>44909663.729999997</v>
      </c>
      <c r="F141" s="1543">
        <v>6105981.8099999996</v>
      </c>
      <c r="G141" s="245"/>
    </row>
    <row r="142" spans="1:7" ht="13">
      <c r="A142" s="243"/>
      <c r="B142" s="1204">
        <v>50130</v>
      </c>
      <c r="C142" s="247"/>
      <c r="D142" s="1541">
        <v>3817426971.3400002</v>
      </c>
      <c r="E142" s="1542">
        <v>44733578.490000002</v>
      </c>
      <c r="F142" s="1543">
        <v>6039777.7300000004</v>
      </c>
      <c r="G142" s="245"/>
    </row>
    <row r="143" spans="1:7" ht="13">
      <c r="A143" s="243"/>
      <c r="B143" s="1204">
        <v>50160</v>
      </c>
      <c r="C143" s="247"/>
      <c r="D143" s="1541">
        <v>3772693392.8499999</v>
      </c>
      <c r="E143" s="1542">
        <v>44493800.990000002</v>
      </c>
      <c r="F143" s="1543">
        <v>5982317.3899999997</v>
      </c>
      <c r="G143" s="245"/>
    </row>
    <row r="144" spans="1:7" ht="13">
      <c r="A144" s="243"/>
      <c r="B144" s="1204">
        <v>50191</v>
      </c>
      <c r="C144" s="247"/>
      <c r="D144" s="1541">
        <v>3728199591.8600001</v>
      </c>
      <c r="E144" s="1542">
        <v>44281209.07</v>
      </c>
      <c r="F144" s="1543">
        <v>5919594.7699999996</v>
      </c>
      <c r="G144" s="245"/>
    </row>
    <row r="145" spans="1:7" ht="13">
      <c r="A145" s="243"/>
      <c r="B145" s="1204">
        <v>50221</v>
      </c>
      <c r="C145" s="247"/>
      <c r="D145" s="1541">
        <v>3683918382.79</v>
      </c>
      <c r="E145" s="1542">
        <v>44087950.439999998</v>
      </c>
      <c r="F145" s="1543">
        <v>5859703.0499999998</v>
      </c>
      <c r="G145" s="245"/>
    </row>
    <row r="146" spans="1:7" ht="13">
      <c r="A146" s="243"/>
      <c r="B146" s="1204">
        <v>50252</v>
      </c>
      <c r="C146" s="247"/>
      <c r="D146" s="1541">
        <v>3639830432.3499999</v>
      </c>
      <c r="E146" s="1542">
        <v>43847646.670000002</v>
      </c>
      <c r="F146" s="1543">
        <v>5797284.4699999997</v>
      </c>
      <c r="G146" s="245"/>
    </row>
    <row r="147" spans="1:7" ht="13">
      <c r="A147" s="243"/>
      <c r="B147" s="1204">
        <v>50283</v>
      </c>
      <c r="C147" s="247"/>
      <c r="D147" s="1541">
        <v>3595982785.6799998</v>
      </c>
      <c r="E147" s="1542">
        <v>43557923.869999997</v>
      </c>
      <c r="F147" s="1543">
        <v>5737567.5499999998</v>
      </c>
      <c r="G147" s="245"/>
    </row>
    <row r="148" spans="1:7" ht="13">
      <c r="A148" s="243"/>
      <c r="B148" s="1204">
        <v>50313</v>
      </c>
      <c r="C148" s="247"/>
      <c r="D148" s="1541">
        <v>3552424861.8099999</v>
      </c>
      <c r="E148" s="1542">
        <v>43278299.759999998</v>
      </c>
      <c r="F148" s="1543">
        <v>5677070.6600000001</v>
      </c>
      <c r="G148" s="245"/>
    </row>
    <row r="149" spans="1:7" ht="13">
      <c r="A149" s="243"/>
      <c r="B149" s="1204">
        <v>50344</v>
      </c>
      <c r="C149" s="247"/>
      <c r="D149" s="1541">
        <v>3509146562.0500002</v>
      </c>
      <c r="E149" s="1542">
        <v>43061664.43</v>
      </c>
      <c r="F149" s="1543">
        <v>5615590.7800000003</v>
      </c>
      <c r="G149" s="245"/>
    </row>
    <row r="150" spans="1:7" ht="13">
      <c r="A150" s="243"/>
      <c r="B150" s="1204">
        <v>50374</v>
      </c>
      <c r="C150" s="247"/>
      <c r="D150" s="1541">
        <v>3466084897.6199999</v>
      </c>
      <c r="E150" s="1542">
        <v>42799143.399999999</v>
      </c>
      <c r="F150" s="1543">
        <v>5556721.9400000004</v>
      </c>
      <c r="G150" s="245"/>
    </row>
    <row r="151" spans="1:7" ht="13">
      <c r="A151" s="243"/>
      <c r="B151" s="1204">
        <v>50405</v>
      </c>
      <c r="C151" s="247"/>
      <c r="D151" s="1541">
        <v>3423285754.2199998</v>
      </c>
      <c r="E151" s="1542">
        <v>42624595.090000004</v>
      </c>
      <c r="F151" s="1543">
        <v>5495770.3799999999</v>
      </c>
      <c r="G151" s="245"/>
    </row>
    <row r="152" spans="1:7" ht="13">
      <c r="A152" s="243"/>
      <c r="B152" s="1204">
        <v>50436</v>
      </c>
      <c r="C152" s="247"/>
      <c r="D152" s="1541">
        <v>3380661159.1300001</v>
      </c>
      <c r="E152" s="1542">
        <v>42396361.240000002</v>
      </c>
      <c r="F152" s="1543">
        <v>5437437.25</v>
      </c>
      <c r="G152" s="245"/>
    </row>
    <row r="153" spans="1:7" ht="13">
      <c r="A153" s="243"/>
      <c r="B153" s="1204">
        <v>50464</v>
      </c>
      <c r="C153" s="247"/>
      <c r="D153" s="1541">
        <v>3338264797.8899999</v>
      </c>
      <c r="E153" s="1542">
        <v>42117280.710000001</v>
      </c>
      <c r="F153" s="1543">
        <v>5377955.8899999997</v>
      </c>
      <c r="G153" s="245"/>
    </row>
    <row r="154" spans="1:7" ht="13">
      <c r="A154" s="243"/>
      <c r="B154" s="1204">
        <v>50495</v>
      </c>
      <c r="C154" s="247"/>
      <c r="D154" s="1541">
        <v>3296147517.1799998</v>
      </c>
      <c r="E154" s="1542">
        <v>41890088.079999998</v>
      </c>
      <c r="F154" s="1543">
        <v>5315757.42</v>
      </c>
      <c r="G154" s="245"/>
    </row>
    <row r="155" spans="1:7" ht="13">
      <c r="A155" s="243"/>
      <c r="B155" s="1204">
        <v>50525</v>
      </c>
      <c r="C155" s="247"/>
      <c r="D155" s="1541">
        <v>3254257429.0999999</v>
      </c>
      <c r="E155" s="1542">
        <v>41679567.630000003</v>
      </c>
      <c r="F155" s="1543">
        <v>5260017.8099999996</v>
      </c>
      <c r="G155" s="245"/>
    </row>
    <row r="156" spans="1:7" ht="13">
      <c r="A156" s="243"/>
      <c r="B156" s="1204">
        <v>50556</v>
      </c>
      <c r="C156" s="247"/>
      <c r="D156" s="1541">
        <v>3212577861.4699998</v>
      </c>
      <c r="E156" s="1542">
        <v>41458303.289999999</v>
      </c>
      <c r="F156" s="1543">
        <v>5200708.83</v>
      </c>
      <c r="G156" s="245"/>
    </row>
    <row r="157" spans="1:7" ht="13">
      <c r="A157" s="243"/>
      <c r="B157" s="1204">
        <v>50586</v>
      </c>
      <c r="C157" s="247"/>
      <c r="D157" s="1541">
        <v>3171119558.1799998</v>
      </c>
      <c r="E157" s="1542">
        <v>41278000.920000002</v>
      </c>
      <c r="F157" s="1543">
        <v>5143050.08</v>
      </c>
      <c r="G157" s="245"/>
    </row>
    <row r="158" spans="1:7" ht="13">
      <c r="A158" s="243"/>
      <c r="B158" s="1204">
        <v>50617</v>
      </c>
      <c r="C158" s="247"/>
      <c r="D158" s="1541">
        <v>3129841557.2600002</v>
      </c>
      <c r="E158" s="1542">
        <v>41097750.369999997</v>
      </c>
      <c r="F158" s="1543">
        <v>5083962.17</v>
      </c>
      <c r="G158" s="245"/>
    </row>
    <row r="159" spans="1:7" ht="13">
      <c r="A159" s="243"/>
      <c r="B159" s="1204">
        <v>50648</v>
      </c>
      <c r="C159" s="247"/>
      <c r="D159" s="1541">
        <v>3088743806.8899999</v>
      </c>
      <c r="E159" s="1542">
        <v>40855527.299999997</v>
      </c>
      <c r="F159" s="1543">
        <v>5026943.17</v>
      </c>
      <c r="G159" s="245"/>
    </row>
    <row r="160" spans="1:7" ht="13">
      <c r="A160" s="243"/>
      <c r="B160" s="1204">
        <v>50678</v>
      </c>
      <c r="C160" s="247"/>
      <c r="D160" s="1541">
        <v>3047888279.5900002</v>
      </c>
      <c r="E160" s="1542">
        <v>40586653.68</v>
      </c>
      <c r="F160" s="1543">
        <v>4969258.7300000004</v>
      </c>
      <c r="G160" s="245"/>
    </row>
    <row r="161" spans="1:7" ht="13">
      <c r="A161" s="243"/>
      <c r="B161" s="1204">
        <v>50709</v>
      </c>
      <c r="C161" s="247"/>
      <c r="D161" s="1541">
        <v>3007301625.9099998</v>
      </c>
      <c r="E161" s="1542">
        <v>40360864.229999997</v>
      </c>
      <c r="F161" s="1543">
        <v>4910966.67</v>
      </c>
      <c r="G161" s="245"/>
    </row>
    <row r="162" spans="1:7" ht="13">
      <c r="A162" s="243"/>
      <c r="B162" s="1204">
        <v>50739</v>
      </c>
      <c r="C162" s="247"/>
      <c r="D162" s="1541">
        <v>2966940761.6799998</v>
      </c>
      <c r="E162" s="1542">
        <v>40140308.850000001</v>
      </c>
      <c r="F162" s="1543">
        <v>4854670.2300000004</v>
      </c>
      <c r="G162" s="245"/>
    </row>
    <row r="163" spans="1:7" ht="13">
      <c r="A163" s="243"/>
      <c r="B163" s="1204">
        <v>50770</v>
      </c>
      <c r="C163" s="247"/>
      <c r="D163" s="1541">
        <v>2926800452.8299999</v>
      </c>
      <c r="E163" s="1542">
        <v>39921325.75</v>
      </c>
      <c r="F163" s="1543">
        <v>4796879.55</v>
      </c>
      <c r="G163" s="245"/>
    </row>
    <row r="164" spans="1:7" ht="13">
      <c r="A164" s="243"/>
      <c r="B164" s="1204">
        <v>50801</v>
      </c>
      <c r="C164" s="247"/>
      <c r="D164" s="1541">
        <v>2886879127.0799999</v>
      </c>
      <c r="E164" s="1542">
        <v>39750534.18</v>
      </c>
      <c r="F164" s="1543">
        <v>4741219.6100000003</v>
      </c>
      <c r="G164" s="245"/>
    </row>
    <row r="165" spans="1:7" ht="13">
      <c r="A165" s="243"/>
      <c r="B165" s="1204">
        <v>50829</v>
      </c>
      <c r="C165" s="247"/>
      <c r="D165" s="1541">
        <v>2847128592.9000001</v>
      </c>
      <c r="E165" s="1542">
        <v>39542302.280000001</v>
      </c>
      <c r="F165" s="1543">
        <v>4684723.05</v>
      </c>
      <c r="G165" s="245"/>
    </row>
    <row r="166" spans="1:7" ht="13">
      <c r="A166" s="243"/>
      <c r="B166" s="1204">
        <v>50860</v>
      </c>
      <c r="C166" s="247"/>
      <c r="D166" s="1541">
        <v>2807586290.6199999</v>
      </c>
      <c r="E166" s="1542">
        <v>39326255.960000001</v>
      </c>
      <c r="F166" s="1543">
        <v>4626069.4800000004</v>
      </c>
      <c r="G166" s="245"/>
    </row>
    <row r="167" spans="1:7" ht="13">
      <c r="A167" s="243"/>
      <c r="B167" s="1204">
        <v>50890</v>
      </c>
      <c r="C167" s="247"/>
      <c r="D167" s="1541">
        <v>2768260034.6599998</v>
      </c>
      <c r="E167" s="1542">
        <v>39137482.899999999</v>
      </c>
      <c r="F167" s="1543">
        <v>4572346.51</v>
      </c>
      <c r="G167" s="245"/>
    </row>
    <row r="168" spans="1:7" ht="13">
      <c r="A168" s="243"/>
      <c r="B168" s="1204">
        <v>50921</v>
      </c>
      <c r="C168" s="247"/>
      <c r="D168" s="1541">
        <v>2729122551.7600002</v>
      </c>
      <c r="E168" s="1542">
        <v>38922465.759999998</v>
      </c>
      <c r="F168" s="1543">
        <v>4515895.2300000004</v>
      </c>
      <c r="G168" s="245"/>
    </row>
    <row r="169" spans="1:7" ht="13">
      <c r="A169" s="243"/>
      <c r="B169" s="1204">
        <v>50951</v>
      </c>
      <c r="C169" s="247"/>
      <c r="D169" s="1541">
        <v>2690200086</v>
      </c>
      <c r="E169" s="1542">
        <v>38644013.399999999</v>
      </c>
      <c r="F169" s="1543">
        <v>4461204.08</v>
      </c>
      <c r="G169" s="245"/>
    </row>
    <row r="170" spans="1:7" ht="13">
      <c r="A170" s="243"/>
      <c r="B170" s="1204">
        <v>50982</v>
      </c>
      <c r="C170" s="247"/>
      <c r="D170" s="1541">
        <v>2651556072.5999999</v>
      </c>
      <c r="E170" s="1542">
        <v>38369164.979999997</v>
      </c>
      <c r="F170" s="1543">
        <v>4405428.68</v>
      </c>
      <c r="G170" s="245"/>
    </row>
    <row r="171" spans="1:7" ht="13">
      <c r="A171" s="243"/>
      <c r="B171" s="1204">
        <v>51013</v>
      </c>
      <c r="C171" s="247"/>
      <c r="D171" s="1541">
        <v>2613186907.6199999</v>
      </c>
      <c r="E171" s="1542">
        <v>38071068.939999998</v>
      </c>
      <c r="F171" s="1543">
        <v>4351603.58</v>
      </c>
      <c r="G171" s="245"/>
    </row>
    <row r="172" spans="1:7" ht="13">
      <c r="A172" s="243"/>
      <c r="B172" s="1204">
        <v>51043</v>
      </c>
      <c r="C172" s="247"/>
      <c r="D172" s="1541">
        <v>2575115838.6799998</v>
      </c>
      <c r="E172" s="1542">
        <v>37768815.049999997</v>
      </c>
      <c r="F172" s="1543">
        <v>4297168.67</v>
      </c>
      <c r="G172" s="245"/>
    </row>
    <row r="173" spans="1:7" ht="13">
      <c r="A173" s="243"/>
      <c r="B173" s="1204">
        <v>51074</v>
      </c>
      <c r="C173" s="247"/>
      <c r="D173" s="1541">
        <v>2537347023.6300001</v>
      </c>
      <c r="E173" s="1542">
        <v>37499322.840000004</v>
      </c>
      <c r="F173" s="1543">
        <v>4242486.07</v>
      </c>
      <c r="G173" s="245"/>
    </row>
    <row r="174" spans="1:7" ht="13">
      <c r="A174" s="243"/>
      <c r="B174" s="1204">
        <v>51104</v>
      </c>
      <c r="C174" s="247"/>
      <c r="D174" s="1541">
        <v>2499847700.79</v>
      </c>
      <c r="E174" s="1542">
        <v>37205978.82</v>
      </c>
      <c r="F174" s="1543">
        <v>4189094.38</v>
      </c>
      <c r="G174" s="245"/>
    </row>
    <row r="175" spans="1:7" ht="13">
      <c r="A175" s="243"/>
      <c r="B175" s="1204">
        <v>51135</v>
      </c>
      <c r="C175" s="247"/>
      <c r="D175" s="1541">
        <v>2462641721.9699998</v>
      </c>
      <c r="E175" s="1542">
        <v>36874762.450000003</v>
      </c>
      <c r="F175" s="1543">
        <v>4135357.09</v>
      </c>
      <c r="G175" s="245"/>
    </row>
    <row r="176" spans="1:7" ht="13">
      <c r="A176" s="243"/>
      <c r="B176" s="1204">
        <v>51166</v>
      </c>
      <c r="C176" s="247"/>
      <c r="D176" s="1541">
        <v>2425766959.52</v>
      </c>
      <c r="E176" s="1542">
        <v>36602665.399999999</v>
      </c>
      <c r="F176" s="1543">
        <v>4082881.27</v>
      </c>
      <c r="G176" s="245"/>
    </row>
    <row r="177" spans="1:7" ht="13">
      <c r="A177" s="243"/>
      <c r="B177" s="1204">
        <v>51195</v>
      </c>
      <c r="C177" s="247"/>
      <c r="D177" s="1541">
        <v>2389164294.1199999</v>
      </c>
      <c r="E177" s="1542">
        <v>36223754.689999998</v>
      </c>
      <c r="F177" s="1543">
        <v>4030111.02</v>
      </c>
      <c r="G177" s="245"/>
    </row>
    <row r="178" spans="1:7" ht="13">
      <c r="A178" s="243"/>
      <c r="B178" s="1204">
        <v>51226</v>
      </c>
      <c r="C178" s="247"/>
      <c r="D178" s="1541">
        <v>2352940539.4299998</v>
      </c>
      <c r="E178" s="1542">
        <v>35896639.130000003</v>
      </c>
      <c r="F178" s="1543">
        <v>3976710.68</v>
      </c>
      <c r="G178" s="245"/>
    </row>
    <row r="179" spans="1:7" ht="13">
      <c r="A179" s="243"/>
      <c r="B179" s="1204">
        <v>51256</v>
      </c>
      <c r="C179" s="247"/>
      <c r="D179" s="1541">
        <v>2317043900.3000002</v>
      </c>
      <c r="E179" s="1542">
        <v>35595452.649999999</v>
      </c>
      <c r="F179" s="1543">
        <v>3925345.62</v>
      </c>
      <c r="G179" s="245"/>
    </row>
    <row r="180" spans="1:7" ht="13">
      <c r="A180" s="243"/>
      <c r="B180" s="1204">
        <v>51287</v>
      </c>
      <c r="C180" s="247"/>
      <c r="D180" s="1541">
        <v>2281448447.6500001</v>
      </c>
      <c r="E180" s="1542">
        <v>35335674.009999998</v>
      </c>
      <c r="F180" s="1543">
        <v>3873069.1</v>
      </c>
      <c r="G180" s="245"/>
    </row>
    <row r="181" spans="1:7" ht="13">
      <c r="A181" s="243"/>
      <c r="B181" s="1204">
        <v>51317</v>
      </c>
      <c r="C181" s="247"/>
      <c r="D181" s="1541">
        <v>2246112773.6399999</v>
      </c>
      <c r="E181" s="1542">
        <v>35087802.18</v>
      </c>
      <c r="F181" s="1543">
        <v>3822233.06</v>
      </c>
      <c r="G181" s="245"/>
    </row>
    <row r="182" spans="1:7" ht="13">
      <c r="A182" s="243"/>
      <c r="B182" s="1204">
        <v>51348</v>
      </c>
      <c r="C182" s="247"/>
      <c r="D182" s="1541">
        <v>2211024971.46</v>
      </c>
      <c r="E182" s="1542">
        <v>34769615.140000001</v>
      </c>
      <c r="F182" s="1543">
        <v>3770491.79</v>
      </c>
      <c r="G182" s="245"/>
    </row>
    <row r="183" spans="1:7" ht="13">
      <c r="A183" s="243"/>
      <c r="B183" s="1204">
        <v>51379</v>
      </c>
      <c r="C183" s="247"/>
      <c r="D183" s="1541">
        <v>2176255356.3200002</v>
      </c>
      <c r="E183" s="1542">
        <v>34505076.740000002</v>
      </c>
      <c r="F183" s="1543">
        <v>3720213.01</v>
      </c>
      <c r="G183" s="245"/>
    </row>
    <row r="184" spans="1:7" ht="13">
      <c r="A184" s="243"/>
      <c r="B184" s="1204">
        <v>51409</v>
      </c>
      <c r="C184" s="247"/>
      <c r="D184" s="1541">
        <v>2141750279.5799999</v>
      </c>
      <c r="E184" s="1542">
        <v>34240691.799999997</v>
      </c>
      <c r="F184" s="1543">
        <v>3669581.82</v>
      </c>
      <c r="G184" s="245"/>
    </row>
    <row r="185" spans="1:7" ht="13">
      <c r="A185" s="243"/>
      <c r="B185" s="1204">
        <v>51440</v>
      </c>
      <c r="C185" s="247"/>
      <c r="D185" s="1541">
        <v>2107509587.78</v>
      </c>
      <c r="E185" s="1542">
        <v>33975180.18</v>
      </c>
      <c r="F185" s="1543">
        <v>3619016.93</v>
      </c>
      <c r="G185" s="245"/>
    </row>
    <row r="186" spans="1:7" ht="13">
      <c r="A186" s="243"/>
      <c r="B186" s="1204">
        <v>51470</v>
      </c>
      <c r="C186" s="247"/>
      <c r="D186" s="1541">
        <v>2073534407.5999999</v>
      </c>
      <c r="E186" s="1542">
        <v>33737202.93</v>
      </c>
      <c r="F186" s="1543">
        <v>3569289.63</v>
      </c>
      <c r="G186" s="245"/>
    </row>
    <row r="187" spans="1:7" ht="13">
      <c r="A187" s="243"/>
      <c r="B187" s="1204">
        <v>51501</v>
      </c>
      <c r="C187" s="247"/>
      <c r="D187" s="1541">
        <v>2039797204.6700001</v>
      </c>
      <c r="E187" s="1542">
        <v>33524336.129999999</v>
      </c>
      <c r="F187" s="1543">
        <v>3519231.85</v>
      </c>
      <c r="G187" s="245"/>
    </row>
    <row r="188" spans="1:7" ht="13">
      <c r="A188" s="243"/>
      <c r="B188" s="1204">
        <v>51532</v>
      </c>
      <c r="C188" s="247"/>
      <c r="D188" s="1541">
        <v>2006272868.54</v>
      </c>
      <c r="E188" s="1542">
        <v>33317088.690000001</v>
      </c>
      <c r="F188" s="1543">
        <v>3470103.42</v>
      </c>
      <c r="G188" s="245"/>
    </row>
    <row r="189" spans="1:7" ht="13">
      <c r="A189" s="243"/>
      <c r="B189" s="1204">
        <v>51560</v>
      </c>
      <c r="C189" s="247"/>
      <c r="D189" s="1541">
        <v>1972955779.8499999</v>
      </c>
      <c r="E189" s="1542">
        <v>33041586.48</v>
      </c>
      <c r="F189" s="1543">
        <v>3420714.66</v>
      </c>
      <c r="G189" s="245"/>
    </row>
    <row r="190" spans="1:7" ht="13">
      <c r="A190" s="243"/>
      <c r="B190" s="1204">
        <v>51591</v>
      </c>
      <c r="C190" s="247"/>
      <c r="D190" s="1541">
        <v>1939914193.3699999</v>
      </c>
      <c r="E190" s="1542">
        <v>32857226.370000001</v>
      </c>
      <c r="F190" s="1543">
        <v>3370563.52</v>
      </c>
      <c r="G190" s="245"/>
    </row>
    <row r="191" spans="1:7" ht="13">
      <c r="A191" s="243"/>
      <c r="B191" s="1204">
        <v>51621</v>
      </c>
      <c r="C191" s="247"/>
      <c r="D191" s="1541">
        <v>1907056967</v>
      </c>
      <c r="E191" s="1542">
        <v>32668751.079999998</v>
      </c>
      <c r="F191" s="1543">
        <v>3322688.91</v>
      </c>
      <c r="G191" s="245"/>
    </row>
    <row r="192" spans="1:7" ht="13">
      <c r="A192" s="243"/>
      <c r="B192" s="1204">
        <v>51652</v>
      </c>
      <c r="C192" s="247"/>
      <c r="D192" s="1541">
        <v>1874388215.9200001</v>
      </c>
      <c r="E192" s="1542">
        <v>32428013.93</v>
      </c>
      <c r="F192" s="1543">
        <v>3273496.99</v>
      </c>
      <c r="G192" s="245"/>
    </row>
    <row r="193" spans="1:7" ht="13">
      <c r="A193" s="243"/>
      <c r="B193" s="1204">
        <v>51682</v>
      </c>
      <c r="C193" s="247"/>
      <c r="D193" s="1541">
        <v>1841960201.99</v>
      </c>
      <c r="E193" s="1542">
        <v>32211120.670000002</v>
      </c>
      <c r="F193" s="1543">
        <v>3225195.38</v>
      </c>
      <c r="G193" s="245"/>
    </row>
    <row r="194" spans="1:7" ht="13">
      <c r="A194" s="243"/>
      <c r="B194" s="1204">
        <v>51713</v>
      </c>
      <c r="C194" s="247"/>
      <c r="D194" s="1541">
        <v>1809749081.3199999</v>
      </c>
      <c r="E194" s="1542">
        <v>31985398.129999999</v>
      </c>
      <c r="F194" s="1543">
        <v>3176890.29</v>
      </c>
      <c r="G194" s="245"/>
    </row>
    <row r="195" spans="1:7" ht="13">
      <c r="A195" s="243"/>
      <c r="B195" s="1204">
        <v>51744</v>
      </c>
      <c r="C195" s="247"/>
      <c r="D195" s="1541">
        <v>1777763683.1900001</v>
      </c>
      <c r="E195" s="1542">
        <v>31660699.260000002</v>
      </c>
      <c r="F195" s="1543">
        <v>3128332.83</v>
      </c>
      <c r="G195" s="245"/>
    </row>
    <row r="196" spans="1:7" ht="13">
      <c r="A196" s="243"/>
      <c r="B196" s="1204">
        <v>51774</v>
      </c>
      <c r="C196" s="247"/>
      <c r="D196" s="1541">
        <v>1746102983.9300001</v>
      </c>
      <c r="E196" s="1542">
        <v>31341565.530000001</v>
      </c>
      <c r="F196" s="1543">
        <v>3080496.41</v>
      </c>
      <c r="G196" s="245"/>
    </row>
    <row r="197" spans="1:7" ht="13">
      <c r="A197" s="243"/>
      <c r="B197" s="1204">
        <v>51805</v>
      </c>
      <c r="C197" s="247"/>
      <c r="D197" s="1541">
        <v>1714761418.4000001</v>
      </c>
      <c r="E197" s="1542">
        <v>31052895.960000001</v>
      </c>
      <c r="F197" s="1543">
        <v>3032610.05</v>
      </c>
      <c r="G197" s="245"/>
    </row>
    <row r="198" spans="1:7" ht="13">
      <c r="A198" s="243"/>
      <c r="B198" s="1204">
        <v>51835</v>
      </c>
      <c r="C198" s="247"/>
      <c r="D198" s="1541">
        <v>1683708522.4400001</v>
      </c>
      <c r="E198" s="1542">
        <v>30705600.260000002</v>
      </c>
      <c r="F198" s="1543">
        <v>2985210.7</v>
      </c>
      <c r="G198" s="245"/>
    </row>
    <row r="199" spans="1:7" ht="13">
      <c r="A199" s="243"/>
      <c r="B199" s="1204">
        <v>51866</v>
      </c>
      <c r="C199" s="247"/>
      <c r="D199" s="1541">
        <v>1653002922.1800001</v>
      </c>
      <c r="E199" s="1542">
        <v>30319827.98</v>
      </c>
      <c r="F199" s="1543">
        <v>2937865.94</v>
      </c>
      <c r="G199" s="245"/>
    </row>
    <row r="200" spans="1:7" ht="13">
      <c r="A200" s="243"/>
      <c r="B200" s="1204">
        <v>51897</v>
      </c>
      <c r="C200" s="247"/>
      <c r="D200" s="1541">
        <v>1622683094.2</v>
      </c>
      <c r="E200" s="1542">
        <v>30032774.829999998</v>
      </c>
      <c r="F200" s="1543">
        <v>2891146.51</v>
      </c>
      <c r="G200" s="245"/>
    </row>
    <row r="201" spans="1:7" ht="13">
      <c r="A201" s="243"/>
      <c r="B201" s="1204">
        <v>51925</v>
      </c>
      <c r="C201" s="247"/>
      <c r="D201" s="1541">
        <v>1592650319.3699999</v>
      </c>
      <c r="E201" s="1542">
        <v>29726781.600000001</v>
      </c>
      <c r="F201" s="1543">
        <v>2844725.34</v>
      </c>
      <c r="G201" s="245"/>
    </row>
    <row r="202" spans="1:7" ht="13">
      <c r="A202" s="243"/>
      <c r="B202" s="1204">
        <v>51956</v>
      </c>
      <c r="C202" s="247"/>
      <c r="D202" s="1541">
        <v>1562923537.77</v>
      </c>
      <c r="E202" s="1542">
        <v>29472386.960000001</v>
      </c>
      <c r="F202" s="1543">
        <v>2797393.17</v>
      </c>
      <c r="G202" s="245"/>
    </row>
    <row r="203" spans="1:7" ht="13">
      <c r="A203" s="243"/>
      <c r="B203" s="1204">
        <v>51986</v>
      </c>
      <c r="C203" s="247"/>
      <c r="D203" s="1541">
        <v>1533451150.8099999</v>
      </c>
      <c r="E203" s="1542">
        <v>29195229.629999999</v>
      </c>
      <c r="F203" s="1543">
        <v>2751709.59</v>
      </c>
      <c r="G203" s="245"/>
    </row>
    <row r="204" spans="1:7" ht="13">
      <c r="A204" s="243"/>
      <c r="B204" s="1204">
        <v>52017</v>
      </c>
      <c r="C204" s="247"/>
      <c r="D204" s="1541">
        <v>1504255921.1800001</v>
      </c>
      <c r="E204" s="1542">
        <v>28909131.66</v>
      </c>
      <c r="F204" s="1543">
        <v>2705391.48</v>
      </c>
      <c r="G204" s="245"/>
    </row>
    <row r="205" spans="1:7" ht="13">
      <c r="A205" s="243"/>
      <c r="B205" s="1204">
        <v>52047</v>
      </c>
      <c r="C205" s="247"/>
      <c r="D205" s="1541">
        <v>1475346789.52</v>
      </c>
      <c r="E205" s="1542">
        <v>28628672.18</v>
      </c>
      <c r="F205" s="1543">
        <v>2659527.92</v>
      </c>
      <c r="G205" s="245"/>
    </row>
    <row r="206" spans="1:7" ht="13">
      <c r="A206" s="243"/>
      <c r="B206" s="1204">
        <v>52078</v>
      </c>
      <c r="C206" s="247"/>
      <c r="D206" s="1541">
        <v>1446718117.3399999</v>
      </c>
      <c r="E206" s="1542">
        <v>28342928.449999999</v>
      </c>
      <c r="F206" s="1543">
        <v>2613917.6</v>
      </c>
      <c r="G206" s="245"/>
    </row>
    <row r="207" spans="1:7" ht="13">
      <c r="A207" s="243"/>
      <c r="B207" s="1204">
        <v>52109</v>
      </c>
      <c r="C207" s="247"/>
      <c r="D207" s="1541">
        <v>1418375188.8900001</v>
      </c>
      <c r="E207" s="1542">
        <v>28026967.260000002</v>
      </c>
      <c r="F207" s="1543">
        <v>2568708.48</v>
      </c>
      <c r="G207" s="245"/>
    </row>
    <row r="208" spans="1:7" ht="13">
      <c r="A208" s="243"/>
      <c r="B208" s="1204">
        <v>52139</v>
      </c>
      <c r="C208" s="247"/>
      <c r="D208" s="1541">
        <v>1390348221.6300001</v>
      </c>
      <c r="E208" s="1542">
        <v>27712214.670000002</v>
      </c>
      <c r="F208" s="1543">
        <v>2523807.9900000002</v>
      </c>
      <c r="G208" s="245"/>
    </row>
    <row r="209" spans="1:7" ht="13">
      <c r="A209" s="243"/>
      <c r="B209" s="1204">
        <v>52170</v>
      </c>
      <c r="C209" s="247"/>
      <c r="D209" s="1541">
        <v>1362636006.96</v>
      </c>
      <c r="E209" s="1542">
        <v>27464062.629999999</v>
      </c>
      <c r="F209" s="1543">
        <v>2479011.4900000002</v>
      </c>
      <c r="G209" s="245"/>
    </row>
    <row r="210" spans="1:7" ht="13">
      <c r="A210" s="243"/>
      <c r="B210" s="1204">
        <v>52200</v>
      </c>
      <c r="C210" s="247"/>
      <c r="D210" s="1541">
        <v>1335171944.3299999</v>
      </c>
      <c r="E210" s="1542">
        <v>27187432.100000001</v>
      </c>
      <c r="F210" s="1543">
        <v>2434598.5299999998</v>
      </c>
      <c r="G210" s="245"/>
    </row>
    <row r="211" spans="1:7" ht="13">
      <c r="A211" s="243"/>
      <c r="B211" s="1204">
        <v>52231</v>
      </c>
      <c r="C211" s="247"/>
      <c r="D211" s="1541">
        <v>1307984512.23</v>
      </c>
      <c r="E211" s="1542">
        <v>26887255.760000002</v>
      </c>
      <c r="F211" s="1543">
        <v>2390340.44</v>
      </c>
      <c r="G211" s="245"/>
    </row>
    <row r="212" spans="1:7" ht="13">
      <c r="A212" s="243"/>
      <c r="B212" s="1204">
        <v>52262</v>
      </c>
      <c r="C212" s="247"/>
      <c r="D212" s="1541">
        <v>1281097256.47</v>
      </c>
      <c r="E212" s="1542">
        <v>26584381.289999999</v>
      </c>
      <c r="F212" s="1543">
        <v>2346449.27</v>
      </c>
      <c r="G212" s="245"/>
    </row>
    <row r="213" spans="1:7" ht="13">
      <c r="A213" s="243"/>
      <c r="B213" s="1204">
        <v>52290</v>
      </c>
      <c r="C213" s="247"/>
      <c r="D213" s="1541">
        <v>1254512875.1800001</v>
      </c>
      <c r="E213" s="1542">
        <v>26257484.260000002</v>
      </c>
      <c r="F213" s="1543">
        <v>2302983.02</v>
      </c>
      <c r="G213" s="245"/>
    </row>
    <row r="214" spans="1:7" ht="13">
      <c r="A214" s="243"/>
      <c r="B214" s="1204">
        <v>52321</v>
      </c>
      <c r="C214" s="247"/>
      <c r="D214" s="1541">
        <v>1228255390.9200001</v>
      </c>
      <c r="E214" s="1542">
        <v>26040130.949999999</v>
      </c>
      <c r="F214" s="1543">
        <v>2259758.4500000002</v>
      </c>
      <c r="G214" s="245"/>
    </row>
    <row r="215" spans="1:7" ht="13">
      <c r="A215" s="243"/>
      <c r="B215" s="1204">
        <v>52351</v>
      </c>
      <c r="C215" s="247"/>
      <c r="D215" s="1541">
        <v>1202215259.97</v>
      </c>
      <c r="E215" s="1542">
        <v>25744289.170000002</v>
      </c>
      <c r="F215" s="1543">
        <v>2217288.15</v>
      </c>
      <c r="G215" s="245"/>
    </row>
    <row r="216" spans="1:7" ht="13">
      <c r="A216" s="243"/>
      <c r="B216" s="1204">
        <v>52382</v>
      </c>
      <c r="C216" s="247"/>
      <c r="D216" s="1541">
        <v>1176470970.8</v>
      </c>
      <c r="E216" s="1542">
        <v>25428587.02</v>
      </c>
      <c r="F216" s="1543">
        <v>2174564.5699999998</v>
      </c>
      <c r="G216" s="245"/>
    </row>
    <row r="217" spans="1:7" ht="13">
      <c r="A217" s="243"/>
      <c r="B217" s="1204">
        <v>52412</v>
      </c>
      <c r="C217" s="247"/>
      <c r="D217" s="1541">
        <v>1151042383.78</v>
      </c>
      <c r="E217" s="1542">
        <v>25169652.210000001</v>
      </c>
      <c r="F217" s="1543">
        <v>2132680.6800000002</v>
      </c>
      <c r="G217" s="245"/>
    </row>
    <row r="218" spans="1:7" ht="13">
      <c r="A218" s="243"/>
      <c r="B218" s="1204">
        <v>52443</v>
      </c>
      <c r="C218" s="247"/>
      <c r="D218" s="1541">
        <v>1125872731.5699999</v>
      </c>
      <c r="E218" s="1542">
        <v>24975925.059999999</v>
      </c>
      <c r="F218" s="1543">
        <v>2090854.14</v>
      </c>
      <c r="G218" s="245"/>
    </row>
    <row r="219" spans="1:7" ht="13">
      <c r="A219" s="243"/>
      <c r="B219" s="1204">
        <v>52474</v>
      </c>
      <c r="C219" s="247"/>
      <c r="D219" s="1541">
        <v>1100896806.51</v>
      </c>
      <c r="E219" s="1542">
        <v>24733186.079999998</v>
      </c>
      <c r="F219" s="1543">
        <v>2049370.69</v>
      </c>
      <c r="G219" s="245"/>
    </row>
    <row r="220" spans="1:7" ht="13">
      <c r="A220" s="243"/>
      <c r="B220" s="1204">
        <v>52504</v>
      </c>
      <c r="C220" s="247"/>
      <c r="D220" s="1541">
        <v>1076163620.4300001</v>
      </c>
      <c r="E220" s="1542">
        <v>24442982.91</v>
      </c>
      <c r="F220" s="1543">
        <v>2008294.39</v>
      </c>
      <c r="G220" s="245"/>
    </row>
    <row r="221" spans="1:7" ht="13">
      <c r="A221" s="243"/>
      <c r="B221" s="1204">
        <v>52535</v>
      </c>
      <c r="C221" s="247"/>
      <c r="D221" s="1541">
        <v>1051720637.52</v>
      </c>
      <c r="E221" s="1542">
        <v>24215744.260000002</v>
      </c>
      <c r="F221" s="1543">
        <v>1967713.52</v>
      </c>
      <c r="G221" s="245"/>
    </row>
    <row r="222" spans="1:7" ht="13">
      <c r="A222" s="243"/>
      <c r="B222" s="1204">
        <v>52565</v>
      </c>
      <c r="C222" s="247"/>
      <c r="D222" s="1541">
        <v>1027504893.26</v>
      </c>
      <c r="E222" s="1542">
        <v>24008166.670000002</v>
      </c>
      <c r="F222" s="1543">
        <v>1927352.63</v>
      </c>
      <c r="G222" s="245"/>
    </row>
    <row r="223" spans="1:7" ht="13">
      <c r="A223" s="243"/>
      <c r="B223" s="1204">
        <v>52596</v>
      </c>
      <c r="C223" s="247"/>
      <c r="D223" s="1541">
        <v>1003496726.59</v>
      </c>
      <c r="E223" s="1542">
        <v>23773251.289999999</v>
      </c>
      <c r="F223" s="1543">
        <v>1887330.25</v>
      </c>
      <c r="G223" s="245"/>
    </row>
    <row r="224" spans="1:7" ht="13">
      <c r="A224" s="243"/>
      <c r="B224" s="1204">
        <v>52627</v>
      </c>
      <c r="C224" s="247"/>
      <c r="D224" s="1541">
        <v>979723475.29999995</v>
      </c>
      <c r="E224" s="1542">
        <v>23555559.809999999</v>
      </c>
      <c r="F224" s="1543">
        <v>1847724.58</v>
      </c>
      <c r="G224" s="245"/>
    </row>
    <row r="225" spans="1:7" ht="13">
      <c r="A225" s="243"/>
      <c r="B225" s="1204">
        <v>52656</v>
      </c>
      <c r="C225" s="247"/>
      <c r="D225" s="1541">
        <v>956167915.49000001</v>
      </c>
      <c r="E225" s="1542">
        <v>23311466.039999999</v>
      </c>
      <c r="F225" s="1543">
        <v>1808559.96</v>
      </c>
      <c r="G225" s="245"/>
    </row>
    <row r="226" spans="1:7" ht="13">
      <c r="A226" s="243"/>
      <c r="B226" s="1204">
        <v>52687</v>
      </c>
      <c r="C226" s="247"/>
      <c r="D226" s="1541">
        <v>932856449.45000005</v>
      </c>
      <c r="E226" s="1542">
        <v>23133874.760000002</v>
      </c>
      <c r="F226" s="1543">
        <v>1769536.96</v>
      </c>
      <c r="G226" s="245"/>
    </row>
    <row r="227" spans="1:7" ht="13">
      <c r="A227" s="243"/>
      <c r="B227" s="1204">
        <v>52717</v>
      </c>
      <c r="C227" s="247"/>
      <c r="D227" s="1541">
        <v>909722574.69000006</v>
      </c>
      <c r="E227" s="1542">
        <v>22907806.640000001</v>
      </c>
      <c r="F227" s="1543">
        <v>1730871.75</v>
      </c>
      <c r="G227" s="245"/>
    </row>
    <row r="228" spans="1:7" ht="13">
      <c r="A228" s="243"/>
      <c r="B228" s="1204">
        <v>52748</v>
      </c>
      <c r="C228" s="247"/>
      <c r="D228" s="1541">
        <v>886814768.04999995</v>
      </c>
      <c r="E228" s="1542">
        <v>22645688.469999999</v>
      </c>
      <c r="F228" s="1543">
        <v>1692557.02</v>
      </c>
      <c r="G228" s="245"/>
    </row>
    <row r="229" spans="1:7" ht="13">
      <c r="A229" s="243"/>
      <c r="B229" s="1204">
        <v>52778</v>
      </c>
      <c r="C229" s="247"/>
      <c r="D229" s="1541">
        <v>864169079.58000004</v>
      </c>
      <c r="E229" s="1542">
        <v>22369515.93</v>
      </c>
      <c r="F229" s="1543">
        <v>1654801.24</v>
      </c>
      <c r="G229" s="245"/>
    </row>
    <row r="230" spans="1:7" ht="13">
      <c r="A230" s="243"/>
      <c r="B230" s="1204">
        <v>52809</v>
      </c>
      <c r="C230" s="247"/>
      <c r="D230" s="1541">
        <v>841799563.64999998</v>
      </c>
      <c r="E230" s="1542">
        <v>22089789.760000002</v>
      </c>
      <c r="F230" s="1543">
        <v>1617473.6</v>
      </c>
      <c r="G230" s="245"/>
    </row>
    <row r="231" spans="1:7" ht="13">
      <c r="A231" s="243"/>
      <c r="B231" s="1204">
        <v>52840</v>
      </c>
      <c r="C231" s="247"/>
      <c r="D231" s="1541">
        <v>819709773.88999999</v>
      </c>
      <c r="E231" s="1542">
        <v>21752750.850000001</v>
      </c>
      <c r="F231" s="1543">
        <v>1580675.3</v>
      </c>
      <c r="G231" s="245"/>
    </row>
    <row r="232" spans="1:7" ht="13">
      <c r="A232" s="243"/>
      <c r="B232" s="1204">
        <v>52870</v>
      </c>
      <c r="C232" s="247"/>
      <c r="D232" s="1541">
        <v>797957023.03999996</v>
      </c>
      <c r="E232" s="1542">
        <v>21349025.370000001</v>
      </c>
      <c r="F232" s="1543">
        <v>1544379.34</v>
      </c>
      <c r="G232" s="245"/>
    </row>
    <row r="233" spans="1:7" ht="13">
      <c r="A233" s="243"/>
      <c r="B233" s="1204">
        <v>52901</v>
      </c>
      <c r="C233" s="247"/>
      <c r="D233" s="1541">
        <v>776607997.66999996</v>
      </c>
      <c r="E233" s="1542">
        <v>21050659.510000002</v>
      </c>
      <c r="F233" s="1543">
        <v>1508922.49</v>
      </c>
      <c r="G233" s="245"/>
    </row>
    <row r="234" spans="1:7" ht="13">
      <c r="A234" s="243"/>
      <c r="B234" s="1204">
        <v>52931</v>
      </c>
      <c r="C234" s="247"/>
      <c r="D234" s="1541">
        <v>755557338.15999997</v>
      </c>
      <c r="E234" s="1542">
        <v>20716229.489999998</v>
      </c>
      <c r="F234" s="1543">
        <v>1473642.73</v>
      </c>
      <c r="G234" s="245"/>
    </row>
    <row r="235" spans="1:7" ht="13">
      <c r="A235" s="243"/>
      <c r="B235" s="1204">
        <v>52962</v>
      </c>
      <c r="C235" s="247"/>
      <c r="D235" s="1541">
        <v>734841108.66999996</v>
      </c>
      <c r="E235" s="1542">
        <v>20312032.030000001</v>
      </c>
      <c r="F235" s="1543">
        <v>1439071.81</v>
      </c>
      <c r="G235" s="245"/>
    </row>
    <row r="236" spans="1:7" ht="13">
      <c r="A236" s="243"/>
      <c r="B236" s="1204">
        <v>52993</v>
      </c>
      <c r="C236" s="247"/>
      <c r="D236" s="1541">
        <v>714529076.63999999</v>
      </c>
      <c r="E236" s="1542">
        <v>19994608.719999999</v>
      </c>
      <c r="F236" s="1543">
        <v>1405061.9</v>
      </c>
      <c r="G236" s="245"/>
    </row>
    <row r="237" spans="1:7" ht="13">
      <c r="A237" s="243"/>
      <c r="B237" s="1204">
        <v>53021</v>
      </c>
      <c r="C237" s="247"/>
      <c r="D237" s="1541">
        <v>694534467.91999996</v>
      </c>
      <c r="E237" s="1542">
        <v>19577928.920000002</v>
      </c>
      <c r="F237" s="1543">
        <v>1371618.52</v>
      </c>
      <c r="G237" s="245"/>
    </row>
    <row r="238" spans="1:7" ht="13">
      <c r="A238" s="243"/>
      <c r="B238" s="1204">
        <v>53052</v>
      </c>
      <c r="C238" s="247"/>
      <c r="D238" s="1541">
        <v>674956539</v>
      </c>
      <c r="E238" s="1542">
        <v>19240435.809999999</v>
      </c>
      <c r="F238" s="1543">
        <v>1338511.07</v>
      </c>
      <c r="G238" s="245"/>
    </row>
    <row r="239" spans="1:7" ht="13">
      <c r="A239" s="243">
        <v>226</v>
      </c>
      <c r="B239" s="1204">
        <v>53082</v>
      </c>
      <c r="C239" s="247"/>
      <c r="D239" s="1541">
        <v>655716103.19000006</v>
      </c>
      <c r="E239" s="1542">
        <v>18963581.690000001</v>
      </c>
      <c r="F239" s="1543">
        <v>1306190.3700000001</v>
      </c>
      <c r="G239" s="245"/>
    </row>
    <row r="240" spans="1:7" ht="13">
      <c r="B240" s="1204">
        <v>53113</v>
      </c>
      <c r="C240" s="247"/>
      <c r="D240" s="1541">
        <v>636752521.5</v>
      </c>
      <c r="E240" s="1542">
        <v>18701618.030000001</v>
      </c>
      <c r="F240" s="1543">
        <v>1274111.7</v>
      </c>
    </row>
    <row r="241" spans="2:6" ht="13">
      <c r="B241" s="1204">
        <v>53143</v>
      </c>
      <c r="C241" s="247"/>
      <c r="D241" s="1541">
        <v>618050903.47000003</v>
      </c>
      <c r="E241" s="1542">
        <v>18400353.829999998</v>
      </c>
      <c r="F241" s="1543">
        <v>1242564.29</v>
      </c>
    </row>
    <row r="242" spans="2:6" ht="13">
      <c r="B242" s="1204">
        <v>53174</v>
      </c>
      <c r="C242" s="247"/>
      <c r="D242" s="1541">
        <v>599650549.63999999</v>
      </c>
      <c r="E242" s="1542">
        <v>18064088.559999999</v>
      </c>
      <c r="F242" s="1543">
        <v>1211524.48</v>
      </c>
    </row>
    <row r="243" spans="2:6" ht="13">
      <c r="B243" s="1204">
        <v>53205</v>
      </c>
      <c r="C243" s="247"/>
      <c r="D243" s="1541">
        <v>581586461.08000004</v>
      </c>
      <c r="E243" s="1542">
        <v>17727593.879999999</v>
      </c>
      <c r="F243" s="1543">
        <v>1181091.6200000001</v>
      </c>
    </row>
    <row r="244" spans="2:6" ht="13">
      <c r="B244" s="1204">
        <v>53235</v>
      </c>
      <c r="C244" s="247"/>
      <c r="D244" s="1541">
        <v>563858867.20000005</v>
      </c>
      <c r="E244" s="1542">
        <v>17439101.050000001</v>
      </c>
      <c r="F244" s="1543">
        <v>1151118.17</v>
      </c>
    </row>
    <row r="245" spans="2:6" ht="13">
      <c r="B245" s="1204">
        <v>53266</v>
      </c>
      <c r="C245" s="247"/>
      <c r="D245" s="1541">
        <v>546419766.14999998</v>
      </c>
      <c r="E245" s="1542">
        <v>17251933.489999998</v>
      </c>
      <c r="F245" s="1543">
        <v>1121757.26</v>
      </c>
    </row>
    <row r="246" spans="2:6" ht="13">
      <c r="B246" s="1204">
        <v>53296</v>
      </c>
      <c r="C246" s="247"/>
      <c r="D246" s="1541">
        <v>529167832.66000003</v>
      </c>
      <c r="E246" s="1542">
        <v>17083775.100000001</v>
      </c>
      <c r="F246" s="1543">
        <v>1092608.18</v>
      </c>
    </row>
    <row r="247" spans="2:6" ht="13">
      <c r="B247" s="1204">
        <v>53327</v>
      </c>
      <c r="C247" s="247"/>
      <c r="D247" s="1541">
        <v>512084057.56</v>
      </c>
      <c r="E247" s="1542">
        <v>16916584.670000002</v>
      </c>
      <c r="F247" s="1543">
        <v>1063667.03</v>
      </c>
    </row>
    <row r="248" spans="2:6" ht="13">
      <c r="B248" s="1204">
        <v>53358</v>
      </c>
      <c r="C248" s="247"/>
      <c r="D248" s="1541">
        <v>495167472.88999999</v>
      </c>
      <c r="E248" s="1542">
        <v>16760296.91</v>
      </c>
      <c r="F248" s="1543">
        <v>1034940.71</v>
      </c>
    </row>
    <row r="249" spans="2:6" ht="13">
      <c r="B249" s="1204">
        <v>53386</v>
      </c>
      <c r="C249" s="247"/>
      <c r="D249" s="1541">
        <v>478407175.98000002</v>
      </c>
      <c r="E249" s="1542">
        <v>16627721.289999999</v>
      </c>
      <c r="F249" s="1543">
        <v>1006265.68</v>
      </c>
    </row>
    <row r="250" spans="2:6" ht="13">
      <c r="B250" s="1204">
        <v>53417</v>
      </c>
      <c r="C250" s="247"/>
      <c r="D250" s="1541">
        <v>461779454.69</v>
      </c>
      <c r="E250" s="1542">
        <v>16496662.960000001</v>
      </c>
      <c r="F250" s="1543">
        <v>977889.36</v>
      </c>
    </row>
    <row r="251" spans="2:6" ht="13">
      <c r="B251" s="1204">
        <v>53447</v>
      </c>
      <c r="C251" s="247"/>
      <c r="D251" s="1541">
        <v>445282791.73000002</v>
      </c>
      <c r="E251" s="1542">
        <v>16373762.85</v>
      </c>
      <c r="F251" s="1543">
        <v>949600.94</v>
      </c>
    </row>
    <row r="252" spans="2:6" ht="13">
      <c r="B252" s="1204">
        <v>53478</v>
      </c>
      <c r="C252" s="247"/>
      <c r="D252" s="1541">
        <v>428909028.88</v>
      </c>
      <c r="E252" s="1542">
        <v>16188924.43</v>
      </c>
      <c r="F252" s="1543">
        <v>921018.55</v>
      </c>
    </row>
    <row r="253" spans="2:6" ht="13">
      <c r="B253" s="1204">
        <v>53508</v>
      </c>
      <c r="C253" s="247"/>
      <c r="D253" s="1541">
        <v>412720104.44999999</v>
      </c>
      <c r="E253" s="1542">
        <v>16030410.92</v>
      </c>
      <c r="F253" s="1543">
        <v>893053.78</v>
      </c>
    </row>
    <row r="254" spans="2:6" ht="13">
      <c r="B254" s="1204">
        <v>53539</v>
      </c>
      <c r="C254" s="247"/>
      <c r="D254" s="1541">
        <v>396689693.52999997</v>
      </c>
      <c r="E254" s="1542">
        <v>15788903.619999999</v>
      </c>
      <c r="F254" s="1543">
        <v>865088.12</v>
      </c>
    </row>
    <row r="255" spans="2:6" ht="13">
      <c r="B255" s="1204">
        <v>53570</v>
      </c>
      <c r="C255" s="247"/>
      <c r="D255" s="1541">
        <v>380900789.91000003</v>
      </c>
      <c r="E255" s="1542">
        <v>15521391.59</v>
      </c>
      <c r="F255" s="1543">
        <v>837093.31</v>
      </c>
    </row>
    <row r="256" spans="2:6" ht="13">
      <c r="B256" s="1204">
        <v>53600</v>
      </c>
      <c r="C256" s="247"/>
      <c r="D256" s="1541">
        <v>365379398.31999999</v>
      </c>
      <c r="E256" s="1542">
        <v>15082766.699999999</v>
      </c>
      <c r="F256" s="1543">
        <v>809713.35</v>
      </c>
    </row>
    <row r="257" spans="2:6" ht="13">
      <c r="B257" s="1204">
        <v>53631</v>
      </c>
      <c r="C257" s="247"/>
      <c r="D257" s="1541">
        <v>350296631.62</v>
      </c>
      <c r="E257" s="1542">
        <v>14743462.9</v>
      </c>
      <c r="F257" s="1543">
        <v>782562.05</v>
      </c>
    </row>
    <row r="258" spans="2:6" ht="13">
      <c r="B258" s="1204">
        <v>53661</v>
      </c>
      <c r="C258" s="247"/>
      <c r="D258" s="1541">
        <v>335553168.72000003</v>
      </c>
      <c r="E258" s="1542">
        <v>14354458.9</v>
      </c>
      <c r="F258" s="1543">
        <v>755777.94</v>
      </c>
    </row>
    <row r="259" spans="2:6" ht="13">
      <c r="B259" s="1204">
        <v>53692</v>
      </c>
      <c r="C259" s="247"/>
      <c r="D259" s="1541">
        <v>321198709.81999999</v>
      </c>
      <c r="E259" s="1542">
        <v>13970412.390000001</v>
      </c>
      <c r="F259" s="1543">
        <v>729378.37</v>
      </c>
    </row>
    <row r="260" spans="2:6" ht="13">
      <c r="B260" s="1204">
        <v>53723</v>
      </c>
      <c r="C260" s="247"/>
      <c r="D260" s="1541">
        <v>307228297.43000001</v>
      </c>
      <c r="E260" s="1542">
        <v>13636367.810000001</v>
      </c>
      <c r="F260" s="1543">
        <v>703031.84</v>
      </c>
    </row>
    <row r="261" spans="2:6" ht="13">
      <c r="B261" s="1204">
        <v>53751</v>
      </c>
      <c r="C261" s="247"/>
      <c r="D261" s="1541">
        <v>293591929.62</v>
      </c>
      <c r="E261" s="1542">
        <v>13271198.49</v>
      </c>
      <c r="F261" s="1543">
        <v>677226.96</v>
      </c>
    </row>
    <row r="262" spans="2:6" ht="13">
      <c r="B262" s="1204">
        <v>53782</v>
      </c>
      <c r="C262" s="247"/>
      <c r="D262" s="1541">
        <v>280320731.13</v>
      </c>
      <c r="E262" s="1542">
        <v>12954996.699999999</v>
      </c>
      <c r="F262" s="1543">
        <v>651824.73</v>
      </c>
    </row>
    <row r="263" spans="2:6" ht="13">
      <c r="B263" s="1204">
        <v>53812</v>
      </c>
      <c r="C263" s="247"/>
      <c r="D263" s="1541">
        <v>267365734.43000001</v>
      </c>
      <c r="E263" s="1542">
        <v>12641419.039999999</v>
      </c>
      <c r="F263" s="1543">
        <v>626379.35</v>
      </c>
    </row>
    <row r="264" spans="2:6" ht="13">
      <c r="B264" s="1204">
        <v>53843</v>
      </c>
      <c r="C264" s="247"/>
      <c r="D264" s="1541">
        <v>254724315.38999999</v>
      </c>
      <c r="E264" s="1542">
        <v>12266274.199999999</v>
      </c>
      <c r="F264" s="1543">
        <v>601160.14</v>
      </c>
    </row>
    <row r="265" spans="2:6" ht="13">
      <c r="B265" s="1204">
        <v>53873</v>
      </c>
      <c r="C265" s="247"/>
      <c r="D265" s="1541">
        <v>242458041.19</v>
      </c>
      <c r="E265" s="1542">
        <v>11823486.130000001</v>
      </c>
      <c r="F265" s="1543">
        <v>576489.85</v>
      </c>
    </row>
    <row r="266" spans="2:6" ht="13">
      <c r="B266" s="1204">
        <v>53904</v>
      </c>
      <c r="C266" s="247"/>
      <c r="D266" s="1541">
        <v>230634555.06</v>
      </c>
      <c r="E266" s="1542">
        <v>11351243.949999999</v>
      </c>
      <c r="F266" s="1543">
        <v>552218.31000000006</v>
      </c>
    </row>
    <row r="267" spans="2:6" ht="13">
      <c r="B267" s="1204">
        <v>53935</v>
      </c>
      <c r="C267" s="247"/>
      <c r="D267" s="1541">
        <v>219283311.11000001</v>
      </c>
      <c r="E267" s="1542">
        <v>10940800.99</v>
      </c>
      <c r="F267" s="1543">
        <v>528592.98</v>
      </c>
    </row>
    <row r="268" spans="2:6" ht="13">
      <c r="B268" s="1204">
        <v>53965</v>
      </c>
      <c r="C268" s="247"/>
      <c r="D268" s="1541">
        <v>208342510.12</v>
      </c>
      <c r="E268" s="1542">
        <v>10445614.060000001</v>
      </c>
      <c r="F268" s="1543">
        <v>505051</v>
      </c>
    </row>
    <row r="269" spans="2:6" ht="13">
      <c r="B269" s="1204">
        <v>53996</v>
      </c>
      <c r="C269" s="247"/>
      <c r="D269" s="1541">
        <v>197896896.06</v>
      </c>
      <c r="E269" s="1542">
        <v>10076035.48</v>
      </c>
      <c r="F269" s="1543">
        <v>482232.07</v>
      </c>
    </row>
    <row r="270" spans="2:6" ht="13">
      <c r="B270" s="1204">
        <v>54026</v>
      </c>
      <c r="C270" s="247"/>
      <c r="D270" s="1541">
        <v>187820860.58000001</v>
      </c>
      <c r="E270" s="1542">
        <v>9673064.0999999996</v>
      </c>
      <c r="F270" s="1543">
        <v>459848.39</v>
      </c>
    </row>
    <row r="271" spans="2:6" ht="13">
      <c r="B271" s="1204">
        <v>54057</v>
      </c>
      <c r="C271" s="247"/>
      <c r="D271" s="1541">
        <v>178147796.47999999</v>
      </c>
      <c r="E271" s="1542">
        <v>9306160.9499999993</v>
      </c>
      <c r="F271" s="1543">
        <v>437990.41</v>
      </c>
    </row>
    <row r="272" spans="2:6" ht="13">
      <c r="B272" s="1204">
        <v>54088</v>
      </c>
      <c r="C272" s="247"/>
      <c r="D272" s="1541">
        <v>168841635.53</v>
      </c>
      <c r="E272" s="1542">
        <v>9005144.1699999999</v>
      </c>
      <c r="F272" s="1543">
        <v>416620.58</v>
      </c>
    </row>
    <row r="273" spans="2:6" ht="13">
      <c r="B273" s="1204">
        <v>54117</v>
      </c>
      <c r="C273" s="247"/>
      <c r="D273" s="1541">
        <v>159836491.36000001</v>
      </c>
      <c r="E273" s="1542">
        <v>8667305.4399999995</v>
      </c>
      <c r="F273" s="1543">
        <v>395675.96</v>
      </c>
    </row>
    <row r="274" spans="2:6" ht="13">
      <c r="B274" s="1204">
        <v>54148</v>
      </c>
      <c r="C274" s="247"/>
      <c r="D274" s="1541">
        <v>151169185.91999999</v>
      </c>
      <c r="E274" s="1542">
        <v>8368791.4500000002</v>
      </c>
      <c r="F274" s="1543">
        <v>375209.06</v>
      </c>
    </row>
    <row r="275" spans="2:6" ht="13">
      <c r="B275" s="1204">
        <v>54178</v>
      </c>
      <c r="C275" s="247"/>
      <c r="D275" s="1541">
        <v>142800394.47</v>
      </c>
      <c r="E275" s="1542">
        <v>8082481.9299999997</v>
      </c>
      <c r="F275" s="1543">
        <v>355216.24</v>
      </c>
    </row>
    <row r="276" spans="2:6" ht="13">
      <c r="B276" s="1204">
        <v>54209</v>
      </c>
      <c r="C276" s="247"/>
      <c r="D276" s="1541">
        <v>134717912.53999999</v>
      </c>
      <c r="E276" s="1542">
        <v>7793257.3799999999</v>
      </c>
      <c r="F276" s="1543">
        <v>335703.37</v>
      </c>
    </row>
    <row r="277" spans="2:6" ht="13">
      <c r="B277" s="1204">
        <v>54239</v>
      </c>
      <c r="C277" s="247"/>
      <c r="D277" s="1541">
        <v>126924655.16</v>
      </c>
      <c r="E277" s="1542">
        <v>7536579.9800000004</v>
      </c>
      <c r="F277" s="1543">
        <v>316728.62</v>
      </c>
    </row>
    <row r="278" spans="2:6" ht="13">
      <c r="B278" s="1204">
        <v>54270</v>
      </c>
      <c r="C278" s="247"/>
      <c r="D278" s="1541">
        <v>119388075.18000001</v>
      </c>
      <c r="E278" s="1542">
        <v>7347368.2800000003</v>
      </c>
      <c r="F278" s="1543">
        <v>298230.44</v>
      </c>
    </row>
    <row r="279" spans="2:6" ht="13">
      <c r="B279" s="1204">
        <v>54301</v>
      </c>
      <c r="C279" s="247"/>
      <c r="D279" s="1541">
        <v>112040706.90000001</v>
      </c>
      <c r="E279" s="1542">
        <v>7106589.8200000003</v>
      </c>
      <c r="F279" s="1543">
        <v>280138.40000000002</v>
      </c>
    </row>
    <row r="280" spans="2:6" ht="13">
      <c r="B280" s="1204">
        <v>54331</v>
      </c>
      <c r="C280" s="247"/>
      <c r="D280" s="1541">
        <v>104934117.08</v>
      </c>
      <c r="E280" s="1542">
        <v>6866135.1799999997</v>
      </c>
      <c r="F280" s="1543">
        <v>262482.43</v>
      </c>
    </row>
    <row r="281" spans="2:6" ht="13">
      <c r="B281" s="1204">
        <v>54362</v>
      </c>
      <c r="C281" s="247"/>
      <c r="D281" s="1541">
        <v>98067981.900000006</v>
      </c>
      <c r="E281" s="1542">
        <v>6672839.1200000001</v>
      </c>
      <c r="F281" s="1543">
        <v>245401.09</v>
      </c>
    </row>
    <row r="282" spans="2:6" ht="13">
      <c r="B282" s="1204">
        <v>54392</v>
      </c>
      <c r="C282" s="247"/>
      <c r="D282" s="1541">
        <v>91395142.780000001</v>
      </c>
      <c r="E282" s="1542">
        <v>6508216.7400000002</v>
      </c>
      <c r="F282" s="1543">
        <v>228736.58</v>
      </c>
    </row>
    <row r="283" spans="2:6" ht="13">
      <c r="B283" s="1204">
        <v>54423</v>
      </c>
      <c r="C283" s="247"/>
      <c r="D283" s="1541">
        <v>84886926.040000007</v>
      </c>
      <c r="E283" s="1542">
        <v>6319276.9500000002</v>
      </c>
      <c r="F283" s="1543">
        <v>212443.74</v>
      </c>
    </row>
    <row r="284" spans="2:6" ht="13">
      <c r="B284" s="1204">
        <v>54454</v>
      </c>
      <c r="C284" s="247"/>
      <c r="D284" s="1541">
        <v>78567649.090000004</v>
      </c>
      <c r="E284" s="1542">
        <v>6203341.0599999996</v>
      </c>
      <c r="F284" s="1543">
        <v>196546.86</v>
      </c>
    </row>
    <row r="285" spans="2:6" ht="13">
      <c r="B285" s="1204">
        <v>54482</v>
      </c>
      <c r="C285" s="247"/>
      <c r="D285" s="1541">
        <v>72364308.030000001</v>
      </c>
      <c r="E285" s="1542">
        <v>6005712.3300000001</v>
      </c>
      <c r="F285" s="1543">
        <v>180902.14</v>
      </c>
    </row>
    <row r="286" spans="2:6" ht="13">
      <c r="B286" s="1204">
        <v>54513</v>
      </c>
      <c r="C286" s="247"/>
      <c r="D286" s="1541">
        <v>66358595.700000003</v>
      </c>
      <c r="E286" s="1542">
        <v>5899920.96</v>
      </c>
      <c r="F286" s="1543">
        <v>165663.62</v>
      </c>
    </row>
    <row r="287" spans="2:6" ht="13">
      <c r="B287" s="1204">
        <v>54543</v>
      </c>
      <c r="C287" s="247"/>
      <c r="D287" s="1541">
        <v>60458674.740000002</v>
      </c>
      <c r="E287" s="1542">
        <v>5694381.8200000003</v>
      </c>
      <c r="F287" s="1543">
        <v>150651.69</v>
      </c>
    </row>
    <row r="288" spans="2:6" ht="13">
      <c r="B288" s="1204">
        <v>54574</v>
      </c>
      <c r="C288" s="247"/>
      <c r="D288" s="1541">
        <v>54764292.920000002</v>
      </c>
      <c r="E288" s="1542">
        <v>5426414.5700000003</v>
      </c>
      <c r="F288" s="1543">
        <v>136184.59</v>
      </c>
    </row>
    <row r="289" spans="2:6" ht="13">
      <c r="B289" s="1204">
        <v>54604</v>
      </c>
      <c r="C289" s="247"/>
      <c r="D289" s="1541">
        <v>49337878.350000001</v>
      </c>
      <c r="E289" s="1542">
        <v>5156769.16</v>
      </c>
      <c r="F289" s="1543">
        <v>122422.6</v>
      </c>
    </row>
    <row r="290" spans="2:6" ht="13">
      <c r="B290" s="1204">
        <v>54635</v>
      </c>
      <c r="C290" s="247"/>
      <c r="D290" s="1541">
        <v>44181109.189999998</v>
      </c>
      <c r="E290" s="1542">
        <v>4899025.0199999996</v>
      </c>
      <c r="F290" s="1543">
        <v>109412.06</v>
      </c>
    </row>
    <row r="291" spans="2:6" ht="13">
      <c r="B291" s="1204">
        <v>54666</v>
      </c>
      <c r="C291" s="247"/>
      <c r="D291" s="1541">
        <v>39282084.170000002</v>
      </c>
      <c r="E291" s="1542">
        <v>4654384.45</v>
      </c>
      <c r="F291" s="1543">
        <v>97124.64</v>
      </c>
    </row>
    <row r="292" spans="2:6" ht="13">
      <c r="B292" s="1204">
        <v>54696</v>
      </c>
      <c r="C292" s="247"/>
      <c r="D292" s="1541">
        <v>34627699.719999999</v>
      </c>
      <c r="E292" s="1542">
        <v>4324998.07</v>
      </c>
      <c r="F292" s="1543">
        <v>85482.57</v>
      </c>
    </row>
    <row r="293" spans="2:6" ht="13">
      <c r="B293" s="1204">
        <v>54727</v>
      </c>
      <c r="C293" s="247"/>
      <c r="D293" s="1541">
        <v>30302701.649999999</v>
      </c>
      <c r="E293" s="1542">
        <v>4137221.31</v>
      </c>
      <c r="F293" s="1543">
        <v>74725.17</v>
      </c>
    </row>
    <row r="294" spans="2:6" ht="13">
      <c r="B294" s="1204">
        <v>54757</v>
      </c>
      <c r="C294" s="247"/>
      <c r="D294" s="1541">
        <v>26165480.34</v>
      </c>
      <c r="E294" s="1542">
        <v>3876561.46</v>
      </c>
      <c r="F294" s="1543">
        <v>64470.93</v>
      </c>
    </row>
    <row r="295" spans="2:6" ht="13">
      <c r="B295" s="1204">
        <v>54788</v>
      </c>
      <c r="C295" s="247"/>
      <c r="D295" s="1541">
        <v>22288918.879999999</v>
      </c>
      <c r="E295" s="1542">
        <v>3586595.1</v>
      </c>
      <c r="F295" s="1543">
        <v>54901.11</v>
      </c>
    </row>
    <row r="296" spans="2:6" ht="13">
      <c r="B296" s="1204">
        <v>54819</v>
      </c>
      <c r="C296" s="247"/>
      <c r="D296" s="1541">
        <v>18702323.780000001</v>
      </c>
      <c r="E296" s="1542">
        <v>3383321.07</v>
      </c>
      <c r="F296" s="1543">
        <v>46089.760000000002</v>
      </c>
    </row>
    <row r="297" spans="2:6" ht="13">
      <c r="B297" s="1204">
        <v>54847</v>
      </c>
      <c r="C297" s="247"/>
      <c r="D297" s="1541">
        <v>15319002.710000001</v>
      </c>
      <c r="E297" s="1542">
        <v>3179701.75</v>
      </c>
      <c r="F297" s="1543">
        <v>37780.61</v>
      </c>
    </row>
    <row r="298" spans="2:6" ht="13">
      <c r="B298" s="1204">
        <v>54878</v>
      </c>
      <c r="C298" s="247"/>
      <c r="D298" s="1541">
        <v>12139300.960000001</v>
      </c>
      <c r="E298" s="1542">
        <v>3011472.98</v>
      </c>
      <c r="F298" s="1543">
        <v>29959.91</v>
      </c>
    </row>
    <row r="299" spans="2:6" ht="13">
      <c r="B299" s="1204">
        <v>54908</v>
      </c>
      <c r="C299" s="247"/>
      <c r="D299" s="1541">
        <v>9127827.9800000004</v>
      </c>
      <c r="E299" s="1542">
        <v>2767272.17</v>
      </c>
      <c r="F299" s="1543">
        <v>22533.95</v>
      </c>
    </row>
    <row r="300" spans="2:6" ht="13">
      <c r="B300" s="1204">
        <v>54939</v>
      </c>
      <c r="C300" s="247"/>
      <c r="D300" s="1541">
        <v>6360555.8099999996</v>
      </c>
      <c r="E300" s="1542">
        <v>2328629.85</v>
      </c>
      <c r="F300" s="1543">
        <v>15697.44</v>
      </c>
    </row>
    <row r="301" spans="2:6" ht="13">
      <c r="B301" s="1204">
        <v>54969</v>
      </c>
      <c r="C301" s="247"/>
      <c r="D301" s="1541">
        <v>4031925.96</v>
      </c>
      <c r="E301" s="1542">
        <v>1790857.57</v>
      </c>
      <c r="F301" s="1543">
        <v>9944.26</v>
      </c>
    </row>
    <row r="302" spans="2:6" ht="13">
      <c r="B302" s="1204">
        <v>55000</v>
      </c>
      <c r="C302" s="247"/>
      <c r="D302" s="1541">
        <v>2241068.39</v>
      </c>
      <c r="E302" s="1542">
        <v>1287071.3700000001</v>
      </c>
      <c r="F302" s="1543">
        <v>5510.47</v>
      </c>
    </row>
    <row r="303" spans="2:6" ht="13">
      <c r="B303" s="1204">
        <v>55031</v>
      </c>
      <c r="C303" s="247"/>
      <c r="D303" s="1541">
        <v>953997.02</v>
      </c>
      <c r="E303" s="1542">
        <v>655391.16</v>
      </c>
      <c r="F303" s="1543">
        <v>2306.4</v>
      </c>
    </row>
    <row r="304" spans="2:6" ht="13">
      <c r="B304" s="1204">
        <v>55061</v>
      </c>
      <c r="C304" s="247"/>
      <c r="D304" s="1541">
        <v>298605.86</v>
      </c>
      <c r="E304" s="1542">
        <v>238791.82</v>
      </c>
      <c r="F304" s="1543">
        <v>669.99</v>
      </c>
    </row>
    <row r="305" spans="2:6" ht="13">
      <c r="B305" s="1204">
        <v>55092</v>
      </c>
      <c r="D305" s="1541">
        <v>59814.04</v>
      </c>
      <c r="E305" s="1542">
        <v>14734.9</v>
      </c>
      <c r="F305" s="1543">
        <v>79.56</v>
      </c>
    </row>
    <row r="306" spans="2:6" ht="13">
      <c r="B306" s="1204">
        <v>55122</v>
      </c>
      <c r="D306" s="1541">
        <v>45079.14</v>
      </c>
      <c r="E306" s="1542">
        <v>12536.47</v>
      </c>
      <c r="F306" s="1543">
        <v>54.43</v>
      </c>
    </row>
    <row r="307" spans="2:6" ht="13">
      <c r="B307" s="1204">
        <v>55153</v>
      </c>
      <c r="D307" s="1541">
        <v>32542.67</v>
      </c>
      <c r="E307" s="1542">
        <v>10295.35</v>
      </c>
      <c r="F307" s="1543">
        <v>35.299999999999997</v>
      </c>
    </row>
    <row r="308" spans="2:6" ht="13">
      <c r="B308" s="1204">
        <v>55184</v>
      </c>
      <c r="D308" s="1541">
        <v>22247.32</v>
      </c>
      <c r="E308" s="1542">
        <v>10020.73</v>
      </c>
      <c r="F308" s="1543">
        <v>22.91</v>
      </c>
    </row>
    <row r="309" spans="2:6" ht="13">
      <c r="B309" s="1204">
        <v>55212</v>
      </c>
      <c r="D309" s="1541">
        <v>12226.59</v>
      </c>
      <c r="E309" s="1542">
        <v>1742.92</v>
      </c>
      <c r="F309" s="1543">
        <v>10.77</v>
      </c>
    </row>
    <row r="310" spans="2:6" ht="13">
      <c r="B310" s="1204">
        <v>55243</v>
      </c>
      <c r="D310" s="1541">
        <v>10483.67</v>
      </c>
      <c r="E310" s="1542">
        <v>1744.46</v>
      </c>
      <c r="F310" s="1543">
        <v>9.23</v>
      </c>
    </row>
    <row r="311" spans="2:6" ht="13">
      <c r="B311" s="1204">
        <v>55273</v>
      </c>
      <c r="D311" s="1541">
        <v>8739.2099999999991</v>
      </c>
      <c r="E311" s="1542">
        <v>1745.99</v>
      </c>
      <c r="F311" s="1543">
        <v>7.7</v>
      </c>
    </row>
    <row r="312" spans="2:6" ht="13">
      <c r="B312" s="1204">
        <v>55304</v>
      </c>
      <c r="D312" s="1541">
        <v>6993.22</v>
      </c>
      <c r="E312" s="1542">
        <v>1747.53</v>
      </c>
      <c r="F312" s="1543">
        <v>6.16</v>
      </c>
    </row>
    <row r="313" spans="2:6" ht="13">
      <c r="B313" s="1204">
        <v>55334</v>
      </c>
      <c r="D313" s="1541">
        <v>5245.69</v>
      </c>
      <c r="E313" s="1542">
        <v>1749.07</v>
      </c>
      <c r="F313" s="1543">
        <v>4.62</v>
      </c>
    </row>
    <row r="314" spans="2:6" ht="13">
      <c r="B314" s="1204">
        <v>55365</v>
      </c>
      <c r="D314" s="1541">
        <v>3496.62</v>
      </c>
      <c r="E314" s="1542">
        <v>1750.61</v>
      </c>
      <c r="F314" s="1543">
        <v>3.08</v>
      </c>
    </row>
    <row r="315" spans="2:6" ht="13">
      <c r="B315" s="1204">
        <v>55396</v>
      </c>
      <c r="D315" s="1541">
        <v>1746.01</v>
      </c>
      <c r="E315" s="1542">
        <v>1746.01</v>
      </c>
      <c r="F315" s="1543">
        <v>1.54</v>
      </c>
    </row>
    <row r="316" spans="2:6" ht="13">
      <c r="B316" s="1204"/>
      <c r="D316" s="1541"/>
      <c r="E316" s="1542"/>
      <c r="F316" s="1543"/>
    </row>
    <row r="317" spans="2:6" ht="13">
      <c r="B317" s="1204"/>
      <c r="D317" s="1541"/>
      <c r="E317" s="1542"/>
      <c r="F317" s="1543"/>
    </row>
    <row r="318" spans="2:6" ht="13">
      <c r="B318" s="1204"/>
      <c r="D318" s="1541"/>
      <c r="E318" s="1542"/>
      <c r="F318" s="1543"/>
    </row>
    <row r="319" spans="2:6" ht="13">
      <c r="B319" s="1204"/>
      <c r="D319" s="1541"/>
      <c r="E319" s="1542"/>
      <c r="F319" s="1543"/>
    </row>
    <row r="320" spans="2:6" ht="13">
      <c r="B320" s="1204"/>
      <c r="D320" s="1541"/>
      <c r="E320" s="1542"/>
      <c r="F320" s="1543"/>
    </row>
    <row r="321" spans="2:6" ht="13">
      <c r="B321" s="1204"/>
      <c r="D321" s="1541"/>
      <c r="E321" s="1542"/>
      <c r="F321" s="1543"/>
    </row>
    <row r="322" spans="2:6" ht="13">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election activeCell="B13" sqref="B13"/>
    </sheetView>
  </sheetViews>
  <sheetFormatPr defaultColWidth="10.81640625" defaultRowHeight="14.5"/>
  <cols>
    <col min="1" max="1" width="3.453125" style="36" customWidth="1"/>
    <col min="2" max="3" width="20.1796875" style="36" customWidth="1"/>
    <col min="4" max="4" width="20.1796875" style="53" customWidth="1"/>
    <col min="5" max="30" width="19.7265625" style="36" customWidth="1"/>
    <col min="31" max="16384" width="10.8164062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5" customHeight="1">
      <c r="A3" s="35"/>
      <c r="B3" s="37"/>
      <c r="C3" s="37"/>
      <c r="D3" s="1511"/>
      <c r="E3" s="37"/>
      <c r="F3" s="37"/>
      <c r="G3" s="37"/>
      <c r="H3" s="37"/>
      <c r="I3" s="249"/>
      <c r="L3" s="82"/>
      <c r="M3" s="1213" t="s">
        <v>99</v>
      </c>
      <c r="N3" s="1213">
        <f>'00 - Cover'!$F$17</f>
        <v>46203</v>
      </c>
      <c r="Q3" s="39"/>
      <c r="R3" s="39"/>
      <c r="S3" s="39"/>
      <c r="T3" s="39"/>
    </row>
    <row r="4" spans="1:30" ht="14.5" customHeight="1">
      <c r="A4" s="35"/>
      <c r="B4" s="37"/>
      <c r="C4" s="37"/>
      <c r="D4" s="1511"/>
      <c r="E4" s="37"/>
      <c r="F4" s="37"/>
      <c r="G4" s="37"/>
      <c r="H4" s="37"/>
      <c r="I4" s="249"/>
      <c r="L4" s="82"/>
      <c r="M4" s="1213" t="s">
        <v>4</v>
      </c>
      <c r="N4" s="1213">
        <f>'00 - Cover'!$F$19</f>
        <v>46223</v>
      </c>
      <c r="Q4" s="39"/>
      <c r="R4" s="39"/>
      <c r="S4" s="39"/>
      <c r="T4" s="39"/>
    </row>
    <row r="5" spans="1:30" ht="14.5" customHeight="1">
      <c r="A5" s="35"/>
      <c r="B5" s="37"/>
      <c r="C5" s="37"/>
      <c r="D5" s="1511"/>
      <c r="E5" s="37"/>
      <c r="F5" s="37"/>
      <c r="G5" s="37"/>
      <c r="H5" s="37"/>
      <c r="I5" s="249"/>
      <c r="L5" s="82"/>
      <c r="M5" s="1213" t="s">
        <v>5</v>
      </c>
      <c r="N5" s="1213">
        <f>'00 - Cover'!$F$20</f>
        <v>46230</v>
      </c>
      <c r="Q5" s="39"/>
      <c r="R5" s="39"/>
      <c r="S5" s="39"/>
      <c r="T5" s="39"/>
    </row>
    <row r="6" spans="1:30" ht="1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45" t="s">
        <v>574</v>
      </c>
      <c r="C11" s="1947" t="s">
        <v>246</v>
      </c>
      <c r="D11" s="1952" t="s">
        <v>764</v>
      </c>
      <c r="E11" s="1949" t="s">
        <v>636</v>
      </c>
      <c r="F11" s="1950"/>
      <c r="G11" s="1950"/>
      <c r="H11" s="1950"/>
      <c r="I11" s="1950"/>
      <c r="J11" s="1950"/>
      <c r="K11" s="1950"/>
      <c r="L11" s="1950"/>
      <c r="M11" s="1950"/>
      <c r="N11" s="1950"/>
      <c r="O11" s="1950"/>
      <c r="P11" s="1950"/>
      <c r="Q11" s="1950"/>
      <c r="R11" s="1950"/>
      <c r="S11" s="1950"/>
      <c r="T11" s="1950"/>
      <c r="U11" s="1950"/>
      <c r="V11" s="1950"/>
      <c r="W11" s="1950"/>
      <c r="X11" s="1950"/>
      <c r="Y11" s="1950"/>
      <c r="Z11" s="1950"/>
      <c r="AA11" s="1950"/>
      <c r="AB11" s="1950"/>
      <c r="AC11" s="1950"/>
      <c r="AD11" s="1951"/>
    </row>
    <row r="12" spans="1:30" ht="59.25" customHeight="1">
      <c r="B12" s="1946"/>
      <c r="C12" s="1948"/>
      <c r="D12" s="1953"/>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46203</v>
      </c>
      <c r="C13" s="255">
        <f t="shared" ref="C13:C28" si="0">IF($B13=0,"",SUM(E13,G13,I13,K13,M13,O13,Q13,S13,U13,W13,Y13,AA13,AC13))</f>
        <v>10731409727.809999</v>
      </c>
      <c r="D13" s="1254">
        <f t="shared" ref="D13:D72" si="1">IF($B13=0,"",SUM(F13,H13,J13,L13,N13,P13,R13,T13,V13,X13,Z13,AB13,AD13,AE13))</f>
        <v>73168</v>
      </c>
      <c r="E13" s="255">
        <f>IF($B13=0,"",_xlfn.XLOOKUP($B13,INPUT_DATA!$CQ:$CQ,INPUT_DATA!CR:CR))</f>
        <v>10666577681.190001</v>
      </c>
      <c r="F13" s="1254">
        <f>IF($B13=0,"",_xlfn.XLOOKUP($B13,INPUT_DATA!$CQ:$CQ,INPUT_DATA!CS:CS))</f>
        <v>72773</v>
      </c>
      <c r="G13" s="255">
        <f>IF($B13=0,"",_xlfn.XLOOKUP($B13,INPUT_DATA!$CQ:$CQ,INPUT_DATA!CT:CT))</f>
        <v>39614445.840000004</v>
      </c>
      <c r="H13" s="1254">
        <f>IF($B13=0,"",_xlfn.XLOOKUP($B13,INPUT_DATA!$CQ:$CQ,INPUT_DATA!CU:CU))</f>
        <v>213</v>
      </c>
      <c r="I13" s="255">
        <f>IF($B13=0,"",_xlfn.XLOOKUP($B13,INPUT_DATA!$CQ:$CQ,INPUT_DATA!CV:CV))</f>
        <v>13316975.140000001</v>
      </c>
      <c r="J13" s="1254">
        <f>IF($B13=0,"",_xlfn.XLOOKUP($B13,INPUT_DATA!$CQ:$CQ,INPUT_DATA!CW:CW))</f>
        <v>87</v>
      </c>
      <c r="K13" s="255">
        <f>IF($B13=0,"",_xlfn.XLOOKUP($B13,INPUT_DATA!$CQ:$CQ,INPUT_DATA!CX:CX))</f>
        <v>4139418.21</v>
      </c>
      <c r="L13" s="1254">
        <f>IF($B13=0,"",_xlfn.XLOOKUP($B13,INPUT_DATA!$CQ:$CQ,INPUT_DATA!CY:CY))</f>
        <v>32</v>
      </c>
      <c r="M13" s="255">
        <f>IF($B13=0,"",_xlfn.XLOOKUP($B13,INPUT_DATA!$CQ:$CQ,INPUT_DATA!CZ:CZ))</f>
        <v>1712270.99</v>
      </c>
      <c r="N13" s="1254">
        <f>IF($B13=0,"",_xlfn.XLOOKUP($B13,INPUT_DATA!$CQ:$CQ,INPUT_DATA!DA:DA))</f>
        <v>17</v>
      </c>
      <c r="O13" s="255">
        <f>IF($B13=0,"",_xlfn.XLOOKUP($B13,INPUT_DATA!$CQ:$CQ,INPUT_DATA!DB:DB))</f>
        <v>2323713.23</v>
      </c>
      <c r="P13" s="1254">
        <f>IF($B13=0,"",_xlfn.XLOOKUP($B13,INPUT_DATA!$CQ:$CQ,INPUT_DATA!DC:DC))</f>
        <v>13</v>
      </c>
      <c r="Q13" s="255">
        <f>IF($B13=0,"",_xlfn.XLOOKUP($B13,INPUT_DATA!$CQ:$CQ,INPUT_DATA!DD:DD))</f>
        <v>634631.61</v>
      </c>
      <c r="R13" s="1254">
        <f>IF($B13=0,"",_xlfn.XLOOKUP($B13,INPUT_DATA!$CQ:$CQ,INPUT_DATA!DE:DE))</f>
        <v>5</v>
      </c>
      <c r="S13" s="255">
        <f>IF($B13=0,"",_xlfn.XLOOKUP($B13,INPUT_DATA!$CQ:$CQ,INPUT_DATA!DF:DF))</f>
        <v>839203.76</v>
      </c>
      <c r="T13" s="1254">
        <f>IF($B13=0,"",_xlfn.XLOOKUP($B13,INPUT_DATA!$CQ:$CQ,INPUT_DATA!DG:DG))</f>
        <v>9</v>
      </c>
      <c r="U13" s="255">
        <f>IF($B13=0,"",_xlfn.XLOOKUP($B13,INPUT_DATA!$CQ:$CQ,INPUT_DATA!DH:DH))</f>
        <v>671748.77</v>
      </c>
      <c r="V13" s="1254">
        <f>IF($B13=0,"",_xlfn.XLOOKUP($B13,INPUT_DATA!$CQ:$CQ,INPUT_DATA!DI:DI))</f>
        <v>6</v>
      </c>
      <c r="W13" s="255">
        <f>IF($B13=0,"",_xlfn.XLOOKUP($B13,INPUT_DATA!$CQ:$CQ,INPUT_DATA!DJ:DJ))</f>
        <v>504208.82</v>
      </c>
      <c r="X13" s="1254">
        <f>IF($B13=0,"",_xlfn.XLOOKUP($B13,INPUT_DATA!$CQ:$CQ,INPUT_DATA!DK:DK))</f>
        <v>5</v>
      </c>
      <c r="Y13" s="255">
        <f>IF($B13=0,"",_xlfn.XLOOKUP($B13,INPUT_DATA!$CQ:$CQ,INPUT_DATA!DL:DL))</f>
        <v>770857.87</v>
      </c>
      <c r="Z13" s="1254">
        <f>IF($B13=0,"",_xlfn.XLOOKUP($B13,INPUT_DATA!$CQ:$CQ,INPUT_DATA!DM:DM))</f>
        <v>4</v>
      </c>
      <c r="AA13" s="255">
        <f>IF($B13=0,"",_xlfn.XLOOKUP($B13,INPUT_DATA!$CQ:$CQ,INPUT_DATA!DN:DN))</f>
        <v>226279.05</v>
      </c>
      <c r="AB13" s="1254">
        <f>IF($B13=0,"",_xlfn.XLOOKUP($B13,INPUT_DATA!$CQ:$CQ,INPUT_DATA!DO:DO))</f>
        <v>3</v>
      </c>
      <c r="AC13" s="255">
        <f>IF($B13=0,"",_xlfn.XLOOKUP($B13,INPUT_DATA!$CQ:$CQ,INPUT_DATA!DP:DP))</f>
        <v>78293.33</v>
      </c>
      <c r="AD13" s="1254">
        <f>IF($B13=0,"",_xlfn.XLOOKUP($B13,INPUT_DATA!$CQ:$CQ,INPUT_DATA!DQ:DQ))</f>
        <v>1</v>
      </c>
    </row>
    <row r="14" spans="1:30">
      <c r="B14" s="1202">
        <f>'02 - Monthly Asset Follow up'!B18</f>
        <v>46173</v>
      </c>
      <c r="C14" s="255">
        <f t="shared" si="0"/>
        <v>10826314196.07</v>
      </c>
      <c r="D14" s="1255">
        <f t="shared" si="1"/>
        <v>73564</v>
      </c>
      <c r="E14" s="255">
        <f>IF($B14=0,"",_xlfn.XLOOKUP($B14,INPUT_DATA!$CQ:$CQ,INPUT_DATA!CR:CR))</f>
        <v>10767431132.190001</v>
      </c>
      <c r="F14" s="1255">
        <f>IF($B14=0,"",_xlfn.XLOOKUP($B14,INPUT_DATA!$CQ:$CQ,INPUT_DATA!CS:CS))</f>
        <v>73155</v>
      </c>
      <c r="G14" s="255">
        <f>IF($B14=0,"",_xlfn.XLOOKUP($B14,INPUT_DATA!$CQ:$CQ,INPUT_DATA!CT:CT))</f>
        <v>32939952.25</v>
      </c>
      <c r="H14" s="1255">
        <f>IF($B14=0,"",_xlfn.XLOOKUP($B14,INPUT_DATA!$CQ:$CQ,INPUT_DATA!CU:CU))</f>
        <v>228</v>
      </c>
      <c r="I14" s="255">
        <f>IF($B14=0,"",_xlfn.XLOOKUP($B14,INPUT_DATA!$CQ:$CQ,INPUT_DATA!CV:CV))</f>
        <v>10614478.140000001</v>
      </c>
      <c r="J14" s="1255">
        <f>IF($B14=0,"",_xlfn.XLOOKUP($B14,INPUT_DATA!$CQ:$CQ,INPUT_DATA!CW:CW))</f>
        <v>70</v>
      </c>
      <c r="K14" s="255">
        <f>IF($B14=0,"",_xlfn.XLOOKUP($B14,INPUT_DATA!$CQ:$CQ,INPUT_DATA!CX:CX))</f>
        <v>5279095.76</v>
      </c>
      <c r="L14" s="1255">
        <f>IF($B14=0,"",_xlfn.XLOOKUP($B14,INPUT_DATA!$CQ:$CQ,INPUT_DATA!CY:CY))</f>
        <v>38</v>
      </c>
      <c r="M14" s="255">
        <f>IF($B14=0,"",_xlfn.XLOOKUP($B14,INPUT_DATA!$CQ:$CQ,INPUT_DATA!CZ:CZ))</f>
        <v>3919782.55</v>
      </c>
      <c r="N14" s="1255">
        <f>IF($B14=0,"",_xlfn.XLOOKUP($B14,INPUT_DATA!$CQ:$CQ,INPUT_DATA!DA:DA))</f>
        <v>20</v>
      </c>
      <c r="O14" s="255">
        <f>IF($B14=0,"",_xlfn.XLOOKUP($B14,INPUT_DATA!$CQ:$CQ,INPUT_DATA!DB:DB))</f>
        <v>1423040.55</v>
      </c>
      <c r="P14" s="1255">
        <f>IF($B14=0,"",_xlfn.XLOOKUP($B14,INPUT_DATA!$CQ:$CQ,INPUT_DATA!DC:DC))</f>
        <v>10</v>
      </c>
      <c r="Q14" s="255">
        <f>IF($B14=0,"",_xlfn.XLOOKUP($B14,INPUT_DATA!$CQ:$CQ,INPUT_DATA!DD:DD))</f>
        <v>1344690.85</v>
      </c>
      <c r="R14" s="1255">
        <f>IF($B14=0,"",_xlfn.XLOOKUP($B14,INPUT_DATA!$CQ:$CQ,INPUT_DATA!DE:DE))</f>
        <v>12</v>
      </c>
      <c r="S14" s="255">
        <f>IF($B14=0,"",_xlfn.XLOOKUP($B14,INPUT_DATA!$CQ:$CQ,INPUT_DATA!DF:DF))</f>
        <v>691795</v>
      </c>
      <c r="T14" s="1255">
        <f>IF($B14=0,"",_xlfn.XLOOKUP($B14,INPUT_DATA!$CQ:$CQ,INPUT_DATA!DG:DG))</f>
        <v>7</v>
      </c>
      <c r="U14" s="255">
        <f>IF($B14=0,"",_xlfn.XLOOKUP($B14,INPUT_DATA!$CQ:$CQ,INPUT_DATA!DH:DH))</f>
        <v>1101780.1100000001</v>
      </c>
      <c r="V14" s="1255">
        <f>IF($B14=0,"",_xlfn.XLOOKUP($B14,INPUT_DATA!$CQ:$CQ,INPUT_DATA!DI:DI))</f>
        <v>9</v>
      </c>
      <c r="W14" s="255">
        <f>IF($B14=0,"",_xlfn.XLOOKUP($B14,INPUT_DATA!$CQ:$CQ,INPUT_DATA!DJ:DJ))</f>
        <v>967874.15</v>
      </c>
      <c r="X14" s="1255">
        <f>IF($B14=0,"",_xlfn.XLOOKUP($B14,INPUT_DATA!$CQ:$CQ,INPUT_DATA!DK:DK))</f>
        <v>6</v>
      </c>
      <c r="Y14" s="255">
        <f>IF($B14=0,"",_xlfn.XLOOKUP($B14,INPUT_DATA!$CQ:$CQ,INPUT_DATA!DL:DL))</f>
        <v>320815.32</v>
      </c>
      <c r="Z14" s="1255">
        <f>IF($B14=0,"",_xlfn.XLOOKUP($B14,INPUT_DATA!$CQ:$CQ,INPUT_DATA!DM:DM))</f>
        <v>4</v>
      </c>
      <c r="AA14" s="255">
        <f>IF($B14=0,"",_xlfn.XLOOKUP($B14,INPUT_DATA!$CQ:$CQ,INPUT_DATA!DN:DN))</f>
        <v>72833.45</v>
      </c>
      <c r="AB14" s="1255">
        <f>IF($B14=0,"",_xlfn.XLOOKUP($B14,INPUT_DATA!$CQ:$CQ,INPUT_DATA!DO:DO))</f>
        <v>2</v>
      </c>
      <c r="AC14" s="255">
        <f>IF($B14=0,"",_xlfn.XLOOKUP($B14,INPUT_DATA!$CQ:$CQ,INPUT_DATA!DP:DP))</f>
        <v>206925.75</v>
      </c>
      <c r="AD14" s="1255">
        <f>IF($B14=0,"",_xlfn.XLOOKUP($B14,INPUT_DATA!$CQ:$CQ,INPUT_DATA!DQ:DQ))</f>
        <v>3</v>
      </c>
    </row>
    <row r="15" spans="1:30">
      <c r="B15" s="1202">
        <f>'02 - Monthly Asset Follow up'!B19</f>
        <v>46142</v>
      </c>
      <c r="C15" s="255">
        <f t="shared" si="0"/>
        <v>10910642357.889997</v>
      </c>
      <c r="D15" s="1255">
        <f t="shared" si="1"/>
        <v>73827</v>
      </c>
      <c r="E15" s="255">
        <f>IF($B15=0,"",_xlfn.XLOOKUP($B15,INPUT_DATA!$CQ:$CQ,INPUT_DATA!CR:CR))</f>
        <v>10854878225.66</v>
      </c>
      <c r="F15" s="1255">
        <f>IF($B15=0,"",_xlfn.XLOOKUP($B15,INPUT_DATA!$CQ:$CQ,INPUT_DATA!CS:CS))</f>
        <v>73461</v>
      </c>
      <c r="G15" s="255">
        <f>IF($B15=0,"",_xlfn.XLOOKUP($B15,INPUT_DATA!$CQ:$CQ,INPUT_DATA!CT:CT))</f>
        <v>31990683.07</v>
      </c>
      <c r="H15" s="1255">
        <f>IF($B15=0,"",_xlfn.XLOOKUP($B15,INPUT_DATA!$CQ:$CQ,INPUT_DATA!CU:CU))</f>
        <v>198</v>
      </c>
      <c r="I15" s="255">
        <f>IF($B15=0,"",_xlfn.XLOOKUP($B15,INPUT_DATA!$CQ:$CQ,INPUT_DATA!CV:CV))</f>
        <v>10222021.85</v>
      </c>
      <c r="J15" s="1255">
        <f>IF($B15=0,"",_xlfn.XLOOKUP($B15,INPUT_DATA!$CQ:$CQ,INPUT_DATA!CW:CW))</f>
        <v>73</v>
      </c>
      <c r="K15" s="255">
        <f>IF($B15=0,"",_xlfn.XLOOKUP($B15,INPUT_DATA!$CQ:$CQ,INPUT_DATA!CX:CX))</f>
        <v>4681684.72</v>
      </c>
      <c r="L15" s="1255">
        <f>IF($B15=0,"",_xlfn.XLOOKUP($B15,INPUT_DATA!$CQ:$CQ,INPUT_DATA!CY:CY))</f>
        <v>25</v>
      </c>
      <c r="M15" s="255">
        <f>IF($B15=0,"",_xlfn.XLOOKUP($B15,INPUT_DATA!$CQ:$CQ,INPUT_DATA!CZ:CZ))</f>
        <v>2607630.9</v>
      </c>
      <c r="N15" s="1255">
        <f>IF($B15=0,"",_xlfn.XLOOKUP($B15,INPUT_DATA!$CQ:$CQ,INPUT_DATA!DA:DA))</f>
        <v>17</v>
      </c>
      <c r="O15" s="255">
        <f>IF($B15=0,"",_xlfn.XLOOKUP($B15,INPUT_DATA!$CQ:$CQ,INPUT_DATA!DB:DB))</f>
        <v>2002245.42</v>
      </c>
      <c r="P15" s="1255">
        <f>IF($B15=0,"",_xlfn.XLOOKUP($B15,INPUT_DATA!$CQ:$CQ,INPUT_DATA!DC:DC))</f>
        <v>17</v>
      </c>
      <c r="Q15" s="255">
        <f>IF($B15=0,"",_xlfn.XLOOKUP($B15,INPUT_DATA!$CQ:$CQ,INPUT_DATA!DD:DD))</f>
        <v>1030231.04</v>
      </c>
      <c r="R15" s="1255">
        <f>IF($B15=0,"",_xlfn.XLOOKUP($B15,INPUT_DATA!$CQ:$CQ,INPUT_DATA!DE:DE))</f>
        <v>10</v>
      </c>
      <c r="S15" s="255">
        <f>IF($B15=0,"",_xlfn.XLOOKUP($B15,INPUT_DATA!$CQ:$CQ,INPUT_DATA!DF:DF))</f>
        <v>1506928.42</v>
      </c>
      <c r="T15" s="1255">
        <f>IF($B15=0,"",_xlfn.XLOOKUP($B15,INPUT_DATA!$CQ:$CQ,INPUT_DATA!DG:DG))</f>
        <v>11</v>
      </c>
      <c r="U15" s="255">
        <f>IF($B15=0,"",_xlfn.XLOOKUP($B15,INPUT_DATA!$CQ:$CQ,INPUT_DATA!DH:DH))</f>
        <v>864737.74</v>
      </c>
      <c r="V15" s="1255">
        <f>IF($B15=0,"",_xlfn.XLOOKUP($B15,INPUT_DATA!$CQ:$CQ,INPUT_DATA!DI:DI))</f>
        <v>6</v>
      </c>
      <c r="W15" s="255">
        <f>IF($B15=0,"",_xlfn.XLOOKUP($B15,INPUT_DATA!$CQ:$CQ,INPUT_DATA!DJ:DJ))</f>
        <v>296500.46999999997</v>
      </c>
      <c r="X15" s="1255">
        <f>IF($B15=0,"",_xlfn.XLOOKUP($B15,INPUT_DATA!$CQ:$CQ,INPUT_DATA!DK:DK))</f>
        <v>4</v>
      </c>
      <c r="Y15" s="255">
        <f>IF($B15=0,"",_xlfn.XLOOKUP($B15,INPUT_DATA!$CQ:$CQ,INPUT_DATA!DL:DL))</f>
        <v>41820.629999999997</v>
      </c>
      <c r="Z15" s="1255">
        <f>IF($B15=0,"",_xlfn.XLOOKUP($B15,INPUT_DATA!$CQ:$CQ,INPUT_DATA!DM:DM))</f>
        <v>1</v>
      </c>
      <c r="AA15" s="255">
        <f>IF($B15=0,"",_xlfn.XLOOKUP($B15,INPUT_DATA!$CQ:$CQ,INPUT_DATA!DN:DN))</f>
        <v>519647.97</v>
      </c>
      <c r="AB15" s="1255">
        <f>IF($B15=0,"",_xlfn.XLOOKUP($B15,INPUT_DATA!$CQ:$CQ,INPUT_DATA!DO:DO))</f>
        <v>4</v>
      </c>
      <c r="AC15" s="255">
        <f>IF($B15=0,"",_xlfn.XLOOKUP($B15,INPUT_DATA!$CQ:$CQ,INPUT_DATA!DP:DP))</f>
        <v>0</v>
      </c>
      <c r="AD15" s="1255">
        <f>IF($B15=0,"",_xlfn.XLOOKUP($B15,INPUT_DATA!$CQ:$CQ,INPUT_DATA!DQ:DQ))</f>
        <v>0</v>
      </c>
    </row>
    <row r="16" spans="1:30">
      <c r="B16" s="1202">
        <f>'02 - Monthly Asset Follow up'!B20</f>
        <v>46112</v>
      </c>
      <c r="C16" s="255">
        <f t="shared" si="0"/>
        <v>11003433195.969999</v>
      </c>
      <c r="D16" s="1255">
        <f t="shared" si="1"/>
        <v>74127</v>
      </c>
      <c r="E16" s="255">
        <f>IF($B16=0,"",_xlfn.XLOOKUP($B16,INPUT_DATA!$CQ:$CQ,INPUT_DATA!CR:CR))</f>
        <v>10947949086.07</v>
      </c>
      <c r="F16" s="1255">
        <f>IF($B16=0,"",_xlfn.XLOOKUP($B16,INPUT_DATA!$CQ:$CQ,INPUT_DATA!CS:CS))</f>
        <v>73757</v>
      </c>
      <c r="G16" s="255">
        <f>IF($B16=0,"",_xlfn.XLOOKUP($B16,INPUT_DATA!$CQ:$CQ,INPUT_DATA!CT:CT))</f>
        <v>33907774.030000001</v>
      </c>
      <c r="H16" s="1255">
        <f>IF($B16=0,"",_xlfn.XLOOKUP($B16,INPUT_DATA!$CQ:$CQ,INPUT_DATA!CU:CU))</f>
        <v>208</v>
      </c>
      <c r="I16" s="255">
        <f>IF($B16=0,"",_xlfn.XLOOKUP($B16,INPUT_DATA!$CQ:$CQ,INPUT_DATA!CV:CV))</f>
        <v>9603264.8100000005</v>
      </c>
      <c r="J16" s="1255">
        <f>IF($B16=0,"",_xlfn.XLOOKUP($B16,INPUT_DATA!$CQ:$CQ,INPUT_DATA!CW:CW))</f>
        <v>62</v>
      </c>
      <c r="K16" s="255">
        <f>IF($B16=0,"",_xlfn.XLOOKUP($B16,INPUT_DATA!$CQ:$CQ,INPUT_DATA!CX:CX))</f>
        <v>4535449.6500000004</v>
      </c>
      <c r="L16" s="1255">
        <f>IF($B16=0,"",_xlfn.XLOOKUP($B16,INPUT_DATA!$CQ:$CQ,INPUT_DATA!CY:CY))</f>
        <v>36</v>
      </c>
      <c r="M16" s="255">
        <f>IF($B16=0,"",_xlfn.XLOOKUP($B16,INPUT_DATA!$CQ:$CQ,INPUT_DATA!CZ:CZ))</f>
        <v>2262272.44</v>
      </c>
      <c r="N16" s="1255">
        <f>IF($B16=0,"",_xlfn.XLOOKUP($B16,INPUT_DATA!$CQ:$CQ,INPUT_DATA!DA:DA))</f>
        <v>20</v>
      </c>
      <c r="O16" s="255">
        <f>IF($B16=0,"",_xlfn.XLOOKUP($B16,INPUT_DATA!$CQ:$CQ,INPUT_DATA!DB:DB))</f>
        <v>1321813.44</v>
      </c>
      <c r="P16" s="1255">
        <f>IF($B16=0,"",_xlfn.XLOOKUP($B16,INPUT_DATA!$CQ:$CQ,INPUT_DATA!DC:DC))</f>
        <v>11</v>
      </c>
      <c r="Q16" s="255">
        <f>IF($B16=0,"",_xlfn.XLOOKUP($B16,INPUT_DATA!$CQ:$CQ,INPUT_DATA!DD:DD))</f>
        <v>1317673.02</v>
      </c>
      <c r="R16" s="1255">
        <f>IF($B16=0,"",_xlfn.XLOOKUP($B16,INPUT_DATA!$CQ:$CQ,INPUT_DATA!DE:DE))</f>
        <v>9</v>
      </c>
      <c r="S16" s="255">
        <f>IF($B16=0,"",_xlfn.XLOOKUP($B16,INPUT_DATA!$CQ:$CQ,INPUT_DATA!DF:DF))</f>
        <v>985051.75</v>
      </c>
      <c r="T16" s="1255">
        <f>IF($B16=0,"",_xlfn.XLOOKUP($B16,INPUT_DATA!$CQ:$CQ,INPUT_DATA!DG:DG))</f>
        <v>8</v>
      </c>
      <c r="U16" s="255">
        <f>IF($B16=0,"",_xlfn.XLOOKUP($B16,INPUT_DATA!$CQ:$CQ,INPUT_DATA!DH:DH))</f>
        <v>126042.38</v>
      </c>
      <c r="V16" s="1255">
        <f>IF($B16=0,"",_xlfn.XLOOKUP($B16,INPUT_DATA!$CQ:$CQ,INPUT_DATA!DI:DI))</f>
        <v>2</v>
      </c>
      <c r="W16" s="255">
        <f>IF($B16=0,"",_xlfn.XLOOKUP($B16,INPUT_DATA!$CQ:$CQ,INPUT_DATA!DJ:DJ))</f>
        <v>696829.81</v>
      </c>
      <c r="X16" s="1255">
        <f>IF($B16=0,"",_xlfn.XLOOKUP($B16,INPUT_DATA!$CQ:$CQ,INPUT_DATA!DK:DK))</f>
        <v>8</v>
      </c>
      <c r="Y16" s="255">
        <f>IF($B16=0,"",_xlfn.XLOOKUP($B16,INPUT_DATA!$CQ:$CQ,INPUT_DATA!DL:DL))</f>
        <v>522783.51</v>
      </c>
      <c r="Z16" s="1255">
        <f>IF($B16=0,"",_xlfn.XLOOKUP($B16,INPUT_DATA!$CQ:$CQ,INPUT_DATA!DM:DM))</f>
        <v>4</v>
      </c>
      <c r="AA16" s="255">
        <f>IF($B16=0,"",_xlfn.XLOOKUP($B16,INPUT_DATA!$CQ:$CQ,INPUT_DATA!DN:DN))</f>
        <v>205155.06</v>
      </c>
      <c r="AB16" s="1255">
        <f>IF($B16=0,"",_xlfn.XLOOKUP($B16,INPUT_DATA!$CQ:$CQ,INPUT_DATA!DO:DO))</f>
        <v>2</v>
      </c>
      <c r="AC16" s="255">
        <f>IF($B16=0,"",_xlfn.XLOOKUP($B16,INPUT_DATA!$CQ:$CQ,INPUT_DATA!DP:DP))</f>
        <v>0</v>
      </c>
      <c r="AD16" s="1255">
        <f>IF($B16=0,"",_xlfn.XLOOKUP($B16,INPUT_DATA!$CQ:$CQ,INPUT_DATA!DQ:DQ))</f>
        <v>0</v>
      </c>
    </row>
    <row r="17" spans="2:30">
      <c r="B17" s="1202">
        <f>'02 - Monthly Asset Follow up'!B21</f>
        <v>46081</v>
      </c>
      <c r="C17" s="255">
        <f t="shared" si="0"/>
        <v>11124620357.440001</v>
      </c>
      <c r="D17" s="1255">
        <f t="shared" si="1"/>
        <v>74575</v>
      </c>
      <c r="E17" s="255">
        <f>IF($B17=0,"",_xlfn.XLOOKUP($B17,INPUT_DATA!$CQ:$CQ,INPUT_DATA!CR:CR))</f>
        <v>11067903324.110001</v>
      </c>
      <c r="F17" s="1255">
        <f>IF($B17=0,"",_xlfn.XLOOKUP($B17,INPUT_DATA!$CQ:$CQ,INPUT_DATA!CS:CS))</f>
        <v>74204</v>
      </c>
      <c r="G17" s="255">
        <f>IF($B17=0,"",_xlfn.XLOOKUP($B17,INPUT_DATA!$CQ:$CQ,INPUT_DATA!CT:CT))</f>
        <v>36905269.100000001</v>
      </c>
      <c r="H17" s="1255">
        <f>IF($B17=0,"",_xlfn.XLOOKUP($B17,INPUT_DATA!$CQ:$CQ,INPUT_DATA!CU:CU))</f>
        <v>213</v>
      </c>
      <c r="I17" s="255">
        <f>IF($B17=0,"",_xlfn.XLOOKUP($B17,INPUT_DATA!$CQ:$CQ,INPUT_DATA!CV:CV))</f>
        <v>8447161.25</v>
      </c>
      <c r="J17" s="1255">
        <f>IF($B17=0,"",_xlfn.XLOOKUP($B17,INPUT_DATA!$CQ:$CQ,INPUT_DATA!CW:CW))</f>
        <v>59</v>
      </c>
      <c r="K17" s="255">
        <f>IF($B17=0,"",_xlfn.XLOOKUP($B17,INPUT_DATA!$CQ:$CQ,INPUT_DATA!CX:CX))</f>
        <v>3578265.53</v>
      </c>
      <c r="L17" s="1255">
        <f>IF($B17=0,"",_xlfn.XLOOKUP($B17,INPUT_DATA!$CQ:$CQ,INPUT_DATA!CY:CY))</f>
        <v>31</v>
      </c>
      <c r="M17" s="255">
        <f>IF($B17=0,"",_xlfn.XLOOKUP($B17,INPUT_DATA!$CQ:$CQ,INPUT_DATA!CZ:CZ))</f>
        <v>2354411.7000000002</v>
      </c>
      <c r="N17" s="1255">
        <f>IF($B17=0,"",_xlfn.XLOOKUP($B17,INPUT_DATA!$CQ:$CQ,INPUT_DATA!DA:DA))</f>
        <v>20</v>
      </c>
      <c r="O17" s="255">
        <f>IF($B17=0,"",_xlfn.XLOOKUP($B17,INPUT_DATA!$CQ:$CQ,INPUT_DATA!DB:DB))</f>
        <v>2010039.92</v>
      </c>
      <c r="P17" s="1255">
        <f>IF($B17=0,"",_xlfn.XLOOKUP($B17,INPUT_DATA!$CQ:$CQ,INPUT_DATA!DC:DC))</f>
        <v>15</v>
      </c>
      <c r="Q17" s="255">
        <f>IF($B17=0,"",_xlfn.XLOOKUP($B17,INPUT_DATA!$CQ:$CQ,INPUT_DATA!DD:DD))</f>
        <v>1274114.8999999999</v>
      </c>
      <c r="R17" s="1255">
        <f>IF($B17=0,"",_xlfn.XLOOKUP($B17,INPUT_DATA!$CQ:$CQ,INPUT_DATA!DE:DE))</f>
        <v>10</v>
      </c>
      <c r="S17" s="255">
        <f>IF($B17=0,"",_xlfn.XLOOKUP($B17,INPUT_DATA!$CQ:$CQ,INPUT_DATA!DF:DF))</f>
        <v>568377.59</v>
      </c>
      <c r="T17" s="1255">
        <f>IF($B17=0,"",_xlfn.XLOOKUP($B17,INPUT_DATA!$CQ:$CQ,INPUT_DATA!DG:DG))</f>
        <v>7</v>
      </c>
      <c r="U17" s="255">
        <f>IF($B17=0,"",_xlfn.XLOOKUP($B17,INPUT_DATA!$CQ:$CQ,INPUT_DATA!DH:DH))</f>
        <v>701108.98</v>
      </c>
      <c r="V17" s="1255">
        <f>IF($B17=0,"",_xlfn.XLOOKUP($B17,INPUT_DATA!$CQ:$CQ,INPUT_DATA!DI:DI))</f>
        <v>8</v>
      </c>
      <c r="W17" s="255">
        <f>IF($B17=0,"",_xlfn.XLOOKUP($B17,INPUT_DATA!$CQ:$CQ,INPUT_DATA!DJ:DJ))</f>
        <v>525912.66</v>
      </c>
      <c r="X17" s="1255">
        <f>IF($B17=0,"",_xlfn.XLOOKUP($B17,INPUT_DATA!$CQ:$CQ,INPUT_DATA!DK:DK))</f>
        <v>4</v>
      </c>
      <c r="Y17" s="255">
        <f>IF($B17=0,"",_xlfn.XLOOKUP($B17,INPUT_DATA!$CQ:$CQ,INPUT_DATA!DL:DL))</f>
        <v>206317.96</v>
      </c>
      <c r="Z17" s="1255">
        <f>IF($B17=0,"",_xlfn.XLOOKUP($B17,INPUT_DATA!$CQ:$CQ,INPUT_DATA!DM:DM))</f>
        <v>2</v>
      </c>
      <c r="AA17" s="255">
        <f>IF($B17=0,"",_xlfn.XLOOKUP($B17,INPUT_DATA!$CQ:$CQ,INPUT_DATA!DN:DN))</f>
        <v>0</v>
      </c>
      <c r="AB17" s="1255">
        <f>IF($B17=0,"",_xlfn.XLOOKUP($B17,INPUT_DATA!$CQ:$CQ,INPUT_DATA!DO:DO))</f>
        <v>0</v>
      </c>
      <c r="AC17" s="255">
        <f>IF($B17=0,"",_xlfn.XLOOKUP($B17,INPUT_DATA!$CQ:$CQ,INPUT_DATA!DP:DP))</f>
        <v>146053.74</v>
      </c>
      <c r="AD17" s="1255">
        <f>IF($B17=0,"",_xlfn.XLOOKUP($B17,INPUT_DATA!$CQ:$CQ,INPUT_DATA!DQ:DQ))</f>
        <v>2</v>
      </c>
    </row>
    <row r="18" spans="2:30">
      <c r="B18" s="1202">
        <f>'02 - Monthly Asset Follow up'!B22</f>
        <v>46053</v>
      </c>
      <c r="C18" s="255">
        <f t="shared" si="0"/>
        <v>11215080214.710003</v>
      </c>
      <c r="D18" s="1255">
        <f t="shared" si="1"/>
        <v>74846</v>
      </c>
      <c r="E18" s="255">
        <f>IF($B18=0,"",_xlfn.XLOOKUP($B18,INPUT_DATA!$CQ:$CQ,INPUT_DATA!CR:CR))</f>
        <v>11154934756.809999</v>
      </c>
      <c r="F18" s="1255">
        <f>IF($B18=0,"",_xlfn.XLOOKUP($B18,INPUT_DATA!$CQ:$CQ,INPUT_DATA!CS:CS))</f>
        <v>74467</v>
      </c>
      <c r="G18" s="255">
        <f>IF($B18=0,"",_xlfn.XLOOKUP($B18,INPUT_DATA!$CQ:$CQ,INPUT_DATA!CT:CT))</f>
        <v>30486856.079999998</v>
      </c>
      <c r="H18" s="1255">
        <f>IF($B18=0,"",_xlfn.XLOOKUP($B18,INPUT_DATA!$CQ:$CQ,INPUT_DATA!CU:CU))</f>
        <v>196</v>
      </c>
      <c r="I18" s="255">
        <f>IF($B18=0,"",_xlfn.XLOOKUP($B18,INPUT_DATA!$CQ:$CQ,INPUT_DATA!CV:CV))</f>
        <v>15829386.560000001</v>
      </c>
      <c r="J18" s="1255">
        <f>IF($B18=0,"",_xlfn.XLOOKUP($B18,INPUT_DATA!$CQ:$CQ,INPUT_DATA!CW:CW))</f>
        <v>78</v>
      </c>
      <c r="K18" s="255">
        <f>IF($B18=0,"",_xlfn.XLOOKUP($B18,INPUT_DATA!$CQ:$CQ,INPUT_DATA!CX:CX))</f>
        <v>5985922.1100000003</v>
      </c>
      <c r="L18" s="1255">
        <f>IF($B18=0,"",_xlfn.XLOOKUP($B18,INPUT_DATA!$CQ:$CQ,INPUT_DATA!CY:CY))</f>
        <v>44</v>
      </c>
      <c r="M18" s="255">
        <f>IF($B18=0,"",_xlfn.XLOOKUP($B18,INPUT_DATA!$CQ:$CQ,INPUT_DATA!CZ:CZ))</f>
        <v>3216319.84</v>
      </c>
      <c r="N18" s="1255">
        <f>IF($B18=0,"",_xlfn.XLOOKUP($B18,INPUT_DATA!$CQ:$CQ,INPUT_DATA!DA:DA))</f>
        <v>23</v>
      </c>
      <c r="O18" s="255">
        <f>IF($B18=0,"",_xlfn.XLOOKUP($B18,INPUT_DATA!$CQ:$CQ,INPUT_DATA!DB:DB))</f>
        <v>1757594.61</v>
      </c>
      <c r="P18" s="1255">
        <f>IF($B18=0,"",_xlfn.XLOOKUP($B18,INPUT_DATA!$CQ:$CQ,INPUT_DATA!DC:DC))</f>
        <v>9</v>
      </c>
      <c r="Q18" s="255">
        <f>IF($B18=0,"",_xlfn.XLOOKUP($B18,INPUT_DATA!$CQ:$CQ,INPUT_DATA!DD:DD))</f>
        <v>901854.14</v>
      </c>
      <c r="R18" s="1255">
        <f>IF($B18=0,"",_xlfn.XLOOKUP($B18,INPUT_DATA!$CQ:$CQ,INPUT_DATA!DE:DE))</f>
        <v>11</v>
      </c>
      <c r="S18" s="255">
        <f>IF($B18=0,"",_xlfn.XLOOKUP($B18,INPUT_DATA!$CQ:$CQ,INPUT_DATA!DF:DF))</f>
        <v>676330.79</v>
      </c>
      <c r="T18" s="1255">
        <f>IF($B18=0,"",_xlfn.XLOOKUP($B18,INPUT_DATA!$CQ:$CQ,INPUT_DATA!DG:DG))</f>
        <v>7</v>
      </c>
      <c r="U18" s="255">
        <f>IF($B18=0,"",_xlfn.XLOOKUP($B18,INPUT_DATA!$CQ:$CQ,INPUT_DATA!DH:DH))</f>
        <v>529035.43999999994</v>
      </c>
      <c r="V18" s="1255">
        <f>IF($B18=0,"",_xlfn.XLOOKUP($B18,INPUT_DATA!$CQ:$CQ,INPUT_DATA!DI:DI))</f>
        <v>4</v>
      </c>
      <c r="W18" s="255">
        <f>IF($B18=0,"",_xlfn.XLOOKUP($B18,INPUT_DATA!$CQ:$CQ,INPUT_DATA!DJ:DJ))</f>
        <v>451695.67</v>
      </c>
      <c r="X18" s="1255">
        <f>IF($B18=0,"",_xlfn.XLOOKUP($B18,INPUT_DATA!$CQ:$CQ,INPUT_DATA!DK:DK))</f>
        <v>3</v>
      </c>
      <c r="Y18" s="255">
        <f>IF($B18=0,"",_xlfn.XLOOKUP($B18,INPUT_DATA!$CQ:$CQ,INPUT_DATA!DL:DL))</f>
        <v>163105.82999999999</v>
      </c>
      <c r="Z18" s="1255">
        <f>IF($B18=0,"",_xlfn.XLOOKUP($B18,INPUT_DATA!$CQ:$CQ,INPUT_DATA!DM:DM))</f>
        <v>2</v>
      </c>
      <c r="AA18" s="255">
        <f>IF($B18=0,"",_xlfn.XLOOKUP($B18,INPUT_DATA!$CQ:$CQ,INPUT_DATA!DN:DN))</f>
        <v>16616.04</v>
      </c>
      <c r="AB18" s="1255">
        <f>IF($B18=0,"",_xlfn.XLOOKUP($B18,INPUT_DATA!$CQ:$CQ,INPUT_DATA!DO:DO))</f>
        <v>1</v>
      </c>
      <c r="AC18" s="255">
        <f>IF($B18=0,"",_xlfn.XLOOKUP($B18,INPUT_DATA!$CQ:$CQ,INPUT_DATA!DP:DP))</f>
        <v>130740.79</v>
      </c>
      <c r="AD18" s="1255">
        <f>IF($B18=0,"",_xlfn.XLOOKUP($B18,INPUT_DATA!$CQ:$CQ,INPUT_DATA!DQ:DQ))</f>
        <v>1</v>
      </c>
    </row>
    <row r="19" spans="2:30">
      <c r="B19" s="1202">
        <f>'02 - Monthly Asset Follow up'!B23</f>
        <v>46022</v>
      </c>
      <c r="C19" s="255">
        <f t="shared" si="0"/>
        <v>11314220550.59</v>
      </c>
      <c r="D19" s="1255">
        <f t="shared" si="1"/>
        <v>75171</v>
      </c>
      <c r="E19" s="255">
        <f>IF($B19=0,"",_xlfn.XLOOKUP($B19,INPUT_DATA!$CQ:$CQ,INPUT_DATA!CR:CR))</f>
        <v>11253127328.719999</v>
      </c>
      <c r="F19" s="1255">
        <f>IF($B19=0,"",_xlfn.XLOOKUP($B19,INPUT_DATA!$CQ:$CQ,INPUT_DATA!CS:CS))</f>
        <v>74804</v>
      </c>
      <c r="G19" s="255">
        <f>IF($B19=0,"",_xlfn.XLOOKUP($B19,INPUT_DATA!$CQ:$CQ,INPUT_DATA!CT:CT))</f>
        <v>35344558.509999998</v>
      </c>
      <c r="H19" s="1255">
        <f>IF($B19=0,"",_xlfn.XLOOKUP($B19,INPUT_DATA!$CQ:$CQ,INPUT_DATA!CU:CU))</f>
        <v>199</v>
      </c>
      <c r="I19" s="255">
        <f>IF($B19=0,"",_xlfn.XLOOKUP($B19,INPUT_DATA!$CQ:$CQ,INPUT_DATA!CV:CV))</f>
        <v>11159368.609999999</v>
      </c>
      <c r="J19" s="1255">
        <f>IF($B19=0,"",_xlfn.XLOOKUP($B19,INPUT_DATA!$CQ:$CQ,INPUT_DATA!CW:CW))</f>
        <v>75</v>
      </c>
      <c r="K19" s="255">
        <f>IF($B19=0,"",_xlfn.XLOOKUP($B19,INPUT_DATA!$CQ:$CQ,INPUT_DATA!CX:CX))</f>
        <v>5107537.99</v>
      </c>
      <c r="L19" s="1255">
        <f>IF($B19=0,"",_xlfn.XLOOKUP($B19,INPUT_DATA!$CQ:$CQ,INPUT_DATA!CY:CY))</f>
        <v>33</v>
      </c>
      <c r="M19" s="255">
        <f>IF($B19=0,"",_xlfn.XLOOKUP($B19,INPUT_DATA!$CQ:$CQ,INPUT_DATA!CZ:CZ))</f>
        <v>3800389.08</v>
      </c>
      <c r="N19" s="1255">
        <f>IF($B19=0,"",_xlfn.XLOOKUP($B19,INPUT_DATA!$CQ:$CQ,INPUT_DATA!DA:DA))</f>
        <v>15</v>
      </c>
      <c r="O19" s="255">
        <f>IF($B19=0,"",_xlfn.XLOOKUP($B19,INPUT_DATA!$CQ:$CQ,INPUT_DATA!DB:DB))</f>
        <v>1143184.33</v>
      </c>
      <c r="P19" s="1255">
        <f>IF($B19=0,"",_xlfn.XLOOKUP($B19,INPUT_DATA!$CQ:$CQ,INPUT_DATA!DC:DC))</f>
        <v>11</v>
      </c>
      <c r="Q19" s="255">
        <f>IF($B19=0,"",_xlfn.XLOOKUP($B19,INPUT_DATA!$CQ:$CQ,INPUT_DATA!DD:DD))</f>
        <v>759349.86</v>
      </c>
      <c r="R19" s="1255">
        <f>IF($B19=0,"",_xlfn.XLOOKUP($B19,INPUT_DATA!$CQ:$CQ,INPUT_DATA!DE:DE))</f>
        <v>11</v>
      </c>
      <c r="S19" s="255">
        <f>IF($B19=0,"",_xlfn.XLOOKUP($B19,INPUT_DATA!$CQ:$CQ,INPUT_DATA!DF:DF))</f>
        <v>719664.8</v>
      </c>
      <c r="T19" s="1255">
        <f>IF($B19=0,"",_xlfn.XLOOKUP($B19,INPUT_DATA!$CQ:$CQ,INPUT_DATA!DG:DG))</f>
        <v>6</v>
      </c>
      <c r="U19" s="255">
        <f>IF($B19=0,"",_xlfn.XLOOKUP($B19,INPUT_DATA!$CQ:$CQ,INPUT_DATA!DH:DH))</f>
        <v>619500.30000000005</v>
      </c>
      <c r="V19" s="1255">
        <f>IF($B19=0,"",_xlfn.XLOOKUP($B19,INPUT_DATA!$CQ:$CQ,INPUT_DATA!DI:DI))</f>
        <v>6</v>
      </c>
      <c r="W19" s="255">
        <f>IF($B19=0,"",_xlfn.XLOOKUP($B19,INPUT_DATA!$CQ:$CQ,INPUT_DATA!DJ:DJ))</f>
        <v>204882.79</v>
      </c>
      <c r="X19" s="1255">
        <f>IF($B19=0,"",_xlfn.XLOOKUP($B19,INPUT_DATA!$CQ:$CQ,INPUT_DATA!DK:DK))</f>
        <v>3</v>
      </c>
      <c r="Y19" s="255">
        <f>IF($B19=0,"",_xlfn.XLOOKUP($B19,INPUT_DATA!$CQ:$CQ,INPUT_DATA!DL:DL))</f>
        <v>148657.75</v>
      </c>
      <c r="Z19" s="1255">
        <f>IF($B19=0,"",_xlfn.XLOOKUP($B19,INPUT_DATA!$CQ:$CQ,INPUT_DATA!DM:DM))</f>
        <v>2</v>
      </c>
      <c r="AA19" s="255">
        <f>IF($B19=0,"",_xlfn.XLOOKUP($B19,INPUT_DATA!$CQ:$CQ,INPUT_DATA!DN:DN))</f>
        <v>1980339.32</v>
      </c>
      <c r="AB19" s="1255">
        <f>IF($B19=0,"",_xlfn.XLOOKUP($B19,INPUT_DATA!$CQ:$CQ,INPUT_DATA!DO:DO))</f>
        <v>4</v>
      </c>
      <c r="AC19" s="255">
        <f>IF($B19=0,"",_xlfn.XLOOKUP($B19,INPUT_DATA!$CQ:$CQ,INPUT_DATA!DP:DP))</f>
        <v>105788.53</v>
      </c>
      <c r="AD19" s="1255">
        <f>IF($B19=0,"",_xlfn.XLOOKUP($B19,INPUT_DATA!$CQ:$CQ,INPUT_DATA!DQ:DQ))</f>
        <v>2</v>
      </c>
    </row>
    <row r="20" spans="2:30">
      <c r="B20" s="1202">
        <f>'02 - Monthly Asset Follow up'!B24</f>
        <v>45991</v>
      </c>
      <c r="C20" s="255">
        <f t="shared" si="0"/>
        <v>11410540020.710003</v>
      </c>
      <c r="D20" s="1255">
        <f t="shared" si="1"/>
        <v>75498</v>
      </c>
      <c r="E20" s="255">
        <f>IF($B20=0,"",_xlfn.XLOOKUP($B20,INPUT_DATA!$CQ:$CQ,INPUT_DATA!CR:CR))</f>
        <v>11346607692.01</v>
      </c>
      <c r="F20" s="1255">
        <f>IF($B20=0,"",_xlfn.XLOOKUP($B20,INPUT_DATA!$CQ:$CQ,INPUT_DATA!CS:CS))</f>
        <v>75112</v>
      </c>
      <c r="G20" s="255">
        <f>IF($B20=0,"",_xlfn.XLOOKUP($B20,INPUT_DATA!$CQ:$CQ,INPUT_DATA!CT:CT))</f>
        <v>39436167.170000002</v>
      </c>
      <c r="H20" s="1255">
        <f>IF($B20=0,"",_xlfn.XLOOKUP($B20,INPUT_DATA!$CQ:$CQ,INPUT_DATA!CU:CU))</f>
        <v>234</v>
      </c>
      <c r="I20" s="255">
        <f>IF($B20=0,"",_xlfn.XLOOKUP($B20,INPUT_DATA!$CQ:$CQ,INPUT_DATA!CV:CV))</f>
        <v>11439894.35</v>
      </c>
      <c r="J20" s="1255">
        <f>IF($B20=0,"",_xlfn.XLOOKUP($B20,INPUT_DATA!$CQ:$CQ,INPUT_DATA!CW:CW))</f>
        <v>67</v>
      </c>
      <c r="K20" s="255">
        <f>IF($B20=0,"",_xlfn.XLOOKUP($B20,INPUT_DATA!$CQ:$CQ,INPUT_DATA!CX:CX))</f>
        <v>5323863.7699999996</v>
      </c>
      <c r="L20" s="1255">
        <f>IF($B20=0,"",_xlfn.XLOOKUP($B20,INPUT_DATA!$CQ:$CQ,INPUT_DATA!CY:CY))</f>
        <v>23</v>
      </c>
      <c r="M20" s="255">
        <f>IF($B20=0,"",_xlfn.XLOOKUP($B20,INPUT_DATA!$CQ:$CQ,INPUT_DATA!CZ:CZ))</f>
        <v>2391343.63</v>
      </c>
      <c r="N20" s="1255">
        <f>IF($B20=0,"",_xlfn.XLOOKUP($B20,INPUT_DATA!$CQ:$CQ,INPUT_DATA!DA:DA))</f>
        <v>20</v>
      </c>
      <c r="O20" s="255">
        <f>IF($B20=0,"",_xlfn.XLOOKUP($B20,INPUT_DATA!$CQ:$CQ,INPUT_DATA!DB:DB))</f>
        <v>805448.37</v>
      </c>
      <c r="P20" s="1255">
        <f>IF($B20=0,"",_xlfn.XLOOKUP($B20,INPUT_DATA!$CQ:$CQ,INPUT_DATA!DC:DC))</f>
        <v>14</v>
      </c>
      <c r="Q20" s="255">
        <f>IF($B20=0,"",_xlfn.XLOOKUP($B20,INPUT_DATA!$CQ:$CQ,INPUT_DATA!DD:DD))</f>
        <v>1071613.51</v>
      </c>
      <c r="R20" s="1255">
        <f>IF($B20=0,"",_xlfn.XLOOKUP($B20,INPUT_DATA!$CQ:$CQ,INPUT_DATA!DE:DE))</f>
        <v>9</v>
      </c>
      <c r="S20" s="255">
        <f>IF($B20=0,"",_xlfn.XLOOKUP($B20,INPUT_DATA!$CQ:$CQ,INPUT_DATA!DF:DF))</f>
        <v>695252.28</v>
      </c>
      <c r="T20" s="1255">
        <f>IF($B20=0,"",_xlfn.XLOOKUP($B20,INPUT_DATA!$CQ:$CQ,INPUT_DATA!DG:DG))</f>
        <v>8</v>
      </c>
      <c r="U20" s="255">
        <f>IF($B20=0,"",_xlfn.XLOOKUP($B20,INPUT_DATA!$CQ:$CQ,INPUT_DATA!DH:DH))</f>
        <v>518862.44</v>
      </c>
      <c r="V20" s="1255">
        <f>IF($B20=0,"",_xlfn.XLOOKUP($B20,INPUT_DATA!$CQ:$CQ,INPUT_DATA!DI:DI))</f>
        <v>3</v>
      </c>
      <c r="W20" s="255">
        <f>IF($B20=0,"",_xlfn.XLOOKUP($B20,INPUT_DATA!$CQ:$CQ,INPUT_DATA!DJ:DJ))</f>
        <v>149956.5</v>
      </c>
      <c r="X20" s="1255">
        <f>IF($B20=0,"",_xlfn.XLOOKUP($B20,INPUT_DATA!$CQ:$CQ,INPUT_DATA!DK:DK))</f>
        <v>2</v>
      </c>
      <c r="Y20" s="255">
        <f>IF($B20=0,"",_xlfn.XLOOKUP($B20,INPUT_DATA!$CQ:$CQ,INPUT_DATA!DL:DL))</f>
        <v>2013086.36</v>
      </c>
      <c r="Z20" s="1255">
        <f>IF($B20=0,"",_xlfn.XLOOKUP($B20,INPUT_DATA!$CQ:$CQ,INPUT_DATA!DM:DM))</f>
        <v>5</v>
      </c>
      <c r="AA20" s="255">
        <f>IF($B20=0,"",_xlfn.XLOOKUP($B20,INPUT_DATA!$CQ:$CQ,INPUT_DATA!DN:DN))</f>
        <v>86840.320000000007</v>
      </c>
      <c r="AB20" s="1255">
        <f>IF($B20=0,"",_xlfn.XLOOKUP($B20,INPUT_DATA!$CQ:$CQ,INPUT_DATA!DO:DO))</f>
        <v>1</v>
      </c>
      <c r="AC20" s="255">
        <f>IF($B20=0,"",_xlfn.XLOOKUP($B20,INPUT_DATA!$CQ:$CQ,INPUT_DATA!DP:DP))</f>
        <v>0</v>
      </c>
      <c r="AD20" s="1255">
        <f>IF($B20=0,"",_xlfn.XLOOKUP($B20,INPUT_DATA!$CQ:$CQ,INPUT_DATA!DQ:DQ))</f>
        <v>0</v>
      </c>
    </row>
    <row r="21" spans="2:30">
      <c r="B21" s="1202">
        <f>'02 - Monthly Asset Follow up'!B25</f>
        <v>45961</v>
      </c>
      <c r="C21" s="255">
        <f t="shared" si="0"/>
        <v>11501221849.949997</v>
      </c>
      <c r="D21" s="1255">
        <f t="shared" si="1"/>
        <v>75774</v>
      </c>
      <c r="E21" s="255">
        <f>IF($B21=0,"",_xlfn.XLOOKUP($B21,INPUT_DATA!$CQ:$CQ,INPUT_DATA!CR:CR))</f>
        <v>11450567231.139999</v>
      </c>
      <c r="F21" s="1255">
        <f>IF($B21=0,"",_xlfn.XLOOKUP($B21,INPUT_DATA!$CQ:$CQ,INPUT_DATA!CS:CS))</f>
        <v>75475</v>
      </c>
      <c r="G21" s="255">
        <f>IF($B21=0,"",_xlfn.XLOOKUP($B21,INPUT_DATA!$CQ:$CQ,INPUT_DATA!CT:CT))</f>
        <v>27825823.879999999</v>
      </c>
      <c r="H21" s="1255">
        <f>IF($B21=0,"",_xlfn.XLOOKUP($B21,INPUT_DATA!$CQ:$CQ,INPUT_DATA!CU:CU))</f>
        <v>159</v>
      </c>
      <c r="I21" s="255">
        <f>IF($B21=0,"",_xlfn.XLOOKUP($B21,INPUT_DATA!$CQ:$CQ,INPUT_DATA!CV:CV))</f>
        <v>11047178.52</v>
      </c>
      <c r="J21" s="1255">
        <f>IF($B21=0,"",_xlfn.XLOOKUP($B21,INPUT_DATA!$CQ:$CQ,INPUT_DATA!CW:CW))</f>
        <v>58</v>
      </c>
      <c r="K21" s="255">
        <f>IF($B21=0,"",_xlfn.XLOOKUP($B21,INPUT_DATA!$CQ:$CQ,INPUT_DATA!CX:CX))</f>
        <v>4763834.8499999996</v>
      </c>
      <c r="L21" s="1255">
        <f>IF($B21=0,"",_xlfn.XLOOKUP($B21,INPUT_DATA!$CQ:$CQ,INPUT_DATA!CY:CY))</f>
        <v>28</v>
      </c>
      <c r="M21" s="255">
        <f>IF($B21=0,"",_xlfn.XLOOKUP($B21,INPUT_DATA!$CQ:$CQ,INPUT_DATA!CZ:CZ))</f>
        <v>1556628.24</v>
      </c>
      <c r="N21" s="1255">
        <f>IF($B21=0,"",_xlfn.XLOOKUP($B21,INPUT_DATA!$CQ:$CQ,INPUT_DATA!DA:DA))</f>
        <v>18</v>
      </c>
      <c r="O21" s="255">
        <f>IF($B21=0,"",_xlfn.XLOOKUP($B21,INPUT_DATA!$CQ:$CQ,INPUT_DATA!DB:DB))</f>
        <v>1561937.22</v>
      </c>
      <c r="P21" s="1255">
        <f>IF($B21=0,"",_xlfn.XLOOKUP($B21,INPUT_DATA!$CQ:$CQ,INPUT_DATA!DC:DC))</f>
        <v>13</v>
      </c>
      <c r="Q21" s="255">
        <f>IF($B21=0,"",_xlfn.XLOOKUP($B21,INPUT_DATA!$CQ:$CQ,INPUT_DATA!DD:DD))</f>
        <v>868711.64</v>
      </c>
      <c r="R21" s="1255">
        <f>IF($B21=0,"",_xlfn.XLOOKUP($B21,INPUT_DATA!$CQ:$CQ,INPUT_DATA!DE:DE))</f>
        <v>10</v>
      </c>
      <c r="S21" s="255">
        <f>IF($B21=0,"",_xlfn.XLOOKUP($B21,INPUT_DATA!$CQ:$CQ,INPUT_DATA!DF:DF))</f>
        <v>634010.34</v>
      </c>
      <c r="T21" s="1255">
        <f>IF($B21=0,"",_xlfn.XLOOKUP($B21,INPUT_DATA!$CQ:$CQ,INPUT_DATA!DG:DG))</f>
        <v>4</v>
      </c>
      <c r="U21" s="255">
        <f>IF($B21=0,"",_xlfn.XLOOKUP($B21,INPUT_DATA!$CQ:$CQ,INPUT_DATA!DH:DH))</f>
        <v>151253.07999999999</v>
      </c>
      <c r="V21" s="1255">
        <f>IF($B21=0,"",_xlfn.XLOOKUP($B21,INPUT_DATA!$CQ:$CQ,INPUT_DATA!DI:DI))</f>
        <v>2</v>
      </c>
      <c r="W21" s="255">
        <f>IF($B21=0,"",_xlfn.XLOOKUP($B21,INPUT_DATA!$CQ:$CQ,INPUT_DATA!DJ:DJ))</f>
        <v>2026597.8</v>
      </c>
      <c r="X21" s="1255">
        <f>IF($B21=0,"",_xlfn.XLOOKUP($B21,INPUT_DATA!$CQ:$CQ,INPUT_DATA!DK:DK))</f>
        <v>5</v>
      </c>
      <c r="Y21" s="255">
        <f>IF($B21=0,"",_xlfn.XLOOKUP($B21,INPUT_DATA!$CQ:$CQ,INPUT_DATA!DL:DL))</f>
        <v>87109.5</v>
      </c>
      <c r="Z21" s="1255">
        <f>IF($B21=0,"",_xlfn.XLOOKUP($B21,INPUT_DATA!$CQ:$CQ,INPUT_DATA!DM:DM))</f>
        <v>1</v>
      </c>
      <c r="AA21" s="255">
        <f>IF($B21=0,"",_xlfn.XLOOKUP($B21,INPUT_DATA!$CQ:$CQ,INPUT_DATA!DN:DN))</f>
        <v>0</v>
      </c>
      <c r="AB21" s="1255">
        <f>IF($B21=0,"",_xlfn.XLOOKUP($B21,INPUT_DATA!$CQ:$CQ,INPUT_DATA!DO:DO))</f>
        <v>0</v>
      </c>
      <c r="AC21" s="255">
        <f>IF($B21=0,"",_xlfn.XLOOKUP($B21,INPUT_DATA!$CQ:$CQ,INPUT_DATA!DP:DP))</f>
        <v>131533.74</v>
      </c>
      <c r="AD21" s="1255">
        <f>IF($B21=0,"",_xlfn.XLOOKUP($B21,INPUT_DATA!$CQ:$CQ,INPUT_DATA!DQ:DQ))</f>
        <v>1</v>
      </c>
    </row>
    <row r="22" spans="2:30">
      <c r="B22" s="1202">
        <f>'02 - Monthly Asset Follow up'!B26</f>
        <v>45930</v>
      </c>
      <c r="C22" s="255">
        <f t="shared" si="0"/>
        <v>11613993146.950001</v>
      </c>
      <c r="D22" s="1255">
        <f t="shared" si="1"/>
        <v>76155</v>
      </c>
      <c r="E22" s="255">
        <f>IF($B22=0,"",_xlfn.XLOOKUP($B22,INPUT_DATA!$CQ:$CQ,INPUT_DATA!CR:CR))</f>
        <v>11570315320.68</v>
      </c>
      <c r="F22" s="1255">
        <f>IF($B22=0,"",_xlfn.XLOOKUP($B22,INPUT_DATA!$CQ:$CQ,INPUT_DATA!CS:CS))</f>
        <v>75865</v>
      </c>
      <c r="G22" s="255">
        <f>IF($B22=0,"",_xlfn.XLOOKUP($B22,INPUT_DATA!$CQ:$CQ,INPUT_DATA!CT:CT))</f>
        <v>20809808.390000001</v>
      </c>
      <c r="H22" s="1255">
        <f>IF($B22=0,"",_xlfn.XLOOKUP($B22,INPUT_DATA!$CQ:$CQ,INPUT_DATA!CU:CU))</f>
        <v>149</v>
      </c>
      <c r="I22" s="255">
        <f>IF($B22=0,"",_xlfn.XLOOKUP($B22,INPUT_DATA!$CQ:$CQ,INPUT_DATA!CV:CV))</f>
        <v>10684438.75</v>
      </c>
      <c r="J22" s="1255">
        <f>IF($B22=0,"",_xlfn.XLOOKUP($B22,INPUT_DATA!$CQ:$CQ,INPUT_DATA!CW:CW))</f>
        <v>56</v>
      </c>
      <c r="K22" s="255">
        <f>IF($B22=0,"",_xlfn.XLOOKUP($B22,INPUT_DATA!$CQ:$CQ,INPUT_DATA!CX:CX))</f>
        <v>3548474.18</v>
      </c>
      <c r="L22" s="1255">
        <f>IF($B22=0,"",_xlfn.XLOOKUP($B22,INPUT_DATA!$CQ:$CQ,INPUT_DATA!CY:CY))</f>
        <v>32</v>
      </c>
      <c r="M22" s="255">
        <f>IF($B22=0,"",_xlfn.XLOOKUP($B22,INPUT_DATA!$CQ:$CQ,INPUT_DATA!CZ:CZ))</f>
        <v>3022878.48</v>
      </c>
      <c r="N22" s="1255">
        <f>IF($B22=0,"",_xlfn.XLOOKUP($B22,INPUT_DATA!$CQ:$CQ,INPUT_DATA!DA:DA))</f>
        <v>22</v>
      </c>
      <c r="O22" s="255">
        <f>IF($B22=0,"",_xlfn.XLOOKUP($B22,INPUT_DATA!$CQ:$CQ,INPUT_DATA!DB:DB))</f>
        <v>1217894.76</v>
      </c>
      <c r="P22" s="1255">
        <f>IF($B22=0,"",_xlfn.XLOOKUP($B22,INPUT_DATA!$CQ:$CQ,INPUT_DATA!DC:DC))</f>
        <v>15</v>
      </c>
      <c r="Q22" s="255">
        <f>IF($B22=0,"",_xlfn.XLOOKUP($B22,INPUT_DATA!$CQ:$CQ,INPUT_DATA!DD:DD))</f>
        <v>1982216.38</v>
      </c>
      <c r="R22" s="1255">
        <f>IF($B22=0,"",_xlfn.XLOOKUP($B22,INPUT_DATA!$CQ:$CQ,INPUT_DATA!DE:DE))</f>
        <v>7</v>
      </c>
      <c r="S22" s="255">
        <f>IF($B22=0,"",_xlfn.XLOOKUP($B22,INPUT_DATA!$CQ:$CQ,INPUT_DATA!DF:DF))</f>
        <v>152547.49</v>
      </c>
      <c r="T22" s="1255">
        <f>IF($B22=0,"",_xlfn.XLOOKUP($B22,INPUT_DATA!$CQ:$CQ,INPUT_DATA!DG:DG))</f>
        <v>2</v>
      </c>
      <c r="U22" s="255">
        <f>IF($B22=0,"",_xlfn.XLOOKUP($B22,INPUT_DATA!$CQ:$CQ,INPUT_DATA!DH:DH))</f>
        <v>2040091.45</v>
      </c>
      <c r="V22" s="1255">
        <f>IF($B22=0,"",_xlfn.XLOOKUP($B22,INPUT_DATA!$CQ:$CQ,INPUT_DATA!DI:DI))</f>
        <v>5</v>
      </c>
      <c r="W22" s="255">
        <f>IF($B22=0,"",_xlfn.XLOOKUP($B22,INPUT_DATA!$CQ:$CQ,INPUT_DATA!DJ:DJ))</f>
        <v>87378.27</v>
      </c>
      <c r="X22" s="1255">
        <f>IF($B22=0,"",_xlfn.XLOOKUP($B22,INPUT_DATA!$CQ:$CQ,INPUT_DATA!DK:DK))</f>
        <v>1</v>
      </c>
      <c r="Y22" s="255">
        <f>IF($B22=0,"",_xlfn.XLOOKUP($B22,INPUT_DATA!$CQ:$CQ,INPUT_DATA!DL:DL))</f>
        <v>0</v>
      </c>
      <c r="Z22" s="1255">
        <f>IF($B22=0,"",_xlfn.XLOOKUP($B22,INPUT_DATA!$CQ:$CQ,INPUT_DATA!DM:DM))</f>
        <v>0</v>
      </c>
      <c r="AA22" s="255">
        <f>IF($B22=0,"",_xlfn.XLOOKUP($B22,INPUT_DATA!$CQ:$CQ,INPUT_DATA!DN:DN))</f>
        <v>132098.12</v>
      </c>
      <c r="AB22" s="1255">
        <f>IF($B22=0,"",_xlfn.XLOOKUP($B22,INPUT_DATA!$CQ:$CQ,INPUT_DATA!DO:DO))</f>
        <v>1</v>
      </c>
      <c r="AC22" s="255">
        <f>IF($B22=0,"",_xlfn.XLOOKUP($B22,INPUT_DATA!$CQ:$CQ,INPUT_DATA!DP:DP))</f>
        <v>0</v>
      </c>
      <c r="AD22" s="1255">
        <f>IF($B22=0,"",_xlfn.XLOOKUP($B22,INPUT_DATA!$CQ:$CQ,INPUT_DATA!DQ:DQ))</f>
        <v>0</v>
      </c>
    </row>
    <row r="23" spans="2:30">
      <c r="B23" s="1202">
        <f>'02 - Monthly Asset Follow up'!B27</f>
        <v>45900</v>
      </c>
      <c r="C23" s="255">
        <f t="shared" si="0"/>
        <v>7430770897.8499994</v>
      </c>
      <c r="D23" s="1255">
        <f t="shared" si="1"/>
        <v>54553</v>
      </c>
      <c r="E23" s="255">
        <f>IF($B23=0,"",_xlfn.XLOOKUP($B23,INPUT_DATA!$CQ:$CQ,INPUT_DATA!CR:CR))</f>
        <v>7384905193.1400003</v>
      </c>
      <c r="F23" s="1255">
        <f>IF($B23=0,"",_xlfn.XLOOKUP($B23,INPUT_DATA!$CQ:$CQ,INPUT_DATA!CS:CS))</f>
        <v>54241</v>
      </c>
      <c r="G23" s="255">
        <f>IF($B23=0,"",_xlfn.XLOOKUP($B23,INPUT_DATA!$CQ:$CQ,INPUT_DATA!CT:CT))</f>
        <v>24062889.48</v>
      </c>
      <c r="H23" s="1255">
        <f>IF($B23=0,"",_xlfn.XLOOKUP($B23,INPUT_DATA!$CQ:$CQ,INPUT_DATA!CU:CU))</f>
        <v>166</v>
      </c>
      <c r="I23" s="255">
        <f>IF($B23=0,"",_xlfn.XLOOKUP($B23,INPUT_DATA!$CQ:$CQ,INPUT_DATA!CV:CV))</f>
        <v>9283792.9700000007</v>
      </c>
      <c r="J23" s="1255">
        <f>IF($B23=0,"",_xlfn.XLOOKUP($B23,INPUT_DATA!$CQ:$CQ,INPUT_DATA!CW:CW))</f>
        <v>62</v>
      </c>
      <c r="K23" s="255">
        <f>IF($B23=0,"",_xlfn.XLOOKUP($B23,INPUT_DATA!$CQ:$CQ,INPUT_DATA!CX:CX))</f>
        <v>4698441.28</v>
      </c>
      <c r="L23" s="1255">
        <f>IF($B23=0,"",_xlfn.XLOOKUP($B23,INPUT_DATA!$CQ:$CQ,INPUT_DATA!CY:CY))</f>
        <v>35</v>
      </c>
      <c r="M23" s="255">
        <f>IF($B23=0,"",_xlfn.XLOOKUP($B23,INPUT_DATA!$CQ:$CQ,INPUT_DATA!CZ:CZ))</f>
        <v>1919487.61</v>
      </c>
      <c r="N23" s="1255">
        <f>IF($B23=0,"",_xlfn.XLOOKUP($B23,INPUT_DATA!$CQ:$CQ,INPUT_DATA!DA:DA))</f>
        <v>23</v>
      </c>
      <c r="O23" s="255">
        <f>IF($B23=0,"",_xlfn.XLOOKUP($B23,INPUT_DATA!$CQ:$CQ,INPUT_DATA!DB:DB))</f>
        <v>2386547.66</v>
      </c>
      <c r="P23" s="1255">
        <f>IF($B23=0,"",_xlfn.XLOOKUP($B23,INPUT_DATA!$CQ:$CQ,INPUT_DATA!DC:DC))</f>
        <v>11</v>
      </c>
      <c r="Q23" s="255">
        <f>IF($B23=0,"",_xlfn.XLOOKUP($B23,INPUT_DATA!$CQ:$CQ,INPUT_DATA!DD:DD))</f>
        <v>948584.7</v>
      </c>
      <c r="R23" s="1255">
        <f>IF($B23=0,"",_xlfn.XLOOKUP($B23,INPUT_DATA!$CQ:$CQ,INPUT_DATA!DE:DE))</f>
        <v>4</v>
      </c>
      <c r="S23" s="255">
        <f>IF($B23=0,"",_xlfn.XLOOKUP($B23,INPUT_DATA!$CQ:$CQ,INPUT_DATA!DF:DF))</f>
        <v>2236676.54</v>
      </c>
      <c r="T23" s="1255">
        <f>IF($B23=0,"",_xlfn.XLOOKUP($B23,INPUT_DATA!$CQ:$CQ,INPUT_DATA!DG:DG))</f>
        <v>7</v>
      </c>
      <c r="U23" s="255">
        <f>IF($B23=0,"",_xlfn.XLOOKUP($B23,INPUT_DATA!$CQ:$CQ,INPUT_DATA!DH:DH))</f>
        <v>125860.31</v>
      </c>
      <c r="V23" s="1255">
        <f>IF($B23=0,"",_xlfn.XLOOKUP($B23,INPUT_DATA!$CQ:$CQ,INPUT_DATA!DI:DI))</f>
        <v>2</v>
      </c>
      <c r="W23" s="255">
        <f>IF($B23=0,"",_xlfn.XLOOKUP($B23,INPUT_DATA!$CQ:$CQ,INPUT_DATA!DJ:DJ))</f>
        <v>0</v>
      </c>
      <c r="X23" s="1255">
        <f>IF($B23=0,"",_xlfn.XLOOKUP($B23,INPUT_DATA!$CQ:$CQ,INPUT_DATA!DK:DK))</f>
        <v>0</v>
      </c>
      <c r="Y23" s="255">
        <f>IF($B23=0,"",_xlfn.XLOOKUP($B23,INPUT_DATA!$CQ:$CQ,INPUT_DATA!DL:DL))</f>
        <v>132661.79</v>
      </c>
      <c r="Z23" s="1255">
        <f>IF($B23=0,"",_xlfn.XLOOKUP($B23,INPUT_DATA!$CQ:$CQ,INPUT_DATA!DM:DM))</f>
        <v>1</v>
      </c>
      <c r="AA23" s="255">
        <f>IF($B23=0,"",_xlfn.XLOOKUP($B23,INPUT_DATA!$CQ:$CQ,INPUT_DATA!DN:DN))</f>
        <v>70762.37</v>
      </c>
      <c r="AB23" s="1255">
        <f>IF($B23=0,"",_xlfn.XLOOKUP($B23,INPUT_DATA!$CQ:$CQ,INPUT_DATA!DO:DO))</f>
        <v>1</v>
      </c>
      <c r="AC23" s="255">
        <f>IF($B23=0,"",_xlfn.XLOOKUP($B23,INPUT_DATA!$CQ:$CQ,INPUT_DATA!DP:DP))</f>
        <v>0</v>
      </c>
      <c r="AD23" s="1255">
        <f>IF($B23=0,"",_xlfn.XLOOKUP($B23,INPUT_DATA!$CQ:$CQ,INPUT_DATA!DQ:DQ))</f>
        <v>0</v>
      </c>
    </row>
    <row r="24" spans="2:30">
      <c r="B24" s="1202">
        <f>'02 - Monthly Asset Follow up'!B28</f>
        <v>45869</v>
      </c>
      <c r="C24" s="255">
        <f t="shared" si="0"/>
        <v>7501402080.4800005</v>
      </c>
      <c r="D24" s="1255">
        <f t="shared" si="1"/>
        <v>54804</v>
      </c>
      <c r="E24" s="255">
        <f>IF($B24=0,"",_xlfn.XLOOKUP($B24,INPUT_DATA!$CQ:$CQ,INPUT_DATA!CR:CR))</f>
        <v>7454588609.0799999</v>
      </c>
      <c r="F24" s="1255">
        <f>IF($B24=0,"",_xlfn.XLOOKUP($B24,INPUT_DATA!$CQ:$CQ,INPUT_DATA!CS:CS))</f>
        <v>54516</v>
      </c>
      <c r="G24" s="255">
        <f>IF($B24=0,"",_xlfn.XLOOKUP($B24,INPUT_DATA!$CQ:$CQ,INPUT_DATA!CT:CT))</f>
        <v>23850789</v>
      </c>
      <c r="H24" s="1255">
        <f>IF($B24=0,"",_xlfn.XLOOKUP($B24,INPUT_DATA!$CQ:$CQ,INPUT_DATA!CU:CU))</f>
        <v>151</v>
      </c>
      <c r="I24" s="255">
        <f>IF($B24=0,"",_xlfn.XLOOKUP($B24,INPUT_DATA!$CQ:$CQ,INPUT_DATA!CV:CV))</f>
        <v>12696531.630000001</v>
      </c>
      <c r="J24" s="1255">
        <f>IF($B24=0,"",_xlfn.XLOOKUP($B24,INPUT_DATA!$CQ:$CQ,INPUT_DATA!CW:CW))</f>
        <v>69</v>
      </c>
      <c r="K24" s="255">
        <f>IF($B24=0,"",_xlfn.XLOOKUP($B24,INPUT_DATA!$CQ:$CQ,INPUT_DATA!CX:CX))</f>
        <v>3191368.02</v>
      </c>
      <c r="L24" s="1255">
        <f>IF($B24=0,"",_xlfn.XLOOKUP($B24,INPUT_DATA!$CQ:$CQ,INPUT_DATA!CY:CY))</f>
        <v>34</v>
      </c>
      <c r="M24" s="255">
        <f>IF($B24=0,"",_xlfn.XLOOKUP($B24,INPUT_DATA!$CQ:$CQ,INPUT_DATA!CZ:CZ))</f>
        <v>2435825.7400000002</v>
      </c>
      <c r="N24" s="1255">
        <f>IF($B24=0,"",_xlfn.XLOOKUP($B24,INPUT_DATA!$CQ:$CQ,INPUT_DATA!DA:DA))</f>
        <v>13</v>
      </c>
      <c r="O24" s="255">
        <f>IF($B24=0,"",_xlfn.XLOOKUP($B24,INPUT_DATA!$CQ:$CQ,INPUT_DATA!DB:DB))</f>
        <v>1284920.02</v>
      </c>
      <c r="P24" s="1255">
        <f>IF($B24=0,"",_xlfn.XLOOKUP($B24,INPUT_DATA!$CQ:$CQ,INPUT_DATA!DC:DC))</f>
        <v>7</v>
      </c>
      <c r="Q24" s="255">
        <f>IF($B24=0,"",_xlfn.XLOOKUP($B24,INPUT_DATA!$CQ:$CQ,INPUT_DATA!DD:DD))</f>
        <v>2815372.28</v>
      </c>
      <c r="R24" s="1255">
        <f>IF($B24=0,"",_xlfn.XLOOKUP($B24,INPUT_DATA!$CQ:$CQ,INPUT_DATA!DE:DE))</f>
        <v>8</v>
      </c>
      <c r="S24" s="255">
        <f>IF($B24=0,"",_xlfn.XLOOKUP($B24,INPUT_DATA!$CQ:$CQ,INPUT_DATA!DF:DF))</f>
        <v>334090.07</v>
      </c>
      <c r="T24" s="1255">
        <f>IF($B24=0,"",_xlfn.XLOOKUP($B24,INPUT_DATA!$CQ:$CQ,INPUT_DATA!DG:DG))</f>
        <v>4</v>
      </c>
      <c r="U24" s="255">
        <f>IF($B24=0,"",_xlfn.XLOOKUP($B24,INPUT_DATA!$CQ:$CQ,INPUT_DATA!DH:DH))</f>
        <v>0</v>
      </c>
      <c r="V24" s="1255">
        <f>IF($B24=0,"",_xlfn.XLOOKUP($B24,INPUT_DATA!$CQ:$CQ,INPUT_DATA!DI:DI))</f>
        <v>0</v>
      </c>
      <c r="W24" s="255">
        <f>IF($B24=0,"",_xlfn.XLOOKUP($B24,INPUT_DATA!$CQ:$CQ,INPUT_DATA!DJ:DJ))</f>
        <v>133224.76</v>
      </c>
      <c r="X24" s="1255">
        <f>IF($B24=0,"",_xlfn.XLOOKUP($B24,INPUT_DATA!$CQ:$CQ,INPUT_DATA!DK:DK))</f>
        <v>1</v>
      </c>
      <c r="Y24" s="255">
        <f>IF($B24=0,"",_xlfn.XLOOKUP($B24,INPUT_DATA!$CQ:$CQ,INPUT_DATA!DL:DL))</f>
        <v>71349.88</v>
      </c>
      <c r="Z24" s="1255">
        <f>IF($B24=0,"",_xlfn.XLOOKUP($B24,INPUT_DATA!$CQ:$CQ,INPUT_DATA!DM:DM))</f>
        <v>1</v>
      </c>
      <c r="AA24" s="255">
        <f>IF($B24=0,"",_xlfn.XLOOKUP($B24,INPUT_DATA!$CQ:$CQ,INPUT_DATA!DN:DN))</f>
        <v>0</v>
      </c>
      <c r="AB24" s="1255">
        <f>IF($B24=0,"",_xlfn.XLOOKUP($B24,INPUT_DATA!$CQ:$CQ,INPUT_DATA!DO:DO))</f>
        <v>0</v>
      </c>
      <c r="AC24" s="255">
        <f>IF($B24=0,"",_xlfn.XLOOKUP($B24,INPUT_DATA!$CQ:$CQ,INPUT_DATA!DP:DP))</f>
        <v>0</v>
      </c>
      <c r="AD24" s="1255">
        <f>IF($B24=0,"",_xlfn.XLOOKUP($B24,INPUT_DATA!$CQ:$CQ,INPUT_DATA!DQ:DQ))</f>
        <v>0</v>
      </c>
    </row>
    <row r="25" spans="2:30">
      <c r="B25" s="1202">
        <f>'02 - Monthly Asset Follow up'!B29</f>
        <v>45838</v>
      </c>
      <c r="C25" s="255">
        <f t="shared" si="0"/>
        <v>7570005186.9900017</v>
      </c>
      <c r="D25" s="1255">
        <f t="shared" si="1"/>
        <v>55049</v>
      </c>
      <c r="E25" s="255">
        <f>IF($B25=0,"",_xlfn.XLOOKUP($B25,INPUT_DATA!$CQ:$CQ,INPUT_DATA!CR:CR))</f>
        <v>7520827672.6000004</v>
      </c>
      <c r="F25" s="1255">
        <f>IF($B25=0,"",_xlfn.XLOOKUP($B25,INPUT_DATA!$CQ:$CQ,INPUT_DATA!CS:CS))</f>
        <v>54742</v>
      </c>
      <c r="G25" s="255">
        <f>IF($B25=0,"",_xlfn.XLOOKUP($B25,INPUT_DATA!$CQ:$CQ,INPUT_DATA!CT:CT))</f>
        <v>29661773.43</v>
      </c>
      <c r="H25" s="1255">
        <f>IF($B25=0,"",_xlfn.XLOOKUP($B25,INPUT_DATA!$CQ:$CQ,INPUT_DATA!CU:CU))</f>
        <v>181</v>
      </c>
      <c r="I25" s="255">
        <f>IF($B25=0,"",_xlfn.XLOOKUP($B25,INPUT_DATA!$CQ:$CQ,INPUT_DATA!CV:CV))</f>
        <v>8846201.8499999996</v>
      </c>
      <c r="J25" s="1255">
        <f>IF($B25=0,"",_xlfn.XLOOKUP($B25,INPUT_DATA!$CQ:$CQ,INPUT_DATA!CW:CW))</f>
        <v>66</v>
      </c>
      <c r="K25" s="255">
        <f>IF($B25=0,"",_xlfn.XLOOKUP($B25,INPUT_DATA!$CQ:$CQ,INPUT_DATA!CX:CX))</f>
        <v>4724255.96</v>
      </c>
      <c r="L25" s="1255">
        <f>IF($B25=0,"",_xlfn.XLOOKUP($B25,INPUT_DATA!$CQ:$CQ,INPUT_DATA!CY:CY))</f>
        <v>29</v>
      </c>
      <c r="M25" s="255">
        <f>IF($B25=0,"",_xlfn.XLOOKUP($B25,INPUT_DATA!$CQ:$CQ,INPUT_DATA!CZ:CZ))</f>
        <v>1839709.39</v>
      </c>
      <c r="N25" s="1255">
        <f>IF($B25=0,"",_xlfn.XLOOKUP($B25,INPUT_DATA!$CQ:$CQ,INPUT_DATA!DA:DA))</f>
        <v>12</v>
      </c>
      <c r="O25" s="255">
        <f>IF($B25=0,"",_xlfn.XLOOKUP($B25,INPUT_DATA!$CQ:$CQ,INPUT_DATA!DB:DB))</f>
        <v>3312110.58</v>
      </c>
      <c r="P25" s="1255">
        <f>IF($B25=0,"",_xlfn.XLOOKUP($B25,INPUT_DATA!$CQ:$CQ,INPUT_DATA!DC:DC))</f>
        <v>11</v>
      </c>
      <c r="Q25" s="255">
        <f>IF($B25=0,"",_xlfn.XLOOKUP($B25,INPUT_DATA!$CQ:$CQ,INPUT_DATA!DD:DD))</f>
        <v>587739.22</v>
      </c>
      <c r="R25" s="1255">
        <f>IF($B25=0,"",_xlfn.XLOOKUP($B25,INPUT_DATA!$CQ:$CQ,INPUT_DATA!DE:DE))</f>
        <v>6</v>
      </c>
      <c r="S25" s="255">
        <f>IF($B25=0,"",_xlfn.XLOOKUP($B25,INPUT_DATA!$CQ:$CQ,INPUT_DATA!DF:DF))</f>
        <v>0</v>
      </c>
      <c r="T25" s="1255">
        <f>IF($B25=0,"",_xlfn.XLOOKUP($B25,INPUT_DATA!$CQ:$CQ,INPUT_DATA!DG:DG))</f>
        <v>0</v>
      </c>
      <c r="U25" s="255">
        <f>IF($B25=0,"",_xlfn.XLOOKUP($B25,INPUT_DATA!$CQ:$CQ,INPUT_DATA!DH:DH))</f>
        <v>133787.03</v>
      </c>
      <c r="V25" s="1255">
        <f>IF($B25=0,"",_xlfn.XLOOKUP($B25,INPUT_DATA!$CQ:$CQ,INPUT_DATA!DI:DI))</f>
        <v>1</v>
      </c>
      <c r="W25" s="255">
        <f>IF($B25=0,"",_xlfn.XLOOKUP($B25,INPUT_DATA!$CQ:$CQ,INPUT_DATA!DJ:DJ))</f>
        <v>71936.929999999993</v>
      </c>
      <c r="X25" s="1255">
        <f>IF($B25=0,"",_xlfn.XLOOKUP($B25,INPUT_DATA!$CQ:$CQ,INPUT_DATA!DK:DK))</f>
        <v>1</v>
      </c>
      <c r="Y25" s="255">
        <f>IF($B25=0,"",_xlfn.XLOOKUP($B25,INPUT_DATA!$CQ:$CQ,INPUT_DATA!DL:DL))</f>
        <v>0</v>
      </c>
      <c r="Z25" s="1255">
        <f>IF($B25=0,"",_xlfn.XLOOKUP($B25,INPUT_DATA!$CQ:$CQ,INPUT_DATA!DM:DM))</f>
        <v>0</v>
      </c>
      <c r="AA25" s="255">
        <f>IF($B25=0,"",_xlfn.XLOOKUP($B25,INPUT_DATA!$CQ:$CQ,INPUT_DATA!DN:DN))</f>
        <v>0</v>
      </c>
      <c r="AB25" s="1255">
        <f>IF($B25=0,"",_xlfn.XLOOKUP($B25,INPUT_DATA!$CQ:$CQ,INPUT_DATA!DO:DO))</f>
        <v>0</v>
      </c>
      <c r="AC25" s="255">
        <f>IF($B25=0,"",_xlfn.XLOOKUP($B25,INPUT_DATA!$CQ:$CQ,INPUT_DATA!DP:DP))</f>
        <v>0</v>
      </c>
      <c r="AD25" s="1255">
        <f>IF($B25=0,"",_xlfn.XLOOKUP($B25,INPUT_DATA!$CQ:$CQ,INPUT_DATA!DQ:DQ))</f>
        <v>0</v>
      </c>
    </row>
    <row r="26" spans="2:30">
      <c r="B26" s="1202">
        <f>'02 - Monthly Asset Follow up'!B30</f>
        <v>45808</v>
      </c>
      <c r="C26" s="255">
        <f t="shared" si="0"/>
        <v>7635175945.3200016</v>
      </c>
      <c r="D26" s="1255">
        <f t="shared" si="1"/>
        <v>55261</v>
      </c>
      <c r="E26" s="255">
        <f>IF($B26=0,"",_xlfn.XLOOKUP($B26,INPUT_DATA!$CQ:$CQ,INPUT_DATA!CR:CR))</f>
        <v>7591031347.8900003</v>
      </c>
      <c r="F26" s="1255">
        <f>IF($B26=0,"",_xlfn.XLOOKUP($B26,INPUT_DATA!$CQ:$CQ,INPUT_DATA!CS:CS))</f>
        <v>54983</v>
      </c>
      <c r="G26" s="255">
        <f>IF($B26=0,"",_xlfn.XLOOKUP($B26,INPUT_DATA!$CQ:$CQ,INPUT_DATA!CT:CT))</f>
        <v>24995335.219999999</v>
      </c>
      <c r="H26" s="1255">
        <f>IF($B26=0,"",_xlfn.XLOOKUP($B26,INPUT_DATA!$CQ:$CQ,INPUT_DATA!CU:CU))</f>
        <v>161</v>
      </c>
      <c r="I26" s="255">
        <f>IF($B26=0,"",_xlfn.XLOOKUP($B26,INPUT_DATA!$CQ:$CQ,INPUT_DATA!CV:CV))</f>
        <v>10648567.65</v>
      </c>
      <c r="J26" s="1255">
        <f>IF($B26=0,"",_xlfn.XLOOKUP($B26,INPUT_DATA!$CQ:$CQ,INPUT_DATA!CW:CW))</f>
        <v>67</v>
      </c>
      <c r="K26" s="255">
        <f>IF($B26=0,"",_xlfn.XLOOKUP($B26,INPUT_DATA!$CQ:$CQ,INPUT_DATA!CX:CX))</f>
        <v>3293113.43</v>
      </c>
      <c r="L26" s="1255">
        <f>IF($B26=0,"",_xlfn.XLOOKUP($B26,INPUT_DATA!$CQ:$CQ,INPUT_DATA!CY:CY))</f>
        <v>24</v>
      </c>
      <c r="M26" s="255">
        <f>IF($B26=0,"",_xlfn.XLOOKUP($B26,INPUT_DATA!$CQ:$CQ,INPUT_DATA!CZ:CZ))</f>
        <v>3890820.76</v>
      </c>
      <c r="N26" s="1255">
        <f>IF($B26=0,"",_xlfn.XLOOKUP($B26,INPUT_DATA!$CQ:$CQ,INPUT_DATA!DA:DA))</f>
        <v>15</v>
      </c>
      <c r="O26" s="255">
        <f>IF($B26=0,"",_xlfn.XLOOKUP($B26,INPUT_DATA!$CQ:$CQ,INPUT_DATA!DB:DB))</f>
        <v>1109888.26</v>
      </c>
      <c r="P26" s="1255">
        <f>IF($B26=0,"",_xlfn.XLOOKUP($B26,INPUT_DATA!$CQ:$CQ,INPUT_DATA!DC:DC))</f>
        <v>9</v>
      </c>
      <c r="Q26" s="255">
        <f>IF($B26=0,"",_xlfn.XLOOKUP($B26,INPUT_DATA!$CQ:$CQ,INPUT_DATA!DD:DD))</f>
        <v>0</v>
      </c>
      <c r="R26" s="1255">
        <f>IF($B26=0,"",_xlfn.XLOOKUP($B26,INPUT_DATA!$CQ:$CQ,INPUT_DATA!DE:DE))</f>
        <v>0</v>
      </c>
      <c r="S26" s="255">
        <f>IF($B26=0,"",_xlfn.XLOOKUP($B26,INPUT_DATA!$CQ:$CQ,INPUT_DATA!DF:DF))</f>
        <v>134348.59</v>
      </c>
      <c r="T26" s="1255">
        <f>IF($B26=0,"",_xlfn.XLOOKUP($B26,INPUT_DATA!$CQ:$CQ,INPUT_DATA!DG:DG))</f>
        <v>1</v>
      </c>
      <c r="U26" s="255">
        <f>IF($B26=0,"",_xlfn.XLOOKUP($B26,INPUT_DATA!$CQ:$CQ,INPUT_DATA!DH:DH))</f>
        <v>72523.520000000004</v>
      </c>
      <c r="V26" s="1255">
        <f>IF($B26=0,"",_xlfn.XLOOKUP($B26,INPUT_DATA!$CQ:$CQ,INPUT_DATA!DI:DI))</f>
        <v>1</v>
      </c>
      <c r="W26" s="255">
        <f>IF($B26=0,"",_xlfn.XLOOKUP($B26,INPUT_DATA!$CQ:$CQ,INPUT_DATA!DJ:DJ))</f>
        <v>0</v>
      </c>
      <c r="X26" s="1255">
        <f>IF($B26=0,"",_xlfn.XLOOKUP($B26,INPUT_DATA!$CQ:$CQ,INPUT_DATA!DK:DK))</f>
        <v>0</v>
      </c>
      <c r="Y26" s="255">
        <f>IF($B26=0,"",_xlfn.XLOOKUP($B26,INPUT_DATA!$CQ:$CQ,INPUT_DATA!DL:DL))</f>
        <v>0</v>
      </c>
      <c r="Z26" s="1255">
        <f>IF($B26=0,"",_xlfn.XLOOKUP($B26,INPUT_DATA!$CQ:$CQ,INPUT_DATA!DM:DM))</f>
        <v>0</v>
      </c>
      <c r="AA26" s="255">
        <f>IF($B26=0,"",_xlfn.XLOOKUP($B26,INPUT_DATA!$CQ:$CQ,INPUT_DATA!DN:DN))</f>
        <v>0</v>
      </c>
      <c r="AB26" s="1255">
        <f>IF($B26=0,"",_xlfn.XLOOKUP($B26,INPUT_DATA!$CQ:$CQ,INPUT_DATA!DO:DO))</f>
        <v>0</v>
      </c>
      <c r="AC26" s="255">
        <f>IF($B26=0,"",_xlfn.XLOOKUP($B26,INPUT_DATA!$CQ:$CQ,INPUT_DATA!DP:DP))</f>
        <v>0</v>
      </c>
      <c r="AD26" s="1255">
        <f>IF($B26=0,"",_xlfn.XLOOKUP($B26,INPUT_DATA!$CQ:$CQ,INPUT_DATA!DQ:DQ))</f>
        <v>0</v>
      </c>
    </row>
    <row r="27" spans="2:30">
      <c r="B27" s="1202">
        <f>'02 - Monthly Asset Follow up'!B31</f>
        <v>45777</v>
      </c>
      <c r="C27" s="255">
        <f t="shared" si="0"/>
        <v>7700874478.6100006</v>
      </c>
      <c r="D27" s="1255">
        <f t="shared" si="1"/>
        <v>55473</v>
      </c>
      <c r="E27" s="255">
        <f>IF($B27=0,"",_xlfn.XLOOKUP($B27,INPUT_DATA!$CQ:$CQ,INPUT_DATA!CR:CR))</f>
        <v>7661667205.3900003</v>
      </c>
      <c r="F27" s="1255">
        <f>IF($B27=0,"",_xlfn.XLOOKUP($B27,INPUT_DATA!$CQ:$CQ,INPUT_DATA!CS:CS))</f>
        <v>55229</v>
      </c>
      <c r="G27" s="255">
        <f>IF($B27=0,"",_xlfn.XLOOKUP($B27,INPUT_DATA!$CQ:$CQ,INPUT_DATA!CT:CT))</f>
        <v>26057469.039999999</v>
      </c>
      <c r="H27" s="1255">
        <f>IF($B27=0,"",_xlfn.XLOOKUP($B27,INPUT_DATA!$CQ:$CQ,INPUT_DATA!CU:CU))</f>
        <v>151</v>
      </c>
      <c r="I27" s="255">
        <f>IF($B27=0,"",_xlfn.XLOOKUP($B27,INPUT_DATA!$CQ:$CQ,INPUT_DATA!CV:CV))</f>
        <v>6202320.4100000001</v>
      </c>
      <c r="J27" s="1255">
        <f>IF($B27=0,"",_xlfn.XLOOKUP($B27,INPUT_DATA!$CQ:$CQ,INPUT_DATA!CW:CW))</f>
        <v>49</v>
      </c>
      <c r="K27" s="255">
        <f>IF($B27=0,"",_xlfn.XLOOKUP($B27,INPUT_DATA!$CQ:$CQ,INPUT_DATA!CX:CX))</f>
        <v>4750524.0199999996</v>
      </c>
      <c r="L27" s="1255">
        <f>IF($B27=0,"",_xlfn.XLOOKUP($B27,INPUT_DATA!$CQ:$CQ,INPUT_DATA!CY:CY))</f>
        <v>24</v>
      </c>
      <c r="M27" s="255">
        <f>IF($B27=0,"",_xlfn.XLOOKUP($B27,INPUT_DATA!$CQ:$CQ,INPUT_DATA!CZ:CZ))</f>
        <v>1645759.45</v>
      </c>
      <c r="N27" s="1255">
        <f>IF($B27=0,"",_xlfn.XLOOKUP($B27,INPUT_DATA!$CQ:$CQ,INPUT_DATA!DA:DA))</f>
        <v>13</v>
      </c>
      <c r="O27" s="255">
        <f>IF($B27=0,"",_xlfn.XLOOKUP($B27,INPUT_DATA!$CQ:$CQ,INPUT_DATA!DB:DB))</f>
        <v>322362.76</v>
      </c>
      <c r="P27" s="1255">
        <f>IF($B27=0,"",_xlfn.XLOOKUP($B27,INPUT_DATA!$CQ:$CQ,INPUT_DATA!DC:DC))</f>
        <v>4</v>
      </c>
      <c r="Q27" s="255">
        <f>IF($B27=0,"",_xlfn.XLOOKUP($B27,INPUT_DATA!$CQ:$CQ,INPUT_DATA!DD:DD))</f>
        <v>134909.45000000001</v>
      </c>
      <c r="R27" s="1255">
        <f>IF($B27=0,"",_xlfn.XLOOKUP($B27,INPUT_DATA!$CQ:$CQ,INPUT_DATA!DE:DE))</f>
        <v>1</v>
      </c>
      <c r="S27" s="255">
        <f>IF($B27=0,"",_xlfn.XLOOKUP($B27,INPUT_DATA!$CQ:$CQ,INPUT_DATA!DF:DF))</f>
        <v>93928.09</v>
      </c>
      <c r="T27" s="1255">
        <f>IF($B27=0,"",_xlfn.XLOOKUP($B27,INPUT_DATA!$CQ:$CQ,INPUT_DATA!DG:DG))</f>
        <v>2</v>
      </c>
      <c r="U27" s="255">
        <f>IF($B27=0,"",_xlfn.XLOOKUP($B27,INPUT_DATA!$CQ:$CQ,INPUT_DATA!DH:DH))</f>
        <v>0</v>
      </c>
      <c r="V27" s="1255">
        <f>IF($B27=0,"",_xlfn.XLOOKUP($B27,INPUT_DATA!$CQ:$CQ,INPUT_DATA!DI:DI))</f>
        <v>0</v>
      </c>
      <c r="W27" s="255">
        <f>IF($B27=0,"",_xlfn.XLOOKUP($B27,INPUT_DATA!$CQ:$CQ,INPUT_DATA!DJ:DJ))</f>
        <v>0</v>
      </c>
      <c r="X27" s="1255">
        <f>IF($B27=0,"",_xlfn.XLOOKUP($B27,INPUT_DATA!$CQ:$CQ,INPUT_DATA!DK:DK))</f>
        <v>0</v>
      </c>
      <c r="Y27" s="255">
        <f>IF($B27=0,"",_xlfn.XLOOKUP($B27,INPUT_DATA!$CQ:$CQ,INPUT_DATA!DL:DL))</f>
        <v>0</v>
      </c>
      <c r="Z27" s="1255">
        <f>IF($B27=0,"",_xlfn.XLOOKUP($B27,INPUT_DATA!$CQ:$CQ,INPUT_DATA!DM:DM))</f>
        <v>0</v>
      </c>
      <c r="AA27" s="255">
        <f>IF($B27=0,"",_xlfn.XLOOKUP($B27,INPUT_DATA!$CQ:$CQ,INPUT_DATA!DN:DN))</f>
        <v>0</v>
      </c>
      <c r="AB27" s="1255">
        <f>IF($B27=0,"",_xlfn.XLOOKUP($B27,INPUT_DATA!$CQ:$CQ,INPUT_DATA!DO:DO))</f>
        <v>0</v>
      </c>
      <c r="AC27" s="255">
        <f>IF($B27=0,"",_xlfn.XLOOKUP($B27,INPUT_DATA!$CQ:$CQ,INPUT_DATA!DP:DP))</f>
        <v>0</v>
      </c>
      <c r="AD27" s="1255">
        <f>IF($B27=0,"",_xlfn.XLOOKUP($B27,INPUT_DATA!$CQ:$CQ,INPUT_DATA!DQ:DQ))</f>
        <v>0</v>
      </c>
    </row>
    <row r="28" spans="2:30">
      <c r="B28" s="1202">
        <f>'02 - Monthly Asset Follow up'!B32</f>
        <v>45747</v>
      </c>
      <c r="C28" s="255">
        <f t="shared" si="0"/>
        <v>7762584280.3299999</v>
      </c>
      <c r="D28" s="1255">
        <f t="shared" si="1"/>
        <v>55647</v>
      </c>
      <c r="E28" s="255">
        <f>IF($B28=0,"",_xlfn.XLOOKUP($B28,INPUT_DATA!$CQ:$CQ,INPUT_DATA!CR:CR))</f>
        <v>7746846469.2600002</v>
      </c>
      <c r="F28" s="1255">
        <f>IF($B28=0,"",_xlfn.XLOOKUP($B28,INPUT_DATA!$CQ:$CQ,INPUT_DATA!CS:CS))</f>
        <v>55539</v>
      </c>
      <c r="G28" s="255">
        <f>IF($B28=0,"",_xlfn.XLOOKUP($B28,INPUT_DATA!$CQ:$CQ,INPUT_DATA!CT:CT))</f>
        <v>3235865.67</v>
      </c>
      <c r="H28" s="1255">
        <f>IF($B28=0,"",_xlfn.XLOOKUP($B28,INPUT_DATA!$CQ:$CQ,INPUT_DATA!CU:CU))</f>
        <v>28</v>
      </c>
      <c r="I28" s="255">
        <f>IF($B28=0,"",_xlfn.XLOOKUP($B28,INPUT_DATA!$CQ:$CQ,INPUT_DATA!CV:CV))</f>
        <v>7173558.7999999998</v>
      </c>
      <c r="J28" s="1255">
        <f>IF($B28=0,"",_xlfn.XLOOKUP($B28,INPUT_DATA!$CQ:$CQ,INPUT_DATA!CW:CW))</f>
        <v>40</v>
      </c>
      <c r="K28" s="255">
        <f>IF($B28=0,"",_xlfn.XLOOKUP($B28,INPUT_DATA!$CQ:$CQ,INPUT_DATA!CX:CX))</f>
        <v>2613714.33</v>
      </c>
      <c r="L28" s="1255">
        <f>IF($B28=0,"",_xlfn.XLOOKUP($B28,INPUT_DATA!$CQ:$CQ,INPUT_DATA!CY:CY))</f>
        <v>20</v>
      </c>
      <c r="M28" s="255">
        <f>IF($B28=0,"",_xlfn.XLOOKUP($B28,INPUT_DATA!$CQ:$CQ,INPUT_DATA!CZ:CZ))</f>
        <v>1665753.94</v>
      </c>
      <c r="N28" s="1255">
        <f>IF($B28=0,"",_xlfn.XLOOKUP($B28,INPUT_DATA!$CQ:$CQ,INPUT_DATA!DA:DA))</f>
        <v>11</v>
      </c>
      <c r="O28" s="255">
        <f>IF($B28=0,"",_xlfn.XLOOKUP($B28,INPUT_DATA!$CQ:$CQ,INPUT_DATA!DB:DB))</f>
        <v>954168.5</v>
      </c>
      <c r="P28" s="1255">
        <f>IF($B28=0,"",_xlfn.XLOOKUP($B28,INPUT_DATA!$CQ:$CQ,INPUT_DATA!DC:DC))</f>
        <v>7</v>
      </c>
      <c r="Q28" s="255">
        <f>IF($B28=0,"",_xlfn.XLOOKUP($B28,INPUT_DATA!$CQ:$CQ,INPUT_DATA!DD:DD))</f>
        <v>94749.83</v>
      </c>
      <c r="R28" s="1255">
        <f>IF($B28=0,"",_xlfn.XLOOKUP($B28,INPUT_DATA!$CQ:$CQ,INPUT_DATA!DE:DE))</f>
        <v>2</v>
      </c>
      <c r="S28" s="255">
        <f>IF($B28=0,"",_xlfn.XLOOKUP($B28,INPUT_DATA!$CQ:$CQ,INPUT_DATA!DF:DF))</f>
        <v>0</v>
      </c>
      <c r="T28" s="1255">
        <f>IF($B28=0,"",_xlfn.XLOOKUP($B28,INPUT_DATA!$CQ:$CQ,INPUT_DATA!DG:DG))</f>
        <v>0</v>
      </c>
      <c r="U28" s="255">
        <f>IF($B28=0,"",_xlfn.XLOOKUP($B28,INPUT_DATA!$CQ:$CQ,INPUT_DATA!DH:DH))</f>
        <v>0</v>
      </c>
      <c r="V28" s="1255">
        <f>IF($B28=0,"",_xlfn.XLOOKUP($B28,INPUT_DATA!$CQ:$CQ,INPUT_DATA!DI:DI))</f>
        <v>0</v>
      </c>
      <c r="W28" s="255">
        <f>IF($B28=0,"",_xlfn.XLOOKUP($B28,INPUT_DATA!$CQ:$CQ,INPUT_DATA!DJ:DJ))</f>
        <v>0</v>
      </c>
      <c r="X28" s="1255">
        <f>IF($B28=0,"",_xlfn.XLOOKUP($B28,INPUT_DATA!$CQ:$CQ,INPUT_DATA!DK:DK))</f>
        <v>0</v>
      </c>
      <c r="Y28" s="255">
        <f>IF($B28=0,"",_xlfn.XLOOKUP($B28,INPUT_DATA!$CQ:$CQ,INPUT_DATA!DL:DL))</f>
        <v>0</v>
      </c>
      <c r="Z28" s="1255">
        <f>IF($B28=0,"",_xlfn.XLOOKUP($B28,INPUT_DATA!$CQ:$CQ,INPUT_DATA!DM:DM))</f>
        <v>0</v>
      </c>
      <c r="AA28" s="255">
        <f>IF($B28=0,"",_xlfn.XLOOKUP($B28,INPUT_DATA!$CQ:$CQ,INPUT_DATA!DN:DN))</f>
        <v>0</v>
      </c>
      <c r="AB28" s="1255">
        <f>IF($B28=0,"",_xlfn.XLOOKUP($B28,INPUT_DATA!$CQ:$CQ,INPUT_DATA!DO:DO))</f>
        <v>0</v>
      </c>
      <c r="AC28" s="255">
        <f>IF($B28=0,"",_xlfn.XLOOKUP($B28,INPUT_DATA!$CQ:$CQ,INPUT_DATA!DP:DP))</f>
        <v>0</v>
      </c>
      <c r="AD28" s="1255">
        <f>IF($B28=0,"",_xlfn.XLOOKUP($B28,INPUT_DATA!$CQ:$CQ,INPUT_DATA!DQ:DQ))</f>
        <v>0</v>
      </c>
    </row>
    <row r="29" spans="2:30">
      <c r="B29" s="1202">
        <f>'02 - Monthly Asset Follow up'!B33</f>
        <v>45716</v>
      </c>
      <c r="C29" s="255">
        <f t="shared" ref="C29:C72" si="2">IF($B29=0,"",SUM(E29,G29,I29,K29,M29,O29,Q29,S29,U29,W29,Y29,AA29,AC29))</f>
        <v>7821840687.46</v>
      </c>
      <c r="D29" s="1255">
        <f t="shared" si="1"/>
        <v>55811</v>
      </c>
      <c r="E29" s="255">
        <f>IF($B29=0,"",_xlfn.XLOOKUP($B29,INPUT_DATA!$CQ:$CQ,INPUT_DATA!CR:CR))</f>
        <v>7790721274.6099997</v>
      </c>
      <c r="F29" s="1255">
        <f>IF($B29=0,"",_xlfn.XLOOKUP($B29,INPUT_DATA!$CQ:$CQ,INPUT_DATA!CS:CS))</f>
        <v>55610</v>
      </c>
      <c r="G29" s="255">
        <f>IF($B29=0,"",_xlfn.XLOOKUP($B29,INPUT_DATA!$CQ:$CQ,INPUT_DATA!CT:CT))</f>
        <v>17680350.039999999</v>
      </c>
      <c r="H29" s="1255">
        <f>IF($B29=0,"",_xlfn.XLOOKUP($B29,INPUT_DATA!$CQ:$CQ,INPUT_DATA!CU:CU))</f>
        <v>118</v>
      </c>
      <c r="I29" s="255">
        <f>IF($B29=0,"",_xlfn.XLOOKUP($B29,INPUT_DATA!$CQ:$CQ,INPUT_DATA!CV:CV))</f>
        <v>9154659.6799999997</v>
      </c>
      <c r="J29" s="1255">
        <f>IF($B29=0,"",_xlfn.XLOOKUP($B29,INPUT_DATA!$CQ:$CQ,INPUT_DATA!CW:CW))</f>
        <v>50</v>
      </c>
      <c r="K29" s="255">
        <f>IF($B29=0,"",_xlfn.XLOOKUP($B29,INPUT_DATA!$CQ:$CQ,INPUT_DATA!CX:CX))</f>
        <v>2833646.73</v>
      </c>
      <c r="L29" s="1255">
        <f>IF($B29=0,"",_xlfn.XLOOKUP($B29,INPUT_DATA!$CQ:$CQ,INPUT_DATA!CY:CY))</f>
        <v>19</v>
      </c>
      <c r="M29" s="255">
        <f>IF($B29=0,"",_xlfn.XLOOKUP($B29,INPUT_DATA!$CQ:$CQ,INPUT_DATA!CZ:CZ))</f>
        <v>1167432.8400000001</v>
      </c>
      <c r="N29" s="1255">
        <f>IF($B29=0,"",_xlfn.XLOOKUP($B29,INPUT_DATA!$CQ:$CQ,INPUT_DATA!DA:DA))</f>
        <v>10</v>
      </c>
      <c r="O29" s="255">
        <f>IF($B29=0,"",_xlfn.XLOOKUP($B29,INPUT_DATA!$CQ:$CQ,INPUT_DATA!DB:DB))</f>
        <v>283323.56</v>
      </c>
      <c r="P29" s="1255">
        <f>IF($B29=0,"",_xlfn.XLOOKUP($B29,INPUT_DATA!$CQ:$CQ,INPUT_DATA!DC:DC))</f>
        <v>4</v>
      </c>
      <c r="Q29" s="255">
        <f>IF($B29=0,"",_xlfn.XLOOKUP($B29,INPUT_DATA!$CQ:$CQ,INPUT_DATA!DD:DD))</f>
        <v>0</v>
      </c>
      <c r="R29" s="1255">
        <f>IF($B29=0,"",_xlfn.XLOOKUP($B29,INPUT_DATA!$CQ:$CQ,INPUT_DATA!DE:DE))</f>
        <v>0</v>
      </c>
      <c r="S29" s="255">
        <f>IF($B29=0,"",_xlfn.XLOOKUP($B29,INPUT_DATA!$CQ:$CQ,INPUT_DATA!DF:DF))</f>
        <v>0</v>
      </c>
      <c r="T29" s="1255">
        <f>IF($B29=0,"",_xlfn.XLOOKUP($B29,INPUT_DATA!$CQ:$CQ,INPUT_DATA!DG:DG))</f>
        <v>0</v>
      </c>
      <c r="U29" s="255">
        <f>IF($B29=0,"",_xlfn.XLOOKUP($B29,INPUT_DATA!$CQ:$CQ,INPUT_DATA!DH:DH))</f>
        <v>0</v>
      </c>
      <c r="V29" s="1255">
        <f>IF($B29=0,"",_xlfn.XLOOKUP($B29,INPUT_DATA!$CQ:$CQ,INPUT_DATA!DI:DI))</f>
        <v>0</v>
      </c>
      <c r="W29" s="255">
        <f>IF($B29=0,"",_xlfn.XLOOKUP($B29,INPUT_DATA!$CQ:$CQ,INPUT_DATA!DJ:DJ))</f>
        <v>0</v>
      </c>
      <c r="X29" s="1255">
        <f>IF($B29=0,"",_xlfn.XLOOKUP($B29,INPUT_DATA!$CQ:$CQ,INPUT_DATA!DK:DK))</f>
        <v>0</v>
      </c>
      <c r="Y29" s="255">
        <f>IF($B29=0,"",_xlfn.XLOOKUP($B29,INPUT_DATA!$CQ:$CQ,INPUT_DATA!DL:DL))</f>
        <v>0</v>
      </c>
      <c r="Z29" s="1255">
        <f>IF($B29=0,"",_xlfn.XLOOKUP($B29,INPUT_DATA!$CQ:$CQ,INPUT_DATA!DM:DM))</f>
        <v>0</v>
      </c>
      <c r="AA29" s="255">
        <f>IF($B29=0,"",_xlfn.XLOOKUP($B29,INPUT_DATA!$CQ:$CQ,INPUT_DATA!DN:DN))</f>
        <v>0</v>
      </c>
      <c r="AB29" s="1255">
        <f>IF($B29=0,"",_xlfn.XLOOKUP($B29,INPUT_DATA!$CQ:$CQ,INPUT_DATA!DO:DO))</f>
        <v>0</v>
      </c>
      <c r="AC29" s="255">
        <f>IF($B29=0,"",_xlfn.XLOOKUP($B29,INPUT_DATA!$CQ:$CQ,INPUT_DATA!DP:DP))</f>
        <v>0</v>
      </c>
      <c r="AD29" s="1255">
        <f>IF($B29=0,"",_xlfn.XLOOKUP($B29,INPUT_DATA!$CQ:$CQ,INPUT_DATA!DQ:DQ))</f>
        <v>0</v>
      </c>
    </row>
    <row r="30" spans="2:30">
      <c r="B30" s="1202">
        <f>'02 - Monthly Asset Follow up'!B34</f>
        <v>45688</v>
      </c>
      <c r="C30" s="255">
        <f t="shared" si="2"/>
        <v>7882097726.960001</v>
      </c>
      <c r="D30" s="1255">
        <f t="shared" si="1"/>
        <v>55980</v>
      </c>
      <c r="E30" s="255">
        <f>IF($B30=0,"",_xlfn.XLOOKUP($B30,INPUT_DATA!$CQ:$CQ,INPUT_DATA!CR:CR))</f>
        <v>7851886174.6700001</v>
      </c>
      <c r="F30" s="1255">
        <f>IF($B30=0,"",_xlfn.XLOOKUP($B30,INPUT_DATA!$CQ:$CQ,INPUT_DATA!CS:CS))</f>
        <v>55789</v>
      </c>
      <c r="G30" s="255">
        <f>IF($B30=0,"",_xlfn.XLOOKUP($B30,INPUT_DATA!$CQ:$CQ,INPUT_DATA!CT:CT))</f>
        <v>19070387.640000001</v>
      </c>
      <c r="H30" s="1255">
        <f>IF($B30=0,"",_xlfn.XLOOKUP($B30,INPUT_DATA!$CQ:$CQ,INPUT_DATA!CU:CU))</f>
        <v>114</v>
      </c>
      <c r="I30" s="255">
        <f>IF($B30=0,"",_xlfn.XLOOKUP($B30,INPUT_DATA!$CQ:$CQ,INPUT_DATA!CV:CV))</f>
        <v>7512666.54</v>
      </c>
      <c r="J30" s="1255">
        <f>IF($B30=0,"",_xlfn.XLOOKUP($B30,INPUT_DATA!$CQ:$CQ,INPUT_DATA!CW:CW))</f>
        <v>47</v>
      </c>
      <c r="K30" s="255">
        <f>IF($B30=0,"",_xlfn.XLOOKUP($B30,INPUT_DATA!$CQ:$CQ,INPUT_DATA!CX:CX))</f>
        <v>2234762.4300000002</v>
      </c>
      <c r="L30" s="1255">
        <f>IF($B30=0,"",_xlfn.XLOOKUP($B30,INPUT_DATA!$CQ:$CQ,INPUT_DATA!CY:CY))</f>
        <v>22</v>
      </c>
      <c r="M30" s="255">
        <f>IF($B30=0,"",_xlfn.XLOOKUP($B30,INPUT_DATA!$CQ:$CQ,INPUT_DATA!CZ:CZ))</f>
        <v>1393735.6799999999</v>
      </c>
      <c r="N30" s="1255">
        <f>IF($B30=0,"",_xlfn.XLOOKUP($B30,INPUT_DATA!$CQ:$CQ,INPUT_DATA!DA:DA))</f>
        <v>8</v>
      </c>
      <c r="O30" s="255">
        <f>IF($B30=0,"",_xlfn.XLOOKUP($B30,INPUT_DATA!$CQ:$CQ,INPUT_DATA!DB:DB))</f>
        <v>0</v>
      </c>
      <c r="P30" s="1255">
        <f>IF($B30=0,"",_xlfn.XLOOKUP($B30,INPUT_DATA!$CQ:$CQ,INPUT_DATA!DC:DC))</f>
        <v>0</v>
      </c>
      <c r="Q30" s="255">
        <f>IF($B30=0,"",_xlfn.XLOOKUP($B30,INPUT_DATA!$CQ:$CQ,INPUT_DATA!DD:DD))</f>
        <v>0</v>
      </c>
      <c r="R30" s="1255">
        <f>IF($B30=0,"",_xlfn.XLOOKUP($B30,INPUT_DATA!$CQ:$CQ,INPUT_DATA!DE:DE))</f>
        <v>0</v>
      </c>
      <c r="S30" s="255">
        <f>IF($B30=0,"",_xlfn.XLOOKUP($B30,INPUT_DATA!$CQ:$CQ,INPUT_DATA!DF:DF))</f>
        <v>0</v>
      </c>
      <c r="T30" s="1255">
        <f>IF($B30=0,"",_xlfn.XLOOKUP($B30,INPUT_DATA!$CQ:$CQ,INPUT_DATA!DG:DG))</f>
        <v>0</v>
      </c>
      <c r="U30" s="255">
        <f>IF($B30=0,"",_xlfn.XLOOKUP($B30,INPUT_DATA!$CQ:$CQ,INPUT_DATA!DH:DH))</f>
        <v>0</v>
      </c>
      <c r="V30" s="1255">
        <f>IF($B30=0,"",_xlfn.XLOOKUP($B30,INPUT_DATA!$CQ:$CQ,INPUT_DATA!DI:DI))</f>
        <v>0</v>
      </c>
      <c r="W30" s="255">
        <f>IF($B30=0,"",_xlfn.XLOOKUP($B30,INPUT_DATA!$CQ:$CQ,INPUT_DATA!DJ:DJ))</f>
        <v>0</v>
      </c>
      <c r="X30" s="1255">
        <f>IF($B30=0,"",_xlfn.XLOOKUP($B30,INPUT_DATA!$CQ:$CQ,INPUT_DATA!DK:DK))</f>
        <v>0</v>
      </c>
      <c r="Y30" s="255">
        <f>IF($B30=0,"",_xlfn.XLOOKUP($B30,INPUT_DATA!$CQ:$CQ,INPUT_DATA!DL:DL))</f>
        <v>0</v>
      </c>
      <c r="Z30" s="1255">
        <f>IF($B30=0,"",_xlfn.XLOOKUP($B30,INPUT_DATA!$CQ:$CQ,INPUT_DATA!DM:DM))</f>
        <v>0</v>
      </c>
      <c r="AA30" s="255">
        <f>IF($B30=0,"",_xlfn.XLOOKUP($B30,INPUT_DATA!$CQ:$CQ,INPUT_DATA!DN:DN))</f>
        <v>0</v>
      </c>
      <c r="AB30" s="1255">
        <f>IF($B30=0,"",_xlfn.XLOOKUP($B30,INPUT_DATA!$CQ:$CQ,INPUT_DATA!DO:DO))</f>
        <v>0</v>
      </c>
      <c r="AC30" s="255">
        <f>IF($B30=0,"",_xlfn.XLOOKUP($B30,INPUT_DATA!$CQ:$CQ,INPUT_DATA!DP:DP))</f>
        <v>0</v>
      </c>
      <c r="AD30" s="1255">
        <f>IF($B30=0,"",_xlfn.XLOOKUP($B30,INPUT_DATA!$CQ:$CQ,INPUT_DATA!DQ:DQ))</f>
        <v>0</v>
      </c>
    </row>
    <row r="31" spans="2:30">
      <c r="B31" s="1202">
        <f>'02 - Monthly Asset Follow up'!B35</f>
        <v>45657</v>
      </c>
      <c r="C31" s="255">
        <f t="shared" si="2"/>
        <v>7942231678.2000008</v>
      </c>
      <c r="D31" s="1255">
        <f t="shared" si="1"/>
        <v>56150</v>
      </c>
      <c r="E31" s="255">
        <f>IF($B31=0,"",_xlfn.XLOOKUP($B31,INPUT_DATA!$CQ:$CQ,INPUT_DATA!CR:CR))</f>
        <v>7913177373.5100002</v>
      </c>
      <c r="F31" s="1255">
        <f>IF($B31=0,"",_xlfn.XLOOKUP($B31,INPUT_DATA!$CQ:$CQ,INPUT_DATA!CS:CS))</f>
        <v>55965</v>
      </c>
      <c r="G31" s="255">
        <f>IF($B31=0,"",_xlfn.XLOOKUP($B31,INPUT_DATA!$CQ:$CQ,INPUT_DATA!CT:CT))</f>
        <v>20261511.460000001</v>
      </c>
      <c r="H31" s="1255">
        <f>IF($B31=0,"",_xlfn.XLOOKUP($B31,INPUT_DATA!$CQ:$CQ,INPUT_DATA!CU:CU))</f>
        <v>126</v>
      </c>
      <c r="I31" s="255">
        <f>IF($B31=0,"",_xlfn.XLOOKUP($B31,INPUT_DATA!$CQ:$CQ,INPUT_DATA!CV:CV))</f>
        <v>6209398.6799999997</v>
      </c>
      <c r="J31" s="1255">
        <f>IF($B31=0,"",_xlfn.XLOOKUP($B31,INPUT_DATA!$CQ:$CQ,INPUT_DATA!CW:CW))</f>
        <v>39</v>
      </c>
      <c r="K31" s="255">
        <f>IF($B31=0,"",_xlfn.XLOOKUP($B31,INPUT_DATA!$CQ:$CQ,INPUT_DATA!CX:CX))</f>
        <v>2583394.5499999998</v>
      </c>
      <c r="L31" s="1255">
        <f>IF($B31=0,"",_xlfn.XLOOKUP($B31,INPUT_DATA!$CQ:$CQ,INPUT_DATA!CY:CY))</f>
        <v>20</v>
      </c>
      <c r="M31" s="255">
        <f>IF($B31=0,"",_xlfn.XLOOKUP($B31,INPUT_DATA!$CQ:$CQ,INPUT_DATA!CZ:CZ))</f>
        <v>0</v>
      </c>
      <c r="N31" s="1255">
        <f>IF($B31=0,"",_xlfn.XLOOKUP($B31,INPUT_DATA!$CQ:$CQ,INPUT_DATA!DA:DA))</f>
        <v>0</v>
      </c>
      <c r="O31" s="255">
        <f>IF($B31=0,"",_xlfn.XLOOKUP($B31,INPUT_DATA!$CQ:$CQ,INPUT_DATA!DB:DB))</f>
        <v>0</v>
      </c>
      <c r="P31" s="1255">
        <f>IF($B31=0,"",_xlfn.XLOOKUP($B31,INPUT_DATA!$CQ:$CQ,INPUT_DATA!DC:DC))</f>
        <v>0</v>
      </c>
      <c r="Q31" s="255">
        <f>IF($B31=0,"",_xlfn.XLOOKUP($B31,INPUT_DATA!$CQ:$CQ,INPUT_DATA!DD:DD))</f>
        <v>0</v>
      </c>
      <c r="R31" s="1255">
        <f>IF($B31=0,"",_xlfn.XLOOKUP($B31,INPUT_DATA!$CQ:$CQ,INPUT_DATA!DE:DE))</f>
        <v>0</v>
      </c>
      <c r="S31" s="255">
        <f>IF($B31=0,"",_xlfn.XLOOKUP($B31,INPUT_DATA!$CQ:$CQ,INPUT_DATA!DF:DF))</f>
        <v>0</v>
      </c>
      <c r="T31" s="1255">
        <f>IF($B31=0,"",_xlfn.XLOOKUP($B31,INPUT_DATA!$CQ:$CQ,INPUT_DATA!DG:DG))</f>
        <v>0</v>
      </c>
      <c r="U31" s="255">
        <f>IF($B31=0,"",_xlfn.XLOOKUP($B31,INPUT_DATA!$CQ:$CQ,INPUT_DATA!DH:DH))</f>
        <v>0</v>
      </c>
      <c r="V31" s="1255">
        <f>IF($B31=0,"",_xlfn.XLOOKUP($B31,INPUT_DATA!$CQ:$CQ,INPUT_DATA!DI:DI))</f>
        <v>0</v>
      </c>
      <c r="W31" s="255">
        <f>IF($B31=0,"",_xlfn.XLOOKUP($B31,INPUT_DATA!$CQ:$CQ,INPUT_DATA!DJ:DJ))</f>
        <v>0</v>
      </c>
      <c r="X31" s="1255">
        <f>IF($B31=0,"",_xlfn.XLOOKUP($B31,INPUT_DATA!$CQ:$CQ,INPUT_DATA!DK:DK))</f>
        <v>0</v>
      </c>
      <c r="Y31" s="255">
        <f>IF($B31=0,"",_xlfn.XLOOKUP($B31,INPUT_DATA!$CQ:$CQ,INPUT_DATA!DL:DL))</f>
        <v>0</v>
      </c>
      <c r="Z31" s="1255">
        <f>IF($B31=0,"",_xlfn.XLOOKUP($B31,INPUT_DATA!$CQ:$CQ,INPUT_DATA!DM:DM))</f>
        <v>0</v>
      </c>
      <c r="AA31" s="255">
        <f>IF($B31=0,"",_xlfn.XLOOKUP($B31,INPUT_DATA!$CQ:$CQ,INPUT_DATA!DN:DN))</f>
        <v>0</v>
      </c>
      <c r="AB31" s="1255">
        <f>IF($B31=0,"",_xlfn.XLOOKUP($B31,INPUT_DATA!$CQ:$CQ,INPUT_DATA!DO:DO))</f>
        <v>0</v>
      </c>
      <c r="AC31" s="255">
        <f>IF($B31=0,"",_xlfn.XLOOKUP($B31,INPUT_DATA!$CQ:$CQ,INPUT_DATA!DP:DP))</f>
        <v>0</v>
      </c>
      <c r="AD31" s="1255">
        <f>IF($B31=0,"",_xlfn.XLOOKUP($B31,INPUT_DATA!$CQ:$CQ,INPUT_DATA!DQ:DQ))</f>
        <v>0</v>
      </c>
    </row>
    <row r="32" spans="2:30">
      <c r="B32" s="1202">
        <f>'02 - Monthly Asset Follow up'!B36</f>
        <v>45626</v>
      </c>
      <c r="C32" s="255">
        <f t="shared" si="2"/>
        <v>8062678431.4300003</v>
      </c>
      <c r="D32" s="1255">
        <f t="shared" si="1"/>
        <v>56690</v>
      </c>
      <c r="E32" s="255">
        <f>IF($B32=0,"",_xlfn.XLOOKUP($B32,INPUT_DATA!$CQ:$CQ,INPUT_DATA!CR:CR))</f>
        <v>8038993600.0500002</v>
      </c>
      <c r="F32" s="1255">
        <f>IF($B32=0,"",_xlfn.XLOOKUP($B32,INPUT_DATA!$CQ:$CQ,INPUT_DATA!CS:CS))</f>
        <v>56548</v>
      </c>
      <c r="G32" s="255">
        <f>IF($B32=0,"",_xlfn.XLOOKUP($B32,INPUT_DATA!$CQ:$CQ,INPUT_DATA!CT:CT))</f>
        <v>17650355.260000002</v>
      </c>
      <c r="H32" s="1255">
        <f>IF($B32=0,"",_xlfn.XLOOKUP($B32,INPUT_DATA!$CQ:$CQ,INPUT_DATA!CU:CU))</f>
        <v>111</v>
      </c>
      <c r="I32" s="255">
        <f>IF($B32=0,"",_xlfn.XLOOKUP($B32,INPUT_DATA!$CQ:$CQ,INPUT_DATA!CV:CV))</f>
        <v>6034476.1200000001</v>
      </c>
      <c r="J32" s="1255">
        <f>IF($B32=0,"",_xlfn.XLOOKUP($B32,INPUT_DATA!$CQ:$CQ,INPUT_DATA!CW:CW))</f>
        <v>31</v>
      </c>
      <c r="K32" s="255">
        <f>IF($B32=0,"",_xlfn.XLOOKUP($B32,INPUT_DATA!$CQ:$CQ,INPUT_DATA!CX:CX))</f>
        <v>0</v>
      </c>
      <c r="L32" s="1255">
        <f>IF($B32=0,"",_xlfn.XLOOKUP($B32,INPUT_DATA!$CQ:$CQ,INPUT_DATA!CY:CY))</f>
        <v>0</v>
      </c>
      <c r="M32" s="255">
        <f>IF($B32=0,"",_xlfn.XLOOKUP($B32,INPUT_DATA!$CQ:$CQ,INPUT_DATA!CZ:CZ))</f>
        <v>0</v>
      </c>
      <c r="N32" s="1255">
        <f>IF($B32=0,"",_xlfn.XLOOKUP($B32,INPUT_DATA!$CQ:$CQ,INPUT_DATA!DA:DA))</f>
        <v>0</v>
      </c>
      <c r="O32" s="255">
        <f>IF($B32=0,"",_xlfn.XLOOKUP($B32,INPUT_DATA!$CQ:$CQ,INPUT_DATA!DB:DB))</f>
        <v>0</v>
      </c>
      <c r="P32" s="1255">
        <f>IF($B32=0,"",_xlfn.XLOOKUP($B32,INPUT_DATA!$CQ:$CQ,INPUT_DATA!DC:DC))</f>
        <v>0</v>
      </c>
      <c r="Q32" s="255">
        <f>IF($B32=0,"",_xlfn.XLOOKUP($B32,INPUT_DATA!$CQ:$CQ,INPUT_DATA!DD:DD))</f>
        <v>0</v>
      </c>
      <c r="R32" s="1255">
        <f>IF($B32=0,"",_xlfn.XLOOKUP($B32,INPUT_DATA!$CQ:$CQ,INPUT_DATA!DE:DE))</f>
        <v>0</v>
      </c>
      <c r="S32" s="255">
        <f>IF($B32=0,"",_xlfn.XLOOKUP($B32,INPUT_DATA!$CQ:$CQ,INPUT_DATA!DF:DF))</f>
        <v>0</v>
      </c>
      <c r="T32" s="1255">
        <f>IF($B32=0,"",_xlfn.XLOOKUP($B32,INPUT_DATA!$CQ:$CQ,INPUT_DATA!DG:DG))</f>
        <v>0</v>
      </c>
      <c r="U32" s="255">
        <f>IF($B32=0,"",_xlfn.XLOOKUP($B32,INPUT_DATA!$CQ:$CQ,INPUT_DATA!DH:DH))</f>
        <v>0</v>
      </c>
      <c r="V32" s="1255">
        <f>IF($B32=0,"",_xlfn.XLOOKUP($B32,INPUT_DATA!$CQ:$CQ,INPUT_DATA!DI:DI))</f>
        <v>0</v>
      </c>
      <c r="W32" s="255">
        <f>IF($B32=0,"",_xlfn.XLOOKUP($B32,INPUT_DATA!$CQ:$CQ,INPUT_DATA!DJ:DJ))</f>
        <v>0</v>
      </c>
      <c r="X32" s="1255">
        <f>IF($B32=0,"",_xlfn.XLOOKUP($B32,INPUT_DATA!$CQ:$CQ,INPUT_DATA!DK:DK))</f>
        <v>0</v>
      </c>
      <c r="Y32" s="255">
        <f>IF($B32=0,"",_xlfn.XLOOKUP($B32,INPUT_DATA!$CQ:$CQ,INPUT_DATA!DL:DL))</f>
        <v>0</v>
      </c>
      <c r="Z32" s="1255">
        <f>IF($B32=0,"",_xlfn.XLOOKUP($B32,INPUT_DATA!$CQ:$CQ,INPUT_DATA!DM:DM))</f>
        <v>0</v>
      </c>
      <c r="AA32" s="255">
        <f>IF($B32=0,"",_xlfn.XLOOKUP($B32,INPUT_DATA!$CQ:$CQ,INPUT_DATA!DN:DN))</f>
        <v>0</v>
      </c>
      <c r="AB32" s="1255">
        <f>IF($B32=0,"",_xlfn.XLOOKUP($B32,INPUT_DATA!$CQ:$CQ,INPUT_DATA!DO:DO))</f>
        <v>0</v>
      </c>
      <c r="AC32" s="255">
        <f>IF($B32=0,"",_xlfn.XLOOKUP($B32,INPUT_DATA!$CQ:$CQ,INPUT_DATA!DP:DP))</f>
        <v>0</v>
      </c>
      <c r="AD32" s="1255">
        <f>IF($B32=0,"",_xlfn.XLOOKUP($B32,INPUT_DATA!$CQ:$CQ,INPUT_DATA!DQ:DQ))</f>
        <v>0</v>
      </c>
    </row>
    <row r="33" spans="2:30">
      <c r="B33" s="1202">
        <f>'02 - Monthly Asset Follow up'!B37</f>
        <v>45596</v>
      </c>
      <c r="C33" s="255">
        <f t="shared" si="2"/>
        <v>8120798931.6599998</v>
      </c>
      <c r="D33" s="1255">
        <f t="shared" si="1"/>
        <v>56839</v>
      </c>
      <c r="E33" s="255">
        <f>IF($B33=0,"",_xlfn.XLOOKUP($B33,INPUT_DATA!$CQ:$CQ,INPUT_DATA!CR:CR))</f>
        <v>8120798931.6599998</v>
      </c>
      <c r="F33" s="1255">
        <f>IF($B33=0,"",_xlfn.XLOOKUP($B33,INPUT_DATA!$CQ:$CQ,INPUT_DATA!CS:CS))</f>
        <v>56839</v>
      </c>
      <c r="G33" s="255">
        <f>IF($B33=0,"",_xlfn.XLOOKUP($B33,INPUT_DATA!$CQ:$CQ,INPUT_DATA!CT:CT))</f>
        <v>0</v>
      </c>
      <c r="H33" s="1255">
        <f>IF($B33=0,"",_xlfn.XLOOKUP($B33,INPUT_DATA!$CQ:$CQ,INPUT_DATA!CU:CU))</f>
        <v>0</v>
      </c>
      <c r="I33" s="255">
        <f>IF($B33=0,"",_xlfn.XLOOKUP($B33,INPUT_DATA!$CQ:$CQ,INPUT_DATA!CV:CV))</f>
        <v>0</v>
      </c>
      <c r="J33" s="1255">
        <f>IF($B33=0,"",_xlfn.XLOOKUP($B33,INPUT_DATA!$CQ:$CQ,INPUT_DATA!CW:CW))</f>
        <v>0</v>
      </c>
      <c r="K33" s="255">
        <f>IF($B33=0,"",_xlfn.XLOOKUP($B33,INPUT_DATA!$CQ:$CQ,INPUT_DATA!CX:CX))</f>
        <v>0</v>
      </c>
      <c r="L33" s="1255">
        <f>IF($B33=0,"",_xlfn.XLOOKUP($B33,INPUT_DATA!$CQ:$CQ,INPUT_DATA!CY:CY))</f>
        <v>0</v>
      </c>
      <c r="M33" s="255">
        <f>IF($B33=0,"",_xlfn.XLOOKUP($B33,INPUT_DATA!$CQ:$CQ,INPUT_DATA!CZ:CZ))</f>
        <v>0</v>
      </c>
      <c r="N33" s="1255">
        <f>IF($B33=0,"",_xlfn.XLOOKUP($B33,INPUT_DATA!$CQ:$CQ,INPUT_DATA!DA:DA))</f>
        <v>0</v>
      </c>
      <c r="O33" s="255">
        <f>IF($B33=0,"",_xlfn.XLOOKUP($B33,INPUT_DATA!$CQ:$CQ,INPUT_DATA!DB:DB))</f>
        <v>0</v>
      </c>
      <c r="P33" s="1255">
        <f>IF($B33=0,"",_xlfn.XLOOKUP($B33,INPUT_DATA!$CQ:$CQ,INPUT_DATA!DC:DC))</f>
        <v>0</v>
      </c>
      <c r="Q33" s="255">
        <f>IF($B33=0,"",_xlfn.XLOOKUP($B33,INPUT_DATA!$CQ:$CQ,INPUT_DATA!DD:DD))</f>
        <v>0</v>
      </c>
      <c r="R33" s="1255">
        <f>IF($B33=0,"",_xlfn.XLOOKUP($B33,INPUT_DATA!$CQ:$CQ,INPUT_DATA!DE:DE))</f>
        <v>0</v>
      </c>
      <c r="S33" s="255">
        <f>IF($B33=0,"",_xlfn.XLOOKUP($B33,INPUT_DATA!$CQ:$CQ,INPUT_DATA!DF:DF))</f>
        <v>0</v>
      </c>
      <c r="T33" s="1255">
        <f>IF($B33=0,"",_xlfn.XLOOKUP($B33,INPUT_DATA!$CQ:$CQ,INPUT_DATA!DG:DG))</f>
        <v>0</v>
      </c>
      <c r="U33" s="255">
        <f>IF($B33=0,"",_xlfn.XLOOKUP($B33,INPUT_DATA!$CQ:$CQ,INPUT_DATA!DH:DH))</f>
        <v>0</v>
      </c>
      <c r="V33" s="1255">
        <f>IF($B33=0,"",_xlfn.XLOOKUP($B33,INPUT_DATA!$CQ:$CQ,INPUT_DATA!DI:DI))</f>
        <v>0</v>
      </c>
      <c r="W33" s="255">
        <f>IF($B33=0,"",_xlfn.XLOOKUP($B33,INPUT_DATA!$CQ:$CQ,INPUT_DATA!DJ:DJ))</f>
        <v>0</v>
      </c>
      <c r="X33" s="1255">
        <f>IF($B33=0,"",_xlfn.XLOOKUP($B33,INPUT_DATA!$CQ:$CQ,INPUT_DATA!DK:DK))</f>
        <v>0</v>
      </c>
      <c r="Y33" s="255">
        <f>IF($B33=0,"",_xlfn.XLOOKUP($B33,INPUT_DATA!$CQ:$CQ,INPUT_DATA!DL:DL))</f>
        <v>0</v>
      </c>
      <c r="Z33" s="1255">
        <f>IF($B33=0,"",_xlfn.XLOOKUP($B33,INPUT_DATA!$CQ:$CQ,INPUT_DATA!DM:DM))</f>
        <v>0</v>
      </c>
      <c r="AA33" s="255">
        <f>IF($B33=0,"",_xlfn.XLOOKUP($B33,INPUT_DATA!$CQ:$CQ,INPUT_DATA!DN:DN))</f>
        <v>0</v>
      </c>
      <c r="AB33" s="1255">
        <f>IF($B33=0,"",_xlfn.XLOOKUP($B33,INPUT_DATA!$CQ:$CQ,INPUT_DATA!DO:DO))</f>
        <v>0</v>
      </c>
      <c r="AC33" s="255">
        <f>IF($B33=0,"",_xlfn.XLOOKUP($B33,INPUT_DATA!$CQ:$CQ,INPUT_DATA!DP:DP))</f>
        <v>0</v>
      </c>
      <c r="AD33" s="1255">
        <f>IF($B33=0,"",_xlfn.XLOOKUP($B33,INPUT_DATA!$CQ:$CQ,INPUT_DATA!DQ:DQ))</f>
        <v>0</v>
      </c>
    </row>
    <row r="34" spans="2:30">
      <c r="B34" s="1202">
        <f>'02 - Monthly Asset Follow up'!B38</f>
        <v>45565</v>
      </c>
      <c r="C34" s="255">
        <f t="shared" si="2"/>
        <v>8182368484.4700003</v>
      </c>
      <c r="D34" s="1255">
        <f t="shared" si="1"/>
        <v>56971</v>
      </c>
      <c r="E34" s="255">
        <f>IF($B34=0,"",_xlfn.XLOOKUP($B34,INPUT_DATA!$CQ:$CQ,INPUT_DATA!CR:CR))</f>
        <v>8182368484.4700003</v>
      </c>
      <c r="F34" s="1255">
        <f>IF($B34=0,"",_xlfn.XLOOKUP($B34,INPUT_DATA!$CQ:$CQ,INPUT_DATA!CS:CS))</f>
        <v>56971</v>
      </c>
      <c r="G34" s="255">
        <f>IF($B34=0,"",_xlfn.XLOOKUP($B34,INPUT_DATA!$CQ:$CQ,INPUT_DATA!CT:CT))</f>
        <v>0</v>
      </c>
      <c r="H34" s="1255">
        <f>IF($B34=0,"",_xlfn.XLOOKUP($B34,INPUT_DATA!$CQ:$CQ,INPUT_DATA!CU:CU))</f>
        <v>0</v>
      </c>
      <c r="I34" s="255">
        <f>IF($B34=0,"",_xlfn.XLOOKUP($B34,INPUT_DATA!$CQ:$CQ,INPUT_DATA!CV:CV))</f>
        <v>0</v>
      </c>
      <c r="J34" s="1255">
        <f>IF($B34=0,"",_xlfn.XLOOKUP($B34,INPUT_DATA!$CQ:$CQ,INPUT_DATA!CW:CW))</f>
        <v>0</v>
      </c>
      <c r="K34" s="255">
        <f>IF($B34=0,"",_xlfn.XLOOKUP($B34,INPUT_DATA!$CQ:$CQ,INPUT_DATA!CX:CX))</f>
        <v>0</v>
      </c>
      <c r="L34" s="1255">
        <f>IF($B34=0,"",_xlfn.XLOOKUP($B34,INPUT_DATA!$CQ:$CQ,INPUT_DATA!CY:CY))</f>
        <v>0</v>
      </c>
      <c r="M34" s="255">
        <f>IF($B34=0,"",_xlfn.XLOOKUP($B34,INPUT_DATA!$CQ:$CQ,INPUT_DATA!CZ:CZ))</f>
        <v>0</v>
      </c>
      <c r="N34" s="1255">
        <f>IF($B34=0,"",_xlfn.XLOOKUP($B34,INPUT_DATA!$CQ:$CQ,INPUT_DATA!DA:DA))</f>
        <v>0</v>
      </c>
      <c r="O34" s="255">
        <f>IF($B34=0,"",_xlfn.XLOOKUP($B34,INPUT_DATA!$CQ:$CQ,INPUT_DATA!DB:DB))</f>
        <v>0</v>
      </c>
      <c r="P34" s="1255">
        <f>IF($B34=0,"",_xlfn.XLOOKUP($B34,INPUT_DATA!$CQ:$CQ,INPUT_DATA!DC:DC))</f>
        <v>0</v>
      </c>
      <c r="Q34" s="255">
        <f>IF($B34=0,"",_xlfn.XLOOKUP($B34,INPUT_DATA!$CQ:$CQ,INPUT_DATA!DD:DD))</f>
        <v>0</v>
      </c>
      <c r="R34" s="1255">
        <f>IF($B34=0,"",_xlfn.XLOOKUP($B34,INPUT_DATA!$CQ:$CQ,INPUT_DATA!DE:DE))</f>
        <v>0</v>
      </c>
      <c r="S34" s="255">
        <f>IF($B34=0,"",_xlfn.XLOOKUP($B34,INPUT_DATA!$CQ:$CQ,INPUT_DATA!DF:DF))</f>
        <v>0</v>
      </c>
      <c r="T34" s="1255">
        <f>IF($B34=0,"",_xlfn.XLOOKUP($B34,INPUT_DATA!$CQ:$CQ,INPUT_DATA!DG:DG))</f>
        <v>0</v>
      </c>
      <c r="U34" s="255">
        <f>IF($B34=0,"",_xlfn.XLOOKUP($B34,INPUT_DATA!$CQ:$CQ,INPUT_DATA!DH:DH))</f>
        <v>0</v>
      </c>
      <c r="V34" s="1255">
        <f>IF($B34=0,"",_xlfn.XLOOKUP($B34,INPUT_DATA!$CQ:$CQ,INPUT_DATA!DI:DI))</f>
        <v>0</v>
      </c>
      <c r="W34" s="255">
        <f>IF($B34=0,"",_xlfn.XLOOKUP($B34,INPUT_DATA!$CQ:$CQ,INPUT_DATA!DJ:DJ))</f>
        <v>0</v>
      </c>
      <c r="X34" s="1255">
        <f>IF($B34=0,"",_xlfn.XLOOKUP($B34,INPUT_DATA!$CQ:$CQ,INPUT_DATA!DK:DK))</f>
        <v>0</v>
      </c>
      <c r="Y34" s="255">
        <f>IF($B34=0,"",_xlfn.XLOOKUP($B34,INPUT_DATA!$CQ:$CQ,INPUT_DATA!DL:DL))</f>
        <v>0</v>
      </c>
      <c r="Z34" s="1255">
        <f>IF($B34=0,"",_xlfn.XLOOKUP($B34,INPUT_DATA!$CQ:$CQ,INPUT_DATA!DM:DM))</f>
        <v>0</v>
      </c>
      <c r="AA34" s="255">
        <f>IF($B34=0,"",_xlfn.XLOOKUP($B34,INPUT_DATA!$CQ:$CQ,INPUT_DATA!DN:DN))</f>
        <v>0</v>
      </c>
      <c r="AB34" s="1255">
        <f>IF($B34=0,"",_xlfn.XLOOKUP($B34,INPUT_DATA!$CQ:$CQ,INPUT_DATA!DO:DO))</f>
        <v>0</v>
      </c>
      <c r="AC34" s="255">
        <f>IF($B34=0,"",_xlfn.XLOOKUP($B34,INPUT_DATA!$CQ:$CQ,INPUT_DATA!DP:DP))</f>
        <v>0</v>
      </c>
      <c r="AD34" s="1255">
        <f>IF($B34=0,"",_xlfn.XLOOKUP($B34,INPUT_DATA!$CQ:$CQ,INPUT_DATA!DQ:DQ))</f>
        <v>0</v>
      </c>
    </row>
    <row r="35" spans="2:30">
      <c r="B35" s="1202">
        <f>'02 - Monthly Asset Follow up'!B39</f>
        <v>0</v>
      </c>
      <c r="C35" s="255" t="str">
        <f t="shared" si="2"/>
        <v/>
      </c>
      <c r="D35" s="1255" t="str">
        <f t="shared" si="1"/>
        <v/>
      </c>
      <c r="E35" s="255" t="str">
        <f>IF($B35=0,"",_xlfn.XLOOKUP($B35,INPUT_DATA!$CQ:$CQ,INPUT_DATA!CR:CR))</f>
        <v/>
      </c>
      <c r="F35" s="1255" t="str">
        <f>IF($B35=0,"",_xlfn.XLOOKUP($B35,INPUT_DATA!$CQ:$CQ,INPUT_DATA!CS:CS))</f>
        <v/>
      </c>
      <c r="G35" s="255" t="str">
        <f>IF($B35=0,"",_xlfn.XLOOKUP($B35,INPUT_DATA!$CQ:$CQ,INPUT_DATA!CT:CT))</f>
        <v/>
      </c>
      <c r="H35" s="1255" t="str">
        <f>IF($B35=0,"",_xlfn.XLOOKUP($B35,INPUT_DATA!$CQ:$CQ,INPUT_DATA!CU:CU))</f>
        <v/>
      </c>
      <c r="I35" s="255" t="str">
        <f>IF($B35=0,"",_xlfn.XLOOKUP($B35,INPUT_DATA!$CQ:$CQ,INPUT_DATA!CV:CV))</f>
        <v/>
      </c>
      <c r="J35" s="1255" t="str">
        <f>IF($B35=0,"",_xlfn.XLOOKUP($B35,INPUT_DATA!$CQ:$CQ,INPUT_DATA!CW:CW))</f>
        <v/>
      </c>
      <c r="K35" s="255" t="str">
        <f>IF($B35=0,"",_xlfn.XLOOKUP($B35,INPUT_DATA!$CQ:$CQ,INPUT_DATA!CX:CX))</f>
        <v/>
      </c>
      <c r="L35" s="1255" t="str">
        <f>IF($B35=0,"",_xlfn.XLOOKUP($B35,INPUT_DATA!$CQ:$CQ,INPUT_DATA!CY:CY))</f>
        <v/>
      </c>
      <c r="M35" s="255" t="str">
        <f>IF($B35=0,"",_xlfn.XLOOKUP($B35,INPUT_DATA!$CQ:$CQ,INPUT_DATA!CZ:CZ))</f>
        <v/>
      </c>
      <c r="N35" s="1255" t="str">
        <f>IF($B35=0,"",_xlfn.XLOOKUP($B35,INPUT_DATA!$CQ:$CQ,INPUT_DATA!DA:DA))</f>
        <v/>
      </c>
      <c r="O35" s="255" t="str">
        <f>IF($B35=0,"",_xlfn.XLOOKUP($B35,INPUT_DATA!$CQ:$CQ,INPUT_DATA!DB:DB))</f>
        <v/>
      </c>
      <c r="P35" s="1255" t="str">
        <f>IF($B35=0,"",_xlfn.XLOOKUP($B35,INPUT_DATA!$CQ:$CQ,INPUT_DATA!DC:DC))</f>
        <v/>
      </c>
      <c r="Q35" s="255" t="str">
        <f>IF($B35=0,"",_xlfn.XLOOKUP($B35,INPUT_DATA!$CQ:$CQ,INPUT_DATA!DD:DD))</f>
        <v/>
      </c>
      <c r="R35" s="1255" t="str">
        <f>IF($B35=0,"",_xlfn.XLOOKUP($B35,INPUT_DATA!$CQ:$CQ,INPUT_DATA!DE:DE))</f>
        <v/>
      </c>
      <c r="S35" s="255" t="str">
        <f>IF($B35=0,"",_xlfn.XLOOKUP($B35,INPUT_DATA!$CQ:$CQ,INPUT_DATA!DF:DF))</f>
        <v/>
      </c>
      <c r="T35" s="1255" t="str">
        <f>IF($B35=0,"",_xlfn.XLOOKUP($B35,INPUT_DATA!$CQ:$CQ,INPUT_DATA!DG:DG))</f>
        <v/>
      </c>
      <c r="U35" s="255" t="str">
        <f>IF($B35=0,"",_xlfn.XLOOKUP($B35,INPUT_DATA!$CQ:$CQ,INPUT_DATA!DH:DH))</f>
        <v/>
      </c>
      <c r="V35" s="1255" t="str">
        <f>IF($B35=0,"",_xlfn.XLOOKUP($B35,INPUT_DATA!$CQ:$CQ,INPUT_DATA!DI:DI))</f>
        <v/>
      </c>
      <c r="W35" s="255" t="str">
        <f>IF($B35=0,"",_xlfn.XLOOKUP($B35,INPUT_DATA!$CQ:$CQ,INPUT_DATA!DJ:DJ))</f>
        <v/>
      </c>
      <c r="X35" s="1255" t="str">
        <f>IF($B35=0,"",_xlfn.XLOOKUP($B35,INPUT_DATA!$CQ:$CQ,INPUT_DATA!DK:DK))</f>
        <v/>
      </c>
      <c r="Y35" s="255" t="str">
        <f>IF($B35=0,"",_xlfn.XLOOKUP($B35,INPUT_DATA!$CQ:$CQ,INPUT_DATA!DL:DL))</f>
        <v/>
      </c>
      <c r="Z35" s="1255" t="str">
        <f>IF($B35=0,"",_xlfn.XLOOKUP($B35,INPUT_DATA!$CQ:$CQ,INPUT_DATA!DM:DM))</f>
        <v/>
      </c>
      <c r="AA35" s="255" t="str">
        <f>IF($B35=0,"",_xlfn.XLOOKUP($B35,INPUT_DATA!$CQ:$CQ,INPUT_DATA!DN:DN))</f>
        <v/>
      </c>
      <c r="AB35" s="1255" t="str">
        <f>IF($B35=0,"",_xlfn.XLOOKUP($B35,INPUT_DATA!$CQ:$CQ,INPUT_DATA!DO:DO))</f>
        <v/>
      </c>
      <c r="AC35" s="255" t="str">
        <f>IF($B35=0,"",_xlfn.XLOOKUP($B35,INPUT_DATA!$CQ:$CQ,INPUT_DATA!DP:DP))</f>
        <v/>
      </c>
      <c r="AD35" s="1255" t="str">
        <f>IF($B35=0,"",_xlfn.XLOOKUP($B35,INPUT_DATA!$CQ:$CQ,INPUT_DATA!DQ:DQ))</f>
        <v/>
      </c>
    </row>
    <row r="36" spans="2:30">
      <c r="B36" s="1202">
        <f>'02 - Monthly Asset Follow up'!B40</f>
        <v>0</v>
      </c>
      <c r="C36" s="255" t="str">
        <f t="shared" si="2"/>
        <v/>
      </c>
      <c r="D36" s="1255" t="str">
        <f t="shared" si="1"/>
        <v/>
      </c>
      <c r="E36" s="255" t="str">
        <f>IF($B36=0,"",_xlfn.XLOOKUP($B36,INPUT_DATA!$CQ:$CQ,INPUT_DATA!CR:CR))</f>
        <v/>
      </c>
      <c r="F36" s="1255" t="str">
        <f>IF($B36=0,"",_xlfn.XLOOKUP($B36,INPUT_DATA!$CQ:$CQ,INPUT_DATA!CS:CS))</f>
        <v/>
      </c>
      <c r="G36" s="255" t="str">
        <f>IF($B36=0,"",_xlfn.XLOOKUP($B36,INPUT_DATA!$CQ:$CQ,INPUT_DATA!CT:CT))</f>
        <v/>
      </c>
      <c r="H36" s="1255" t="str">
        <f>IF($B36=0,"",_xlfn.XLOOKUP($B36,INPUT_DATA!$CQ:$CQ,INPUT_DATA!CU:CU))</f>
        <v/>
      </c>
      <c r="I36" s="255" t="str">
        <f>IF($B36=0,"",_xlfn.XLOOKUP($B36,INPUT_DATA!$CQ:$CQ,INPUT_DATA!CV:CV))</f>
        <v/>
      </c>
      <c r="J36" s="1255" t="str">
        <f>IF($B36=0,"",_xlfn.XLOOKUP($B36,INPUT_DATA!$CQ:$CQ,INPUT_DATA!CW:CW))</f>
        <v/>
      </c>
      <c r="K36" s="255" t="str">
        <f>IF($B36=0,"",_xlfn.XLOOKUP($B36,INPUT_DATA!$CQ:$CQ,INPUT_DATA!CX:CX))</f>
        <v/>
      </c>
      <c r="L36" s="1255" t="str">
        <f>IF($B36=0,"",_xlfn.XLOOKUP($B36,INPUT_DATA!$CQ:$CQ,INPUT_DATA!CY:CY))</f>
        <v/>
      </c>
      <c r="M36" s="255" t="str">
        <f>IF($B36=0,"",_xlfn.XLOOKUP($B36,INPUT_DATA!$CQ:$CQ,INPUT_DATA!CZ:CZ))</f>
        <v/>
      </c>
      <c r="N36" s="1255" t="str">
        <f>IF($B36=0,"",_xlfn.XLOOKUP($B36,INPUT_DATA!$CQ:$CQ,INPUT_DATA!DA:DA))</f>
        <v/>
      </c>
      <c r="O36" s="255" t="str">
        <f>IF($B36=0,"",_xlfn.XLOOKUP($B36,INPUT_DATA!$CQ:$CQ,INPUT_DATA!DB:DB))</f>
        <v/>
      </c>
      <c r="P36" s="1255" t="str">
        <f>IF($B36=0,"",_xlfn.XLOOKUP($B36,INPUT_DATA!$CQ:$CQ,INPUT_DATA!DC:DC))</f>
        <v/>
      </c>
      <c r="Q36" s="255" t="str">
        <f>IF($B36=0,"",_xlfn.XLOOKUP($B36,INPUT_DATA!$CQ:$CQ,INPUT_DATA!DD:DD))</f>
        <v/>
      </c>
      <c r="R36" s="1255" t="str">
        <f>IF($B36=0,"",_xlfn.XLOOKUP($B36,INPUT_DATA!$CQ:$CQ,INPUT_DATA!DE:DE))</f>
        <v/>
      </c>
      <c r="S36" s="255" t="str">
        <f>IF($B36=0,"",_xlfn.XLOOKUP($B36,INPUT_DATA!$CQ:$CQ,INPUT_DATA!DF:DF))</f>
        <v/>
      </c>
      <c r="T36" s="1255" t="str">
        <f>IF($B36=0,"",_xlfn.XLOOKUP($B36,INPUT_DATA!$CQ:$CQ,INPUT_DATA!DG:DG))</f>
        <v/>
      </c>
      <c r="U36" s="255" t="str">
        <f>IF($B36=0,"",_xlfn.XLOOKUP($B36,INPUT_DATA!$CQ:$CQ,INPUT_DATA!DH:DH))</f>
        <v/>
      </c>
      <c r="V36" s="1255" t="str">
        <f>IF($B36=0,"",_xlfn.XLOOKUP($B36,INPUT_DATA!$CQ:$CQ,INPUT_DATA!DI:DI))</f>
        <v/>
      </c>
      <c r="W36" s="255" t="str">
        <f>IF($B36=0,"",_xlfn.XLOOKUP($B36,INPUT_DATA!$CQ:$CQ,INPUT_DATA!DJ:DJ))</f>
        <v/>
      </c>
      <c r="X36" s="1255" t="str">
        <f>IF($B36=0,"",_xlfn.XLOOKUP($B36,INPUT_DATA!$CQ:$CQ,INPUT_DATA!DK:DK))</f>
        <v/>
      </c>
      <c r="Y36" s="255" t="str">
        <f>IF($B36=0,"",_xlfn.XLOOKUP($B36,INPUT_DATA!$CQ:$CQ,INPUT_DATA!DL:DL))</f>
        <v/>
      </c>
      <c r="Z36" s="1255" t="str">
        <f>IF($B36=0,"",_xlfn.XLOOKUP($B36,INPUT_DATA!$CQ:$CQ,INPUT_DATA!DM:DM))</f>
        <v/>
      </c>
      <c r="AA36" s="255" t="str">
        <f>IF($B36=0,"",_xlfn.XLOOKUP($B36,INPUT_DATA!$CQ:$CQ,INPUT_DATA!DN:DN))</f>
        <v/>
      </c>
      <c r="AB36" s="1255" t="str">
        <f>IF($B36=0,"",_xlfn.XLOOKUP($B36,INPUT_DATA!$CQ:$CQ,INPUT_DATA!DO:DO))</f>
        <v/>
      </c>
      <c r="AC36" s="255" t="str">
        <f>IF($B36=0,"",_xlfn.XLOOKUP($B36,INPUT_DATA!$CQ:$CQ,INPUT_DATA!DP:DP))</f>
        <v/>
      </c>
      <c r="AD36" s="1255" t="str">
        <f>IF($B36=0,"",_xlfn.XLOOKUP($B36,INPUT_DATA!$CQ:$CQ,INPUT_DATA!DQ:DQ))</f>
        <v/>
      </c>
    </row>
    <row r="37" spans="2:30">
      <c r="B37" s="1202">
        <f>'02 - Monthly Asset Follow up'!B41</f>
        <v>0</v>
      </c>
      <c r="C37" s="255" t="str">
        <f t="shared" si="2"/>
        <v/>
      </c>
      <c r="D37" s="1255" t="str">
        <f t="shared" si="1"/>
        <v/>
      </c>
      <c r="E37" s="255" t="str">
        <f>IF($B37=0,"",_xlfn.XLOOKUP($B37,INPUT_DATA!$CQ:$CQ,INPUT_DATA!CR:CR))</f>
        <v/>
      </c>
      <c r="F37" s="1255" t="str">
        <f>IF($B37=0,"",_xlfn.XLOOKUP($B37,INPUT_DATA!$CQ:$CQ,INPUT_DATA!CS:CS))</f>
        <v/>
      </c>
      <c r="G37" s="255" t="str">
        <f>IF($B37=0,"",_xlfn.XLOOKUP($B37,INPUT_DATA!$CQ:$CQ,INPUT_DATA!CT:CT))</f>
        <v/>
      </c>
      <c r="H37" s="1255" t="str">
        <f>IF($B37=0,"",_xlfn.XLOOKUP($B37,INPUT_DATA!$CQ:$CQ,INPUT_DATA!CU:CU))</f>
        <v/>
      </c>
      <c r="I37" s="255" t="str">
        <f>IF($B37=0,"",_xlfn.XLOOKUP($B37,INPUT_DATA!$CQ:$CQ,INPUT_DATA!CV:CV))</f>
        <v/>
      </c>
      <c r="J37" s="1255" t="str">
        <f>IF($B37=0,"",_xlfn.XLOOKUP($B37,INPUT_DATA!$CQ:$CQ,INPUT_DATA!CW:CW))</f>
        <v/>
      </c>
      <c r="K37" s="255" t="str">
        <f>IF($B37=0,"",_xlfn.XLOOKUP($B37,INPUT_DATA!$CQ:$CQ,INPUT_DATA!CX:CX))</f>
        <v/>
      </c>
      <c r="L37" s="1255" t="str">
        <f>IF($B37=0,"",_xlfn.XLOOKUP($B37,INPUT_DATA!$CQ:$CQ,INPUT_DATA!CY:CY))</f>
        <v/>
      </c>
      <c r="M37" s="255" t="str">
        <f>IF($B37=0,"",_xlfn.XLOOKUP($B37,INPUT_DATA!$CQ:$CQ,INPUT_DATA!CZ:CZ))</f>
        <v/>
      </c>
      <c r="N37" s="1255" t="str">
        <f>IF($B37=0,"",_xlfn.XLOOKUP($B37,INPUT_DATA!$CQ:$CQ,INPUT_DATA!DA:DA))</f>
        <v/>
      </c>
      <c r="O37" s="255" t="str">
        <f>IF($B37=0,"",_xlfn.XLOOKUP($B37,INPUT_DATA!$CQ:$CQ,INPUT_DATA!DB:DB))</f>
        <v/>
      </c>
      <c r="P37" s="1255" t="str">
        <f>IF($B37=0,"",_xlfn.XLOOKUP($B37,INPUT_DATA!$CQ:$CQ,INPUT_DATA!DC:DC))</f>
        <v/>
      </c>
      <c r="Q37" s="255" t="str">
        <f>IF($B37=0,"",_xlfn.XLOOKUP($B37,INPUT_DATA!$CQ:$CQ,INPUT_DATA!DD:DD))</f>
        <v/>
      </c>
      <c r="R37" s="1255" t="str">
        <f>IF($B37=0,"",_xlfn.XLOOKUP($B37,INPUT_DATA!$CQ:$CQ,INPUT_DATA!DE:DE))</f>
        <v/>
      </c>
      <c r="S37" s="255" t="str">
        <f>IF($B37=0,"",_xlfn.XLOOKUP($B37,INPUT_DATA!$CQ:$CQ,INPUT_DATA!DF:DF))</f>
        <v/>
      </c>
      <c r="T37" s="1255" t="str">
        <f>IF($B37=0,"",_xlfn.XLOOKUP($B37,INPUT_DATA!$CQ:$CQ,INPUT_DATA!DG:DG))</f>
        <v/>
      </c>
      <c r="U37" s="255" t="str">
        <f>IF($B37=0,"",_xlfn.XLOOKUP($B37,INPUT_DATA!$CQ:$CQ,INPUT_DATA!DH:DH))</f>
        <v/>
      </c>
      <c r="V37" s="1255" t="str">
        <f>IF($B37=0,"",_xlfn.XLOOKUP($B37,INPUT_DATA!$CQ:$CQ,INPUT_DATA!DI:DI))</f>
        <v/>
      </c>
      <c r="W37" s="255" t="str">
        <f>IF($B37=0,"",_xlfn.XLOOKUP($B37,INPUT_DATA!$CQ:$CQ,INPUT_DATA!DJ:DJ))</f>
        <v/>
      </c>
      <c r="X37" s="1255" t="str">
        <f>IF($B37=0,"",_xlfn.XLOOKUP($B37,INPUT_DATA!$CQ:$CQ,INPUT_DATA!DK:DK))</f>
        <v/>
      </c>
      <c r="Y37" s="255" t="str">
        <f>IF($B37=0,"",_xlfn.XLOOKUP($B37,INPUT_DATA!$CQ:$CQ,INPUT_DATA!DL:DL))</f>
        <v/>
      </c>
      <c r="Z37" s="1255" t="str">
        <f>IF($B37=0,"",_xlfn.XLOOKUP($B37,INPUT_DATA!$CQ:$CQ,INPUT_DATA!DM:DM))</f>
        <v/>
      </c>
      <c r="AA37" s="255" t="str">
        <f>IF($B37=0,"",_xlfn.XLOOKUP($B37,INPUT_DATA!$CQ:$CQ,INPUT_DATA!DN:DN))</f>
        <v/>
      </c>
      <c r="AB37" s="1255" t="str">
        <f>IF($B37=0,"",_xlfn.XLOOKUP($B37,INPUT_DATA!$CQ:$CQ,INPUT_DATA!DO:DO))</f>
        <v/>
      </c>
      <c r="AC37" s="255" t="str">
        <f>IF($B37=0,"",_xlfn.XLOOKUP($B37,INPUT_DATA!$CQ:$CQ,INPUT_DATA!DP:DP))</f>
        <v/>
      </c>
      <c r="AD37" s="1255" t="str">
        <f>IF($B37=0,"",_xlfn.XLOOKUP($B37,INPUT_DATA!$CQ:$CQ,INPUT_DATA!DQ:DQ))</f>
        <v/>
      </c>
    </row>
    <row r="38" spans="2:30">
      <c r="B38" s="1202">
        <f>'02 - Monthly Asset Follow up'!B42</f>
        <v>0</v>
      </c>
      <c r="C38" s="255" t="str">
        <f t="shared" si="2"/>
        <v/>
      </c>
      <c r="D38" s="1255" t="str">
        <f t="shared" si="1"/>
        <v/>
      </c>
      <c r="E38" s="255" t="str">
        <f>IF($B38=0,"",_xlfn.XLOOKUP($B38,INPUT_DATA!$CQ:$CQ,INPUT_DATA!CR:CR))</f>
        <v/>
      </c>
      <c r="F38" s="1255" t="str">
        <f>IF($B38=0,"",_xlfn.XLOOKUP($B38,INPUT_DATA!$CQ:$CQ,INPUT_DATA!CS:CS))</f>
        <v/>
      </c>
      <c r="G38" s="255" t="str">
        <f>IF($B38=0,"",_xlfn.XLOOKUP($B38,INPUT_DATA!$CQ:$CQ,INPUT_DATA!CT:CT))</f>
        <v/>
      </c>
      <c r="H38" s="1255" t="str">
        <f>IF($B38=0,"",_xlfn.XLOOKUP($B38,INPUT_DATA!$CQ:$CQ,INPUT_DATA!CU:CU))</f>
        <v/>
      </c>
      <c r="I38" s="255" t="str">
        <f>IF($B38=0,"",_xlfn.XLOOKUP($B38,INPUT_DATA!$CQ:$CQ,INPUT_DATA!CV:CV))</f>
        <v/>
      </c>
      <c r="J38" s="1255" t="str">
        <f>IF($B38=0,"",_xlfn.XLOOKUP($B38,INPUT_DATA!$CQ:$CQ,INPUT_DATA!CW:CW))</f>
        <v/>
      </c>
      <c r="K38" s="255" t="str">
        <f>IF($B38=0,"",_xlfn.XLOOKUP($B38,INPUT_DATA!$CQ:$CQ,INPUT_DATA!CX:CX))</f>
        <v/>
      </c>
      <c r="L38" s="1255" t="str">
        <f>IF($B38=0,"",_xlfn.XLOOKUP($B38,INPUT_DATA!$CQ:$CQ,INPUT_DATA!CY:CY))</f>
        <v/>
      </c>
      <c r="M38" s="255" t="str">
        <f>IF($B38=0,"",_xlfn.XLOOKUP($B38,INPUT_DATA!$CQ:$CQ,INPUT_DATA!CZ:CZ))</f>
        <v/>
      </c>
      <c r="N38" s="1255" t="str">
        <f>IF($B38=0,"",_xlfn.XLOOKUP($B38,INPUT_DATA!$CQ:$CQ,INPUT_DATA!DA:DA))</f>
        <v/>
      </c>
      <c r="O38" s="255" t="str">
        <f>IF($B38=0,"",_xlfn.XLOOKUP($B38,INPUT_DATA!$CQ:$CQ,INPUT_DATA!DB:DB))</f>
        <v/>
      </c>
      <c r="P38" s="1255" t="str">
        <f>IF($B38=0,"",_xlfn.XLOOKUP($B38,INPUT_DATA!$CQ:$CQ,INPUT_DATA!DC:DC))</f>
        <v/>
      </c>
      <c r="Q38" s="255" t="str">
        <f>IF($B38=0,"",_xlfn.XLOOKUP($B38,INPUT_DATA!$CQ:$CQ,INPUT_DATA!DD:DD))</f>
        <v/>
      </c>
      <c r="R38" s="1255" t="str">
        <f>IF($B38=0,"",_xlfn.XLOOKUP($B38,INPUT_DATA!$CQ:$CQ,INPUT_DATA!DE:DE))</f>
        <v/>
      </c>
      <c r="S38" s="255" t="str">
        <f>IF($B38=0,"",_xlfn.XLOOKUP($B38,INPUT_DATA!$CQ:$CQ,INPUT_DATA!DF:DF))</f>
        <v/>
      </c>
      <c r="T38" s="1255" t="str">
        <f>IF($B38=0,"",_xlfn.XLOOKUP($B38,INPUT_DATA!$CQ:$CQ,INPUT_DATA!DG:DG))</f>
        <v/>
      </c>
      <c r="U38" s="255" t="str">
        <f>IF($B38=0,"",_xlfn.XLOOKUP($B38,INPUT_DATA!$CQ:$CQ,INPUT_DATA!DH:DH))</f>
        <v/>
      </c>
      <c r="V38" s="1255" t="str">
        <f>IF($B38=0,"",_xlfn.XLOOKUP($B38,INPUT_DATA!$CQ:$CQ,INPUT_DATA!DI:DI))</f>
        <v/>
      </c>
      <c r="W38" s="255" t="str">
        <f>IF($B38=0,"",_xlfn.XLOOKUP($B38,INPUT_DATA!$CQ:$CQ,INPUT_DATA!DJ:DJ))</f>
        <v/>
      </c>
      <c r="X38" s="1255" t="str">
        <f>IF($B38=0,"",_xlfn.XLOOKUP($B38,INPUT_DATA!$CQ:$CQ,INPUT_DATA!DK:DK))</f>
        <v/>
      </c>
      <c r="Y38" s="255" t="str">
        <f>IF($B38=0,"",_xlfn.XLOOKUP($B38,INPUT_DATA!$CQ:$CQ,INPUT_DATA!DL:DL))</f>
        <v/>
      </c>
      <c r="Z38" s="1255" t="str">
        <f>IF($B38=0,"",_xlfn.XLOOKUP($B38,INPUT_DATA!$CQ:$CQ,INPUT_DATA!DM:DM))</f>
        <v/>
      </c>
      <c r="AA38" s="255" t="str">
        <f>IF($B38=0,"",_xlfn.XLOOKUP($B38,INPUT_DATA!$CQ:$CQ,INPUT_DATA!DN:DN))</f>
        <v/>
      </c>
      <c r="AB38" s="1255" t="str">
        <f>IF($B38=0,"",_xlfn.XLOOKUP($B38,INPUT_DATA!$CQ:$CQ,INPUT_DATA!DO:DO))</f>
        <v/>
      </c>
      <c r="AC38" s="255" t="str">
        <f>IF($B38=0,"",_xlfn.XLOOKUP($B38,INPUT_DATA!$CQ:$CQ,INPUT_DATA!DP:DP))</f>
        <v/>
      </c>
      <c r="AD38" s="1255" t="str">
        <f>IF($B38=0,"",_xlfn.XLOOKUP($B38,INPUT_DATA!$CQ:$CQ,INPUT_DATA!DQ:DQ))</f>
        <v/>
      </c>
    </row>
    <row r="39" spans="2:30">
      <c r="B39" s="1202">
        <f>'02 - Monthly Asset Follow up'!B43</f>
        <v>0</v>
      </c>
      <c r="C39" s="255" t="str">
        <f t="shared" si="2"/>
        <v/>
      </c>
      <c r="D39" s="1255" t="str">
        <f t="shared" si="1"/>
        <v/>
      </c>
      <c r="E39" s="255" t="str">
        <f>IF($B39=0,"",_xlfn.XLOOKUP($B39,INPUT_DATA!$CQ:$CQ,INPUT_DATA!CR:CR))</f>
        <v/>
      </c>
      <c r="F39" s="1255" t="str">
        <f>IF($B39=0,"",_xlfn.XLOOKUP($B39,INPUT_DATA!$CQ:$CQ,INPUT_DATA!CS:CS))</f>
        <v/>
      </c>
      <c r="G39" s="255" t="str">
        <f>IF($B39=0,"",_xlfn.XLOOKUP($B39,INPUT_DATA!$CQ:$CQ,INPUT_DATA!CT:CT))</f>
        <v/>
      </c>
      <c r="H39" s="1255" t="str">
        <f>IF($B39=0,"",_xlfn.XLOOKUP($B39,INPUT_DATA!$CQ:$CQ,INPUT_DATA!CU:CU))</f>
        <v/>
      </c>
      <c r="I39" s="255" t="str">
        <f>IF($B39=0,"",_xlfn.XLOOKUP($B39,INPUT_DATA!$CQ:$CQ,INPUT_DATA!CV:CV))</f>
        <v/>
      </c>
      <c r="J39" s="1255" t="str">
        <f>IF($B39=0,"",_xlfn.XLOOKUP($B39,INPUT_DATA!$CQ:$CQ,INPUT_DATA!CW:CW))</f>
        <v/>
      </c>
      <c r="K39" s="255" t="str">
        <f>IF($B39=0,"",_xlfn.XLOOKUP($B39,INPUT_DATA!$CQ:$CQ,INPUT_DATA!CX:CX))</f>
        <v/>
      </c>
      <c r="L39" s="1255" t="str">
        <f>IF($B39=0,"",_xlfn.XLOOKUP($B39,INPUT_DATA!$CQ:$CQ,INPUT_DATA!CY:CY))</f>
        <v/>
      </c>
      <c r="M39" s="255" t="str">
        <f>IF($B39=0,"",_xlfn.XLOOKUP($B39,INPUT_DATA!$CQ:$CQ,INPUT_DATA!CZ:CZ))</f>
        <v/>
      </c>
      <c r="N39" s="1255" t="str">
        <f>IF($B39=0,"",_xlfn.XLOOKUP($B39,INPUT_DATA!$CQ:$CQ,INPUT_DATA!DA:DA))</f>
        <v/>
      </c>
      <c r="O39" s="255" t="str">
        <f>IF($B39=0,"",_xlfn.XLOOKUP($B39,INPUT_DATA!$CQ:$CQ,INPUT_DATA!DB:DB))</f>
        <v/>
      </c>
      <c r="P39" s="1255" t="str">
        <f>IF($B39=0,"",_xlfn.XLOOKUP($B39,INPUT_DATA!$CQ:$CQ,INPUT_DATA!DC:DC))</f>
        <v/>
      </c>
      <c r="Q39" s="255" t="str">
        <f>IF($B39=0,"",_xlfn.XLOOKUP($B39,INPUT_DATA!$CQ:$CQ,INPUT_DATA!DD:DD))</f>
        <v/>
      </c>
      <c r="R39" s="1255" t="str">
        <f>IF($B39=0,"",_xlfn.XLOOKUP($B39,INPUT_DATA!$CQ:$CQ,INPUT_DATA!DE:DE))</f>
        <v/>
      </c>
      <c r="S39" s="255" t="str">
        <f>IF($B39=0,"",_xlfn.XLOOKUP($B39,INPUT_DATA!$CQ:$CQ,INPUT_DATA!DF:DF))</f>
        <v/>
      </c>
      <c r="T39" s="1255" t="str">
        <f>IF($B39=0,"",_xlfn.XLOOKUP($B39,INPUT_DATA!$CQ:$CQ,INPUT_DATA!DG:DG))</f>
        <v/>
      </c>
      <c r="U39" s="255" t="str">
        <f>IF($B39=0,"",_xlfn.XLOOKUP($B39,INPUT_DATA!$CQ:$CQ,INPUT_DATA!DH:DH))</f>
        <v/>
      </c>
      <c r="V39" s="1255" t="str">
        <f>IF($B39=0,"",_xlfn.XLOOKUP($B39,INPUT_DATA!$CQ:$CQ,INPUT_DATA!DI:DI))</f>
        <v/>
      </c>
      <c r="W39" s="255" t="str">
        <f>IF($B39=0,"",_xlfn.XLOOKUP($B39,INPUT_DATA!$CQ:$CQ,INPUT_DATA!DJ:DJ))</f>
        <v/>
      </c>
      <c r="X39" s="1255" t="str">
        <f>IF($B39=0,"",_xlfn.XLOOKUP($B39,INPUT_DATA!$CQ:$CQ,INPUT_DATA!DK:DK))</f>
        <v/>
      </c>
      <c r="Y39" s="255" t="str">
        <f>IF($B39=0,"",_xlfn.XLOOKUP($B39,INPUT_DATA!$CQ:$CQ,INPUT_DATA!DL:DL))</f>
        <v/>
      </c>
      <c r="Z39" s="1255" t="str">
        <f>IF($B39=0,"",_xlfn.XLOOKUP($B39,INPUT_DATA!$CQ:$CQ,INPUT_DATA!DM:DM))</f>
        <v/>
      </c>
      <c r="AA39" s="255" t="str">
        <f>IF($B39=0,"",_xlfn.XLOOKUP($B39,INPUT_DATA!$CQ:$CQ,INPUT_DATA!DN:DN))</f>
        <v/>
      </c>
      <c r="AB39" s="1255" t="str">
        <f>IF($B39=0,"",_xlfn.XLOOKUP($B39,INPUT_DATA!$CQ:$CQ,INPUT_DATA!DO:DO))</f>
        <v/>
      </c>
      <c r="AC39" s="255" t="str">
        <f>IF($B39=0,"",_xlfn.XLOOKUP($B39,INPUT_DATA!$CQ:$CQ,INPUT_DATA!DP:DP))</f>
        <v/>
      </c>
      <c r="AD39" s="1255" t="str">
        <f>IF($B39=0,"",_xlfn.XLOOKUP($B39,INPUT_DATA!$CQ:$CQ,INPUT_DATA!DQ:DQ))</f>
        <v/>
      </c>
    </row>
    <row r="40" spans="2:30">
      <c r="B40" s="1202">
        <f>'02 - Monthly Asset Follow up'!B44</f>
        <v>0</v>
      </c>
      <c r="C40" s="255" t="str">
        <f t="shared" si="2"/>
        <v/>
      </c>
      <c r="D40" s="1255" t="str">
        <f t="shared" si="1"/>
        <v/>
      </c>
      <c r="E40" s="255" t="str">
        <f>IF($B40=0,"",_xlfn.XLOOKUP($B40,INPUT_DATA!$CQ:$CQ,INPUT_DATA!CR:CR))</f>
        <v/>
      </c>
      <c r="F40" s="1255" t="str">
        <f>IF($B40=0,"",_xlfn.XLOOKUP($B40,INPUT_DATA!$CQ:$CQ,INPUT_DATA!CS:CS))</f>
        <v/>
      </c>
      <c r="G40" s="255" t="str">
        <f>IF($B40=0,"",_xlfn.XLOOKUP($B40,INPUT_DATA!$CQ:$CQ,INPUT_DATA!CT:CT))</f>
        <v/>
      </c>
      <c r="H40" s="1255" t="str">
        <f>IF($B40=0,"",_xlfn.XLOOKUP($B40,INPUT_DATA!$CQ:$CQ,INPUT_DATA!CU:CU))</f>
        <v/>
      </c>
      <c r="I40" s="255" t="str">
        <f>IF($B40=0,"",_xlfn.XLOOKUP($B40,INPUT_DATA!$CQ:$CQ,INPUT_DATA!CV:CV))</f>
        <v/>
      </c>
      <c r="J40" s="1255" t="str">
        <f>IF($B40=0,"",_xlfn.XLOOKUP($B40,INPUT_DATA!$CQ:$CQ,INPUT_DATA!CW:CW))</f>
        <v/>
      </c>
      <c r="K40" s="255" t="str">
        <f>IF($B40=0,"",_xlfn.XLOOKUP($B40,INPUT_DATA!$CQ:$CQ,INPUT_DATA!CX:CX))</f>
        <v/>
      </c>
      <c r="L40" s="1255" t="str">
        <f>IF($B40=0,"",_xlfn.XLOOKUP($B40,INPUT_DATA!$CQ:$CQ,INPUT_DATA!CY:CY))</f>
        <v/>
      </c>
      <c r="M40" s="255" t="str">
        <f>IF($B40=0,"",_xlfn.XLOOKUP($B40,INPUT_DATA!$CQ:$CQ,INPUT_DATA!CZ:CZ))</f>
        <v/>
      </c>
      <c r="N40" s="1255" t="str">
        <f>IF($B40=0,"",_xlfn.XLOOKUP($B40,INPUT_DATA!$CQ:$CQ,INPUT_DATA!DA:DA))</f>
        <v/>
      </c>
      <c r="O40" s="255" t="str">
        <f>IF($B40=0,"",_xlfn.XLOOKUP($B40,INPUT_DATA!$CQ:$CQ,INPUT_DATA!DB:DB))</f>
        <v/>
      </c>
      <c r="P40" s="1255" t="str">
        <f>IF($B40=0,"",_xlfn.XLOOKUP($B40,INPUT_DATA!$CQ:$CQ,INPUT_DATA!DC:DC))</f>
        <v/>
      </c>
      <c r="Q40" s="255" t="str">
        <f>IF($B40=0,"",_xlfn.XLOOKUP($B40,INPUT_DATA!$CQ:$CQ,INPUT_DATA!DD:DD))</f>
        <v/>
      </c>
      <c r="R40" s="1255" t="str">
        <f>IF($B40=0,"",_xlfn.XLOOKUP($B40,INPUT_DATA!$CQ:$CQ,INPUT_DATA!DE:DE))</f>
        <v/>
      </c>
      <c r="S40" s="255" t="str">
        <f>IF($B40=0,"",_xlfn.XLOOKUP($B40,INPUT_DATA!$CQ:$CQ,INPUT_DATA!DF:DF))</f>
        <v/>
      </c>
      <c r="T40" s="1255" t="str">
        <f>IF($B40=0,"",_xlfn.XLOOKUP($B40,INPUT_DATA!$CQ:$CQ,INPUT_DATA!DG:DG))</f>
        <v/>
      </c>
      <c r="U40" s="255" t="str">
        <f>IF($B40=0,"",_xlfn.XLOOKUP($B40,INPUT_DATA!$CQ:$CQ,INPUT_DATA!DH:DH))</f>
        <v/>
      </c>
      <c r="V40" s="1255" t="str">
        <f>IF($B40=0,"",_xlfn.XLOOKUP($B40,INPUT_DATA!$CQ:$CQ,INPUT_DATA!DI:DI))</f>
        <v/>
      </c>
      <c r="W40" s="255" t="str">
        <f>IF($B40=0,"",_xlfn.XLOOKUP($B40,INPUT_DATA!$CQ:$CQ,INPUT_DATA!DJ:DJ))</f>
        <v/>
      </c>
      <c r="X40" s="1255" t="str">
        <f>IF($B40=0,"",_xlfn.XLOOKUP($B40,INPUT_DATA!$CQ:$CQ,INPUT_DATA!DK:DK))</f>
        <v/>
      </c>
      <c r="Y40" s="255" t="str">
        <f>IF($B40=0,"",_xlfn.XLOOKUP($B40,INPUT_DATA!$CQ:$CQ,INPUT_DATA!DL:DL))</f>
        <v/>
      </c>
      <c r="Z40" s="1255" t="str">
        <f>IF($B40=0,"",_xlfn.XLOOKUP($B40,INPUT_DATA!$CQ:$CQ,INPUT_DATA!DM:DM))</f>
        <v/>
      </c>
      <c r="AA40" s="255" t="str">
        <f>IF($B40=0,"",_xlfn.XLOOKUP($B40,INPUT_DATA!$CQ:$CQ,INPUT_DATA!DN:DN))</f>
        <v/>
      </c>
      <c r="AB40" s="1255" t="str">
        <f>IF($B40=0,"",_xlfn.XLOOKUP($B40,INPUT_DATA!$CQ:$CQ,INPUT_DATA!DO:DO))</f>
        <v/>
      </c>
      <c r="AC40" s="255" t="str">
        <f>IF($B40=0,"",_xlfn.XLOOKUP($B40,INPUT_DATA!$CQ:$CQ,INPUT_DATA!DP:DP))</f>
        <v/>
      </c>
      <c r="AD40" s="1255" t="str">
        <f>IF($B40=0,"",_xlfn.XLOOKUP($B40,INPUT_DATA!$CQ:$CQ,INPUT_DATA!DQ:DQ))</f>
        <v/>
      </c>
    </row>
    <row r="41" spans="2:30">
      <c r="B41" s="1202">
        <f>'02 - Monthly Asset Follow up'!B45</f>
        <v>0</v>
      </c>
      <c r="C41" s="255" t="str">
        <f t="shared" si="2"/>
        <v/>
      </c>
      <c r="D41" s="1255" t="str">
        <f t="shared" si="1"/>
        <v/>
      </c>
      <c r="E41" s="255" t="str">
        <f>IF($B41=0,"",_xlfn.XLOOKUP($B41,INPUT_DATA!$CQ:$CQ,INPUT_DATA!CR:CR))</f>
        <v/>
      </c>
      <c r="F41" s="1255" t="str">
        <f>IF($B41=0,"",_xlfn.XLOOKUP($B41,INPUT_DATA!$CQ:$CQ,INPUT_DATA!CS:CS))</f>
        <v/>
      </c>
      <c r="G41" s="255" t="str">
        <f>IF($B41=0,"",_xlfn.XLOOKUP($B41,INPUT_DATA!$CQ:$CQ,INPUT_DATA!CT:CT))</f>
        <v/>
      </c>
      <c r="H41" s="1255" t="str">
        <f>IF($B41=0,"",_xlfn.XLOOKUP($B41,INPUT_DATA!$CQ:$CQ,INPUT_DATA!CU:CU))</f>
        <v/>
      </c>
      <c r="I41" s="255" t="str">
        <f>IF($B41=0,"",_xlfn.XLOOKUP($B41,INPUT_DATA!$CQ:$CQ,INPUT_DATA!CV:CV))</f>
        <v/>
      </c>
      <c r="J41" s="1255" t="str">
        <f>IF($B41=0,"",_xlfn.XLOOKUP($B41,INPUT_DATA!$CQ:$CQ,INPUT_DATA!CW:CW))</f>
        <v/>
      </c>
      <c r="K41" s="255" t="str">
        <f>IF($B41=0,"",_xlfn.XLOOKUP($B41,INPUT_DATA!$CQ:$CQ,INPUT_DATA!CX:CX))</f>
        <v/>
      </c>
      <c r="L41" s="1255" t="str">
        <f>IF($B41=0,"",_xlfn.XLOOKUP($B41,INPUT_DATA!$CQ:$CQ,INPUT_DATA!CY:CY))</f>
        <v/>
      </c>
      <c r="M41" s="255" t="str">
        <f>IF($B41=0,"",_xlfn.XLOOKUP($B41,INPUT_DATA!$CQ:$CQ,INPUT_DATA!CZ:CZ))</f>
        <v/>
      </c>
      <c r="N41" s="1255" t="str">
        <f>IF($B41=0,"",_xlfn.XLOOKUP($B41,INPUT_DATA!$CQ:$CQ,INPUT_DATA!DA:DA))</f>
        <v/>
      </c>
      <c r="O41" s="255" t="str">
        <f>IF($B41=0,"",_xlfn.XLOOKUP($B41,INPUT_DATA!$CQ:$CQ,INPUT_DATA!DB:DB))</f>
        <v/>
      </c>
      <c r="P41" s="1255" t="str">
        <f>IF($B41=0,"",_xlfn.XLOOKUP($B41,INPUT_DATA!$CQ:$CQ,INPUT_DATA!DC:DC))</f>
        <v/>
      </c>
      <c r="Q41" s="255" t="str">
        <f>IF($B41=0,"",_xlfn.XLOOKUP($B41,INPUT_DATA!$CQ:$CQ,INPUT_DATA!DD:DD))</f>
        <v/>
      </c>
      <c r="R41" s="1255" t="str">
        <f>IF($B41=0,"",_xlfn.XLOOKUP($B41,INPUT_DATA!$CQ:$CQ,INPUT_DATA!DE:DE))</f>
        <v/>
      </c>
      <c r="S41" s="255" t="str">
        <f>IF($B41=0,"",_xlfn.XLOOKUP($B41,INPUT_DATA!$CQ:$CQ,INPUT_DATA!DF:DF))</f>
        <v/>
      </c>
      <c r="T41" s="1255" t="str">
        <f>IF($B41=0,"",_xlfn.XLOOKUP($B41,INPUT_DATA!$CQ:$CQ,INPUT_DATA!DG:DG))</f>
        <v/>
      </c>
      <c r="U41" s="255" t="str">
        <f>IF($B41=0,"",_xlfn.XLOOKUP($B41,INPUT_DATA!$CQ:$CQ,INPUT_DATA!DH:DH))</f>
        <v/>
      </c>
      <c r="V41" s="1255" t="str">
        <f>IF($B41=0,"",_xlfn.XLOOKUP($B41,INPUT_DATA!$CQ:$CQ,INPUT_DATA!DI:DI))</f>
        <v/>
      </c>
      <c r="W41" s="255" t="str">
        <f>IF($B41=0,"",_xlfn.XLOOKUP($B41,INPUT_DATA!$CQ:$CQ,INPUT_DATA!DJ:DJ))</f>
        <v/>
      </c>
      <c r="X41" s="1255" t="str">
        <f>IF($B41=0,"",_xlfn.XLOOKUP($B41,INPUT_DATA!$CQ:$CQ,INPUT_DATA!DK:DK))</f>
        <v/>
      </c>
      <c r="Y41" s="255" t="str">
        <f>IF($B41=0,"",_xlfn.XLOOKUP($B41,INPUT_DATA!$CQ:$CQ,INPUT_DATA!DL:DL))</f>
        <v/>
      </c>
      <c r="Z41" s="1255" t="str">
        <f>IF($B41=0,"",_xlfn.XLOOKUP($B41,INPUT_DATA!$CQ:$CQ,INPUT_DATA!DM:DM))</f>
        <v/>
      </c>
      <c r="AA41" s="255" t="str">
        <f>IF($B41=0,"",_xlfn.XLOOKUP($B41,INPUT_DATA!$CQ:$CQ,INPUT_DATA!DN:DN))</f>
        <v/>
      </c>
      <c r="AB41" s="1255" t="str">
        <f>IF($B41=0,"",_xlfn.XLOOKUP($B41,INPUT_DATA!$CQ:$CQ,INPUT_DATA!DO:DO))</f>
        <v/>
      </c>
      <c r="AC41" s="255" t="str">
        <f>IF($B41=0,"",_xlfn.XLOOKUP($B41,INPUT_DATA!$CQ:$CQ,INPUT_DATA!DP:DP))</f>
        <v/>
      </c>
      <c r="AD41" s="1255" t="str">
        <f>IF($B41=0,"",_xlfn.XLOOKUP($B41,INPUT_DATA!$CQ:$CQ,INPUT_DATA!DQ:DQ))</f>
        <v/>
      </c>
    </row>
    <row r="42" spans="2:30">
      <c r="B42" s="1202">
        <f>'02 - Monthly Asset Follow up'!B46</f>
        <v>0</v>
      </c>
      <c r="C42" s="255" t="str">
        <f t="shared" si="2"/>
        <v/>
      </c>
      <c r="D42" s="1255" t="str">
        <f t="shared" si="1"/>
        <v/>
      </c>
      <c r="E42" s="255" t="str">
        <f>IF($B42=0,"",_xlfn.XLOOKUP($B42,INPUT_DATA!$CQ:$CQ,INPUT_DATA!CR:CR))</f>
        <v/>
      </c>
      <c r="F42" s="1255" t="str">
        <f>IF($B42=0,"",_xlfn.XLOOKUP($B42,INPUT_DATA!$CQ:$CQ,INPUT_DATA!CS:CS))</f>
        <v/>
      </c>
      <c r="G42" s="255" t="str">
        <f>IF($B42=0,"",_xlfn.XLOOKUP($B42,INPUT_DATA!$CQ:$CQ,INPUT_DATA!CT:CT))</f>
        <v/>
      </c>
      <c r="H42" s="1255" t="str">
        <f>IF($B42=0,"",_xlfn.XLOOKUP($B42,INPUT_DATA!$CQ:$CQ,INPUT_DATA!CU:CU))</f>
        <v/>
      </c>
      <c r="I42" s="255" t="str">
        <f>IF($B42=0,"",_xlfn.XLOOKUP($B42,INPUT_DATA!$CQ:$CQ,INPUT_DATA!CV:CV))</f>
        <v/>
      </c>
      <c r="J42" s="1255" t="str">
        <f>IF($B42=0,"",_xlfn.XLOOKUP($B42,INPUT_DATA!$CQ:$CQ,INPUT_DATA!CW:CW))</f>
        <v/>
      </c>
      <c r="K42" s="255" t="str">
        <f>IF($B42=0,"",_xlfn.XLOOKUP($B42,INPUT_DATA!$CQ:$CQ,INPUT_DATA!CX:CX))</f>
        <v/>
      </c>
      <c r="L42" s="1255" t="str">
        <f>IF($B42=0,"",_xlfn.XLOOKUP($B42,INPUT_DATA!$CQ:$CQ,INPUT_DATA!CY:CY))</f>
        <v/>
      </c>
      <c r="M42" s="255" t="str">
        <f>IF($B42=0,"",_xlfn.XLOOKUP($B42,INPUT_DATA!$CQ:$CQ,INPUT_DATA!CZ:CZ))</f>
        <v/>
      </c>
      <c r="N42" s="1255" t="str">
        <f>IF($B42=0,"",_xlfn.XLOOKUP($B42,INPUT_DATA!$CQ:$CQ,INPUT_DATA!DA:DA))</f>
        <v/>
      </c>
      <c r="O42" s="255" t="str">
        <f>IF($B42=0,"",_xlfn.XLOOKUP($B42,INPUT_DATA!$CQ:$CQ,INPUT_DATA!DB:DB))</f>
        <v/>
      </c>
      <c r="P42" s="1255" t="str">
        <f>IF($B42=0,"",_xlfn.XLOOKUP($B42,INPUT_DATA!$CQ:$CQ,INPUT_DATA!DC:DC))</f>
        <v/>
      </c>
      <c r="Q42" s="255" t="str">
        <f>IF($B42=0,"",_xlfn.XLOOKUP($B42,INPUT_DATA!$CQ:$CQ,INPUT_DATA!DD:DD))</f>
        <v/>
      </c>
      <c r="R42" s="1255" t="str">
        <f>IF($B42=0,"",_xlfn.XLOOKUP($B42,INPUT_DATA!$CQ:$CQ,INPUT_DATA!DE:DE))</f>
        <v/>
      </c>
      <c r="S42" s="255" t="str">
        <f>IF($B42=0,"",_xlfn.XLOOKUP($B42,INPUT_DATA!$CQ:$CQ,INPUT_DATA!DF:DF))</f>
        <v/>
      </c>
      <c r="T42" s="1255" t="str">
        <f>IF($B42=0,"",_xlfn.XLOOKUP($B42,INPUT_DATA!$CQ:$CQ,INPUT_DATA!DG:DG))</f>
        <v/>
      </c>
      <c r="U42" s="255" t="str">
        <f>IF($B42=0,"",_xlfn.XLOOKUP($B42,INPUT_DATA!$CQ:$CQ,INPUT_DATA!DH:DH))</f>
        <v/>
      </c>
      <c r="V42" s="1255" t="str">
        <f>IF($B42=0,"",_xlfn.XLOOKUP($B42,INPUT_DATA!$CQ:$CQ,INPUT_DATA!DI:DI))</f>
        <v/>
      </c>
      <c r="W42" s="255" t="str">
        <f>IF($B42=0,"",_xlfn.XLOOKUP($B42,INPUT_DATA!$CQ:$CQ,INPUT_DATA!DJ:DJ))</f>
        <v/>
      </c>
      <c r="X42" s="1255" t="str">
        <f>IF($B42=0,"",_xlfn.XLOOKUP($B42,INPUT_DATA!$CQ:$CQ,INPUT_DATA!DK:DK))</f>
        <v/>
      </c>
      <c r="Y42" s="255" t="str">
        <f>IF($B42=0,"",_xlfn.XLOOKUP($B42,INPUT_DATA!$CQ:$CQ,INPUT_DATA!DL:DL))</f>
        <v/>
      </c>
      <c r="Z42" s="1255" t="str">
        <f>IF($B42=0,"",_xlfn.XLOOKUP($B42,INPUT_DATA!$CQ:$CQ,INPUT_DATA!DM:DM))</f>
        <v/>
      </c>
      <c r="AA42" s="255" t="str">
        <f>IF($B42=0,"",_xlfn.XLOOKUP($B42,INPUT_DATA!$CQ:$CQ,INPUT_DATA!DN:DN))</f>
        <v/>
      </c>
      <c r="AB42" s="1255" t="str">
        <f>IF($B42=0,"",_xlfn.XLOOKUP($B42,INPUT_DATA!$CQ:$CQ,INPUT_DATA!DO:DO))</f>
        <v/>
      </c>
      <c r="AC42" s="255" t="str">
        <f>IF($B42=0,"",_xlfn.XLOOKUP($B42,INPUT_DATA!$CQ:$CQ,INPUT_DATA!DP:DP))</f>
        <v/>
      </c>
      <c r="AD42" s="1255" t="str">
        <f>IF($B42=0,"",_xlfn.XLOOKUP($B42,INPUT_DATA!$CQ:$CQ,INPUT_DATA!DQ:DQ))</f>
        <v/>
      </c>
    </row>
    <row r="43" spans="2:30">
      <c r="B43" s="1202">
        <f>'02 - Monthly Asset Follow up'!B47</f>
        <v>0</v>
      </c>
      <c r="C43" s="255" t="str">
        <f t="shared" si="2"/>
        <v/>
      </c>
      <c r="D43" s="1255" t="str">
        <f t="shared" si="1"/>
        <v/>
      </c>
      <c r="E43" s="255" t="str">
        <f>IF($B43=0,"",_xlfn.XLOOKUP($B43,INPUT_DATA!$CQ:$CQ,INPUT_DATA!CR:CR))</f>
        <v/>
      </c>
      <c r="F43" s="1255" t="str">
        <f>IF($B43=0,"",_xlfn.XLOOKUP($B43,INPUT_DATA!$CQ:$CQ,INPUT_DATA!CS:CS))</f>
        <v/>
      </c>
      <c r="G43" s="255" t="str">
        <f>IF($B43=0,"",_xlfn.XLOOKUP($B43,INPUT_DATA!$CQ:$CQ,INPUT_DATA!CT:CT))</f>
        <v/>
      </c>
      <c r="H43" s="1255" t="str">
        <f>IF($B43=0,"",_xlfn.XLOOKUP($B43,INPUT_DATA!$CQ:$CQ,INPUT_DATA!CU:CU))</f>
        <v/>
      </c>
      <c r="I43" s="255" t="str">
        <f>IF($B43=0,"",_xlfn.XLOOKUP($B43,INPUT_DATA!$CQ:$CQ,INPUT_DATA!CV:CV))</f>
        <v/>
      </c>
      <c r="J43" s="1255" t="str">
        <f>IF($B43=0,"",_xlfn.XLOOKUP($B43,INPUT_DATA!$CQ:$CQ,INPUT_DATA!CW:CW))</f>
        <v/>
      </c>
      <c r="K43" s="255" t="str">
        <f>IF($B43=0,"",_xlfn.XLOOKUP($B43,INPUT_DATA!$CQ:$CQ,INPUT_DATA!CX:CX))</f>
        <v/>
      </c>
      <c r="L43" s="1255" t="str">
        <f>IF($B43=0,"",_xlfn.XLOOKUP($B43,INPUT_DATA!$CQ:$CQ,INPUT_DATA!CY:CY))</f>
        <v/>
      </c>
      <c r="M43" s="255" t="str">
        <f>IF($B43=0,"",_xlfn.XLOOKUP($B43,INPUT_DATA!$CQ:$CQ,INPUT_DATA!CZ:CZ))</f>
        <v/>
      </c>
      <c r="N43" s="1255" t="str">
        <f>IF($B43=0,"",_xlfn.XLOOKUP($B43,INPUT_DATA!$CQ:$CQ,INPUT_DATA!DA:DA))</f>
        <v/>
      </c>
      <c r="O43" s="255" t="str">
        <f>IF($B43=0,"",_xlfn.XLOOKUP($B43,INPUT_DATA!$CQ:$CQ,INPUT_DATA!DB:DB))</f>
        <v/>
      </c>
      <c r="P43" s="1255" t="str">
        <f>IF($B43=0,"",_xlfn.XLOOKUP($B43,INPUT_DATA!$CQ:$CQ,INPUT_DATA!DC:DC))</f>
        <v/>
      </c>
      <c r="Q43" s="255" t="str">
        <f>IF($B43=0,"",_xlfn.XLOOKUP($B43,INPUT_DATA!$CQ:$CQ,INPUT_DATA!DD:DD))</f>
        <v/>
      </c>
      <c r="R43" s="1255" t="str">
        <f>IF($B43=0,"",_xlfn.XLOOKUP($B43,INPUT_DATA!$CQ:$CQ,INPUT_DATA!DE:DE))</f>
        <v/>
      </c>
      <c r="S43" s="255" t="str">
        <f>IF($B43=0,"",_xlfn.XLOOKUP($B43,INPUT_DATA!$CQ:$CQ,INPUT_DATA!DF:DF))</f>
        <v/>
      </c>
      <c r="T43" s="1255" t="str">
        <f>IF($B43=0,"",_xlfn.XLOOKUP($B43,INPUT_DATA!$CQ:$CQ,INPUT_DATA!DG:DG))</f>
        <v/>
      </c>
      <c r="U43" s="255" t="str">
        <f>IF($B43=0,"",_xlfn.XLOOKUP($B43,INPUT_DATA!$CQ:$CQ,INPUT_DATA!DH:DH))</f>
        <v/>
      </c>
      <c r="V43" s="1255" t="str">
        <f>IF($B43=0,"",_xlfn.XLOOKUP($B43,INPUT_DATA!$CQ:$CQ,INPUT_DATA!DI:DI))</f>
        <v/>
      </c>
      <c r="W43" s="255" t="str">
        <f>IF($B43=0,"",_xlfn.XLOOKUP($B43,INPUT_DATA!$CQ:$CQ,INPUT_DATA!DJ:DJ))</f>
        <v/>
      </c>
      <c r="X43" s="1255" t="str">
        <f>IF($B43=0,"",_xlfn.XLOOKUP($B43,INPUT_DATA!$CQ:$CQ,INPUT_DATA!DK:DK))</f>
        <v/>
      </c>
      <c r="Y43" s="255" t="str">
        <f>IF($B43=0,"",_xlfn.XLOOKUP($B43,INPUT_DATA!$CQ:$CQ,INPUT_DATA!DL:DL))</f>
        <v/>
      </c>
      <c r="Z43" s="1255" t="str">
        <f>IF($B43=0,"",_xlfn.XLOOKUP($B43,INPUT_DATA!$CQ:$CQ,INPUT_DATA!DM:DM))</f>
        <v/>
      </c>
      <c r="AA43" s="255" t="str">
        <f>IF($B43=0,"",_xlfn.XLOOKUP($B43,INPUT_DATA!$CQ:$CQ,INPUT_DATA!DN:DN))</f>
        <v/>
      </c>
      <c r="AB43" s="1255" t="str">
        <f>IF($B43=0,"",_xlfn.XLOOKUP($B43,INPUT_DATA!$CQ:$CQ,INPUT_DATA!DO:DO))</f>
        <v/>
      </c>
      <c r="AC43" s="255" t="str">
        <f>IF($B43=0,"",_xlfn.XLOOKUP($B43,INPUT_DATA!$CQ:$CQ,INPUT_DATA!DP:DP))</f>
        <v/>
      </c>
      <c r="AD43" s="1255" t="str">
        <f>IF($B43=0,"",_xlfn.XLOOKUP($B43,INPUT_DATA!$CQ:$CQ,INPUT_DATA!DQ:DQ))</f>
        <v/>
      </c>
    </row>
    <row r="44" spans="2:30">
      <c r="B44" s="1202">
        <f>'02 - Monthly Asset Follow up'!B48</f>
        <v>0</v>
      </c>
      <c r="C44" s="255" t="str">
        <f t="shared" si="2"/>
        <v/>
      </c>
      <c r="D44" s="1255" t="str">
        <f t="shared" si="1"/>
        <v/>
      </c>
      <c r="E44" s="255" t="str">
        <f>IF($B44=0,"",_xlfn.XLOOKUP($B44,INPUT_DATA!$CQ:$CQ,INPUT_DATA!CR:CR))</f>
        <v/>
      </c>
      <c r="F44" s="1255" t="str">
        <f>IF($B44=0,"",_xlfn.XLOOKUP($B44,INPUT_DATA!$CQ:$CQ,INPUT_DATA!CS:CS))</f>
        <v/>
      </c>
      <c r="G44" s="255" t="str">
        <f>IF($B44=0,"",_xlfn.XLOOKUP($B44,INPUT_DATA!$CQ:$CQ,INPUT_DATA!CT:CT))</f>
        <v/>
      </c>
      <c r="H44" s="1255" t="str">
        <f>IF($B44=0,"",_xlfn.XLOOKUP($B44,INPUT_DATA!$CQ:$CQ,INPUT_DATA!CU:CU))</f>
        <v/>
      </c>
      <c r="I44" s="255" t="str">
        <f>IF($B44=0,"",_xlfn.XLOOKUP($B44,INPUT_DATA!$CQ:$CQ,INPUT_DATA!CV:CV))</f>
        <v/>
      </c>
      <c r="J44" s="1255" t="str">
        <f>IF($B44=0,"",_xlfn.XLOOKUP($B44,INPUT_DATA!$CQ:$CQ,INPUT_DATA!CW:CW))</f>
        <v/>
      </c>
      <c r="K44" s="255" t="str">
        <f>IF($B44=0,"",_xlfn.XLOOKUP($B44,INPUT_DATA!$CQ:$CQ,INPUT_DATA!CX:CX))</f>
        <v/>
      </c>
      <c r="L44" s="1255" t="str">
        <f>IF($B44=0,"",_xlfn.XLOOKUP($B44,INPUT_DATA!$CQ:$CQ,INPUT_DATA!CY:CY))</f>
        <v/>
      </c>
      <c r="M44" s="255" t="str">
        <f>IF($B44=0,"",_xlfn.XLOOKUP($B44,INPUT_DATA!$CQ:$CQ,INPUT_DATA!CZ:CZ))</f>
        <v/>
      </c>
      <c r="N44" s="1255" t="str">
        <f>IF($B44=0,"",_xlfn.XLOOKUP($B44,INPUT_DATA!$CQ:$CQ,INPUT_DATA!DA:DA))</f>
        <v/>
      </c>
      <c r="O44" s="255" t="str">
        <f>IF($B44=0,"",_xlfn.XLOOKUP($B44,INPUT_DATA!$CQ:$CQ,INPUT_DATA!DB:DB))</f>
        <v/>
      </c>
      <c r="P44" s="1255" t="str">
        <f>IF($B44=0,"",_xlfn.XLOOKUP($B44,INPUT_DATA!$CQ:$CQ,INPUT_DATA!DC:DC))</f>
        <v/>
      </c>
      <c r="Q44" s="255" t="str">
        <f>IF($B44=0,"",_xlfn.XLOOKUP($B44,INPUT_DATA!$CQ:$CQ,INPUT_DATA!DD:DD))</f>
        <v/>
      </c>
      <c r="R44" s="1255" t="str">
        <f>IF($B44=0,"",_xlfn.XLOOKUP($B44,INPUT_DATA!$CQ:$CQ,INPUT_DATA!DE:DE))</f>
        <v/>
      </c>
      <c r="S44" s="255" t="str">
        <f>IF($B44=0,"",_xlfn.XLOOKUP($B44,INPUT_DATA!$CQ:$CQ,INPUT_DATA!DF:DF))</f>
        <v/>
      </c>
      <c r="T44" s="1255" t="str">
        <f>IF($B44=0,"",_xlfn.XLOOKUP($B44,INPUT_DATA!$CQ:$CQ,INPUT_DATA!DG:DG))</f>
        <v/>
      </c>
      <c r="U44" s="255" t="str">
        <f>IF($B44=0,"",_xlfn.XLOOKUP($B44,INPUT_DATA!$CQ:$CQ,INPUT_DATA!DH:DH))</f>
        <v/>
      </c>
      <c r="V44" s="1255" t="str">
        <f>IF($B44=0,"",_xlfn.XLOOKUP($B44,INPUT_DATA!$CQ:$CQ,INPUT_DATA!DI:DI))</f>
        <v/>
      </c>
      <c r="W44" s="255" t="str">
        <f>IF($B44=0,"",_xlfn.XLOOKUP($B44,INPUT_DATA!$CQ:$CQ,INPUT_DATA!DJ:DJ))</f>
        <v/>
      </c>
      <c r="X44" s="1255" t="str">
        <f>IF($B44=0,"",_xlfn.XLOOKUP($B44,INPUT_DATA!$CQ:$CQ,INPUT_DATA!DK:DK))</f>
        <v/>
      </c>
      <c r="Y44" s="255" t="str">
        <f>IF($B44=0,"",_xlfn.XLOOKUP($B44,INPUT_DATA!$CQ:$CQ,INPUT_DATA!DL:DL))</f>
        <v/>
      </c>
      <c r="Z44" s="1255" t="str">
        <f>IF($B44=0,"",_xlfn.XLOOKUP($B44,INPUT_DATA!$CQ:$CQ,INPUT_DATA!DM:DM))</f>
        <v/>
      </c>
      <c r="AA44" s="255" t="str">
        <f>IF($B44=0,"",_xlfn.XLOOKUP($B44,INPUT_DATA!$CQ:$CQ,INPUT_DATA!DN:DN))</f>
        <v/>
      </c>
      <c r="AB44" s="1255" t="str">
        <f>IF($B44=0,"",_xlfn.XLOOKUP($B44,INPUT_DATA!$CQ:$CQ,INPUT_DATA!DO:DO))</f>
        <v/>
      </c>
      <c r="AC44" s="255" t="str">
        <f>IF($B44=0,"",_xlfn.XLOOKUP($B44,INPUT_DATA!$CQ:$CQ,INPUT_DATA!DP:DP))</f>
        <v/>
      </c>
      <c r="AD44" s="1255" t="str">
        <f>IF($B44=0,"",_xlfn.XLOOKUP($B44,INPUT_DATA!$CQ:$CQ,INPUT_DATA!DQ:DQ))</f>
        <v/>
      </c>
    </row>
    <row r="45" spans="2:30">
      <c r="B45" s="1202">
        <f>'02 - Monthly Asset Follow up'!B49</f>
        <v>0</v>
      </c>
      <c r="C45" s="255" t="str">
        <f t="shared" si="2"/>
        <v/>
      </c>
      <c r="D45" s="1255" t="str">
        <f t="shared" si="1"/>
        <v/>
      </c>
      <c r="E45" s="255" t="str">
        <f>IF($B45=0,"",_xlfn.XLOOKUP($B45,INPUT_DATA!$CQ:$CQ,INPUT_DATA!CR:CR))</f>
        <v/>
      </c>
      <c r="F45" s="1255" t="str">
        <f>IF($B45=0,"",_xlfn.XLOOKUP($B45,INPUT_DATA!$CQ:$CQ,INPUT_DATA!CS:CS))</f>
        <v/>
      </c>
      <c r="G45" s="255" t="str">
        <f>IF($B45=0,"",_xlfn.XLOOKUP($B45,INPUT_DATA!$CQ:$CQ,INPUT_DATA!CT:CT))</f>
        <v/>
      </c>
      <c r="H45" s="1255" t="str">
        <f>IF($B45=0,"",_xlfn.XLOOKUP($B45,INPUT_DATA!$CQ:$CQ,INPUT_DATA!CU:CU))</f>
        <v/>
      </c>
      <c r="I45" s="255" t="str">
        <f>IF($B45=0,"",_xlfn.XLOOKUP($B45,INPUT_DATA!$CQ:$CQ,INPUT_DATA!CV:CV))</f>
        <v/>
      </c>
      <c r="J45" s="1255" t="str">
        <f>IF($B45=0,"",_xlfn.XLOOKUP($B45,INPUT_DATA!$CQ:$CQ,INPUT_DATA!CW:CW))</f>
        <v/>
      </c>
      <c r="K45" s="255" t="str">
        <f>IF($B45=0,"",_xlfn.XLOOKUP($B45,INPUT_DATA!$CQ:$CQ,INPUT_DATA!CX:CX))</f>
        <v/>
      </c>
      <c r="L45" s="1255" t="str">
        <f>IF($B45=0,"",_xlfn.XLOOKUP($B45,INPUT_DATA!$CQ:$CQ,INPUT_DATA!CY:CY))</f>
        <v/>
      </c>
      <c r="M45" s="255" t="str">
        <f>IF($B45=0,"",_xlfn.XLOOKUP($B45,INPUT_DATA!$CQ:$CQ,INPUT_DATA!CZ:CZ))</f>
        <v/>
      </c>
      <c r="N45" s="1255" t="str">
        <f>IF($B45=0,"",_xlfn.XLOOKUP($B45,INPUT_DATA!$CQ:$CQ,INPUT_DATA!DA:DA))</f>
        <v/>
      </c>
      <c r="O45" s="255" t="str">
        <f>IF($B45=0,"",_xlfn.XLOOKUP($B45,INPUT_DATA!$CQ:$CQ,INPUT_DATA!DB:DB))</f>
        <v/>
      </c>
      <c r="P45" s="1255" t="str">
        <f>IF($B45=0,"",_xlfn.XLOOKUP($B45,INPUT_DATA!$CQ:$CQ,INPUT_DATA!DC:DC))</f>
        <v/>
      </c>
      <c r="Q45" s="255" t="str">
        <f>IF($B45=0,"",_xlfn.XLOOKUP($B45,INPUT_DATA!$CQ:$CQ,INPUT_DATA!DD:DD))</f>
        <v/>
      </c>
      <c r="R45" s="1255" t="str">
        <f>IF($B45=0,"",_xlfn.XLOOKUP($B45,INPUT_DATA!$CQ:$CQ,INPUT_DATA!DE:DE))</f>
        <v/>
      </c>
      <c r="S45" s="255" t="str">
        <f>IF($B45=0,"",_xlfn.XLOOKUP($B45,INPUT_DATA!$CQ:$CQ,INPUT_DATA!DF:DF))</f>
        <v/>
      </c>
      <c r="T45" s="1255" t="str">
        <f>IF($B45=0,"",_xlfn.XLOOKUP($B45,INPUT_DATA!$CQ:$CQ,INPUT_DATA!DG:DG))</f>
        <v/>
      </c>
      <c r="U45" s="255" t="str">
        <f>IF($B45=0,"",_xlfn.XLOOKUP($B45,INPUT_DATA!$CQ:$CQ,INPUT_DATA!DH:DH))</f>
        <v/>
      </c>
      <c r="V45" s="1255" t="str">
        <f>IF($B45=0,"",_xlfn.XLOOKUP($B45,INPUT_DATA!$CQ:$CQ,INPUT_DATA!DI:DI))</f>
        <v/>
      </c>
      <c r="W45" s="255" t="str">
        <f>IF($B45=0,"",_xlfn.XLOOKUP($B45,INPUT_DATA!$CQ:$CQ,INPUT_DATA!DJ:DJ))</f>
        <v/>
      </c>
      <c r="X45" s="1255" t="str">
        <f>IF($B45=0,"",_xlfn.XLOOKUP($B45,INPUT_DATA!$CQ:$CQ,INPUT_DATA!DK:DK))</f>
        <v/>
      </c>
      <c r="Y45" s="255" t="str">
        <f>IF($B45=0,"",_xlfn.XLOOKUP($B45,INPUT_DATA!$CQ:$CQ,INPUT_DATA!DL:DL))</f>
        <v/>
      </c>
      <c r="Z45" s="1255" t="str">
        <f>IF($B45=0,"",_xlfn.XLOOKUP($B45,INPUT_DATA!$CQ:$CQ,INPUT_DATA!DM:DM))</f>
        <v/>
      </c>
      <c r="AA45" s="255" t="str">
        <f>IF($B45=0,"",_xlfn.XLOOKUP($B45,INPUT_DATA!$CQ:$CQ,INPUT_DATA!DN:DN))</f>
        <v/>
      </c>
      <c r="AB45" s="1255" t="str">
        <f>IF($B45=0,"",_xlfn.XLOOKUP($B45,INPUT_DATA!$CQ:$CQ,INPUT_DATA!DO:DO))</f>
        <v/>
      </c>
      <c r="AC45" s="255" t="str">
        <f>IF($B45=0,"",_xlfn.XLOOKUP($B45,INPUT_DATA!$CQ:$CQ,INPUT_DATA!DP:DP))</f>
        <v/>
      </c>
      <c r="AD45" s="1255" t="str">
        <f>IF($B45=0,"",_xlfn.XLOOKUP($B45,INPUT_DATA!$CQ:$CQ,INPUT_DATA!DQ:DQ))</f>
        <v/>
      </c>
    </row>
    <row r="46" spans="2:30">
      <c r="B46" s="1202">
        <f>'02 - Monthly Asset Follow up'!B50</f>
        <v>0</v>
      </c>
      <c r="C46" s="255" t="str">
        <f t="shared" si="2"/>
        <v/>
      </c>
      <c r="D46" s="1255" t="str">
        <f t="shared" si="1"/>
        <v/>
      </c>
      <c r="E46" s="255" t="str">
        <f>IF($B46=0,"",_xlfn.XLOOKUP($B46,INPUT_DATA!$CQ:$CQ,INPUT_DATA!CR:CR))</f>
        <v/>
      </c>
      <c r="F46" s="1255" t="str">
        <f>IF($B46=0,"",_xlfn.XLOOKUP($B46,INPUT_DATA!$CQ:$CQ,INPUT_DATA!CS:CS))</f>
        <v/>
      </c>
      <c r="G46" s="255" t="str">
        <f>IF($B46=0,"",_xlfn.XLOOKUP($B46,INPUT_DATA!$CQ:$CQ,INPUT_DATA!CT:CT))</f>
        <v/>
      </c>
      <c r="H46" s="1255" t="str">
        <f>IF($B46=0,"",_xlfn.XLOOKUP($B46,INPUT_DATA!$CQ:$CQ,INPUT_DATA!CU:CU))</f>
        <v/>
      </c>
      <c r="I46" s="255" t="str">
        <f>IF($B46=0,"",_xlfn.XLOOKUP($B46,INPUT_DATA!$CQ:$CQ,INPUT_DATA!CV:CV))</f>
        <v/>
      </c>
      <c r="J46" s="1255" t="str">
        <f>IF($B46=0,"",_xlfn.XLOOKUP($B46,INPUT_DATA!$CQ:$CQ,INPUT_DATA!CW:CW))</f>
        <v/>
      </c>
      <c r="K46" s="255" t="str">
        <f>IF($B46=0,"",_xlfn.XLOOKUP($B46,INPUT_DATA!$CQ:$CQ,INPUT_DATA!CX:CX))</f>
        <v/>
      </c>
      <c r="L46" s="1255" t="str">
        <f>IF($B46=0,"",_xlfn.XLOOKUP($B46,INPUT_DATA!$CQ:$CQ,INPUT_DATA!CY:CY))</f>
        <v/>
      </c>
      <c r="M46" s="255" t="str">
        <f>IF($B46=0,"",_xlfn.XLOOKUP($B46,INPUT_DATA!$CQ:$CQ,INPUT_DATA!CZ:CZ))</f>
        <v/>
      </c>
      <c r="N46" s="1255" t="str">
        <f>IF($B46=0,"",_xlfn.XLOOKUP($B46,INPUT_DATA!$CQ:$CQ,INPUT_DATA!DA:DA))</f>
        <v/>
      </c>
      <c r="O46" s="255" t="str">
        <f>IF($B46=0,"",_xlfn.XLOOKUP($B46,INPUT_DATA!$CQ:$CQ,INPUT_DATA!DB:DB))</f>
        <v/>
      </c>
      <c r="P46" s="1255" t="str">
        <f>IF($B46=0,"",_xlfn.XLOOKUP($B46,INPUT_DATA!$CQ:$CQ,INPUT_DATA!DC:DC))</f>
        <v/>
      </c>
      <c r="Q46" s="255" t="str">
        <f>IF($B46=0,"",_xlfn.XLOOKUP($B46,INPUT_DATA!$CQ:$CQ,INPUT_DATA!DD:DD))</f>
        <v/>
      </c>
      <c r="R46" s="1255" t="str">
        <f>IF($B46=0,"",_xlfn.XLOOKUP($B46,INPUT_DATA!$CQ:$CQ,INPUT_DATA!DE:DE))</f>
        <v/>
      </c>
      <c r="S46" s="255" t="str">
        <f>IF($B46=0,"",_xlfn.XLOOKUP($B46,INPUT_DATA!$CQ:$CQ,INPUT_DATA!DF:DF))</f>
        <v/>
      </c>
      <c r="T46" s="1255" t="str">
        <f>IF($B46=0,"",_xlfn.XLOOKUP($B46,INPUT_DATA!$CQ:$CQ,INPUT_DATA!DG:DG))</f>
        <v/>
      </c>
      <c r="U46" s="255" t="str">
        <f>IF($B46=0,"",_xlfn.XLOOKUP($B46,INPUT_DATA!$CQ:$CQ,INPUT_DATA!DH:DH))</f>
        <v/>
      </c>
      <c r="V46" s="1255" t="str">
        <f>IF($B46=0,"",_xlfn.XLOOKUP($B46,INPUT_DATA!$CQ:$CQ,INPUT_DATA!DI:DI))</f>
        <v/>
      </c>
      <c r="W46" s="255" t="str">
        <f>IF($B46=0,"",_xlfn.XLOOKUP($B46,INPUT_DATA!$CQ:$CQ,INPUT_DATA!DJ:DJ))</f>
        <v/>
      </c>
      <c r="X46" s="1255" t="str">
        <f>IF($B46=0,"",_xlfn.XLOOKUP($B46,INPUT_DATA!$CQ:$CQ,INPUT_DATA!DK:DK))</f>
        <v/>
      </c>
      <c r="Y46" s="255" t="str">
        <f>IF($B46=0,"",_xlfn.XLOOKUP($B46,INPUT_DATA!$CQ:$CQ,INPUT_DATA!DL:DL))</f>
        <v/>
      </c>
      <c r="Z46" s="1255" t="str">
        <f>IF($B46=0,"",_xlfn.XLOOKUP($B46,INPUT_DATA!$CQ:$CQ,INPUT_DATA!DM:DM))</f>
        <v/>
      </c>
      <c r="AA46" s="255" t="str">
        <f>IF($B46=0,"",_xlfn.XLOOKUP($B46,INPUT_DATA!$CQ:$CQ,INPUT_DATA!DN:DN))</f>
        <v/>
      </c>
      <c r="AB46" s="1255" t="str">
        <f>IF($B46=0,"",_xlfn.XLOOKUP($B46,INPUT_DATA!$CQ:$CQ,INPUT_DATA!DO:DO))</f>
        <v/>
      </c>
      <c r="AC46" s="255" t="str">
        <f>IF($B46=0,"",_xlfn.XLOOKUP($B46,INPUT_DATA!$CQ:$CQ,INPUT_DATA!DP:DP))</f>
        <v/>
      </c>
      <c r="AD46" s="1255" t="str">
        <f>IF($B46=0,"",_xlfn.XLOOKUP($B46,INPUT_DATA!$CQ:$CQ,INPUT_DATA!DQ:DQ))</f>
        <v/>
      </c>
    </row>
    <row r="47" spans="2:30">
      <c r="B47" s="1202">
        <f>'02 - Monthly Asset Follow up'!B51</f>
        <v>0</v>
      </c>
      <c r="C47" s="255" t="str">
        <f t="shared" si="2"/>
        <v/>
      </c>
      <c r="D47" s="1255" t="str">
        <f t="shared" si="1"/>
        <v/>
      </c>
      <c r="E47" s="255" t="str">
        <f>IF($B47=0,"",_xlfn.XLOOKUP($B47,INPUT_DATA!$CQ:$CQ,INPUT_DATA!CR:CR))</f>
        <v/>
      </c>
      <c r="F47" s="1255" t="str">
        <f>IF($B47=0,"",_xlfn.XLOOKUP($B47,INPUT_DATA!$CQ:$CQ,INPUT_DATA!CS:CS))</f>
        <v/>
      </c>
      <c r="G47" s="255" t="str">
        <f>IF($B47=0,"",_xlfn.XLOOKUP($B47,INPUT_DATA!$CQ:$CQ,INPUT_DATA!CT:CT))</f>
        <v/>
      </c>
      <c r="H47" s="1255" t="str">
        <f>IF($B47=0,"",_xlfn.XLOOKUP($B47,INPUT_DATA!$CQ:$CQ,INPUT_DATA!CU:CU))</f>
        <v/>
      </c>
      <c r="I47" s="255" t="str">
        <f>IF($B47=0,"",_xlfn.XLOOKUP($B47,INPUT_DATA!$CQ:$CQ,INPUT_DATA!CV:CV))</f>
        <v/>
      </c>
      <c r="J47" s="1255" t="str">
        <f>IF($B47=0,"",_xlfn.XLOOKUP($B47,INPUT_DATA!$CQ:$CQ,INPUT_DATA!CW:CW))</f>
        <v/>
      </c>
      <c r="K47" s="255" t="str">
        <f>IF($B47=0,"",_xlfn.XLOOKUP($B47,INPUT_DATA!$CQ:$CQ,INPUT_DATA!CX:CX))</f>
        <v/>
      </c>
      <c r="L47" s="1255" t="str">
        <f>IF($B47=0,"",_xlfn.XLOOKUP($B47,INPUT_DATA!$CQ:$CQ,INPUT_DATA!CY:CY))</f>
        <v/>
      </c>
      <c r="M47" s="255" t="str">
        <f>IF($B47=0,"",_xlfn.XLOOKUP($B47,INPUT_DATA!$CQ:$CQ,INPUT_DATA!CZ:CZ))</f>
        <v/>
      </c>
      <c r="N47" s="1255" t="str">
        <f>IF($B47=0,"",_xlfn.XLOOKUP($B47,INPUT_DATA!$CQ:$CQ,INPUT_DATA!DA:DA))</f>
        <v/>
      </c>
      <c r="O47" s="255" t="str">
        <f>IF($B47=0,"",_xlfn.XLOOKUP($B47,INPUT_DATA!$CQ:$CQ,INPUT_DATA!DB:DB))</f>
        <v/>
      </c>
      <c r="P47" s="1255" t="str">
        <f>IF($B47=0,"",_xlfn.XLOOKUP($B47,INPUT_DATA!$CQ:$CQ,INPUT_DATA!DC:DC))</f>
        <v/>
      </c>
      <c r="Q47" s="255" t="str">
        <f>IF($B47=0,"",_xlfn.XLOOKUP($B47,INPUT_DATA!$CQ:$CQ,INPUT_DATA!DD:DD))</f>
        <v/>
      </c>
      <c r="R47" s="1255" t="str">
        <f>IF($B47=0,"",_xlfn.XLOOKUP($B47,INPUT_DATA!$CQ:$CQ,INPUT_DATA!DE:DE))</f>
        <v/>
      </c>
      <c r="S47" s="255" t="str">
        <f>IF($B47=0,"",_xlfn.XLOOKUP($B47,INPUT_DATA!$CQ:$CQ,INPUT_DATA!DF:DF))</f>
        <v/>
      </c>
      <c r="T47" s="1255" t="str">
        <f>IF($B47=0,"",_xlfn.XLOOKUP($B47,INPUT_DATA!$CQ:$CQ,INPUT_DATA!DG:DG))</f>
        <v/>
      </c>
      <c r="U47" s="255" t="str">
        <f>IF($B47=0,"",_xlfn.XLOOKUP($B47,INPUT_DATA!$CQ:$CQ,INPUT_DATA!DH:DH))</f>
        <v/>
      </c>
      <c r="V47" s="1255" t="str">
        <f>IF($B47=0,"",_xlfn.XLOOKUP($B47,INPUT_DATA!$CQ:$CQ,INPUT_DATA!DI:DI))</f>
        <v/>
      </c>
      <c r="W47" s="255" t="str">
        <f>IF($B47=0,"",_xlfn.XLOOKUP($B47,INPUT_DATA!$CQ:$CQ,INPUT_DATA!DJ:DJ))</f>
        <v/>
      </c>
      <c r="X47" s="1255" t="str">
        <f>IF($B47=0,"",_xlfn.XLOOKUP($B47,INPUT_DATA!$CQ:$CQ,INPUT_DATA!DK:DK))</f>
        <v/>
      </c>
      <c r="Y47" s="255" t="str">
        <f>IF($B47=0,"",_xlfn.XLOOKUP($B47,INPUT_DATA!$CQ:$CQ,INPUT_DATA!DL:DL))</f>
        <v/>
      </c>
      <c r="Z47" s="1255" t="str">
        <f>IF($B47=0,"",_xlfn.XLOOKUP($B47,INPUT_DATA!$CQ:$CQ,INPUT_DATA!DM:DM))</f>
        <v/>
      </c>
      <c r="AA47" s="255" t="str">
        <f>IF($B47=0,"",_xlfn.XLOOKUP($B47,INPUT_DATA!$CQ:$CQ,INPUT_DATA!DN:DN))</f>
        <v/>
      </c>
      <c r="AB47" s="1255" t="str">
        <f>IF($B47=0,"",_xlfn.XLOOKUP($B47,INPUT_DATA!$CQ:$CQ,INPUT_DATA!DO:DO))</f>
        <v/>
      </c>
      <c r="AC47" s="255" t="str">
        <f>IF($B47=0,"",_xlfn.XLOOKUP($B47,INPUT_DATA!$CQ:$CQ,INPUT_DATA!DP:DP))</f>
        <v/>
      </c>
      <c r="AD47" s="1255" t="str">
        <f>IF($B47=0,"",_xlfn.XLOOKUP($B47,INPUT_DATA!$CQ:$CQ,INPUT_DATA!DQ:DQ))</f>
        <v/>
      </c>
    </row>
    <row r="48" spans="2:30">
      <c r="B48" s="1202">
        <f>'02 - Monthly Asset Follow up'!B52</f>
        <v>0</v>
      </c>
      <c r="C48" s="255" t="str">
        <f t="shared" si="2"/>
        <v/>
      </c>
      <c r="D48" s="1255" t="str">
        <f t="shared" si="1"/>
        <v/>
      </c>
      <c r="E48" s="255" t="str">
        <f>IF($B48=0,"",_xlfn.XLOOKUP($B48,INPUT_DATA!$CQ:$CQ,INPUT_DATA!CR:CR))</f>
        <v/>
      </c>
      <c r="F48" s="1255" t="str">
        <f>IF($B48=0,"",_xlfn.XLOOKUP($B48,INPUT_DATA!$CQ:$CQ,INPUT_DATA!CS:CS))</f>
        <v/>
      </c>
      <c r="G48" s="255" t="str">
        <f>IF($B48=0,"",_xlfn.XLOOKUP($B48,INPUT_DATA!$CQ:$CQ,INPUT_DATA!CT:CT))</f>
        <v/>
      </c>
      <c r="H48" s="1255" t="str">
        <f>IF($B48=0,"",_xlfn.XLOOKUP($B48,INPUT_DATA!$CQ:$CQ,INPUT_DATA!CU:CU))</f>
        <v/>
      </c>
      <c r="I48" s="255" t="str">
        <f>IF($B48=0,"",_xlfn.XLOOKUP($B48,INPUT_DATA!$CQ:$CQ,INPUT_DATA!CV:CV))</f>
        <v/>
      </c>
      <c r="J48" s="1255" t="str">
        <f>IF($B48=0,"",_xlfn.XLOOKUP($B48,INPUT_DATA!$CQ:$CQ,INPUT_DATA!CW:CW))</f>
        <v/>
      </c>
      <c r="K48" s="255" t="str">
        <f>IF($B48=0,"",_xlfn.XLOOKUP($B48,INPUT_DATA!$CQ:$CQ,INPUT_DATA!CX:CX))</f>
        <v/>
      </c>
      <c r="L48" s="1255" t="str">
        <f>IF($B48=0,"",_xlfn.XLOOKUP($B48,INPUT_DATA!$CQ:$CQ,INPUT_DATA!CY:CY))</f>
        <v/>
      </c>
      <c r="M48" s="255" t="str">
        <f>IF($B48=0,"",_xlfn.XLOOKUP($B48,INPUT_DATA!$CQ:$CQ,INPUT_DATA!CZ:CZ))</f>
        <v/>
      </c>
      <c r="N48" s="1255" t="str">
        <f>IF($B48=0,"",_xlfn.XLOOKUP($B48,INPUT_DATA!$CQ:$CQ,INPUT_DATA!DA:DA))</f>
        <v/>
      </c>
      <c r="O48" s="255" t="str">
        <f>IF($B48=0,"",_xlfn.XLOOKUP($B48,INPUT_DATA!$CQ:$CQ,INPUT_DATA!DB:DB))</f>
        <v/>
      </c>
      <c r="P48" s="1255" t="str">
        <f>IF($B48=0,"",_xlfn.XLOOKUP($B48,INPUT_DATA!$CQ:$CQ,INPUT_DATA!DC:DC))</f>
        <v/>
      </c>
      <c r="Q48" s="255" t="str">
        <f>IF($B48=0,"",_xlfn.XLOOKUP($B48,INPUT_DATA!$CQ:$CQ,INPUT_DATA!DD:DD))</f>
        <v/>
      </c>
      <c r="R48" s="1255" t="str">
        <f>IF($B48=0,"",_xlfn.XLOOKUP($B48,INPUT_DATA!$CQ:$CQ,INPUT_DATA!DE:DE))</f>
        <v/>
      </c>
      <c r="S48" s="255" t="str">
        <f>IF($B48=0,"",_xlfn.XLOOKUP($B48,INPUT_DATA!$CQ:$CQ,INPUT_DATA!DF:DF))</f>
        <v/>
      </c>
      <c r="T48" s="1255" t="str">
        <f>IF($B48=0,"",_xlfn.XLOOKUP($B48,INPUT_DATA!$CQ:$CQ,INPUT_DATA!DG:DG))</f>
        <v/>
      </c>
      <c r="U48" s="255" t="str">
        <f>IF($B48=0,"",_xlfn.XLOOKUP($B48,INPUT_DATA!$CQ:$CQ,INPUT_DATA!DH:DH))</f>
        <v/>
      </c>
      <c r="V48" s="1255" t="str">
        <f>IF($B48=0,"",_xlfn.XLOOKUP($B48,INPUT_DATA!$CQ:$CQ,INPUT_DATA!DI:DI))</f>
        <v/>
      </c>
      <c r="W48" s="255" t="str">
        <f>IF($B48=0,"",_xlfn.XLOOKUP($B48,INPUT_DATA!$CQ:$CQ,INPUT_DATA!DJ:DJ))</f>
        <v/>
      </c>
      <c r="X48" s="1255" t="str">
        <f>IF($B48=0,"",_xlfn.XLOOKUP($B48,INPUT_DATA!$CQ:$CQ,INPUT_DATA!DK:DK))</f>
        <v/>
      </c>
      <c r="Y48" s="255" t="str">
        <f>IF($B48=0,"",_xlfn.XLOOKUP($B48,INPUT_DATA!$CQ:$CQ,INPUT_DATA!DL:DL))</f>
        <v/>
      </c>
      <c r="Z48" s="1255" t="str">
        <f>IF($B48=0,"",_xlfn.XLOOKUP($B48,INPUT_DATA!$CQ:$CQ,INPUT_DATA!DM:DM))</f>
        <v/>
      </c>
      <c r="AA48" s="255" t="str">
        <f>IF($B48=0,"",_xlfn.XLOOKUP($B48,INPUT_DATA!$CQ:$CQ,INPUT_DATA!DN:DN))</f>
        <v/>
      </c>
      <c r="AB48" s="1255" t="str">
        <f>IF($B48=0,"",_xlfn.XLOOKUP($B48,INPUT_DATA!$CQ:$CQ,INPUT_DATA!DO:DO))</f>
        <v/>
      </c>
      <c r="AC48" s="255" t="str">
        <f>IF($B48=0,"",_xlfn.XLOOKUP($B48,INPUT_DATA!$CQ:$CQ,INPUT_DATA!DP:DP))</f>
        <v/>
      </c>
      <c r="AD48" s="1255" t="str">
        <f>IF($B48=0,"",_xlfn.XLOOKUP($B48,INPUT_DATA!$CQ:$CQ,INPUT_DATA!DQ:DQ))</f>
        <v/>
      </c>
    </row>
    <row r="49" spans="2:30">
      <c r="B49" s="1202">
        <f>'02 - Monthly Asset Follow up'!B53</f>
        <v>0</v>
      </c>
      <c r="C49" s="255" t="str">
        <f t="shared" si="2"/>
        <v/>
      </c>
      <c r="D49" s="1255" t="str">
        <f t="shared" si="1"/>
        <v/>
      </c>
      <c r="E49" s="255" t="str">
        <f>IF($B49=0,"",_xlfn.XLOOKUP($B49,INPUT_DATA!$CQ:$CQ,INPUT_DATA!CR:CR))</f>
        <v/>
      </c>
      <c r="F49" s="1255" t="str">
        <f>IF($B49=0,"",_xlfn.XLOOKUP($B49,INPUT_DATA!$CQ:$CQ,INPUT_DATA!CS:CS))</f>
        <v/>
      </c>
      <c r="G49" s="255" t="str">
        <f>IF($B49=0,"",_xlfn.XLOOKUP($B49,INPUT_DATA!$CQ:$CQ,INPUT_DATA!CT:CT))</f>
        <v/>
      </c>
      <c r="H49" s="1255" t="str">
        <f>IF($B49=0,"",_xlfn.XLOOKUP($B49,INPUT_DATA!$CQ:$CQ,INPUT_DATA!CU:CU))</f>
        <v/>
      </c>
      <c r="I49" s="255" t="str">
        <f>IF($B49=0,"",_xlfn.XLOOKUP($B49,INPUT_DATA!$CQ:$CQ,INPUT_DATA!CV:CV))</f>
        <v/>
      </c>
      <c r="J49" s="1255" t="str">
        <f>IF($B49=0,"",_xlfn.XLOOKUP($B49,INPUT_DATA!$CQ:$CQ,INPUT_DATA!CW:CW))</f>
        <v/>
      </c>
      <c r="K49" s="255" t="str">
        <f>IF($B49=0,"",_xlfn.XLOOKUP($B49,INPUT_DATA!$CQ:$CQ,INPUT_DATA!CX:CX))</f>
        <v/>
      </c>
      <c r="L49" s="1255" t="str">
        <f>IF($B49=0,"",_xlfn.XLOOKUP($B49,INPUT_DATA!$CQ:$CQ,INPUT_DATA!CY:CY))</f>
        <v/>
      </c>
      <c r="M49" s="255" t="str">
        <f>IF($B49=0,"",_xlfn.XLOOKUP($B49,INPUT_DATA!$CQ:$CQ,INPUT_DATA!CZ:CZ))</f>
        <v/>
      </c>
      <c r="N49" s="1255" t="str">
        <f>IF($B49=0,"",_xlfn.XLOOKUP($B49,INPUT_DATA!$CQ:$CQ,INPUT_DATA!DA:DA))</f>
        <v/>
      </c>
      <c r="O49" s="255" t="str">
        <f>IF($B49=0,"",_xlfn.XLOOKUP($B49,INPUT_DATA!$CQ:$CQ,INPUT_DATA!DB:DB))</f>
        <v/>
      </c>
      <c r="P49" s="1255" t="str">
        <f>IF($B49=0,"",_xlfn.XLOOKUP($B49,INPUT_DATA!$CQ:$CQ,INPUT_DATA!DC:DC))</f>
        <v/>
      </c>
      <c r="Q49" s="255" t="str">
        <f>IF($B49=0,"",_xlfn.XLOOKUP($B49,INPUT_DATA!$CQ:$CQ,INPUT_DATA!DD:DD))</f>
        <v/>
      </c>
      <c r="R49" s="1255" t="str">
        <f>IF($B49=0,"",_xlfn.XLOOKUP($B49,INPUT_DATA!$CQ:$CQ,INPUT_DATA!DE:DE))</f>
        <v/>
      </c>
      <c r="S49" s="255" t="str">
        <f>IF($B49=0,"",_xlfn.XLOOKUP($B49,INPUT_DATA!$CQ:$CQ,INPUT_DATA!DF:DF))</f>
        <v/>
      </c>
      <c r="T49" s="1255" t="str">
        <f>IF($B49=0,"",_xlfn.XLOOKUP($B49,INPUT_DATA!$CQ:$CQ,INPUT_DATA!DG:DG))</f>
        <v/>
      </c>
      <c r="U49" s="255" t="str">
        <f>IF($B49=0,"",_xlfn.XLOOKUP($B49,INPUT_DATA!$CQ:$CQ,INPUT_DATA!DH:DH))</f>
        <v/>
      </c>
      <c r="V49" s="1255" t="str">
        <f>IF($B49=0,"",_xlfn.XLOOKUP($B49,INPUT_DATA!$CQ:$CQ,INPUT_DATA!DI:DI))</f>
        <v/>
      </c>
      <c r="W49" s="255" t="str">
        <f>IF($B49=0,"",_xlfn.XLOOKUP($B49,INPUT_DATA!$CQ:$CQ,INPUT_DATA!DJ:DJ))</f>
        <v/>
      </c>
      <c r="X49" s="1255" t="str">
        <f>IF($B49=0,"",_xlfn.XLOOKUP($B49,INPUT_DATA!$CQ:$CQ,INPUT_DATA!DK:DK))</f>
        <v/>
      </c>
      <c r="Y49" s="255" t="str">
        <f>IF($B49=0,"",_xlfn.XLOOKUP($B49,INPUT_DATA!$CQ:$CQ,INPUT_DATA!DL:DL))</f>
        <v/>
      </c>
      <c r="Z49" s="1255" t="str">
        <f>IF($B49=0,"",_xlfn.XLOOKUP($B49,INPUT_DATA!$CQ:$CQ,INPUT_DATA!DM:DM))</f>
        <v/>
      </c>
      <c r="AA49" s="255" t="str">
        <f>IF($B49=0,"",_xlfn.XLOOKUP($B49,INPUT_DATA!$CQ:$CQ,INPUT_DATA!DN:DN))</f>
        <v/>
      </c>
      <c r="AB49" s="1255" t="str">
        <f>IF($B49=0,"",_xlfn.XLOOKUP($B49,INPUT_DATA!$CQ:$CQ,INPUT_DATA!DO:DO))</f>
        <v/>
      </c>
      <c r="AC49" s="255" t="str">
        <f>IF($B49=0,"",_xlfn.XLOOKUP($B49,INPUT_DATA!$CQ:$CQ,INPUT_DATA!DP:DP))</f>
        <v/>
      </c>
      <c r="AD49" s="1255" t="str">
        <f>IF($B49=0,"",_xlfn.XLOOKUP($B49,INPUT_DATA!$CQ:$CQ,INPUT_DATA!DQ:DQ))</f>
        <v/>
      </c>
    </row>
    <row r="50" spans="2:30">
      <c r="B50" s="1202">
        <f>'02 - Monthly Asset Follow up'!B54</f>
        <v>0</v>
      </c>
      <c r="C50" s="255" t="str">
        <f t="shared" si="2"/>
        <v/>
      </c>
      <c r="D50" s="1255" t="str">
        <f t="shared" si="1"/>
        <v/>
      </c>
      <c r="E50" s="255" t="str">
        <f>IF($B50=0,"",_xlfn.XLOOKUP($B50,INPUT_DATA!$CQ:$CQ,INPUT_DATA!CR:CR))</f>
        <v/>
      </c>
      <c r="F50" s="1255" t="str">
        <f>IF($B50=0,"",_xlfn.XLOOKUP($B50,INPUT_DATA!$CQ:$CQ,INPUT_DATA!CS:CS))</f>
        <v/>
      </c>
      <c r="G50" s="255" t="str">
        <f>IF($B50=0,"",_xlfn.XLOOKUP($B50,INPUT_DATA!$CQ:$CQ,INPUT_DATA!CT:CT))</f>
        <v/>
      </c>
      <c r="H50" s="1255" t="str">
        <f>IF($B50=0,"",_xlfn.XLOOKUP($B50,INPUT_DATA!$CQ:$CQ,INPUT_DATA!CU:CU))</f>
        <v/>
      </c>
      <c r="I50" s="255" t="str">
        <f>IF($B50=0,"",_xlfn.XLOOKUP($B50,INPUT_DATA!$CQ:$CQ,INPUT_DATA!CV:CV))</f>
        <v/>
      </c>
      <c r="J50" s="1255" t="str">
        <f>IF($B50=0,"",_xlfn.XLOOKUP($B50,INPUT_DATA!$CQ:$CQ,INPUT_DATA!CW:CW))</f>
        <v/>
      </c>
      <c r="K50" s="255" t="str">
        <f>IF($B50=0,"",_xlfn.XLOOKUP($B50,INPUT_DATA!$CQ:$CQ,INPUT_DATA!CX:CX))</f>
        <v/>
      </c>
      <c r="L50" s="1255" t="str">
        <f>IF($B50=0,"",_xlfn.XLOOKUP($B50,INPUT_DATA!$CQ:$CQ,INPUT_DATA!CY:CY))</f>
        <v/>
      </c>
      <c r="M50" s="255" t="str">
        <f>IF($B50=0,"",_xlfn.XLOOKUP($B50,INPUT_DATA!$CQ:$CQ,INPUT_DATA!CZ:CZ))</f>
        <v/>
      </c>
      <c r="N50" s="1255" t="str">
        <f>IF($B50=0,"",_xlfn.XLOOKUP($B50,INPUT_DATA!$CQ:$CQ,INPUT_DATA!DA:DA))</f>
        <v/>
      </c>
      <c r="O50" s="255" t="str">
        <f>IF($B50=0,"",_xlfn.XLOOKUP($B50,INPUT_DATA!$CQ:$CQ,INPUT_DATA!DB:DB))</f>
        <v/>
      </c>
      <c r="P50" s="1255" t="str">
        <f>IF($B50=0,"",_xlfn.XLOOKUP($B50,INPUT_DATA!$CQ:$CQ,INPUT_DATA!DC:DC))</f>
        <v/>
      </c>
      <c r="Q50" s="255" t="str">
        <f>IF($B50=0,"",_xlfn.XLOOKUP($B50,INPUT_DATA!$CQ:$CQ,INPUT_DATA!DD:DD))</f>
        <v/>
      </c>
      <c r="R50" s="1255" t="str">
        <f>IF($B50=0,"",_xlfn.XLOOKUP($B50,INPUT_DATA!$CQ:$CQ,INPUT_DATA!DE:DE))</f>
        <v/>
      </c>
      <c r="S50" s="255" t="str">
        <f>IF($B50=0,"",_xlfn.XLOOKUP($B50,INPUT_DATA!$CQ:$CQ,INPUT_DATA!DF:DF))</f>
        <v/>
      </c>
      <c r="T50" s="1255" t="str">
        <f>IF($B50=0,"",_xlfn.XLOOKUP($B50,INPUT_DATA!$CQ:$CQ,INPUT_DATA!DG:DG))</f>
        <v/>
      </c>
      <c r="U50" s="255" t="str">
        <f>IF($B50=0,"",_xlfn.XLOOKUP($B50,INPUT_DATA!$CQ:$CQ,INPUT_DATA!DH:DH))</f>
        <v/>
      </c>
      <c r="V50" s="1255" t="str">
        <f>IF($B50=0,"",_xlfn.XLOOKUP($B50,INPUT_DATA!$CQ:$CQ,INPUT_DATA!DI:DI))</f>
        <v/>
      </c>
      <c r="W50" s="255" t="str">
        <f>IF($B50=0,"",_xlfn.XLOOKUP($B50,INPUT_DATA!$CQ:$CQ,INPUT_DATA!DJ:DJ))</f>
        <v/>
      </c>
      <c r="X50" s="1255" t="str">
        <f>IF($B50=0,"",_xlfn.XLOOKUP($B50,INPUT_DATA!$CQ:$CQ,INPUT_DATA!DK:DK))</f>
        <v/>
      </c>
      <c r="Y50" s="255" t="str">
        <f>IF($B50=0,"",_xlfn.XLOOKUP($B50,INPUT_DATA!$CQ:$CQ,INPUT_DATA!DL:DL))</f>
        <v/>
      </c>
      <c r="Z50" s="1255" t="str">
        <f>IF($B50=0,"",_xlfn.XLOOKUP($B50,INPUT_DATA!$CQ:$CQ,INPUT_DATA!DM:DM))</f>
        <v/>
      </c>
      <c r="AA50" s="255" t="str">
        <f>IF($B50=0,"",_xlfn.XLOOKUP($B50,INPUT_DATA!$CQ:$CQ,INPUT_DATA!DN:DN))</f>
        <v/>
      </c>
      <c r="AB50" s="1255" t="str">
        <f>IF($B50=0,"",_xlfn.XLOOKUP($B50,INPUT_DATA!$CQ:$CQ,INPUT_DATA!DO:DO))</f>
        <v/>
      </c>
      <c r="AC50" s="255" t="str">
        <f>IF($B50=0,"",_xlfn.XLOOKUP($B50,INPUT_DATA!$CQ:$CQ,INPUT_DATA!DP:DP))</f>
        <v/>
      </c>
      <c r="AD50" s="1255" t="str">
        <f>IF($B50=0,"",_xlfn.XLOOKUP($B50,INPUT_DATA!$CQ:$CQ,INPUT_DATA!DQ:DQ))</f>
        <v/>
      </c>
    </row>
    <row r="51" spans="2:30">
      <c r="B51" s="1202">
        <f>'02 - Monthly Asset Follow up'!B55</f>
        <v>0</v>
      </c>
      <c r="C51" s="255" t="str">
        <f t="shared" si="2"/>
        <v/>
      </c>
      <c r="D51" s="1255" t="str">
        <f t="shared" si="1"/>
        <v/>
      </c>
      <c r="E51" s="255" t="str">
        <f>IF($B51=0,"",_xlfn.XLOOKUP($B51,INPUT_DATA!$CQ:$CQ,INPUT_DATA!CR:CR))</f>
        <v/>
      </c>
      <c r="F51" s="1255" t="str">
        <f>IF($B51=0,"",_xlfn.XLOOKUP($B51,INPUT_DATA!$CQ:$CQ,INPUT_DATA!CS:CS))</f>
        <v/>
      </c>
      <c r="G51" s="255" t="str">
        <f>IF($B51=0,"",_xlfn.XLOOKUP($B51,INPUT_DATA!$CQ:$CQ,INPUT_DATA!CT:CT))</f>
        <v/>
      </c>
      <c r="H51" s="1255" t="str">
        <f>IF($B51=0,"",_xlfn.XLOOKUP($B51,INPUT_DATA!$CQ:$CQ,INPUT_DATA!CU:CU))</f>
        <v/>
      </c>
      <c r="I51" s="255" t="str">
        <f>IF($B51=0,"",_xlfn.XLOOKUP($B51,INPUT_DATA!$CQ:$CQ,INPUT_DATA!CV:CV))</f>
        <v/>
      </c>
      <c r="J51" s="1255" t="str">
        <f>IF($B51=0,"",_xlfn.XLOOKUP($B51,INPUT_DATA!$CQ:$CQ,INPUT_DATA!CW:CW))</f>
        <v/>
      </c>
      <c r="K51" s="255" t="str">
        <f>IF($B51=0,"",_xlfn.XLOOKUP($B51,INPUT_DATA!$CQ:$CQ,INPUT_DATA!CX:CX))</f>
        <v/>
      </c>
      <c r="L51" s="1255" t="str">
        <f>IF($B51=0,"",_xlfn.XLOOKUP($B51,INPUT_DATA!$CQ:$CQ,INPUT_DATA!CY:CY))</f>
        <v/>
      </c>
      <c r="M51" s="255" t="str">
        <f>IF($B51=0,"",_xlfn.XLOOKUP($B51,INPUT_DATA!$CQ:$CQ,INPUT_DATA!CZ:CZ))</f>
        <v/>
      </c>
      <c r="N51" s="1255" t="str">
        <f>IF($B51=0,"",_xlfn.XLOOKUP($B51,INPUT_DATA!$CQ:$CQ,INPUT_DATA!DA:DA))</f>
        <v/>
      </c>
      <c r="O51" s="255" t="str">
        <f>IF($B51=0,"",_xlfn.XLOOKUP($B51,INPUT_DATA!$CQ:$CQ,INPUT_DATA!DB:DB))</f>
        <v/>
      </c>
      <c r="P51" s="1255" t="str">
        <f>IF($B51=0,"",_xlfn.XLOOKUP($B51,INPUT_DATA!$CQ:$CQ,INPUT_DATA!DC:DC))</f>
        <v/>
      </c>
      <c r="Q51" s="255" t="str">
        <f>IF($B51=0,"",_xlfn.XLOOKUP($B51,INPUT_DATA!$CQ:$CQ,INPUT_DATA!DD:DD))</f>
        <v/>
      </c>
      <c r="R51" s="1255" t="str">
        <f>IF($B51=0,"",_xlfn.XLOOKUP($B51,INPUT_DATA!$CQ:$CQ,INPUT_DATA!DE:DE))</f>
        <v/>
      </c>
      <c r="S51" s="255" t="str">
        <f>IF($B51=0,"",_xlfn.XLOOKUP($B51,INPUT_DATA!$CQ:$CQ,INPUT_DATA!DF:DF))</f>
        <v/>
      </c>
      <c r="T51" s="1255" t="str">
        <f>IF($B51=0,"",_xlfn.XLOOKUP($B51,INPUT_DATA!$CQ:$CQ,INPUT_DATA!DG:DG))</f>
        <v/>
      </c>
      <c r="U51" s="255" t="str">
        <f>IF($B51=0,"",_xlfn.XLOOKUP($B51,INPUT_DATA!$CQ:$CQ,INPUT_DATA!DH:DH))</f>
        <v/>
      </c>
      <c r="V51" s="1255" t="str">
        <f>IF($B51=0,"",_xlfn.XLOOKUP($B51,INPUT_DATA!$CQ:$CQ,INPUT_DATA!DI:DI))</f>
        <v/>
      </c>
      <c r="W51" s="255" t="str">
        <f>IF($B51=0,"",_xlfn.XLOOKUP($B51,INPUT_DATA!$CQ:$CQ,INPUT_DATA!DJ:DJ))</f>
        <v/>
      </c>
      <c r="X51" s="1255" t="str">
        <f>IF($B51=0,"",_xlfn.XLOOKUP($B51,INPUT_DATA!$CQ:$CQ,INPUT_DATA!DK:DK))</f>
        <v/>
      </c>
      <c r="Y51" s="255" t="str">
        <f>IF($B51=0,"",_xlfn.XLOOKUP($B51,INPUT_DATA!$CQ:$CQ,INPUT_DATA!DL:DL))</f>
        <v/>
      </c>
      <c r="Z51" s="1255" t="str">
        <f>IF($B51=0,"",_xlfn.XLOOKUP($B51,INPUT_DATA!$CQ:$CQ,INPUT_DATA!DM:DM))</f>
        <v/>
      </c>
      <c r="AA51" s="255" t="str">
        <f>IF($B51=0,"",_xlfn.XLOOKUP($B51,INPUT_DATA!$CQ:$CQ,INPUT_DATA!DN:DN))</f>
        <v/>
      </c>
      <c r="AB51" s="1255" t="str">
        <f>IF($B51=0,"",_xlfn.XLOOKUP($B51,INPUT_DATA!$CQ:$CQ,INPUT_DATA!DO:DO))</f>
        <v/>
      </c>
      <c r="AC51" s="255" t="str">
        <f>IF($B51=0,"",_xlfn.XLOOKUP($B51,INPUT_DATA!$CQ:$CQ,INPUT_DATA!DP:DP))</f>
        <v/>
      </c>
      <c r="AD51" s="1255" t="str">
        <f>IF($B51=0,"",_xlfn.XLOOKUP($B51,INPUT_DATA!$CQ:$CQ,INPUT_DATA!DQ:DQ))</f>
        <v/>
      </c>
    </row>
    <row r="52" spans="2:30">
      <c r="B52" s="1202">
        <f>'02 - Monthly Asset Follow up'!B56</f>
        <v>0</v>
      </c>
      <c r="C52" s="255" t="str">
        <f t="shared" si="2"/>
        <v/>
      </c>
      <c r="D52" s="1255" t="str">
        <f t="shared" si="1"/>
        <v/>
      </c>
      <c r="E52" s="255" t="str">
        <f>IF($B52=0,"",_xlfn.XLOOKUP($B52,INPUT_DATA!$CQ:$CQ,INPUT_DATA!CR:CR))</f>
        <v/>
      </c>
      <c r="F52" s="1255" t="str">
        <f>IF($B52=0,"",_xlfn.XLOOKUP($B52,INPUT_DATA!$CQ:$CQ,INPUT_DATA!CS:CS))</f>
        <v/>
      </c>
      <c r="G52" s="255" t="str">
        <f>IF($B52=0,"",_xlfn.XLOOKUP($B52,INPUT_DATA!$CQ:$CQ,INPUT_DATA!CT:CT))</f>
        <v/>
      </c>
      <c r="H52" s="1255" t="str">
        <f>IF($B52=0,"",_xlfn.XLOOKUP($B52,INPUT_DATA!$CQ:$CQ,INPUT_DATA!CU:CU))</f>
        <v/>
      </c>
      <c r="I52" s="255" t="str">
        <f>IF($B52=0,"",_xlfn.XLOOKUP($B52,INPUT_DATA!$CQ:$CQ,INPUT_DATA!CV:CV))</f>
        <v/>
      </c>
      <c r="J52" s="1255" t="str">
        <f>IF($B52=0,"",_xlfn.XLOOKUP($B52,INPUT_DATA!$CQ:$CQ,INPUT_DATA!CW:CW))</f>
        <v/>
      </c>
      <c r="K52" s="255" t="str">
        <f>IF($B52=0,"",_xlfn.XLOOKUP($B52,INPUT_DATA!$CQ:$CQ,INPUT_DATA!CX:CX))</f>
        <v/>
      </c>
      <c r="L52" s="1255" t="str">
        <f>IF($B52=0,"",_xlfn.XLOOKUP($B52,INPUT_DATA!$CQ:$CQ,INPUT_DATA!CY:CY))</f>
        <v/>
      </c>
      <c r="M52" s="255" t="str">
        <f>IF($B52=0,"",_xlfn.XLOOKUP($B52,INPUT_DATA!$CQ:$CQ,INPUT_DATA!CZ:CZ))</f>
        <v/>
      </c>
      <c r="N52" s="1255" t="str">
        <f>IF($B52=0,"",_xlfn.XLOOKUP($B52,INPUT_DATA!$CQ:$CQ,INPUT_DATA!DA:DA))</f>
        <v/>
      </c>
      <c r="O52" s="255" t="str">
        <f>IF($B52=0,"",_xlfn.XLOOKUP($B52,INPUT_DATA!$CQ:$CQ,INPUT_DATA!DB:DB))</f>
        <v/>
      </c>
      <c r="P52" s="1255" t="str">
        <f>IF($B52=0,"",_xlfn.XLOOKUP($B52,INPUT_DATA!$CQ:$CQ,INPUT_DATA!DC:DC))</f>
        <v/>
      </c>
      <c r="Q52" s="255" t="str">
        <f>IF($B52=0,"",_xlfn.XLOOKUP($B52,INPUT_DATA!$CQ:$CQ,INPUT_DATA!DD:DD))</f>
        <v/>
      </c>
      <c r="R52" s="1255" t="str">
        <f>IF($B52=0,"",_xlfn.XLOOKUP($B52,INPUT_DATA!$CQ:$CQ,INPUT_DATA!DE:DE))</f>
        <v/>
      </c>
      <c r="S52" s="255" t="str">
        <f>IF($B52=0,"",_xlfn.XLOOKUP($B52,INPUT_DATA!$CQ:$CQ,INPUT_DATA!DF:DF))</f>
        <v/>
      </c>
      <c r="T52" s="1255" t="str">
        <f>IF($B52=0,"",_xlfn.XLOOKUP($B52,INPUT_DATA!$CQ:$CQ,INPUT_DATA!DG:DG))</f>
        <v/>
      </c>
      <c r="U52" s="255" t="str">
        <f>IF($B52=0,"",_xlfn.XLOOKUP($B52,INPUT_DATA!$CQ:$CQ,INPUT_DATA!DH:DH))</f>
        <v/>
      </c>
      <c r="V52" s="1255" t="str">
        <f>IF($B52=0,"",_xlfn.XLOOKUP($B52,INPUT_DATA!$CQ:$CQ,INPUT_DATA!DI:DI))</f>
        <v/>
      </c>
      <c r="W52" s="255" t="str">
        <f>IF($B52=0,"",_xlfn.XLOOKUP($B52,INPUT_DATA!$CQ:$CQ,INPUT_DATA!DJ:DJ))</f>
        <v/>
      </c>
      <c r="X52" s="1255" t="str">
        <f>IF($B52=0,"",_xlfn.XLOOKUP($B52,INPUT_DATA!$CQ:$CQ,INPUT_DATA!DK:DK))</f>
        <v/>
      </c>
      <c r="Y52" s="255" t="str">
        <f>IF($B52=0,"",_xlfn.XLOOKUP($B52,INPUT_DATA!$CQ:$CQ,INPUT_DATA!DL:DL))</f>
        <v/>
      </c>
      <c r="Z52" s="1255" t="str">
        <f>IF($B52=0,"",_xlfn.XLOOKUP($B52,INPUT_DATA!$CQ:$CQ,INPUT_DATA!DM:DM))</f>
        <v/>
      </c>
      <c r="AA52" s="255" t="str">
        <f>IF($B52=0,"",_xlfn.XLOOKUP($B52,INPUT_DATA!$CQ:$CQ,INPUT_DATA!DN:DN))</f>
        <v/>
      </c>
      <c r="AB52" s="1255" t="str">
        <f>IF($B52=0,"",_xlfn.XLOOKUP($B52,INPUT_DATA!$CQ:$CQ,INPUT_DATA!DO:DO))</f>
        <v/>
      </c>
      <c r="AC52" s="255" t="str">
        <f>IF($B52=0,"",_xlfn.XLOOKUP($B52,INPUT_DATA!$CQ:$CQ,INPUT_DATA!DP:DP))</f>
        <v/>
      </c>
      <c r="AD52" s="1255" t="str">
        <f>IF($B52=0,"",_xlfn.XLOOKUP($B52,INPUT_DATA!$CQ:$CQ,INPUT_DATA!DQ:DQ))</f>
        <v/>
      </c>
    </row>
    <row r="53" spans="2:30">
      <c r="B53" s="1202">
        <f>'02 - Monthly Asset Follow up'!B57</f>
        <v>0</v>
      </c>
      <c r="C53" s="255" t="str">
        <f t="shared" si="2"/>
        <v/>
      </c>
      <c r="D53" s="1255" t="str">
        <f t="shared" si="1"/>
        <v/>
      </c>
      <c r="E53" s="255" t="str">
        <f>IF($B53=0,"",_xlfn.XLOOKUP($B53,INPUT_DATA!$CQ:$CQ,INPUT_DATA!CR:CR))</f>
        <v/>
      </c>
      <c r="F53" s="1255" t="str">
        <f>IF($B53=0,"",_xlfn.XLOOKUP($B53,INPUT_DATA!$CQ:$CQ,INPUT_DATA!CS:CS))</f>
        <v/>
      </c>
      <c r="G53" s="255" t="str">
        <f>IF($B53=0,"",_xlfn.XLOOKUP($B53,INPUT_DATA!$CQ:$CQ,INPUT_DATA!CT:CT))</f>
        <v/>
      </c>
      <c r="H53" s="1255" t="str">
        <f>IF($B53=0,"",_xlfn.XLOOKUP($B53,INPUT_DATA!$CQ:$CQ,INPUT_DATA!CU:CU))</f>
        <v/>
      </c>
      <c r="I53" s="255" t="str">
        <f>IF($B53=0,"",_xlfn.XLOOKUP($B53,INPUT_DATA!$CQ:$CQ,INPUT_DATA!CV:CV))</f>
        <v/>
      </c>
      <c r="J53" s="1255" t="str">
        <f>IF($B53=0,"",_xlfn.XLOOKUP($B53,INPUT_DATA!$CQ:$CQ,INPUT_DATA!CW:CW))</f>
        <v/>
      </c>
      <c r="K53" s="255" t="str">
        <f>IF($B53=0,"",_xlfn.XLOOKUP($B53,INPUT_DATA!$CQ:$CQ,INPUT_DATA!CX:CX))</f>
        <v/>
      </c>
      <c r="L53" s="1255" t="str">
        <f>IF($B53=0,"",_xlfn.XLOOKUP($B53,INPUT_DATA!$CQ:$CQ,INPUT_DATA!CY:CY))</f>
        <v/>
      </c>
      <c r="M53" s="255" t="str">
        <f>IF($B53=0,"",_xlfn.XLOOKUP($B53,INPUT_DATA!$CQ:$CQ,INPUT_DATA!CZ:CZ))</f>
        <v/>
      </c>
      <c r="N53" s="1255" t="str">
        <f>IF($B53=0,"",_xlfn.XLOOKUP($B53,INPUT_DATA!$CQ:$CQ,INPUT_DATA!DA:DA))</f>
        <v/>
      </c>
      <c r="O53" s="255" t="str">
        <f>IF($B53=0,"",_xlfn.XLOOKUP($B53,INPUT_DATA!$CQ:$CQ,INPUT_DATA!DB:DB))</f>
        <v/>
      </c>
      <c r="P53" s="1255" t="str">
        <f>IF($B53=0,"",_xlfn.XLOOKUP($B53,INPUT_DATA!$CQ:$CQ,INPUT_DATA!DC:DC))</f>
        <v/>
      </c>
      <c r="Q53" s="255" t="str">
        <f>IF($B53=0,"",_xlfn.XLOOKUP($B53,INPUT_DATA!$CQ:$CQ,INPUT_DATA!DD:DD))</f>
        <v/>
      </c>
      <c r="R53" s="1255" t="str">
        <f>IF($B53=0,"",_xlfn.XLOOKUP($B53,INPUT_DATA!$CQ:$CQ,INPUT_DATA!DE:DE))</f>
        <v/>
      </c>
      <c r="S53" s="255" t="str">
        <f>IF($B53=0,"",_xlfn.XLOOKUP($B53,INPUT_DATA!$CQ:$CQ,INPUT_DATA!DF:DF))</f>
        <v/>
      </c>
      <c r="T53" s="1255" t="str">
        <f>IF($B53=0,"",_xlfn.XLOOKUP($B53,INPUT_DATA!$CQ:$CQ,INPUT_DATA!DG:DG))</f>
        <v/>
      </c>
      <c r="U53" s="255" t="str">
        <f>IF($B53=0,"",_xlfn.XLOOKUP($B53,INPUT_DATA!$CQ:$CQ,INPUT_DATA!DH:DH))</f>
        <v/>
      </c>
      <c r="V53" s="1255" t="str">
        <f>IF($B53=0,"",_xlfn.XLOOKUP($B53,INPUT_DATA!$CQ:$CQ,INPUT_DATA!DI:DI))</f>
        <v/>
      </c>
      <c r="W53" s="255" t="str">
        <f>IF($B53=0,"",_xlfn.XLOOKUP($B53,INPUT_DATA!$CQ:$CQ,INPUT_DATA!DJ:DJ))</f>
        <v/>
      </c>
      <c r="X53" s="1255" t="str">
        <f>IF($B53=0,"",_xlfn.XLOOKUP($B53,INPUT_DATA!$CQ:$CQ,INPUT_DATA!DK:DK))</f>
        <v/>
      </c>
      <c r="Y53" s="255" t="str">
        <f>IF($B53=0,"",_xlfn.XLOOKUP($B53,INPUT_DATA!$CQ:$CQ,INPUT_DATA!DL:DL))</f>
        <v/>
      </c>
      <c r="Z53" s="1255" t="str">
        <f>IF($B53=0,"",_xlfn.XLOOKUP($B53,INPUT_DATA!$CQ:$CQ,INPUT_DATA!DM:DM))</f>
        <v/>
      </c>
      <c r="AA53" s="255" t="str">
        <f>IF($B53=0,"",_xlfn.XLOOKUP($B53,INPUT_DATA!$CQ:$CQ,INPUT_DATA!DN:DN))</f>
        <v/>
      </c>
      <c r="AB53" s="1255" t="str">
        <f>IF($B53=0,"",_xlfn.XLOOKUP($B53,INPUT_DATA!$CQ:$CQ,INPUT_DATA!DO:DO))</f>
        <v/>
      </c>
      <c r="AC53" s="255" t="str">
        <f>IF($B53=0,"",_xlfn.XLOOKUP($B53,INPUT_DATA!$CQ:$CQ,INPUT_DATA!DP:DP))</f>
        <v/>
      </c>
      <c r="AD53" s="1255" t="str">
        <f>IF($B53=0,"",_xlfn.XLOOKUP($B53,INPUT_DATA!$CQ:$CQ,INPUT_DATA!DQ:DQ))</f>
        <v/>
      </c>
    </row>
    <row r="54" spans="2:30">
      <c r="B54" s="1202">
        <f>'02 - Monthly Asset Follow up'!B58</f>
        <v>0</v>
      </c>
      <c r="C54" s="255" t="str">
        <f t="shared" si="2"/>
        <v/>
      </c>
      <c r="D54" s="1255" t="str">
        <f t="shared" si="1"/>
        <v/>
      </c>
      <c r="E54" s="255" t="str">
        <f>IF($B54=0,"",_xlfn.XLOOKUP($B54,INPUT_DATA!$CQ:$CQ,INPUT_DATA!CR:CR))</f>
        <v/>
      </c>
      <c r="F54" s="1255" t="str">
        <f>IF($B54=0,"",_xlfn.XLOOKUP($B54,INPUT_DATA!$CQ:$CQ,INPUT_DATA!CS:CS))</f>
        <v/>
      </c>
      <c r="G54" s="255" t="str">
        <f>IF($B54=0,"",_xlfn.XLOOKUP($B54,INPUT_DATA!$CQ:$CQ,INPUT_DATA!CT:CT))</f>
        <v/>
      </c>
      <c r="H54" s="1255" t="str">
        <f>IF($B54=0,"",_xlfn.XLOOKUP($B54,INPUT_DATA!$CQ:$CQ,INPUT_DATA!CU:CU))</f>
        <v/>
      </c>
      <c r="I54" s="255" t="str">
        <f>IF($B54=0,"",_xlfn.XLOOKUP($B54,INPUT_DATA!$CQ:$CQ,INPUT_DATA!CV:CV))</f>
        <v/>
      </c>
      <c r="J54" s="1255" t="str">
        <f>IF($B54=0,"",_xlfn.XLOOKUP($B54,INPUT_DATA!$CQ:$CQ,INPUT_DATA!CW:CW))</f>
        <v/>
      </c>
      <c r="K54" s="255" t="str">
        <f>IF($B54=0,"",_xlfn.XLOOKUP($B54,INPUT_DATA!$CQ:$CQ,INPUT_DATA!CX:CX))</f>
        <v/>
      </c>
      <c r="L54" s="1255" t="str">
        <f>IF($B54=0,"",_xlfn.XLOOKUP($B54,INPUT_DATA!$CQ:$CQ,INPUT_DATA!CY:CY))</f>
        <v/>
      </c>
      <c r="M54" s="255" t="str">
        <f>IF($B54=0,"",_xlfn.XLOOKUP($B54,INPUT_DATA!$CQ:$CQ,INPUT_DATA!CZ:CZ))</f>
        <v/>
      </c>
      <c r="N54" s="1255" t="str">
        <f>IF($B54=0,"",_xlfn.XLOOKUP($B54,INPUT_DATA!$CQ:$CQ,INPUT_DATA!DA:DA))</f>
        <v/>
      </c>
      <c r="O54" s="255" t="str">
        <f>IF($B54=0,"",_xlfn.XLOOKUP($B54,INPUT_DATA!$CQ:$CQ,INPUT_DATA!DB:DB))</f>
        <v/>
      </c>
      <c r="P54" s="1255" t="str">
        <f>IF($B54=0,"",_xlfn.XLOOKUP($B54,INPUT_DATA!$CQ:$CQ,INPUT_DATA!DC:DC))</f>
        <v/>
      </c>
      <c r="Q54" s="255" t="str">
        <f>IF($B54=0,"",_xlfn.XLOOKUP($B54,INPUT_DATA!$CQ:$CQ,INPUT_DATA!DD:DD))</f>
        <v/>
      </c>
      <c r="R54" s="1255" t="str">
        <f>IF($B54=0,"",_xlfn.XLOOKUP($B54,INPUT_DATA!$CQ:$CQ,INPUT_DATA!DE:DE))</f>
        <v/>
      </c>
      <c r="S54" s="255" t="str">
        <f>IF($B54=0,"",_xlfn.XLOOKUP($B54,INPUT_DATA!$CQ:$CQ,INPUT_DATA!DF:DF))</f>
        <v/>
      </c>
      <c r="T54" s="1255" t="str">
        <f>IF($B54=0,"",_xlfn.XLOOKUP($B54,INPUT_DATA!$CQ:$CQ,INPUT_DATA!DG:DG))</f>
        <v/>
      </c>
      <c r="U54" s="255" t="str">
        <f>IF($B54=0,"",_xlfn.XLOOKUP($B54,INPUT_DATA!$CQ:$CQ,INPUT_DATA!DH:DH))</f>
        <v/>
      </c>
      <c r="V54" s="1255" t="str">
        <f>IF($B54=0,"",_xlfn.XLOOKUP($B54,INPUT_DATA!$CQ:$CQ,INPUT_DATA!DI:DI))</f>
        <v/>
      </c>
      <c r="W54" s="255" t="str">
        <f>IF($B54=0,"",_xlfn.XLOOKUP($B54,INPUT_DATA!$CQ:$CQ,INPUT_DATA!DJ:DJ))</f>
        <v/>
      </c>
      <c r="X54" s="1255" t="str">
        <f>IF($B54=0,"",_xlfn.XLOOKUP($B54,INPUT_DATA!$CQ:$CQ,INPUT_DATA!DK:DK))</f>
        <v/>
      </c>
      <c r="Y54" s="255" t="str">
        <f>IF($B54=0,"",_xlfn.XLOOKUP($B54,INPUT_DATA!$CQ:$CQ,INPUT_DATA!DL:DL))</f>
        <v/>
      </c>
      <c r="Z54" s="1255" t="str">
        <f>IF($B54=0,"",_xlfn.XLOOKUP($B54,INPUT_DATA!$CQ:$CQ,INPUT_DATA!DM:DM))</f>
        <v/>
      </c>
      <c r="AA54" s="255" t="str">
        <f>IF($B54=0,"",_xlfn.XLOOKUP($B54,INPUT_DATA!$CQ:$CQ,INPUT_DATA!DN:DN))</f>
        <v/>
      </c>
      <c r="AB54" s="1255" t="str">
        <f>IF($B54=0,"",_xlfn.XLOOKUP($B54,INPUT_DATA!$CQ:$CQ,INPUT_DATA!DO:DO))</f>
        <v/>
      </c>
      <c r="AC54" s="255" t="str">
        <f>IF($B54=0,"",_xlfn.XLOOKUP($B54,INPUT_DATA!$CQ:$CQ,INPUT_DATA!DP:DP))</f>
        <v/>
      </c>
      <c r="AD54" s="1255" t="str">
        <f>IF($B54=0,"",_xlfn.XLOOKUP($B54,INPUT_DATA!$CQ:$CQ,INPUT_DATA!DQ:DQ))</f>
        <v/>
      </c>
    </row>
    <row r="55" spans="2:30">
      <c r="B55" s="1202">
        <f>'02 - Monthly Asset Follow up'!B59</f>
        <v>0</v>
      </c>
      <c r="C55" s="255" t="str">
        <f t="shared" si="2"/>
        <v/>
      </c>
      <c r="D55" s="1255" t="str">
        <f t="shared" si="1"/>
        <v/>
      </c>
      <c r="E55" s="255" t="str">
        <f>IF($B55=0,"",_xlfn.XLOOKUP($B55,INPUT_DATA!$CQ:$CQ,INPUT_DATA!CR:CR))</f>
        <v/>
      </c>
      <c r="F55" s="1255" t="str">
        <f>IF($B55=0,"",_xlfn.XLOOKUP($B55,INPUT_DATA!$CQ:$CQ,INPUT_DATA!CS:CS))</f>
        <v/>
      </c>
      <c r="G55" s="255" t="str">
        <f>IF($B55=0,"",_xlfn.XLOOKUP($B55,INPUT_DATA!$CQ:$CQ,INPUT_DATA!CT:CT))</f>
        <v/>
      </c>
      <c r="H55" s="1255" t="str">
        <f>IF($B55=0,"",_xlfn.XLOOKUP($B55,INPUT_DATA!$CQ:$CQ,INPUT_DATA!CU:CU))</f>
        <v/>
      </c>
      <c r="I55" s="255" t="str">
        <f>IF($B55=0,"",_xlfn.XLOOKUP($B55,INPUT_DATA!$CQ:$CQ,INPUT_DATA!CV:CV))</f>
        <v/>
      </c>
      <c r="J55" s="1255" t="str">
        <f>IF($B55=0,"",_xlfn.XLOOKUP($B55,INPUT_DATA!$CQ:$CQ,INPUT_DATA!CW:CW))</f>
        <v/>
      </c>
      <c r="K55" s="255" t="str">
        <f>IF($B55=0,"",_xlfn.XLOOKUP($B55,INPUT_DATA!$CQ:$CQ,INPUT_DATA!CX:CX))</f>
        <v/>
      </c>
      <c r="L55" s="1255" t="str">
        <f>IF($B55=0,"",_xlfn.XLOOKUP($B55,INPUT_DATA!$CQ:$CQ,INPUT_DATA!CY:CY))</f>
        <v/>
      </c>
      <c r="M55" s="255" t="str">
        <f>IF($B55=0,"",_xlfn.XLOOKUP($B55,INPUT_DATA!$CQ:$CQ,INPUT_DATA!CZ:CZ))</f>
        <v/>
      </c>
      <c r="N55" s="1255" t="str">
        <f>IF($B55=0,"",_xlfn.XLOOKUP($B55,INPUT_DATA!$CQ:$CQ,INPUT_DATA!DA:DA))</f>
        <v/>
      </c>
      <c r="O55" s="255" t="str">
        <f>IF($B55=0,"",_xlfn.XLOOKUP($B55,INPUT_DATA!$CQ:$CQ,INPUT_DATA!DB:DB))</f>
        <v/>
      </c>
      <c r="P55" s="1255" t="str">
        <f>IF($B55=0,"",_xlfn.XLOOKUP($B55,INPUT_DATA!$CQ:$CQ,INPUT_DATA!DC:DC))</f>
        <v/>
      </c>
      <c r="Q55" s="255" t="str">
        <f>IF($B55=0,"",_xlfn.XLOOKUP($B55,INPUT_DATA!$CQ:$CQ,INPUT_DATA!DD:DD))</f>
        <v/>
      </c>
      <c r="R55" s="1255" t="str">
        <f>IF($B55=0,"",_xlfn.XLOOKUP($B55,INPUT_DATA!$CQ:$CQ,INPUT_DATA!DE:DE))</f>
        <v/>
      </c>
      <c r="S55" s="255" t="str">
        <f>IF($B55=0,"",_xlfn.XLOOKUP($B55,INPUT_DATA!$CQ:$CQ,INPUT_DATA!DF:DF))</f>
        <v/>
      </c>
      <c r="T55" s="1255" t="str">
        <f>IF($B55=0,"",_xlfn.XLOOKUP($B55,INPUT_DATA!$CQ:$CQ,INPUT_DATA!DG:DG))</f>
        <v/>
      </c>
      <c r="U55" s="255" t="str">
        <f>IF($B55=0,"",_xlfn.XLOOKUP($B55,INPUT_DATA!$CQ:$CQ,INPUT_DATA!DH:DH))</f>
        <v/>
      </c>
      <c r="V55" s="1255" t="str">
        <f>IF($B55=0,"",_xlfn.XLOOKUP($B55,INPUT_DATA!$CQ:$CQ,INPUT_DATA!DI:DI))</f>
        <v/>
      </c>
      <c r="W55" s="255" t="str">
        <f>IF($B55=0,"",_xlfn.XLOOKUP($B55,INPUT_DATA!$CQ:$CQ,INPUT_DATA!DJ:DJ))</f>
        <v/>
      </c>
      <c r="X55" s="1255" t="str">
        <f>IF($B55=0,"",_xlfn.XLOOKUP($B55,INPUT_DATA!$CQ:$CQ,INPUT_DATA!DK:DK))</f>
        <v/>
      </c>
      <c r="Y55" s="255" t="str">
        <f>IF($B55=0,"",_xlfn.XLOOKUP($B55,INPUT_DATA!$CQ:$CQ,INPUT_DATA!DL:DL))</f>
        <v/>
      </c>
      <c r="Z55" s="1255" t="str">
        <f>IF($B55=0,"",_xlfn.XLOOKUP($B55,INPUT_DATA!$CQ:$CQ,INPUT_DATA!DM:DM))</f>
        <v/>
      </c>
      <c r="AA55" s="255" t="str">
        <f>IF($B55=0,"",_xlfn.XLOOKUP($B55,INPUT_DATA!$CQ:$CQ,INPUT_DATA!DN:DN))</f>
        <v/>
      </c>
      <c r="AB55" s="1255" t="str">
        <f>IF($B55=0,"",_xlfn.XLOOKUP($B55,INPUT_DATA!$CQ:$CQ,INPUT_DATA!DO:DO))</f>
        <v/>
      </c>
      <c r="AC55" s="255" t="str">
        <f>IF($B55=0,"",_xlfn.XLOOKUP($B55,INPUT_DATA!$CQ:$CQ,INPUT_DATA!DP:DP))</f>
        <v/>
      </c>
      <c r="AD55" s="1255" t="str">
        <f>IF($B55=0,"",_xlfn.XLOOKUP($B55,INPUT_DATA!$CQ:$CQ,INPUT_DATA!DQ:DQ))</f>
        <v/>
      </c>
    </row>
    <row r="56" spans="2:30">
      <c r="B56" s="1202">
        <f>'02 - Monthly Asset Follow up'!B60</f>
        <v>0</v>
      </c>
      <c r="C56" s="255" t="str">
        <f t="shared" si="2"/>
        <v/>
      </c>
      <c r="D56" s="1255" t="str">
        <f t="shared" si="1"/>
        <v/>
      </c>
      <c r="E56" s="255" t="str">
        <f>IF($B56=0,"",_xlfn.XLOOKUP($B56,INPUT_DATA!$CQ:$CQ,INPUT_DATA!CR:CR))</f>
        <v/>
      </c>
      <c r="F56" s="1255" t="str">
        <f>IF($B56=0,"",_xlfn.XLOOKUP($B56,INPUT_DATA!$CQ:$CQ,INPUT_DATA!CS:CS))</f>
        <v/>
      </c>
      <c r="G56" s="255" t="str">
        <f>IF($B56=0,"",_xlfn.XLOOKUP($B56,INPUT_DATA!$CQ:$CQ,INPUT_DATA!CT:CT))</f>
        <v/>
      </c>
      <c r="H56" s="1255" t="str">
        <f>IF($B56=0,"",_xlfn.XLOOKUP($B56,INPUT_DATA!$CQ:$CQ,INPUT_DATA!CU:CU))</f>
        <v/>
      </c>
      <c r="I56" s="255" t="str">
        <f>IF($B56=0,"",_xlfn.XLOOKUP($B56,INPUT_DATA!$CQ:$CQ,INPUT_DATA!CV:CV))</f>
        <v/>
      </c>
      <c r="J56" s="1255" t="str">
        <f>IF($B56=0,"",_xlfn.XLOOKUP($B56,INPUT_DATA!$CQ:$CQ,INPUT_DATA!CW:CW))</f>
        <v/>
      </c>
      <c r="K56" s="255" t="str">
        <f>IF($B56=0,"",_xlfn.XLOOKUP($B56,INPUT_DATA!$CQ:$CQ,INPUT_DATA!CX:CX))</f>
        <v/>
      </c>
      <c r="L56" s="1255" t="str">
        <f>IF($B56=0,"",_xlfn.XLOOKUP($B56,INPUT_DATA!$CQ:$CQ,INPUT_DATA!CY:CY))</f>
        <v/>
      </c>
      <c r="M56" s="255" t="str">
        <f>IF($B56=0,"",_xlfn.XLOOKUP($B56,INPUT_DATA!$CQ:$CQ,INPUT_DATA!CZ:CZ))</f>
        <v/>
      </c>
      <c r="N56" s="1255" t="str">
        <f>IF($B56=0,"",_xlfn.XLOOKUP($B56,INPUT_DATA!$CQ:$CQ,INPUT_DATA!DA:DA))</f>
        <v/>
      </c>
      <c r="O56" s="255" t="str">
        <f>IF($B56=0,"",_xlfn.XLOOKUP($B56,INPUT_DATA!$CQ:$CQ,INPUT_DATA!DB:DB))</f>
        <v/>
      </c>
      <c r="P56" s="1255" t="str">
        <f>IF($B56=0,"",_xlfn.XLOOKUP($B56,INPUT_DATA!$CQ:$CQ,INPUT_DATA!DC:DC))</f>
        <v/>
      </c>
      <c r="Q56" s="255" t="str">
        <f>IF($B56=0,"",_xlfn.XLOOKUP($B56,INPUT_DATA!$CQ:$CQ,INPUT_DATA!DD:DD))</f>
        <v/>
      </c>
      <c r="R56" s="1255" t="str">
        <f>IF($B56=0,"",_xlfn.XLOOKUP($B56,INPUT_DATA!$CQ:$CQ,INPUT_DATA!DE:DE))</f>
        <v/>
      </c>
      <c r="S56" s="255" t="str">
        <f>IF($B56=0,"",_xlfn.XLOOKUP($B56,INPUT_DATA!$CQ:$CQ,INPUT_DATA!DF:DF))</f>
        <v/>
      </c>
      <c r="T56" s="1255" t="str">
        <f>IF($B56=0,"",_xlfn.XLOOKUP($B56,INPUT_DATA!$CQ:$CQ,INPUT_DATA!DG:DG))</f>
        <v/>
      </c>
      <c r="U56" s="255" t="str">
        <f>IF($B56=0,"",_xlfn.XLOOKUP($B56,INPUT_DATA!$CQ:$CQ,INPUT_DATA!DH:DH))</f>
        <v/>
      </c>
      <c r="V56" s="1255" t="str">
        <f>IF($B56=0,"",_xlfn.XLOOKUP($B56,INPUT_DATA!$CQ:$CQ,INPUT_DATA!DI:DI))</f>
        <v/>
      </c>
      <c r="W56" s="255" t="str">
        <f>IF($B56=0,"",_xlfn.XLOOKUP($B56,INPUT_DATA!$CQ:$CQ,INPUT_DATA!DJ:DJ))</f>
        <v/>
      </c>
      <c r="X56" s="1255" t="str">
        <f>IF($B56=0,"",_xlfn.XLOOKUP($B56,INPUT_DATA!$CQ:$CQ,INPUT_DATA!DK:DK))</f>
        <v/>
      </c>
      <c r="Y56" s="255" t="str">
        <f>IF($B56=0,"",_xlfn.XLOOKUP($B56,INPUT_DATA!$CQ:$CQ,INPUT_DATA!DL:DL))</f>
        <v/>
      </c>
      <c r="Z56" s="1255" t="str">
        <f>IF($B56=0,"",_xlfn.XLOOKUP($B56,INPUT_DATA!$CQ:$CQ,INPUT_DATA!DM:DM))</f>
        <v/>
      </c>
      <c r="AA56" s="255" t="str">
        <f>IF($B56=0,"",_xlfn.XLOOKUP($B56,INPUT_DATA!$CQ:$CQ,INPUT_DATA!DN:DN))</f>
        <v/>
      </c>
      <c r="AB56" s="1255" t="str">
        <f>IF($B56=0,"",_xlfn.XLOOKUP($B56,INPUT_DATA!$CQ:$CQ,INPUT_DATA!DO:DO))</f>
        <v/>
      </c>
      <c r="AC56" s="255" t="str">
        <f>IF($B56=0,"",_xlfn.XLOOKUP($B56,INPUT_DATA!$CQ:$CQ,INPUT_DATA!DP:DP))</f>
        <v/>
      </c>
      <c r="AD56" s="1255" t="str">
        <f>IF($B56=0,"",_xlfn.XLOOKUP($B56,INPUT_DATA!$CQ:$CQ,INPUT_DATA!DQ:DQ))</f>
        <v/>
      </c>
    </row>
    <row r="57" spans="2:30">
      <c r="B57" s="1202">
        <f>'02 - Monthly Asset Follow up'!B61</f>
        <v>0</v>
      </c>
      <c r="C57" s="255" t="str">
        <f t="shared" si="2"/>
        <v/>
      </c>
      <c r="D57" s="1255" t="str">
        <f t="shared" si="1"/>
        <v/>
      </c>
      <c r="E57" s="255" t="str">
        <f>IF($B57=0,"",_xlfn.XLOOKUP($B57,INPUT_DATA!$CQ:$CQ,INPUT_DATA!CR:CR))</f>
        <v/>
      </c>
      <c r="F57" s="1255" t="str">
        <f>IF($B57=0,"",_xlfn.XLOOKUP($B57,INPUT_DATA!$CQ:$CQ,INPUT_DATA!CS:CS))</f>
        <v/>
      </c>
      <c r="G57" s="255" t="str">
        <f>IF($B57=0,"",_xlfn.XLOOKUP($B57,INPUT_DATA!$CQ:$CQ,INPUT_DATA!CT:CT))</f>
        <v/>
      </c>
      <c r="H57" s="1255" t="str">
        <f>IF($B57=0,"",_xlfn.XLOOKUP($B57,INPUT_DATA!$CQ:$CQ,INPUT_DATA!CU:CU))</f>
        <v/>
      </c>
      <c r="I57" s="255" t="str">
        <f>IF($B57=0,"",_xlfn.XLOOKUP($B57,INPUT_DATA!$CQ:$CQ,INPUT_DATA!CV:CV))</f>
        <v/>
      </c>
      <c r="J57" s="1255" t="str">
        <f>IF($B57=0,"",_xlfn.XLOOKUP($B57,INPUT_DATA!$CQ:$CQ,INPUT_DATA!CW:CW))</f>
        <v/>
      </c>
      <c r="K57" s="255" t="str">
        <f>IF($B57=0,"",_xlfn.XLOOKUP($B57,INPUT_DATA!$CQ:$CQ,INPUT_DATA!CX:CX))</f>
        <v/>
      </c>
      <c r="L57" s="1255" t="str">
        <f>IF($B57=0,"",_xlfn.XLOOKUP($B57,INPUT_DATA!$CQ:$CQ,INPUT_DATA!CY:CY))</f>
        <v/>
      </c>
      <c r="M57" s="255" t="str">
        <f>IF($B57=0,"",_xlfn.XLOOKUP($B57,INPUT_DATA!$CQ:$CQ,INPUT_DATA!CZ:CZ))</f>
        <v/>
      </c>
      <c r="N57" s="1255" t="str">
        <f>IF($B57=0,"",_xlfn.XLOOKUP($B57,INPUT_DATA!$CQ:$CQ,INPUT_DATA!DA:DA))</f>
        <v/>
      </c>
      <c r="O57" s="255" t="str">
        <f>IF($B57=0,"",_xlfn.XLOOKUP($B57,INPUT_DATA!$CQ:$CQ,INPUT_DATA!DB:DB))</f>
        <v/>
      </c>
      <c r="P57" s="1255" t="str">
        <f>IF($B57=0,"",_xlfn.XLOOKUP($B57,INPUT_DATA!$CQ:$CQ,INPUT_DATA!DC:DC))</f>
        <v/>
      </c>
      <c r="Q57" s="255" t="str">
        <f>IF($B57=0,"",_xlfn.XLOOKUP($B57,INPUT_DATA!$CQ:$CQ,INPUT_DATA!DD:DD))</f>
        <v/>
      </c>
      <c r="R57" s="1255" t="str">
        <f>IF($B57=0,"",_xlfn.XLOOKUP($B57,INPUT_DATA!$CQ:$CQ,INPUT_DATA!DE:DE))</f>
        <v/>
      </c>
      <c r="S57" s="255" t="str">
        <f>IF($B57=0,"",_xlfn.XLOOKUP($B57,INPUT_DATA!$CQ:$CQ,INPUT_DATA!DF:DF))</f>
        <v/>
      </c>
      <c r="T57" s="1255" t="str">
        <f>IF($B57=0,"",_xlfn.XLOOKUP($B57,INPUT_DATA!$CQ:$CQ,INPUT_DATA!DG:DG))</f>
        <v/>
      </c>
      <c r="U57" s="255" t="str">
        <f>IF($B57=0,"",_xlfn.XLOOKUP($B57,INPUT_DATA!$CQ:$CQ,INPUT_DATA!DH:DH))</f>
        <v/>
      </c>
      <c r="V57" s="1255" t="str">
        <f>IF($B57=0,"",_xlfn.XLOOKUP($B57,INPUT_DATA!$CQ:$CQ,INPUT_DATA!DI:DI))</f>
        <v/>
      </c>
      <c r="W57" s="255" t="str">
        <f>IF($B57=0,"",_xlfn.XLOOKUP($B57,INPUT_DATA!$CQ:$CQ,INPUT_DATA!DJ:DJ))</f>
        <v/>
      </c>
      <c r="X57" s="1255" t="str">
        <f>IF($B57=0,"",_xlfn.XLOOKUP($B57,INPUT_DATA!$CQ:$CQ,INPUT_DATA!DK:DK))</f>
        <v/>
      </c>
      <c r="Y57" s="255" t="str">
        <f>IF($B57=0,"",_xlfn.XLOOKUP($B57,INPUT_DATA!$CQ:$CQ,INPUT_DATA!DL:DL))</f>
        <v/>
      </c>
      <c r="Z57" s="1255" t="str">
        <f>IF($B57=0,"",_xlfn.XLOOKUP($B57,INPUT_DATA!$CQ:$CQ,INPUT_DATA!DM:DM))</f>
        <v/>
      </c>
      <c r="AA57" s="255" t="str">
        <f>IF($B57=0,"",_xlfn.XLOOKUP($B57,INPUT_DATA!$CQ:$CQ,INPUT_DATA!DN:DN))</f>
        <v/>
      </c>
      <c r="AB57" s="1255" t="str">
        <f>IF($B57=0,"",_xlfn.XLOOKUP($B57,INPUT_DATA!$CQ:$CQ,INPUT_DATA!DO:DO))</f>
        <v/>
      </c>
      <c r="AC57" s="255" t="str">
        <f>IF($B57=0,"",_xlfn.XLOOKUP($B57,INPUT_DATA!$CQ:$CQ,INPUT_DATA!DP:DP))</f>
        <v/>
      </c>
      <c r="AD57" s="1255" t="str">
        <f>IF($B57=0,"",_xlfn.XLOOKUP($B57,INPUT_DATA!$CQ:$CQ,INPUT_DATA!DQ:DQ))</f>
        <v/>
      </c>
    </row>
    <row r="58" spans="2:30">
      <c r="B58" s="1202">
        <f>'02 - Monthly Asset Follow up'!B62</f>
        <v>0</v>
      </c>
      <c r="C58" s="255" t="str">
        <f t="shared" si="2"/>
        <v/>
      </c>
      <c r="D58" s="1255" t="str">
        <f t="shared" si="1"/>
        <v/>
      </c>
      <c r="E58" s="255" t="str">
        <f>IF($B58=0,"",_xlfn.XLOOKUP($B58,INPUT_DATA!$CQ:$CQ,INPUT_DATA!CR:CR))</f>
        <v/>
      </c>
      <c r="F58" s="1255" t="str">
        <f>IF($B58=0,"",_xlfn.XLOOKUP($B58,INPUT_DATA!$CQ:$CQ,INPUT_DATA!CS:CS))</f>
        <v/>
      </c>
      <c r="G58" s="255" t="str">
        <f>IF($B58=0,"",_xlfn.XLOOKUP($B58,INPUT_DATA!$CQ:$CQ,INPUT_DATA!CT:CT))</f>
        <v/>
      </c>
      <c r="H58" s="1255" t="str">
        <f>IF($B58=0,"",_xlfn.XLOOKUP($B58,INPUT_DATA!$CQ:$CQ,INPUT_DATA!CU:CU))</f>
        <v/>
      </c>
      <c r="I58" s="255" t="str">
        <f>IF($B58=0,"",_xlfn.XLOOKUP($B58,INPUT_DATA!$CQ:$CQ,INPUT_DATA!CV:CV))</f>
        <v/>
      </c>
      <c r="J58" s="1255" t="str">
        <f>IF($B58=0,"",_xlfn.XLOOKUP($B58,INPUT_DATA!$CQ:$CQ,INPUT_DATA!CW:CW))</f>
        <v/>
      </c>
      <c r="K58" s="255" t="str">
        <f>IF($B58=0,"",_xlfn.XLOOKUP($B58,INPUT_DATA!$CQ:$CQ,INPUT_DATA!CX:CX))</f>
        <v/>
      </c>
      <c r="L58" s="1255" t="str">
        <f>IF($B58=0,"",_xlfn.XLOOKUP($B58,INPUT_DATA!$CQ:$CQ,INPUT_DATA!CY:CY))</f>
        <v/>
      </c>
      <c r="M58" s="255" t="str">
        <f>IF($B58=0,"",_xlfn.XLOOKUP($B58,INPUT_DATA!$CQ:$CQ,INPUT_DATA!CZ:CZ))</f>
        <v/>
      </c>
      <c r="N58" s="1255" t="str">
        <f>IF($B58=0,"",_xlfn.XLOOKUP($B58,INPUT_DATA!$CQ:$CQ,INPUT_DATA!DA:DA))</f>
        <v/>
      </c>
      <c r="O58" s="255" t="str">
        <f>IF($B58=0,"",_xlfn.XLOOKUP($B58,INPUT_DATA!$CQ:$CQ,INPUT_DATA!DB:DB))</f>
        <v/>
      </c>
      <c r="P58" s="1255" t="str">
        <f>IF($B58=0,"",_xlfn.XLOOKUP($B58,INPUT_DATA!$CQ:$CQ,INPUT_DATA!DC:DC))</f>
        <v/>
      </c>
      <c r="Q58" s="255" t="str">
        <f>IF($B58=0,"",_xlfn.XLOOKUP($B58,INPUT_DATA!$CQ:$CQ,INPUT_DATA!DD:DD))</f>
        <v/>
      </c>
      <c r="R58" s="1255" t="str">
        <f>IF($B58=0,"",_xlfn.XLOOKUP($B58,INPUT_DATA!$CQ:$CQ,INPUT_DATA!DE:DE))</f>
        <v/>
      </c>
      <c r="S58" s="255" t="str">
        <f>IF($B58=0,"",_xlfn.XLOOKUP($B58,INPUT_DATA!$CQ:$CQ,INPUT_DATA!DF:DF))</f>
        <v/>
      </c>
      <c r="T58" s="1255" t="str">
        <f>IF($B58=0,"",_xlfn.XLOOKUP($B58,INPUT_DATA!$CQ:$CQ,INPUT_DATA!DG:DG))</f>
        <v/>
      </c>
      <c r="U58" s="255" t="str">
        <f>IF($B58=0,"",_xlfn.XLOOKUP($B58,INPUT_DATA!$CQ:$CQ,INPUT_DATA!DH:DH))</f>
        <v/>
      </c>
      <c r="V58" s="1255" t="str">
        <f>IF($B58=0,"",_xlfn.XLOOKUP($B58,INPUT_DATA!$CQ:$CQ,INPUT_DATA!DI:DI))</f>
        <v/>
      </c>
      <c r="W58" s="255" t="str">
        <f>IF($B58=0,"",_xlfn.XLOOKUP($B58,INPUT_DATA!$CQ:$CQ,INPUT_DATA!DJ:DJ))</f>
        <v/>
      </c>
      <c r="X58" s="1255" t="str">
        <f>IF($B58=0,"",_xlfn.XLOOKUP($B58,INPUT_DATA!$CQ:$CQ,INPUT_DATA!DK:DK))</f>
        <v/>
      </c>
      <c r="Y58" s="255" t="str">
        <f>IF($B58=0,"",_xlfn.XLOOKUP($B58,INPUT_DATA!$CQ:$CQ,INPUT_DATA!DL:DL))</f>
        <v/>
      </c>
      <c r="Z58" s="1255" t="str">
        <f>IF($B58=0,"",_xlfn.XLOOKUP($B58,INPUT_DATA!$CQ:$CQ,INPUT_DATA!DM:DM))</f>
        <v/>
      </c>
      <c r="AA58" s="255" t="str">
        <f>IF($B58=0,"",_xlfn.XLOOKUP($B58,INPUT_DATA!$CQ:$CQ,INPUT_DATA!DN:DN))</f>
        <v/>
      </c>
      <c r="AB58" s="1255" t="str">
        <f>IF($B58=0,"",_xlfn.XLOOKUP($B58,INPUT_DATA!$CQ:$CQ,INPUT_DATA!DO:DO))</f>
        <v/>
      </c>
      <c r="AC58" s="255" t="str">
        <f>IF($B58=0,"",_xlfn.XLOOKUP($B58,INPUT_DATA!$CQ:$CQ,INPUT_DATA!DP:DP))</f>
        <v/>
      </c>
      <c r="AD58" s="1255" t="str">
        <f>IF($B58=0,"",_xlfn.XLOOKUP($B58,INPUT_DATA!$CQ:$CQ,INPUT_DATA!DQ:DQ))</f>
        <v/>
      </c>
    </row>
    <row r="59" spans="2:30">
      <c r="B59" s="1202">
        <f>'02 - Monthly Asset Follow up'!B63</f>
        <v>0</v>
      </c>
      <c r="C59" s="255" t="str">
        <f t="shared" si="2"/>
        <v/>
      </c>
      <c r="D59" s="1255" t="str">
        <f t="shared" si="1"/>
        <v/>
      </c>
      <c r="E59" s="255" t="str">
        <f>IF($B59=0,"",_xlfn.XLOOKUP($B59,INPUT_DATA!$CQ:$CQ,INPUT_DATA!CR:CR))</f>
        <v/>
      </c>
      <c r="F59" s="1255" t="str">
        <f>IF($B59=0,"",_xlfn.XLOOKUP($B59,INPUT_DATA!$CQ:$CQ,INPUT_DATA!CS:CS))</f>
        <v/>
      </c>
      <c r="G59" s="255" t="str">
        <f>IF($B59=0,"",_xlfn.XLOOKUP($B59,INPUT_DATA!$CQ:$CQ,INPUT_DATA!CT:CT))</f>
        <v/>
      </c>
      <c r="H59" s="1255" t="str">
        <f>IF($B59=0,"",_xlfn.XLOOKUP($B59,INPUT_DATA!$CQ:$CQ,INPUT_DATA!CU:CU))</f>
        <v/>
      </c>
      <c r="I59" s="255" t="str">
        <f>IF($B59=0,"",_xlfn.XLOOKUP($B59,INPUT_DATA!$CQ:$CQ,INPUT_DATA!CV:CV))</f>
        <v/>
      </c>
      <c r="J59" s="1255" t="str">
        <f>IF($B59=0,"",_xlfn.XLOOKUP($B59,INPUT_DATA!$CQ:$CQ,INPUT_DATA!CW:CW))</f>
        <v/>
      </c>
      <c r="K59" s="255" t="str">
        <f>IF($B59=0,"",_xlfn.XLOOKUP($B59,INPUT_DATA!$CQ:$CQ,INPUT_DATA!CX:CX))</f>
        <v/>
      </c>
      <c r="L59" s="1255" t="str">
        <f>IF($B59=0,"",_xlfn.XLOOKUP($B59,INPUT_DATA!$CQ:$CQ,INPUT_DATA!CY:CY))</f>
        <v/>
      </c>
      <c r="M59" s="255" t="str">
        <f>IF($B59=0,"",_xlfn.XLOOKUP($B59,INPUT_DATA!$CQ:$CQ,INPUT_DATA!CZ:CZ))</f>
        <v/>
      </c>
      <c r="N59" s="1255" t="str">
        <f>IF($B59=0,"",_xlfn.XLOOKUP($B59,INPUT_DATA!$CQ:$CQ,INPUT_DATA!DA:DA))</f>
        <v/>
      </c>
      <c r="O59" s="255" t="str">
        <f>IF($B59=0,"",_xlfn.XLOOKUP($B59,INPUT_DATA!$CQ:$CQ,INPUT_DATA!DB:DB))</f>
        <v/>
      </c>
      <c r="P59" s="1255" t="str">
        <f>IF($B59=0,"",_xlfn.XLOOKUP($B59,INPUT_DATA!$CQ:$CQ,INPUT_DATA!DC:DC))</f>
        <v/>
      </c>
      <c r="Q59" s="255" t="str">
        <f>IF($B59=0,"",_xlfn.XLOOKUP($B59,INPUT_DATA!$CQ:$CQ,INPUT_DATA!DD:DD))</f>
        <v/>
      </c>
      <c r="R59" s="1255" t="str">
        <f>IF($B59=0,"",_xlfn.XLOOKUP($B59,INPUT_DATA!$CQ:$CQ,INPUT_DATA!DE:DE))</f>
        <v/>
      </c>
      <c r="S59" s="255" t="str">
        <f>IF($B59=0,"",_xlfn.XLOOKUP($B59,INPUT_DATA!$CQ:$CQ,INPUT_DATA!DF:DF))</f>
        <v/>
      </c>
      <c r="T59" s="1255" t="str">
        <f>IF($B59=0,"",_xlfn.XLOOKUP($B59,INPUT_DATA!$CQ:$CQ,INPUT_DATA!DG:DG))</f>
        <v/>
      </c>
      <c r="U59" s="255" t="str">
        <f>IF($B59=0,"",_xlfn.XLOOKUP($B59,INPUT_DATA!$CQ:$CQ,INPUT_DATA!DH:DH))</f>
        <v/>
      </c>
      <c r="V59" s="1255" t="str">
        <f>IF($B59=0,"",_xlfn.XLOOKUP($B59,INPUT_DATA!$CQ:$CQ,INPUT_DATA!DI:DI))</f>
        <v/>
      </c>
      <c r="W59" s="255" t="str">
        <f>IF($B59=0,"",_xlfn.XLOOKUP($B59,INPUT_DATA!$CQ:$CQ,INPUT_DATA!DJ:DJ))</f>
        <v/>
      </c>
      <c r="X59" s="1255" t="str">
        <f>IF($B59=0,"",_xlfn.XLOOKUP($B59,INPUT_DATA!$CQ:$CQ,INPUT_DATA!DK:DK))</f>
        <v/>
      </c>
      <c r="Y59" s="255" t="str">
        <f>IF($B59=0,"",_xlfn.XLOOKUP($B59,INPUT_DATA!$CQ:$CQ,INPUT_DATA!DL:DL))</f>
        <v/>
      </c>
      <c r="Z59" s="1255" t="str">
        <f>IF($B59=0,"",_xlfn.XLOOKUP($B59,INPUT_DATA!$CQ:$CQ,INPUT_DATA!DM:DM))</f>
        <v/>
      </c>
      <c r="AA59" s="255" t="str">
        <f>IF($B59=0,"",_xlfn.XLOOKUP($B59,INPUT_DATA!$CQ:$CQ,INPUT_DATA!DN:DN))</f>
        <v/>
      </c>
      <c r="AB59" s="1255" t="str">
        <f>IF($B59=0,"",_xlfn.XLOOKUP($B59,INPUT_DATA!$CQ:$CQ,INPUT_DATA!DO:DO))</f>
        <v/>
      </c>
      <c r="AC59" s="255" t="str">
        <f>IF($B59=0,"",_xlfn.XLOOKUP($B59,INPUT_DATA!$CQ:$CQ,INPUT_DATA!DP:DP))</f>
        <v/>
      </c>
      <c r="AD59" s="1255" t="str">
        <f>IF($B59=0,"",_xlfn.XLOOKUP($B59,INPUT_DATA!$CQ:$CQ,INPUT_DATA!DQ:DQ))</f>
        <v/>
      </c>
    </row>
    <row r="60" spans="2:30">
      <c r="B60" s="1202">
        <f>'02 - Monthly Asset Follow up'!B64</f>
        <v>0</v>
      </c>
      <c r="C60" s="255" t="str">
        <f t="shared" si="2"/>
        <v/>
      </c>
      <c r="D60" s="1255" t="str">
        <f t="shared" si="1"/>
        <v/>
      </c>
      <c r="E60" s="255" t="str">
        <f>IF($B60=0,"",_xlfn.XLOOKUP($B60,INPUT_DATA!$CQ:$CQ,INPUT_DATA!CR:CR))</f>
        <v/>
      </c>
      <c r="F60" s="1255" t="str">
        <f>IF($B60=0,"",_xlfn.XLOOKUP($B60,INPUT_DATA!$CQ:$CQ,INPUT_DATA!CS:CS))</f>
        <v/>
      </c>
      <c r="G60" s="255" t="str">
        <f>IF($B60=0,"",_xlfn.XLOOKUP($B60,INPUT_DATA!$CQ:$CQ,INPUT_DATA!CT:CT))</f>
        <v/>
      </c>
      <c r="H60" s="1255" t="str">
        <f>IF($B60=0,"",_xlfn.XLOOKUP($B60,INPUT_DATA!$CQ:$CQ,INPUT_DATA!CU:CU))</f>
        <v/>
      </c>
      <c r="I60" s="255" t="str">
        <f>IF($B60=0,"",_xlfn.XLOOKUP($B60,INPUT_DATA!$CQ:$CQ,INPUT_DATA!CV:CV))</f>
        <v/>
      </c>
      <c r="J60" s="1255" t="str">
        <f>IF($B60=0,"",_xlfn.XLOOKUP($B60,INPUT_DATA!$CQ:$CQ,INPUT_DATA!CW:CW))</f>
        <v/>
      </c>
      <c r="K60" s="255" t="str">
        <f>IF($B60=0,"",_xlfn.XLOOKUP($B60,INPUT_DATA!$CQ:$CQ,INPUT_DATA!CX:CX))</f>
        <v/>
      </c>
      <c r="L60" s="1255" t="str">
        <f>IF($B60=0,"",_xlfn.XLOOKUP($B60,INPUT_DATA!$CQ:$CQ,INPUT_DATA!CY:CY))</f>
        <v/>
      </c>
      <c r="M60" s="255" t="str">
        <f>IF($B60=0,"",_xlfn.XLOOKUP($B60,INPUT_DATA!$CQ:$CQ,INPUT_DATA!CZ:CZ))</f>
        <v/>
      </c>
      <c r="N60" s="1255" t="str">
        <f>IF($B60=0,"",_xlfn.XLOOKUP($B60,INPUT_DATA!$CQ:$CQ,INPUT_DATA!DA:DA))</f>
        <v/>
      </c>
      <c r="O60" s="255" t="str">
        <f>IF($B60=0,"",_xlfn.XLOOKUP($B60,INPUT_DATA!$CQ:$CQ,INPUT_DATA!DB:DB))</f>
        <v/>
      </c>
      <c r="P60" s="1255" t="str">
        <f>IF($B60=0,"",_xlfn.XLOOKUP($B60,INPUT_DATA!$CQ:$CQ,INPUT_DATA!DC:DC))</f>
        <v/>
      </c>
      <c r="Q60" s="255" t="str">
        <f>IF($B60=0,"",_xlfn.XLOOKUP($B60,INPUT_DATA!$CQ:$CQ,INPUT_DATA!DD:DD))</f>
        <v/>
      </c>
      <c r="R60" s="1255" t="str">
        <f>IF($B60=0,"",_xlfn.XLOOKUP($B60,INPUT_DATA!$CQ:$CQ,INPUT_DATA!DE:DE))</f>
        <v/>
      </c>
      <c r="S60" s="255" t="str">
        <f>IF($B60=0,"",_xlfn.XLOOKUP($B60,INPUT_DATA!$CQ:$CQ,INPUT_DATA!DF:DF))</f>
        <v/>
      </c>
      <c r="T60" s="1255" t="str">
        <f>IF($B60=0,"",_xlfn.XLOOKUP($B60,INPUT_DATA!$CQ:$CQ,INPUT_DATA!DG:DG))</f>
        <v/>
      </c>
      <c r="U60" s="255" t="str">
        <f>IF($B60=0,"",_xlfn.XLOOKUP($B60,INPUT_DATA!$CQ:$CQ,INPUT_DATA!DH:DH))</f>
        <v/>
      </c>
      <c r="V60" s="1255" t="str">
        <f>IF($B60=0,"",_xlfn.XLOOKUP($B60,INPUT_DATA!$CQ:$CQ,INPUT_DATA!DI:DI))</f>
        <v/>
      </c>
      <c r="W60" s="255" t="str">
        <f>IF($B60=0,"",_xlfn.XLOOKUP($B60,INPUT_DATA!$CQ:$CQ,INPUT_DATA!DJ:DJ))</f>
        <v/>
      </c>
      <c r="X60" s="1255" t="str">
        <f>IF($B60=0,"",_xlfn.XLOOKUP($B60,INPUT_DATA!$CQ:$CQ,INPUT_DATA!DK:DK))</f>
        <v/>
      </c>
      <c r="Y60" s="255" t="str">
        <f>IF($B60=0,"",_xlfn.XLOOKUP($B60,INPUT_DATA!$CQ:$CQ,INPUT_DATA!DL:DL))</f>
        <v/>
      </c>
      <c r="Z60" s="1255" t="str">
        <f>IF($B60=0,"",_xlfn.XLOOKUP($B60,INPUT_DATA!$CQ:$CQ,INPUT_DATA!DM:DM))</f>
        <v/>
      </c>
      <c r="AA60" s="255" t="str">
        <f>IF($B60=0,"",_xlfn.XLOOKUP($B60,INPUT_DATA!$CQ:$CQ,INPUT_DATA!DN:DN))</f>
        <v/>
      </c>
      <c r="AB60" s="1255" t="str">
        <f>IF($B60=0,"",_xlfn.XLOOKUP($B60,INPUT_DATA!$CQ:$CQ,INPUT_DATA!DO:DO))</f>
        <v/>
      </c>
      <c r="AC60" s="255" t="str">
        <f>IF($B60=0,"",_xlfn.XLOOKUP($B60,INPUT_DATA!$CQ:$CQ,INPUT_DATA!DP:DP))</f>
        <v/>
      </c>
      <c r="AD60" s="1255" t="str">
        <f>IF($B60=0,"",_xlfn.XLOOKUP($B60,INPUT_DATA!$CQ:$CQ,INPUT_DATA!DQ:DQ))</f>
        <v/>
      </c>
    </row>
    <row r="61" spans="2:30">
      <c r="B61" s="1202">
        <f>'02 - Monthly Asset Follow up'!B65</f>
        <v>0</v>
      </c>
      <c r="C61" s="255" t="str">
        <f t="shared" si="2"/>
        <v/>
      </c>
      <c r="D61" s="1255" t="str">
        <f t="shared" si="1"/>
        <v/>
      </c>
      <c r="E61" s="255" t="str">
        <f>IF($B61=0,"",_xlfn.XLOOKUP($B61,INPUT_DATA!$CQ:$CQ,INPUT_DATA!CR:CR))</f>
        <v/>
      </c>
      <c r="F61" s="1255" t="str">
        <f>IF($B61=0,"",_xlfn.XLOOKUP($B61,INPUT_DATA!$CQ:$CQ,INPUT_DATA!CS:CS))</f>
        <v/>
      </c>
      <c r="G61" s="255" t="str">
        <f>IF($B61=0,"",_xlfn.XLOOKUP($B61,INPUT_DATA!$CQ:$CQ,INPUT_DATA!CT:CT))</f>
        <v/>
      </c>
      <c r="H61" s="1255" t="str">
        <f>IF($B61=0,"",_xlfn.XLOOKUP($B61,INPUT_DATA!$CQ:$CQ,INPUT_DATA!CU:CU))</f>
        <v/>
      </c>
      <c r="I61" s="255" t="str">
        <f>IF($B61=0,"",_xlfn.XLOOKUP($B61,INPUT_DATA!$CQ:$CQ,INPUT_DATA!CV:CV))</f>
        <v/>
      </c>
      <c r="J61" s="1255" t="str">
        <f>IF($B61=0,"",_xlfn.XLOOKUP($B61,INPUT_DATA!$CQ:$CQ,INPUT_DATA!CW:CW))</f>
        <v/>
      </c>
      <c r="K61" s="255" t="str">
        <f>IF($B61=0,"",_xlfn.XLOOKUP($B61,INPUT_DATA!$CQ:$CQ,INPUT_DATA!CX:CX))</f>
        <v/>
      </c>
      <c r="L61" s="1255" t="str">
        <f>IF($B61=0,"",_xlfn.XLOOKUP($B61,INPUT_DATA!$CQ:$CQ,INPUT_DATA!CY:CY))</f>
        <v/>
      </c>
      <c r="M61" s="255" t="str">
        <f>IF($B61=0,"",_xlfn.XLOOKUP($B61,INPUT_DATA!$CQ:$CQ,INPUT_DATA!CZ:CZ))</f>
        <v/>
      </c>
      <c r="N61" s="1255" t="str">
        <f>IF($B61=0,"",_xlfn.XLOOKUP($B61,INPUT_DATA!$CQ:$CQ,INPUT_DATA!DA:DA))</f>
        <v/>
      </c>
      <c r="O61" s="255" t="str">
        <f>IF($B61=0,"",_xlfn.XLOOKUP($B61,INPUT_DATA!$CQ:$CQ,INPUT_DATA!DB:DB))</f>
        <v/>
      </c>
      <c r="P61" s="1255" t="str">
        <f>IF($B61=0,"",_xlfn.XLOOKUP($B61,INPUT_DATA!$CQ:$CQ,INPUT_DATA!DC:DC))</f>
        <v/>
      </c>
      <c r="Q61" s="255" t="str">
        <f>IF($B61=0,"",_xlfn.XLOOKUP($B61,INPUT_DATA!$CQ:$CQ,INPUT_DATA!DD:DD))</f>
        <v/>
      </c>
      <c r="R61" s="1255" t="str">
        <f>IF($B61=0,"",_xlfn.XLOOKUP($B61,INPUT_DATA!$CQ:$CQ,INPUT_DATA!DE:DE))</f>
        <v/>
      </c>
      <c r="S61" s="255" t="str">
        <f>IF($B61=0,"",_xlfn.XLOOKUP($B61,INPUT_DATA!$CQ:$CQ,INPUT_DATA!DF:DF))</f>
        <v/>
      </c>
      <c r="T61" s="1255" t="str">
        <f>IF($B61=0,"",_xlfn.XLOOKUP($B61,INPUT_DATA!$CQ:$CQ,INPUT_DATA!DG:DG))</f>
        <v/>
      </c>
      <c r="U61" s="255" t="str">
        <f>IF($B61=0,"",_xlfn.XLOOKUP($B61,INPUT_DATA!$CQ:$CQ,INPUT_DATA!DH:DH))</f>
        <v/>
      </c>
      <c r="V61" s="1255" t="str">
        <f>IF($B61=0,"",_xlfn.XLOOKUP($B61,INPUT_DATA!$CQ:$CQ,INPUT_DATA!DI:DI))</f>
        <v/>
      </c>
      <c r="W61" s="255" t="str">
        <f>IF($B61=0,"",_xlfn.XLOOKUP($B61,INPUT_DATA!$CQ:$CQ,INPUT_DATA!DJ:DJ))</f>
        <v/>
      </c>
      <c r="X61" s="1255" t="str">
        <f>IF($B61=0,"",_xlfn.XLOOKUP($B61,INPUT_DATA!$CQ:$CQ,INPUT_DATA!DK:DK))</f>
        <v/>
      </c>
      <c r="Y61" s="255" t="str">
        <f>IF($B61=0,"",_xlfn.XLOOKUP($B61,INPUT_DATA!$CQ:$CQ,INPUT_DATA!DL:DL))</f>
        <v/>
      </c>
      <c r="Z61" s="1255" t="str">
        <f>IF($B61=0,"",_xlfn.XLOOKUP($B61,INPUT_DATA!$CQ:$CQ,INPUT_DATA!DM:DM))</f>
        <v/>
      </c>
      <c r="AA61" s="255" t="str">
        <f>IF($B61=0,"",_xlfn.XLOOKUP($B61,INPUT_DATA!$CQ:$CQ,INPUT_DATA!DN:DN))</f>
        <v/>
      </c>
      <c r="AB61" s="1255" t="str">
        <f>IF($B61=0,"",_xlfn.XLOOKUP($B61,INPUT_DATA!$CQ:$CQ,INPUT_DATA!DO:DO))</f>
        <v/>
      </c>
      <c r="AC61" s="255" t="str">
        <f>IF($B61=0,"",_xlfn.XLOOKUP($B61,INPUT_DATA!$CQ:$CQ,INPUT_DATA!DP:DP))</f>
        <v/>
      </c>
      <c r="AD61" s="1255" t="str">
        <f>IF($B61=0,"",_xlfn.XLOOKUP($B61,INPUT_DATA!$CQ:$CQ,INPUT_DATA!DQ:DQ))</f>
        <v/>
      </c>
    </row>
    <row r="62" spans="2:30">
      <c r="B62" s="1202">
        <f>'02 - Monthly Asset Follow up'!B66</f>
        <v>0</v>
      </c>
      <c r="C62" s="255" t="str">
        <f t="shared" si="2"/>
        <v/>
      </c>
      <c r="D62" s="1255" t="str">
        <f t="shared" si="1"/>
        <v/>
      </c>
      <c r="E62" s="255" t="str">
        <f>IF($B62=0,"",_xlfn.XLOOKUP($B62,INPUT_DATA!$CQ:$CQ,INPUT_DATA!CR:CR))</f>
        <v/>
      </c>
      <c r="F62" s="1255" t="str">
        <f>IF($B62=0,"",_xlfn.XLOOKUP($B62,INPUT_DATA!$CQ:$CQ,INPUT_DATA!CS:CS))</f>
        <v/>
      </c>
      <c r="G62" s="255" t="str">
        <f>IF($B62=0,"",_xlfn.XLOOKUP($B62,INPUT_DATA!$CQ:$CQ,INPUT_DATA!CT:CT))</f>
        <v/>
      </c>
      <c r="H62" s="1255" t="str">
        <f>IF($B62=0,"",_xlfn.XLOOKUP($B62,INPUT_DATA!$CQ:$CQ,INPUT_DATA!CU:CU))</f>
        <v/>
      </c>
      <c r="I62" s="255" t="str">
        <f>IF($B62=0,"",_xlfn.XLOOKUP($B62,INPUT_DATA!$CQ:$CQ,INPUT_DATA!CV:CV))</f>
        <v/>
      </c>
      <c r="J62" s="1255" t="str">
        <f>IF($B62=0,"",_xlfn.XLOOKUP($B62,INPUT_DATA!$CQ:$CQ,INPUT_DATA!CW:CW))</f>
        <v/>
      </c>
      <c r="K62" s="255" t="str">
        <f>IF($B62=0,"",_xlfn.XLOOKUP($B62,INPUT_DATA!$CQ:$CQ,INPUT_DATA!CX:CX))</f>
        <v/>
      </c>
      <c r="L62" s="1255" t="str">
        <f>IF($B62=0,"",_xlfn.XLOOKUP($B62,INPUT_DATA!$CQ:$CQ,INPUT_DATA!CY:CY))</f>
        <v/>
      </c>
      <c r="M62" s="255" t="str">
        <f>IF($B62=0,"",_xlfn.XLOOKUP($B62,INPUT_DATA!$CQ:$CQ,INPUT_DATA!CZ:CZ))</f>
        <v/>
      </c>
      <c r="N62" s="1255" t="str">
        <f>IF($B62=0,"",_xlfn.XLOOKUP($B62,INPUT_DATA!$CQ:$CQ,INPUT_DATA!DA:DA))</f>
        <v/>
      </c>
      <c r="O62" s="255" t="str">
        <f>IF($B62=0,"",_xlfn.XLOOKUP($B62,INPUT_DATA!$CQ:$CQ,INPUT_DATA!DB:DB))</f>
        <v/>
      </c>
      <c r="P62" s="1255" t="str">
        <f>IF($B62=0,"",_xlfn.XLOOKUP($B62,INPUT_DATA!$CQ:$CQ,INPUT_DATA!DC:DC))</f>
        <v/>
      </c>
      <c r="Q62" s="255" t="str">
        <f>IF($B62=0,"",_xlfn.XLOOKUP($B62,INPUT_DATA!$CQ:$CQ,INPUT_DATA!DD:DD))</f>
        <v/>
      </c>
      <c r="R62" s="1255" t="str">
        <f>IF($B62=0,"",_xlfn.XLOOKUP($B62,INPUT_DATA!$CQ:$CQ,INPUT_DATA!DE:DE))</f>
        <v/>
      </c>
      <c r="S62" s="255" t="str">
        <f>IF($B62=0,"",_xlfn.XLOOKUP($B62,INPUT_DATA!$CQ:$CQ,INPUT_DATA!DF:DF))</f>
        <v/>
      </c>
      <c r="T62" s="1255" t="str">
        <f>IF($B62=0,"",_xlfn.XLOOKUP($B62,INPUT_DATA!$CQ:$CQ,INPUT_DATA!DG:DG))</f>
        <v/>
      </c>
      <c r="U62" s="255" t="str">
        <f>IF($B62=0,"",_xlfn.XLOOKUP($B62,INPUT_DATA!$CQ:$CQ,INPUT_DATA!DH:DH))</f>
        <v/>
      </c>
      <c r="V62" s="1255" t="str">
        <f>IF($B62=0,"",_xlfn.XLOOKUP($B62,INPUT_DATA!$CQ:$CQ,INPUT_DATA!DI:DI))</f>
        <v/>
      </c>
      <c r="W62" s="255" t="str">
        <f>IF($B62=0,"",_xlfn.XLOOKUP($B62,INPUT_DATA!$CQ:$CQ,INPUT_DATA!DJ:DJ))</f>
        <v/>
      </c>
      <c r="X62" s="1255" t="str">
        <f>IF($B62=0,"",_xlfn.XLOOKUP($B62,INPUT_DATA!$CQ:$CQ,INPUT_DATA!DK:DK))</f>
        <v/>
      </c>
      <c r="Y62" s="255" t="str">
        <f>IF($B62=0,"",_xlfn.XLOOKUP($B62,INPUT_DATA!$CQ:$CQ,INPUT_DATA!DL:DL))</f>
        <v/>
      </c>
      <c r="Z62" s="1255" t="str">
        <f>IF($B62=0,"",_xlfn.XLOOKUP($B62,INPUT_DATA!$CQ:$CQ,INPUT_DATA!DM:DM))</f>
        <v/>
      </c>
      <c r="AA62" s="255" t="str">
        <f>IF($B62=0,"",_xlfn.XLOOKUP($B62,INPUT_DATA!$CQ:$CQ,INPUT_DATA!DN:DN))</f>
        <v/>
      </c>
      <c r="AB62" s="1255" t="str">
        <f>IF($B62=0,"",_xlfn.XLOOKUP($B62,INPUT_DATA!$CQ:$CQ,INPUT_DATA!DO:DO))</f>
        <v/>
      </c>
      <c r="AC62" s="255" t="str">
        <f>IF($B62=0,"",_xlfn.XLOOKUP($B62,INPUT_DATA!$CQ:$CQ,INPUT_DATA!DP:DP))</f>
        <v/>
      </c>
      <c r="AD62" s="1255" t="str">
        <f>IF($B62=0,"",_xlfn.XLOOKUP($B62,INPUT_DATA!$CQ:$CQ,INPUT_DATA!DQ:DQ))</f>
        <v/>
      </c>
    </row>
    <row r="63" spans="2:30">
      <c r="B63" s="1202">
        <f>'02 - Monthly Asset Follow up'!B67</f>
        <v>0</v>
      </c>
      <c r="C63" s="255" t="str">
        <f t="shared" si="2"/>
        <v/>
      </c>
      <c r="D63" s="1255" t="str">
        <f t="shared" si="1"/>
        <v/>
      </c>
      <c r="E63" s="255" t="str">
        <f>IF($B63=0,"",_xlfn.XLOOKUP($B63,INPUT_DATA!$CQ:$CQ,INPUT_DATA!CR:CR))</f>
        <v/>
      </c>
      <c r="F63" s="1255" t="str">
        <f>IF($B63=0,"",_xlfn.XLOOKUP($B63,INPUT_DATA!$CQ:$CQ,INPUT_DATA!CS:CS))</f>
        <v/>
      </c>
      <c r="G63" s="255" t="str">
        <f>IF($B63=0,"",_xlfn.XLOOKUP($B63,INPUT_DATA!$CQ:$CQ,INPUT_DATA!CT:CT))</f>
        <v/>
      </c>
      <c r="H63" s="1255" t="str">
        <f>IF($B63=0,"",_xlfn.XLOOKUP($B63,INPUT_DATA!$CQ:$CQ,INPUT_DATA!CU:CU))</f>
        <v/>
      </c>
      <c r="I63" s="255" t="str">
        <f>IF($B63=0,"",_xlfn.XLOOKUP($B63,INPUT_DATA!$CQ:$CQ,INPUT_DATA!CV:CV))</f>
        <v/>
      </c>
      <c r="J63" s="1255" t="str">
        <f>IF($B63=0,"",_xlfn.XLOOKUP($B63,INPUT_DATA!$CQ:$CQ,INPUT_DATA!CW:CW))</f>
        <v/>
      </c>
      <c r="K63" s="255" t="str">
        <f>IF($B63=0,"",_xlfn.XLOOKUP($B63,INPUT_DATA!$CQ:$CQ,INPUT_DATA!CX:CX))</f>
        <v/>
      </c>
      <c r="L63" s="1255" t="str">
        <f>IF($B63=0,"",_xlfn.XLOOKUP($B63,INPUT_DATA!$CQ:$CQ,INPUT_DATA!CY:CY))</f>
        <v/>
      </c>
      <c r="M63" s="255" t="str">
        <f>IF($B63=0,"",_xlfn.XLOOKUP($B63,INPUT_DATA!$CQ:$CQ,INPUT_DATA!CZ:CZ))</f>
        <v/>
      </c>
      <c r="N63" s="1255" t="str">
        <f>IF($B63=0,"",_xlfn.XLOOKUP($B63,INPUT_DATA!$CQ:$CQ,INPUT_DATA!DA:DA))</f>
        <v/>
      </c>
      <c r="O63" s="255" t="str">
        <f>IF($B63=0,"",_xlfn.XLOOKUP($B63,INPUT_DATA!$CQ:$CQ,INPUT_DATA!DB:DB))</f>
        <v/>
      </c>
      <c r="P63" s="1255" t="str">
        <f>IF($B63=0,"",_xlfn.XLOOKUP($B63,INPUT_DATA!$CQ:$CQ,INPUT_DATA!DC:DC))</f>
        <v/>
      </c>
      <c r="Q63" s="255" t="str">
        <f>IF($B63=0,"",_xlfn.XLOOKUP($B63,INPUT_DATA!$CQ:$CQ,INPUT_DATA!DD:DD))</f>
        <v/>
      </c>
      <c r="R63" s="1255" t="str">
        <f>IF($B63=0,"",_xlfn.XLOOKUP($B63,INPUT_DATA!$CQ:$CQ,INPUT_DATA!DE:DE))</f>
        <v/>
      </c>
      <c r="S63" s="255" t="str">
        <f>IF($B63=0,"",_xlfn.XLOOKUP($B63,INPUT_DATA!$CQ:$CQ,INPUT_DATA!DF:DF))</f>
        <v/>
      </c>
      <c r="T63" s="1255" t="str">
        <f>IF($B63=0,"",_xlfn.XLOOKUP($B63,INPUT_DATA!$CQ:$CQ,INPUT_DATA!DG:DG))</f>
        <v/>
      </c>
      <c r="U63" s="255" t="str">
        <f>IF($B63=0,"",_xlfn.XLOOKUP($B63,INPUT_DATA!$CQ:$CQ,INPUT_DATA!DH:DH))</f>
        <v/>
      </c>
      <c r="V63" s="1255" t="str">
        <f>IF($B63=0,"",_xlfn.XLOOKUP($B63,INPUT_DATA!$CQ:$CQ,INPUT_DATA!DI:DI))</f>
        <v/>
      </c>
      <c r="W63" s="255" t="str">
        <f>IF($B63=0,"",_xlfn.XLOOKUP($B63,INPUT_DATA!$CQ:$CQ,INPUT_DATA!DJ:DJ))</f>
        <v/>
      </c>
      <c r="X63" s="1255" t="str">
        <f>IF($B63=0,"",_xlfn.XLOOKUP($B63,INPUT_DATA!$CQ:$CQ,INPUT_DATA!DK:DK))</f>
        <v/>
      </c>
      <c r="Y63" s="255" t="str">
        <f>IF($B63=0,"",_xlfn.XLOOKUP($B63,INPUT_DATA!$CQ:$CQ,INPUT_DATA!DL:DL))</f>
        <v/>
      </c>
      <c r="Z63" s="1255" t="str">
        <f>IF($B63=0,"",_xlfn.XLOOKUP($B63,INPUT_DATA!$CQ:$CQ,INPUT_DATA!DM:DM))</f>
        <v/>
      </c>
      <c r="AA63" s="255" t="str">
        <f>IF($B63=0,"",_xlfn.XLOOKUP($B63,INPUT_DATA!$CQ:$CQ,INPUT_DATA!DN:DN))</f>
        <v/>
      </c>
      <c r="AB63" s="1255" t="str">
        <f>IF($B63=0,"",_xlfn.XLOOKUP($B63,INPUT_DATA!$CQ:$CQ,INPUT_DATA!DO:DO))</f>
        <v/>
      </c>
      <c r="AC63" s="255" t="str">
        <f>IF($B63=0,"",_xlfn.XLOOKUP($B63,INPUT_DATA!$CQ:$CQ,INPUT_DATA!DP:DP))</f>
        <v/>
      </c>
      <c r="AD63" s="1255" t="str">
        <f>IF($B63=0,"",_xlfn.XLOOKUP($B63,INPUT_DATA!$CQ:$CQ,INPUT_DATA!DQ:DQ))</f>
        <v/>
      </c>
    </row>
    <row r="64" spans="2:30">
      <c r="B64" s="1202">
        <f>'02 - Monthly Asset Follow up'!B68</f>
        <v>0</v>
      </c>
      <c r="C64" s="255" t="str">
        <f t="shared" si="2"/>
        <v/>
      </c>
      <c r="D64" s="1255" t="str">
        <f t="shared" si="1"/>
        <v/>
      </c>
      <c r="E64" s="255" t="str">
        <f>IF($B64=0,"",_xlfn.XLOOKUP($B64,INPUT_DATA!$CQ:$CQ,INPUT_DATA!CR:CR))</f>
        <v/>
      </c>
      <c r="F64" s="1255" t="str">
        <f>IF($B64=0,"",_xlfn.XLOOKUP($B64,INPUT_DATA!$CQ:$CQ,INPUT_DATA!CS:CS))</f>
        <v/>
      </c>
      <c r="G64" s="255" t="str">
        <f>IF($B64=0,"",_xlfn.XLOOKUP($B64,INPUT_DATA!$CQ:$CQ,INPUT_DATA!CT:CT))</f>
        <v/>
      </c>
      <c r="H64" s="1255" t="str">
        <f>IF($B64=0,"",_xlfn.XLOOKUP($B64,INPUT_DATA!$CQ:$CQ,INPUT_DATA!CU:CU))</f>
        <v/>
      </c>
      <c r="I64" s="255" t="str">
        <f>IF($B64=0,"",_xlfn.XLOOKUP($B64,INPUT_DATA!$CQ:$CQ,INPUT_DATA!CV:CV))</f>
        <v/>
      </c>
      <c r="J64" s="1255" t="str">
        <f>IF($B64=0,"",_xlfn.XLOOKUP($B64,INPUT_DATA!$CQ:$CQ,INPUT_DATA!CW:CW))</f>
        <v/>
      </c>
      <c r="K64" s="255" t="str">
        <f>IF($B64=0,"",_xlfn.XLOOKUP($B64,INPUT_DATA!$CQ:$CQ,INPUT_DATA!CX:CX))</f>
        <v/>
      </c>
      <c r="L64" s="1255" t="str">
        <f>IF($B64=0,"",_xlfn.XLOOKUP($B64,INPUT_DATA!$CQ:$CQ,INPUT_DATA!CY:CY))</f>
        <v/>
      </c>
      <c r="M64" s="255" t="str">
        <f>IF($B64=0,"",_xlfn.XLOOKUP($B64,INPUT_DATA!$CQ:$CQ,INPUT_DATA!CZ:CZ))</f>
        <v/>
      </c>
      <c r="N64" s="1255" t="str">
        <f>IF($B64=0,"",_xlfn.XLOOKUP($B64,INPUT_DATA!$CQ:$CQ,INPUT_DATA!DA:DA))</f>
        <v/>
      </c>
      <c r="O64" s="255" t="str">
        <f>IF($B64=0,"",_xlfn.XLOOKUP($B64,INPUT_DATA!$CQ:$CQ,INPUT_DATA!DB:DB))</f>
        <v/>
      </c>
      <c r="P64" s="1255" t="str">
        <f>IF($B64=0,"",_xlfn.XLOOKUP($B64,INPUT_DATA!$CQ:$CQ,INPUT_DATA!DC:DC))</f>
        <v/>
      </c>
      <c r="Q64" s="255" t="str">
        <f>IF($B64=0,"",_xlfn.XLOOKUP($B64,INPUT_DATA!$CQ:$CQ,INPUT_DATA!DD:DD))</f>
        <v/>
      </c>
      <c r="R64" s="1255" t="str">
        <f>IF($B64=0,"",_xlfn.XLOOKUP($B64,INPUT_DATA!$CQ:$CQ,INPUT_DATA!DE:DE))</f>
        <v/>
      </c>
      <c r="S64" s="255" t="str">
        <f>IF($B64=0,"",_xlfn.XLOOKUP($B64,INPUT_DATA!$CQ:$CQ,INPUT_DATA!DF:DF))</f>
        <v/>
      </c>
      <c r="T64" s="1255" t="str">
        <f>IF($B64=0,"",_xlfn.XLOOKUP($B64,INPUT_DATA!$CQ:$CQ,INPUT_DATA!DG:DG))</f>
        <v/>
      </c>
      <c r="U64" s="255" t="str">
        <f>IF($B64=0,"",_xlfn.XLOOKUP($B64,INPUT_DATA!$CQ:$CQ,INPUT_DATA!DH:DH))</f>
        <v/>
      </c>
      <c r="V64" s="1255" t="str">
        <f>IF($B64=0,"",_xlfn.XLOOKUP($B64,INPUT_DATA!$CQ:$CQ,INPUT_DATA!DI:DI))</f>
        <v/>
      </c>
      <c r="W64" s="255" t="str">
        <f>IF($B64=0,"",_xlfn.XLOOKUP($B64,INPUT_DATA!$CQ:$CQ,INPUT_DATA!DJ:DJ))</f>
        <v/>
      </c>
      <c r="X64" s="1255" t="str">
        <f>IF($B64=0,"",_xlfn.XLOOKUP($B64,INPUT_DATA!$CQ:$CQ,INPUT_DATA!DK:DK))</f>
        <v/>
      </c>
      <c r="Y64" s="255" t="str">
        <f>IF($B64=0,"",_xlfn.XLOOKUP($B64,INPUT_DATA!$CQ:$CQ,INPUT_DATA!DL:DL))</f>
        <v/>
      </c>
      <c r="Z64" s="1255" t="str">
        <f>IF($B64=0,"",_xlfn.XLOOKUP($B64,INPUT_DATA!$CQ:$CQ,INPUT_DATA!DM:DM))</f>
        <v/>
      </c>
      <c r="AA64" s="255" t="str">
        <f>IF($B64=0,"",_xlfn.XLOOKUP($B64,INPUT_DATA!$CQ:$CQ,INPUT_DATA!DN:DN))</f>
        <v/>
      </c>
      <c r="AB64" s="1255" t="str">
        <f>IF($B64=0,"",_xlfn.XLOOKUP($B64,INPUT_DATA!$CQ:$CQ,INPUT_DATA!DO:DO))</f>
        <v/>
      </c>
      <c r="AC64" s="255" t="str">
        <f>IF($B64=0,"",_xlfn.XLOOKUP($B64,INPUT_DATA!$CQ:$CQ,INPUT_DATA!DP:DP))</f>
        <v/>
      </c>
      <c r="AD64" s="1255" t="str">
        <f>IF($B64=0,"",_xlfn.XLOOKUP($B64,INPUT_DATA!$CQ:$CQ,INPUT_DATA!DQ:DQ))</f>
        <v/>
      </c>
    </row>
    <row r="65" spans="2:30">
      <c r="B65" s="1202">
        <f>'02 - Monthly Asset Follow up'!B69</f>
        <v>0</v>
      </c>
      <c r="C65" s="255" t="str">
        <f t="shared" si="2"/>
        <v/>
      </c>
      <c r="D65" s="1255" t="str">
        <f t="shared" si="1"/>
        <v/>
      </c>
      <c r="E65" s="255" t="str">
        <f>IF($B65=0,"",_xlfn.XLOOKUP($B65,INPUT_DATA!$CQ:$CQ,INPUT_DATA!CR:CR))</f>
        <v/>
      </c>
      <c r="F65" s="1255" t="str">
        <f>IF($B65=0,"",_xlfn.XLOOKUP($B65,INPUT_DATA!$CQ:$CQ,INPUT_DATA!CS:CS))</f>
        <v/>
      </c>
      <c r="G65" s="255" t="str">
        <f>IF($B65=0,"",_xlfn.XLOOKUP($B65,INPUT_DATA!$CQ:$CQ,INPUT_DATA!CT:CT))</f>
        <v/>
      </c>
      <c r="H65" s="1255" t="str">
        <f>IF($B65=0,"",_xlfn.XLOOKUP($B65,INPUT_DATA!$CQ:$CQ,INPUT_DATA!CU:CU))</f>
        <v/>
      </c>
      <c r="I65" s="255" t="str">
        <f>IF($B65=0,"",_xlfn.XLOOKUP($B65,INPUT_DATA!$CQ:$CQ,INPUT_DATA!CV:CV))</f>
        <v/>
      </c>
      <c r="J65" s="1255" t="str">
        <f>IF($B65=0,"",_xlfn.XLOOKUP($B65,INPUT_DATA!$CQ:$CQ,INPUT_DATA!CW:CW))</f>
        <v/>
      </c>
      <c r="K65" s="255" t="str">
        <f>IF($B65=0,"",_xlfn.XLOOKUP($B65,INPUT_DATA!$CQ:$CQ,INPUT_DATA!CX:CX))</f>
        <v/>
      </c>
      <c r="L65" s="1255" t="str">
        <f>IF($B65=0,"",_xlfn.XLOOKUP($B65,INPUT_DATA!$CQ:$CQ,INPUT_DATA!CY:CY))</f>
        <v/>
      </c>
      <c r="M65" s="255" t="str">
        <f>IF($B65=0,"",_xlfn.XLOOKUP($B65,INPUT_DATA!$CQ:$CQ,INPUT_DATA!CZ:CZ))</f>
        <v/>
      </c>
      <c r="N65" s="1255" t="str">
        <f>IF($B65=0,"",_xlfn.XLOOKUP($B65,INPUT_DATA!$CQ:$CQ,INPUT_DATA!DA:DA))</f>
        <v/>
      </c>
      <c r="O65" s="255" t="str">
        <f>IF($B65=0,"",_xlfn.XLOOKUP($B65,INPUT_DATA!$CQ:$CQ,INPUT_DATA!DB:DB))</f>
        <v/>
      </c>
      <c r="P65" s="1255" t="str">
        <f>IF($B65=0,"",_xlfn.XLOOKUP($B65,INPUT_DATA!$CQ:$CQ,INPUT_DATA!DC:DC))</f>
        <v/>
      </c>
      <c r="Q65" s="255" t="str">
        <f>IF($B65=0,"",_xlfn.XLOOKUP($B65,INPUT_DATA!$CQ:$CQ,INPUT_DATA!DD:DD))</f>
        <v/>
      </c>
      <c r="R65" s="1255" t="str">
        <f>IF($B65=0,"",_xlfn.XLOOKUP($B65,INPUT_DATA!$CQ:$CQ,INPUT_DATA!DE:DE))</f>
        <v/>
      </c>
      <c r="S65" s="255" t="str">
        <f>IF($B65=0,"",_xlfn.XLOOKUP($B65,INPUT_DATA!$CQ:$CQ,INPUT_DATA!DF:DF))</f>
        <v/>
      </c>
      <c r="T65" s="1255" t="str">
        <f>IF($B65=0,"",_xlfn.XLOOKUP($B65,INPUT_DATA!$CQ:$CQ,INPUT_DATA!DG:DG))</f>
        <v/>
      </c>
      <c r="U65" s="255" t="str">
        <f>IF($B65=0,"",_xlfn.XLOOKUP($B65,INPUT_DATA!$CQ:$CQ,INPUT_DATA!DH:DH))</f>
        <v/>
      </c>
      <c r="V65" s="1255" t="str">
        <f>IF($B65=0,"",_xlfn.XLOOKUP($B65,INPUT_DATA!$CQ:$CQ,INPUT_DATA!DI:DI))</f>
        <v/>
      </c>
      <c r="W65" s="255" t="str">
        <f>IF($B65=0,"",_xlfn.XLOOKUP($B65,INPUT_DATA!$CQ:$CQ,INPUT_DATA!DJ:DJ))</f>
        <v/>
      </c>
      <c r="X65" s="1255" t="str">
        <f>IF($B65=0,"",_xlfn.XLOOKUP($B65,INPUT_DATA!$CQ:$CQ,INPUT_DATA!DK:DK))</f>
        <v/>
      </c>
      <c r="Y65" s="255" t="str">
        <f>IF($B65=0,"",_xlfn.XLOOKUP($B65,INPUT_DATA!$CQ:$CQ,INPUT_DATA!DL:DL))</f>
        <v/>
      </c>
      <c r="Z65" s="1255" t="str">
        <f>IF($B65=0,"",_xlfn.XLOOKUP($B65,INPUT_DATA!$CQ:$CQ,INPUT_DATA!DM:DM))</f>
        <v/>
      </c>
      <c r="AA65" s="255" t="str">
        <f>IF($B65=0,"",_xlfn.XLOOKUP($B65,INPUT_DATA!$CQ:$CQ,INPUT_DATA!DN:DN))</f>
        <v/>
      </c>
      <c r="AB65" s="1255" t="str">
        <f>IF($B65=0,"",_xlfn.XLOOKUP($B65,INPUT_DATA!$CQ:$CQ,INPUT_DATA!DO:DO))</f>
        <v/>
      </c>
      <c r="AC65" s="255" t="str">
        <f>IF($B65=0,"",_xlfn.XLOOKUP($B65,INPUT_DATA!$CQ:$CQ,INPUT_DATA!DP:DP))</f>
        <v/>
      </c>
      <c r="AD65" s="1255" t="str">
        <f>IF($B65=0,"",_xlfn.XLOOKUP($B65,INPUT_DATA!$CQ:$CQ,INPUT_DATA!DQ:DQ))</f>
        <v/>
      </c>
    </row>
    <row r="66" spans="2:30">
      <c r="B66" s="1202">
        <f>'02 - Monthly Asset Follow up'!B70</f>
        <v>0</v>
      </c>
      <c r="C66" s="255" t="str">
        <f t="shared" si="2"/>
        <v/>
      </c>
      <c r="D66" s="1255" t="str">
        <f t="shared" si="1"/>
        <v/>
      </c>
      <c r="E66" s="255" t="str">
        <f>IF($B66=0,"",_xlfn.XLOOKUP($B66,INPUT_DATA!$CQ:$CQ,INPUT_DATA!CR:CR))</f>
        <v/>
      </c>
      <c r="F66" s="1255" t="str">
        <f>IF($B66=0,"",_xlfn.XLOOKUP($B66,INPUT_DATA!$CQ:$CQ,INPUT_DATA!CS:CS))</f>
        <v/>
      </c>
      <c r="G66" s="255" t="str">
        <f>IF($B66=0,"",_xlfn.XLOOKUP($B66,INPUT_DATA!$CQ:$CQ,INPUT_DATA!CT:CT))</f>
        <v/>
      </c>
      <c r="H66" s="1255" t="str">
        <f>IF($B66=0,"",_xlfn.XLOOKUP($B66,INPUT_DATA!$CQ:$CQ,INPUT_DATA!CU:CU))</f>
        <v/>
      </c>
      <c r="I66" s="255" t="str">
        <f>IF($B66=0,"",_xlfn.XLOOKUP($B66,INPUT_DATA!$CQ:$CQ,INPUT_DATA!CV:CV))</f>
        <v/>
      </c>
      <c r="J66" s="1255" t="str">
        <f>IF($B66=0,"",_xlfn.XLOOKUP($B66,INPUT_DATA!$CQ:$CQ,INPUT_DATA!CW:CW))</f>
        <v/>
      </c>
      <c r="K66" s="255" t="str">
        <f>IF($B66=0,"",_xlfn.XLOOKUP($B66,INPUT_DATA!$CQ:$CQ,INPUT_DATA!CX:CX))</f>
        <v/>
      </c>
      <c r="L66" s="1255" t="str">
        <f>IF($B66=0,"",_xlfn.XLOOKUP($B66,INPUT_DATA!$CQ:$CQ,INPUT_DATA!CY:CY))</f>
        <v/>
      </c>
      <c r="M66" s="255" t="str">
        <f>IF($B66=0,"",_xlfn.XLOOKUP($B66,INPUT_DATA!$CQ:$CQ,INPUT_DATA!CZ:CZ))</f>
        <v/>
      </c>
      <c r="N66" s="1255" t="str">
        <f>IF($B66=0,"",_xlfn.XLOOKUP($B66,INPUT_DATA!$CQ:$CQ,INPUT_DATA!DA:DA))</f>
        <v/>
      </c>
      <c r="O66" s="255" t="str">
        <f>IF($B66=0,"",_xlfn.XLOOKUP($B66,INPUT_DATA!$CQ:$CQ,INPUT_DATA!DB:DB))</f>
        <v/>
      </c>
      <c r="P66" s="1255" t="str">
        <f>IF($B66=0,"",_xlfn.XLOOKUP($B66,INPUT_DATA!$CQ:$CQ,INPUT_DATA!DC:DC))</f>
        <v/>
      </c>
      <c r="Q66" s="255" t="str">
        <f>IF($B66=0,"",_xlfn.XLOOKUP($B66,INPUT_DATA!$CQ:$CQ,INPUT_DATA!DD:DD))</f>
        <v/>
      </c>
      <c r="R66" s="1255" t="str">
        <f>IF($B66=0,"",_xlfn.XLOOKUP($B66,INPUT_DATA!$CQ:$CQ,INPUT_DATA!DE:DE))</f>
        <v/>
      </c>
      <c r="S66" s="255" t="str">
        <f>IF($B66=0,"",_xlfn.XLOOKUP($B66,INPUT_DATA!$CQ:$CQ,INPUT_DATA!DF:DF))</f>
        <v/>
      </c>
      <c r="T66" s="1255" t="str">
        <f>IF($B66=0,"",_xlfn.XLOOKUP($B66,INPUT_DATA!$CQ:$CQ,INPUT_DATA!DG:DG))</f>
        <v/>
      </c>
      <c r="U66" s="255" t="str">
        <f>IF($B66=0,"",_xlfn.XLOOKUP($B66,INPUT_DATA!$CQ:$CQ,INPUT_DATA!DH:DH))</f>
        <v/>
      </c>
      <c r="V66" s="1255" t="str">
        <f>IF($B66=0,"",_xlfn.XLOOKUP($B66,INPUT_DATA!$CQ:$CQ,INPUT_DATA!DI:DI))</f>
        <v/>
      </c>
      <c r="W66" s="255" t="str">
        <f>IF($B66=0,"",_xlfn.XLOOKUP($B66,INPUT_DATA!$CQ:$CQ,INPUT_DATA!DJ:DJ))</f>
        <v/>
      </c>
      <c r="X66" s="1255" t="str">
        <f>IF($B66=0,"",_xlfn.XLOOKUP($B66,INPUT_DATA!$CQ:$CQ,INPUT_DATA!DK:DK))</f>
        <v/>
      </c>
      <c r="Y66" s="255" t="str">
        <f>IF($B66=0,"",_xlfn.XLOOKUP($B66,INPUT_DATA!$CQ:$CQ,INPUT_DATA!DL:DL))</f>
        <v/>
      </c>
      <c r="Z66" s="1255" t="str">
        <f>IF($B66=0,"",_xlfn.XLOOKUP($B66,INPUT_DATA!$CQ:$CQ,INPUT_DATA!DM:DM))</f>
        <v/>
      </c>
      <c r="AA66" s="255" t="str">
        <f>IF($B66=0,"",_xlfn.XLOOKUP($B66,INPUT_DATA!$CQ:$CQ,INPUT_DATA!DN:DN))</f>
        <v/>
      </c>
      <c r="AB66" s="1255" t="str">
        <f>IF($B66=0,"",_xlfn.XLOOKUP($B66,INPUT_DATA!$CQ:$CQ,INPUT_DATA!DO:DO))</f>
        <v/>
      </c>
      <c r="AC66" s="255" t="str">
        <f>IF($B66=0,"",_xlfn.XLOOKUP($B66,INPUT_DATA!$CQ:$CQ,INPUT_DATA!DP:DP))</f>
        <v/>
      </c>
      <c r="AD66" s="1255" t="str">
        <f>IF($B66=0,"",_xlfn.XLOOKUP($B66,INPUT_DATA!$CQ:$CQ,INPUT_DATA!DQ:DQ))</f>
        <v/>
      </c>
    </row>
    <row r="67" spans="2:30">
      <c r="B67" s="1202">
        <f>'02 - Monthly Asset Follow up'!B71</f>
        <v>0</v>
      </c>
      <c r="C67" s="255" t="str">
        <f t="shared" si="2"/>
        <v/>
      </c>
      <c r="D67" s="1255" t="str">
        <f t="shared" si="1"/>
        <v/>
      </c>
      <c r="E67" s="255" t="str">
        <f>IF($B67=0,"",_xlfn.XLOOKUP($B67,INPUT_DATA!$CQ:$CQ,INPUT_DATA!CR:CR))</f>
        <v/>
      </c>
      <c r="F67" s="1255" t="str">
        <f>IF($B67=0,"",_xlfn.XLOOKUP($B67,INPUT_DATA!$CQ:$CQ,INPUT_DATA!CS:CS))</f>
        <v/>
      </c>
      <c r="G67" s="255" t="str">
        <f>IF($B67=0,"",_xlfn.XLOOKUP($B67,INPUT_DATA!$CQ:$CQ,INPUT_DATA!CT:CT))</f>
        <v/>
      </c>
      <c r="H67" s="1255" t="str">
        <f>IF($B67=0,"",_xlfn.XLOOKUP($B67,INPUT_DATA!$CQ:$CQ,INPUT_DATA!CU:CU))</f>
        <v/>
      </c>
      <c r="I67" s="255" t="str">
        <f>IF($B67=0,"",_xlfn.XLOOKUP($B67,INPUT_DATA!$CQ:$CQ,INPUT_DATA!CV:CV))</f>
        <v/>
      </c>
      <c r="J67" s="1255" t="str">
        <f>IF($B67=0,"",_xlfn.XLOOKUP($B67,INPUT_DATA!$CQ:$CQ,INPUT_DATA!CW:CW))</f>
        <v/>
      </c>
      <c r="K67" s="255" t="str">
        <f>IF($B67=0,"",_xlfn.XLOOKUP($B67,INPUT_DATA!$CQ:$CQ,INPUT_DATA!CX:CX))</f>
        <v/>
      </c>
      <c r="L67" s="1255" t="str">
        <f>IF($B67=0,"",_xlfn.XLOOKUP($B67,INPUT_DATA!$CQ:$CQ,INPUT_DATA!CY:CY))</f>
        <v/>
      </c>
      <c r="M67" s="255" t="str">
        <f>IF($B67=0,"",_xlfn.XLOOKUP($B67,INPUT_DATA!$CQ:$CQ,INPUT_DATA!CZ:CZ))</f>
        <v/>
      </c>
      <c r="N67" s="1255" t="str">
        <f>IF($B67=0,"",_xlfn.XLOOKUP($B67,INPUT_DATA!$CQ:$CQ,INPUT_DATA!DA:DA))</f>
        <v/>
      </c>
      <c r="O67" s="255" t="str">
        <f>IF($B67=0,"",_xlfn.XLOOKUP($B67,INPUT_DATA!$CQ:$CQ,INPUT_DATA!DB:DB))</f>
        <v/>
      </c>
      <c r="P67" s="1255" t="str">
        <f>IF($B67=0,"",_xlfn.XLOOKUP($B67,INPUT_DATA!$CQ:$CQ,INPUT_DATA!DC:DC))</f>
        <v/>
      </c>
      <c r="Q67" s="255" t="str">
        <f>IF($B67=0,"",_xlfn.XLOOKUP($B67,INPUT_DATA!$CQ:$CQ,INPUT_DATA!DD:DD))</f>
        <v/>
      </c>
      <c r="R67" s="1255" t="str">
        <f>IF($B67=0,"",_xlfn.XLOOKUP($B67,INPUT_DATA!$CQ:$CQ,INPUT_DATA!DE:DE))</f>
        <v/>
      </c>
      <c r="S67" s="255" t="str">
        <f>IF($B67=0,"",_xlfn.XLOOKUP($B67,INPUT_DATA!$CQ:$CQ,INPUT_DATA!DF:DF))</f>
        <v/>
      </c>
      <c r="T67" s="1255" t="str">
        <f>IF($B67=0,"",_xlfn.XLOOKUP($B67,INPUT_DATA!$CQ:$CQ,INPUT_DATA!DG:DG))</f>
        <v/>
      </c>
      <c r="U67" s="255" t="str">
        <f>IF($B67=0,"",_xlfn.XLOOKUP($B67,INPUT_DATA!$CQ:$CQ,INPUT_DATA!DH:DH))</f>
        <v/>
      </c>
      <c r="V67" s="1255" t="str">
        <f>IF($B67=0,"",_xlfn.XLOOKUP($B67,INPUT_DATA!$CQ:$CQ,INPUT_DATA!DI:DI))</f>
        <v/>
      </c>
      <c r="W67" s="255" t="str">
        <f>IF($B67=0,"",_xlfn.XLOOKUP($B67,INPUT_DATA!$CQ:$CQ,INPUT_DATA!DJ:DJ))</f>
        <v/>
      </c>
      <c r="X67" s="1255" t="str">
        <f>IF($B67=0,"",_xlfn.XLOOKUP($B67,INPUT_DATA!$CQ:$CQ,INPUT_DATA!DK:DK))</f>
        <v/>
      </c>
      <c r="Y67" s="255" t="str">
        <f>IF($B67=0,"",_xlfn.XLOOKUP($B67,INPUT_DATA!$CQ:$CQ,INPUT_DATA!DL:DL))</f>
        <v/>
      </c>
      <c r="Z67" s="1255" t="str">
        <f>IF($B67=0,"",_xlfn.XLOOKUP($B67,INPUT_DATA!$CQ:$CQ,INPUT_DATA!DM:DM))</f>
        <v/>
      </c>
      <c r="AA67" s="255" t="str">
        <f>IF($B67=0,"",_xlfn.XLOOKUP($B67,INPUT_DATA!$CQ:$CQ,INPUT_DATA!DN:DN))</f>
        <v/>
      </c>
      <c r="AB67" s="1255" t="str">
        <f>IF($B67=0,"",_xlfn.XLOOKUP($B67,INPUT_DATA!$CQ:$CQ,INPUT_DATA!DO:DO))</f>
        <v/>
      </c>
      <c r="AC67" s="255" t="str">
        <f>IF($B67=0,"",_xlfn.XLOOKUP($B67,INPUT_DATA!$CQ:$CQ,INPUT_DATA!DP:DP))</f>
        <v/>
      </c>
      <c r="AD67" s="1255" t="str">
        <f>IF($B67=0,"",_xlfn.XLOOKUP($B67,INPUT_DATA!$CQ:$CQ,INPUT_DATA!DQ:DQ))</f>
        <v/>
      </c>
    </row>
    <row r="68" spans="2:30">
      <c r="B68" s="1202">
        <f>'02 - Monthly Asset Follow up'!B72</f>
        <v>0</v>
      </c>
      <c r="C68" s="255" t="str">
        <f t="shared" si="2"/>
        <v/>
      </c>
      <c r="D68" s="1255" t="str">
        <f t="shared" si="1"/>
        <v/>
      </c>
      <c r="E68" s="255" t="str">
        <f>IF($B68=0,"",_xlfn.XLOOKUP($B68,INPUT_DATA!$CQ:$CQ,INPUT_DATA!CR:CR))</f>
        <v/>
      </c>
      <c r="F68" s="1255" t="str">
        <f>IF($B68=0,"",_xlfn.XLOOKUP($B68,INPUT_DATA!$CQ:$CQ,INPUT_DATA!CS:CS))</f>
        <v/>
      </c>
      <c r="G68" s="255" t="str">
        <f>IF($B68=0,"",_xlfn.XLOOKUP($B68,INPUT_DATA!$CQ:$CQ,INPUT_DATA!CT:CT))</f>
        <v/>
      </c>
      <c r="H68" s="1255" t="str">
        <f>IF($B68=0,"",_xlfn.XLOOKUP($B68,INPUT_DATA!$CQ:$CQ,INPUT_DATA!CU:CU))</f>
        <v/>
      </c>
      <c r="I68" s="255" t="str">
        <f>IF($B68=0,"",_xlfn.XLOOKUP($B68,INPUT_DATA!$CQ:$CQ,INPUT_DATA!CV:CV))</f>
        <v/>
      </c>
      <c r="J68" s="1255" t="str">
        <f>IF($B68=0,"",_xlfn.XLOOKUP($B68,INPUT_DATA!$CQ:$CQ,INPUT_DATA!CW:CW))</f>
        <v/>
      </c>
      <c r="K68" s="255" t="str">
        <f>IF($B68=0,"",_xlfn.XLOOKUP($B68,INPUT_DATA!$CQ:$CQ,INPUT_DATA!CX:CX))</f>
        <v/>
      </c>
      <c r="L68" s="1255" t="str">
        <f>IF($B68=0,"",_xlfn.XLOOKUP($B68,INPUT_DATA!$CQ:$CQ,INPUT_DATA!CY:CY))</f>
        <v/>
      </c>
      <c r="M68" s="255" t="str">
        <f>IF($B68=0,"",_xlfn.XLOOKUP($B68,INPUT_DATA!$CQ:$CQ,INPUT_DATA!CZ:CZ))</f>
        <v/>
      </c>
      <c r="N68" s="1255" t="str">
        <f>IF($B68=0,"",_xlfn.XLOOKUP($B68,INPUT_DATA!$CQ:$CQ,INPUT_DATA!DA:DA))</f>
        <v/>
      </c>
      <c r="O68" s="255" t="str">
        <f>IF($B68=0,"",_xlfn.XLOOKUP($B68,INPUT_DATA!$CQ:$CQ,INPUT_DATA!DB:DB))</f>
        <v/>
      </c>
      <c r="P68" s="1255" t="str">
        <f>IF($B68=0,"",_xlfn.XLOOKUP($B68,INPUT_DATA!$CQ:$CQ,INPUT_DATA!DC:DC))</f>
        <v/>
      </c>
      <c r="Q68" s="255" t="str">
        <f>IF($B68=0,"",_xlfn.XLOOKUP($B68,INPUT_DATA!$CQ:$CQ,INPUT_DATA!DD:DD))</f>
        <v/>
      </c>
      <c r="R68" s="1255" t="str">
        <f>IF($B68=0,"",_xlfn.XLOOKUP($B68,INPUT_DATA!$CQ:$CQ,INPUT_DATA!DE:DE))</f>
        <v/>
      </c>
      <c r="S68" s="255" t="str">
        <f>IF($B68=0,"",_xlfn.XLOOKUP($B68,INPUT_DATA!$CQ:$CQ,INPUT_DATA!DF:DF))</f>
        <v/>
      </c>
      <c r="T68" s="1255" t="str">
        <f>IF($B68=0,"",_xlfn.XLOOKUP($B68,INPUT_DATA!$CQ:$CQ,INPUT_DATA!DG:DG))</f>
        <v/>
      </c>
      <c r="U68" s="255" t="str">
        <f>IF($B68=0,"",_xlfn.XLOOKUP($B68,INPUT_DATA!$CQ:$CQ,INPUT_DATA!DH:DH))</f>
        <v/>
      </c>
      <c r="V68" s="1255" t="str">
        <f>IF($B68=0,"",_xlfn.XLOOKUP($B68,INPUT_DATA!$CQ:$CQ,INPUT_DATA!DI:DI))</f>
        <v/>
      </c>
      <c r="W68" s="255" t="str">
        <f>IF($B68=0,"",_xlfn.XLOOKUP($B68,INPUT_DATA!$CQ:$CQ,INPUT_DATA!DJ:DJ))</f>
        <v/>
      </c>
      <c r="X68" s="1255" t="str">
        <f>IF($B68=0,"",_xlfn.XLOOKUP($B68,INPUT_DATA!$CQ:$CQ,INPUT_DATA!DK:DK))</f>
        <v/>
      </c>
      <c r="Y68" s="255" t="str">
        <f>IF($B68=0,"",_xlfn.XLOOKUP($B68,INPUT_DATA!$CQ:$CQ,INPUT_DATA!DL:DL))</f>
        <v/>
      </c>
      <c r="Z68" s="1255" t="str">
        <f>IF($B68=0,"",_xlfn.XLOOKUP($B68,INPUT_DATA!$CQ:$CQ,INPUT_DATA!DM:DM))</f>
        <v/>
      </c>
      <c r="AA68" s="255" t="str">
        <f>IF($B68=0,"",_xlfn.XLOOKUP($B68,INPUT_DATA!$CQ:$CQ,INPUT_DATA!DN:DN))</f>
        <v/>
      </c>
      <c r="AB68" s="1255" t="str">
        <f>IF($B68=0,"",_xlfn.XLOOKUP($B68,INPUT_DATA!$CQ:$CQ,INPUT_DATA!DO:DO))</f>
        <v/>
      </c>
      <c r="AC68" s="255" t="str">
        <f>IF($B68=0,"",_xlfn.XLOOKUP($B68,INPUT_DATA!$CQ:$CQ,INPUT_DATA!DP:DP))</f>
        <v/>
      </c>
      <c r="AD68" s="1255" t="str">
        <f>IF($B68=0,"",_xlfn.XLOOKUP($B68,INPUT_DATA!$CQ:$CQ,INPUT_DATA!DQ:DQ))</f>
        <v/>
      </c>
    </row>
    <row r="69" spans="2:30">
      <c r="B69" s="1202">
        <f>'02 - Monthly Asset Follow up'!B73</f>
        <v>0</v>
      </c>
      <c r="C69" s="255" t="str">
        <f t="shared" si="2"/>
        <v/>
      </c>
      <c r="D69" s="1255" t="str">
        <f t="shared" si="1"/>
        <v/>
      </c>
      <c r="E69" s="255" t="str">
        <f>IF($B69=0,"",_xlfn.XLOOKUP($B69,INPUT_DATA!$CQ:$CQ,INPUT_DATA!CR:CR))</f>
        <v/>
      </c>
      <c r="F69" s="1255" t="str">
        <f>IF($B69=0,"",_xlfn.XLOOKUP($B69,INPUT_DATA!$CQ:$CQ,INPUT_DATA!CS:CS))</f>
        <v/>
      </c>
      <c r="G69" s="255" t="str">
        <f>IF($B69=0,"",_xlfn.XLOOKUP($B69,INPUT_DATA!$CQ:$CQ,INPUT_DATA!CT:CT))</f>
        <v/>
      </c>
      <c r="H69" s="1255" t="str">
        <f>IF($B69=0,"",_xlfn.XLOOKUP($B69,INPUT_DATA!$CQ:$CQ,INPUT_DATA!CU:CU))</f>
        <v/>
      </c>
      <c r="I69" s="255" t="str">
        <f>IF($B69=0,"",_xlfn.XLOOKUP($B69,INPUT_DATA!$CQ:$CQ,INPUT_DATA!CV:CV))</f>
        <v/>
      </c>
      <c r="J69" s="1255" t="str">
        <f>IF($B69=0,"",_xlfn.XLOOKUP($B69,INPUT_DATA!$CQ:$CQ,INPUT_DATA!CW:CW))</f>
        <v/>
      </c>
      <c r="K69" s="255" t="str">
        <f>IF($B69=0,"",_xlfn.XLOOKUP($B69,INPUT_DATA!$CQ:$CQ,INPUT_DATA!CX:CX))</f>
        <v/>
      </c>
      <c r="L69" s="1255" t="str">
        <f>IF($B69=0,"",_xlfn.XLOOKUP($B69,INPUT_DATA!$CQ:$CQ,INPUT_DATA!CY:CY))</f>
        <v/>
      </c>
      <c r="M69" s="255" t="str">
        <f>IF($B69=0,"",_xlfn.XLOOKUP($B69,INPUT_DATA!$CQ:$CQ,INPUT_DATA!CZ:CZ))</f>
        <v/>
      </c>
      <c r="N69" s="1255" t="str">
        <f>IF($B69=0,"",_xlfn.XLOOKUP($B69,INPUT_DATA!$CQ:$CQ,INPUT_DATA!DA:DA))</f>
        <v/>
      </c>
      <c r="O69" s="255" t="str">
        <f>IF($B69=0,"",_xlfn.XLOOKUP($B69,INPUT_DATA!$CQ:$CQ,INPUT_DATA!DB:DB))</f>
        <v/>
      </c>
      <c r="P69" s="1255" t="str">
        <f>IF($B69=0,"",_xlfn.XLOOKUP($B69,INPUT_DATA!$CQ:$CQ,INPUT_DATA!DC:DC))</f>
        <v/>
      </c>
      <c r="Q69" s="255" t="str">
        <f>IF($B69=0,"",_xlfn.XLOOKUP($B69,INPUT_DATA!$CQ:$CQ,INPUT_DATA!DD:DD))</f>
        <v/>
      </c>
      <c r="R69" s="1255" t="str">
        <f>IF($B69=0,"",_xlfn.XLOOKUP($B69,INPUT_DATA!$CQ:$CQ,INPUT_DATA!DE:DE))</f>
        <v/>
      </c>
      <c r="S69" s="255" t="str">
        <f>IF($B69=0,"",_xlfn.XLOOKUP($B69,INPUT_DATA!$CQ:$CQ,INPUT_DATA!DF:DF))</f>
        <v/>
      </c>
      <c r="T69" s="1255" t="str">
        <f>IF($B69=0,"",_xlfn.XLOOKUP($B69,INPUT_DATA!$CQ:$CQ,INPUT_DATA!DG:DG))</f>
        <v/>
      </c>
      <c r="U69" s="255" t="str">
        <f>IF($B69=0,"",_xlfn.XLOOKUP($B69,INPUT_DATA!$CQ:$CQ,INPUT_DATA!DH:DH))</f>
        <v/>
      </c>
      <c r="V69" s="1255" t="str">
        <f>IF($B69=0,"",_xlfn.XLOOKUP($B69,INPUT_DATA!$CQ:$CQ,INPUT_DATA!DI:DI))</f>
        <v/>
      </c>
      <c r="W69" s="255" t="str">
        <f>IF($B69=0,"",_xlfn.XLOOKUP($B69,INPUT_DATA!$CQ:$CQ,INPUT_DATA!DJ:DJ))</f>
        <v/>
      </c>
      <c r="X69" s="1255" t="str">
        <f>IF($B69=0,"",_xlfn.XLOOKUP($B69,INPUT_DATA!$CQ:$CQ,INPUT_DATA!DK:DK))</f>
        <v/>
      </c>
      <c r="Y69" s="255" t="str">
        <f>IF($B69=0,"",_xlfn.XLOOKUP($B69,INPUT_DATA!$CQ:$CQ,INPUT_DATA!DL:DL))</f>
        <v/>
      </c>
      <c r="Z69" s="1255" t="str">
        <f>IF($B69=0,"",_xlfn.XLOOKUP($B69,INPUT_DATA!$CQ:$CQ,INPUT_DATA!DM:DM))</f>
        <v/>
      </c>
      <c r="AA69" s="255" t="str">
        <f>IF($B69=0,"",_xlfn.XLOOKUP($B69,INPUT_DATA!$CQ:$CQ,INPUT_DATA!DN:DN))</f>
        <v/>
      </c>
      <c r="AB69" s="1255" t="str">
        <f>IF($B69=0,"",_xlfn.XLOOKUP($B69,INPUT_DATA!$CQ:$CQ,INPUT_DATA!DO:DO))</f>
        <v/>
      </c>
      <c r="AC69" s="255" t="str">
        <f>IF($B69=0,"",_xlfn.XLOOKUP($B69,INPUT_DATA!$CQ:$CQ,INPUT_DATA!DP:DP))</f>
        <v/>
      </c>
      <c r="AD69" s="1255" t="str">
        <f>IF($B69=0,"",_xlfn.XLOOKUP($B69,INPUT_DATA!$CQ:$CQ,INPUT_DATA!DQ:DQ))</f>
        <v/>
      </c>
    </row>
    <row r="70" spans="2:30">
      <c r="B70" s="1202">
        <f>'02 - Monthly Asset Follow up'!B74</f>
        <v>0</v>
      </c>
      <c r="C70" s="255" t="str">
        <f t="shared" si="2"/>
        <v/>
      </c>
      <c r="D70" s="1255" t="str">
        <f t="shared" si="1"/>
        <v/>
      </c>
      <c r="E70" s="255" t="str">
        <f>IF($B70=0,"",_xlfn.XLOOKUP($B70,INPUT_DATA!$CQ:$CQ,INPUT_DATA!CR:CR))</f>
        <v/>
      </c>
      <c r="F70" s="1255" t="str">
        <f>IF($B70=0,"",_xlfn.XLOOKUP($B70,INPUT_DATA!$CQ:$CQ,INPUT_DATA!CS:CS))</f>
        <v/>
      </c>
      <c r="G70" s="255" t="str">
        <f>IF($B70=0,"",_xlfn.XLOOKUP($B70,INPUT_DATA!$CQ:$CQ,INPUT_DATA!CT:CT))</f>
        <v/>
      </c>
      <c r="H70" s="1255" t="str">
        <f>IF($B70=0,"",_xlfn.XLOOKUP($B70,INPUT_DATA!$CQ:$CQ,INPUT_DATA!CU:CU))</f>
        <v/>
      </c>
      <c r="I70" s="255" t="str">
        <f>IF($B70=0,"",_xlfn.XLOOKUP($B70,INPUT_DATA!$CQ:$CQ,INPUT_DATA!CV:CV))</f>
        <v/>
      </c>
      <c r="J70" s="1255" t="str">
        <f>IF($B70=0,"",_xlfn.XLOOKUP($B70,INPUT_DATA!$CQ:$CQ,INPUT_DATA!CW:CW))</f>
        <v/>
      </c>
      <c r="K70" s="255" t="str">
        <f>IF($B70=0,"",_xlfn.XLOOKUP($B70,INPUT_DATA!$CQ:$CQ,INPUT_DATA!CX:CX))</f>
        <v/>
      </c>
      <c r="L70" s="1255" t="str">
        <f>IF($B70=0,"",_xlfn.XLOOKUP($B70,INPUT_DATA!$CQ:$CQ,INPUT_DATA!CY:CY))</f>
        <v/>
      </c>
      <c r="M70" s="255" t="str">
        <f>IF($B70=0,"",_xlfn.XLOOKUP($B70,INPUT_DATA!$CQ:$CQ,INPUT_DATA!CZ:CZ))</f>
        <v/>
      </c>
      <c r="N70" s="1255" t="str">
        <f>IF($B70=0,"",_xlfn.XLOOKUP($B70,INPUT_DATA!$CQ:$CQ,INPUT_DATA!DA:DA))</f>
        <v/>
      </c>
      <c r="O70" s="255" t="str">
        <f>IF($B70=0,"",_xlfn.XLOOKUP($B70,INPUT_DATA!$CQ:$CQ,INPUT_DATA!DB:DB))</f>
        <v/>
      </c>
      <c r="P70" s="1255" t="str">
        <f>IF($B70=0,"",_xlfn.XLOOKUP($B70,INPUT_DATA!$CQ:$CQ,INPUT_DATA!DC:DC))</f>
        <v/>
      </c>
      <c r="Q70" s="255" t="str">
        <f>IF($B70=0,"",_xlfn.XLOOKUP($B70,INPUT_DATA!$CQ:$CQ,INPUT_DATA!DD:DD))</f>
        <v/>
      </c>
      <c r="R70" s="1255" t="str">
        <f>IF($B70=0,"",_xlfn.XLOOKUP($B70,INPUT_DATA!$CQ:$CQ,INPUT_DATA!DE:DE))</f>
        <v/>
      </c>
      <c r="S70" s="255" t="str">
        <f>IF($B70=0,"",_xlfn.XLOOKUP($B70,INPUT_DATA!$CQ:$CQ,INPUT_DATA!DF:DF))</f>
        <v/>
      </c>
      <c r="T70" s="1255" t="str">
        <f>IF($B70=0,"",_xlfn.XLOOKUP($B70,INPUT_DATA!$CQ:$CQ,INPUT_DATA!DG:DG))</f>
        <v/>
      </c>
      <c r="U70" s="255" t="str">
        <f>IF($B70=0,"",_xlfn.XLOOKUP($B70,INPUT_DATA!$CQ:$CQ,INPUT_DATA!DH:DH))</f>
        <v/>
      </c>
      <c r="V70" s="1255" t="str">
        <f>IF($B70=0,"",_xlfn.XLOOKUP($B70,INPUT_DATA!$CQ:$CQ,INPUT_DATA!DI:DI))</f>
        <v/>
      </c>
      <c r="W70" s="255" t="str">
        <f>IF($B70=0,"",_xlfn.XLOOKUP($B70,INPUT_DATA!$CQ:$CQ,INPUT_DATA!DJ:DJ))</f>
        <v/>
      </c>
      <c r="X70" s="1255" t="str">
        <f>IF($B70=0,"",_xlfn.XLOOKUP($B70,INPUT_DATA!$CQ:$CQ,INPUT_DATA!DK:DK))</f>
        <v/>
      </c>
      <c r="Y70" s="255" t="str">
        <f>IF($B70=0,"",_xlfn.XLOOKUP($B70,INPUT_DATA!$CQ:$CQ,INPUT_DATA!DL:DL))</f>
        <v/>
      </c>
      <c r="Z70" s="1255" t="str">
        <f>IF($B70=0,"",_xlfn.XLOOKUP($B70,INPUT_DATA!$CQ:$CQ,INPUT_DATA!DM:DM))</f>
        <v/>
      </c>
      <c r="AA70" s="255" t="str">
        <f>IF($B70=0,"",_xlfn.XLOOKUP($B70,INPUT_DATA!$CQ:$CQ,INPUT_DATA!DN:DN))</f>
        <v/>
      </c>
      <c r="AB70" s="1255" t="str">
        <f>IF($B70=0,"",_xlfn.XLOOKUP($B70,INPUT_DATA!$CQ:$CQ,INPUT_DATA!DO:DO))</f>
        <v/>
      </c>
      <c r="AC70" s="255" t="str">
        <f>IF($B70=0,"",_xlfn.XLOOKUP($B70,INPUT_DATA!$CQ:$CQ,INPUT_DATA!DP:DP))</f>
        <v/>
      </c>
      <c r="AD70" s="1255" t="str">
        <f>IF($B70=0,"",_xlfn.XLOOKUP($B70,INPUT_DATA!$CQ:$CQ,INPUT_DATA!DQ:DQ))</f>
        <v/>
      </c>
    </row>
    <row r="71" spans="2:30">
      <c r="B71" s="1202">
        <f>'02 - Monthly Asset Follow up'!B75</f>
        <v>0</v>
      </c>
      <c r="C71" s="255" t="str">
        <f t="shared" si="2"/>
        <v/>
      </c>
      <c r="D71" s="1255" t="str">
        <f t="shared" si="1"/>
        <v/>
      </c>
      <c r="E71" s="255" t="str">
        <f>IF($B71=0,"",_xlfn.XLOOKUP($B71,INPUT_DATA!$CQ:$CQ,INPUT_DATA!CR:CR))</f>
        <v/>
      </c>
      <c r="F71" s="1255" t="str">
        <f>IF($B71=0,"",_xlfn.XLOOKUP($B71,INPUT_DATA!$CQ:$CQ,INPUT_DATA!CS:CS))</f>
        <v/>
      </c>
      <c r="G71" s="255" t="str">
        <f>IF($B71=0,"",_xlfn.XLOOKUP($B71,INPUT_DATA!$CQ:$CQ,INPUT_DATA!CT:CT))</f>
        <v/>
      </c>
      <c r="H71" s="1255" t="str">
        <f>IF($B71=0,"",_xlfn.XLOOKUP($B71,INPUT_DATA!$CQ:$CQ,INPUT_DATA!CU:CU))</f>
        <v/>
      </c>
      <c r="I71" s="255" t="str">
        <f>IF($B71=0,"",_xlfn.XLOOKUP($B71,INPUT_DATA!$CQ:$CQ,INPUT_DATA!CV:CV))</f>
        <v/>
      </c>
      <c r="J71" s="1255" t="str">
        <f>IF($B71=0,"",_xlfn.XLOOKUP($B71,INPUT_DATA!$CQ:$CQ,INPUT_DATA!CW:CW))</f>
        <v/>
      </c>
      <c r="K71" s="255" t="str">
        <f>IF($B71=0,"",_xlfn.XLOOKUP($B71,INPUT_DATA!$CQ:$CQ,INPUT_DATA!CX:CX))</f>
        <v/>
      </c>
      <c r="L71" s="1255" t="str">
        <f>IF($B71=0,"",_xlfn.XLOOKUP($B71,INPUT_DATA!$CQ:$CQ,INPUT_DATA!CY:CY))</f>
        <v/>
      </c>
      <c r="M71" s="255" t="str">
        <f>IF($B71=0,"",_xlfn.XLOOKUP($B71,INPUT_DATA!$CQ:$CQ,INPUT_DATA!CZ:CZ))</f>
        <v/>
      </c>
      <c r="N71" s="1255" t="str">
        <f>IF($B71=0,"",_xlfn.XLOOKUP($B71,INPUT_DATA!$CQ:$CQ,INPUT_DATA!DA:DA))</f>
        <v/>
      </c>
      <c r="O71" s="255" t="str">
        <f>IF($B71=0,"",_xlfn.XLOOKUP($B71,INPUT_DATA!$CQ:$CQ,INPUT_DATA!DB:DB))</f>
        <v/>
      </c>
      <c r="P71" s="1255" t="str">
        <f>IF($B71=0,"",_xlfn.XLOOKUP($B71,INPUT_DATA!$CQ:$CQ,INPUT_DATA!DC:DC))</f>
        <v/>
      </c>
      <c r="Q71" s="255" t="str">
        <f>IF($B71=0,"",_xlfn.XLOOKUP($B71,INPUT_DATA!$CQ:$CQ,INPUT_DATA!DD:DD))</f>
        <v/>
      </c>
      <c r="R71" s="1255" t="str">
        <f>IF($B71=0,"",_xlfn.XLOOKUP($B71,INPUT_DATA!$CQ:$CQ,INPUT_DATA!DE:DE))</f>
        <v/>
      </c>
      <c r="S71" s="255" t="str">
        <f>IF($B71=0,"",_xlfn.XLOOKUP($B71,INPUT_DATA!$CQ:$CQ,INPUT_DATA!DF:DF))</f>
        <v/>
      </c>
      <c r="T71" s="1255" t="str">
        <f>IF($B71=0,"",_xlfn.XLOOKUP($B71,INPUT_DATA!$CQ:$CQ,INPUT_DATA!DG:DG))</f>
        <v/>
      </c>
      <c r="U71" s="255" t="str">
        <f>IF($B71=0,"",_xlfn.XLOOKUP($B71,INPUT_DATA!$CQ:$CQ,INPUT_DATA!DH:DH))</f>
        <v/>
      </c>
      <c r="V71" s="1255" t="str">
        <f>IF($B71=0,"",_xlfn.XLOOKUP($B71,INPUT_DATA!$CQ:$CQ,INPUT_DATA!DI:DI))</f>
        <v/>
      </c>
      <c r="W71" s="255" t="str">
        <f>IF($B71=0,"",_xlfn.XLOOKUP($B71,INPUT_DATA!$CQ:$CQ,INPUT_DATA!DJ:DJ))</f>
        <v/>
      </c>
      <c r="X71" s="1255" t="str">
        <f>IF($B71=0,"",_xlfn.XLOOKUP($B71,INPUT_DATA!$CQ:$CQ,INPUT_DATA!DK:DK))</f>
        <v/>
      </c>
      <c r="Y71" s="255" t="str">
        <f>IF($B71=0,"",_xlfn.XLOOKUP($B71,INPUT_DATA!$CQ:$CQ,INPUT_DATA!DL:DL))</f>
        <v/>
      </c>
      <c r="Z71" s="1255" t="str">
        <f>IF($B71=0,"",_xlfn.XLOOKUP($B71,INPUT_DATA!$CQ:$CQ,INPUT_DATA!DM:DM))</f>
        <v/>
      </c>
      <c r="AA71" s="255" t="str">
        <f>IF($B71=0,"",_xlfn.XLOOKUP($B71,INPUT_DATA!$CQ:$CQ,INPUT_DATA!DN:DN))</f>
        <v/>
      </c>
      <c r="AB71" s="1255" t="str">
        <f>IF($B71=0,"",_xlfn.XLOOKUP($B71,INPUT_DATA!$CQ:$CQ,INPUT_DATA!DO:DO))</f>
        <v/>
      </c>
      <c r="AC71" s="255" t="str">
        <f>IF($B71=0,"",_xlfn.XLOOKUP($B71,INPUT_DATA!$CQ:$CQ,INPUT_DATA!DP:DP))</f>
        <v/>
      </c>
      <c r="AD71" s="1255" t="str">
        <f>IF($B71=0,"",_xlfn.XLOOKUP($B71,INPUT_DATA!$CQ:$CQ,INPUT_DATA!DQ:DQ))</f>
        <v/>
      </c>
    </row>
    <row r="72" spans="2:30">
      <c r="B72" s="1257">
        <f>'02 - Monthly Asset Follow up'!B76</f>
        <v>0</v>
      </c>
      <c r="C72" s="255" t="str">
        <f t="shared" si="2"/>
        <v/>
      </c>
      <c r="D72" s="1256" t="str">
        <f t="shared" si="1"/>
        <v/>
      </c>
      <c r="E72" s="1203" t="str">
        <f>IF($B72=0,"",_xlfn.XLOOKUP($B72,INPUT_DATA!$CQ:$CQ,INPUT_DATA!CR:CR))</f>
        <v/>
      </c>
      <c r="F72" s="1256" t="str">
        <f>IF($B72=0,"",_xlfn.XLOOKUP($B72,INPUT_DATA!$CQ:$CQ,INPUT_DATA!CS:CS))</f>
        <v/>
      </c>
      <c r="G72" s="1203" t="str">
        <f>IF($B72=0,"",_xlfn.XLOOKUP($B72,INPUT_DATA!$CQ:$CQ,INPUT_DATA!CT:CT))</f>
        <v/>
      </c>
      <c r="H72" s="1256" t="str">
        <f>IF($B72=0,"",_xlfn.XLOOKUP($B72,INPUT_DATA!$CQ:$CQ,INPUT_DATA!CU:CU))</f>
        <v/>
      </c>
      <c r="I72" s="1203" t="str">
        <f>IF($B72=0,"",_xlfn.XLOOKUP($B72,INPUT_DATA!$CQ:$CQ,INPUT_DATA!CV:CV))</f>
        <v/>
      </c>
      <c r="J72" s="1256" t="str">
        <f>IF($B72=0,"",_xlfn.XLOOKUP($B72,INPUT_DATA!$CQ:$CQ,INPUT_DATA!CW:CW))</f>
        <v/>
      </c>
      <c r="K72" s="1203" t="str">
        <f>IF($B72=0,"",_xlfn.XLOOKUP($B72,INPUT_DATA!$CQ:$CQ,INPUT_DATA!CX:CX))</f>
        <v/>
      </c>
      <c r="L72" s="1256" t="str">
        <f>IF($B72=0,"",_xlfn.XLOOKUP($B72,INPUT_DATA!$CQ:$CQ,INPUT_DATA!CY:CY))</f>
        <v/>
      </c>
      <c r="M72" s="1203" t="str">
        <f>IF($B72=0,"",_xlfn.XLOOKUP($B72,INPUT_DATA!$CQ:$CQ,INPUT_DATA!CZ:CZ))</f>
        <v/>
      </c>
      <c r="N72" s="1256" t="str">
        <f>IF($B72=0,"",_xlfn.XLOOKUP($B72,INPUT_DATA!$CQ:$CQ,INPUT_DATA!DA:DA))</f>
        <v/>
      </c>
      <c r="O72" s="1203" t="str">
        <f>IF($B72=0,"",_xlfn.XLOOKUP($B72,INPUT_DATA!$CQ:$CQ,INPUT_DATA!DB:DB))</f>
        <v/>
      </c>
      <c r="P72" s="1256" t="str">
        <f>IF($B72=0,"",_xlfn.XLOOKUP($B72,INPUT_DATA!$CQ:$CQ,INPUT_DATA!DC:DC))</f>
        <v/>
      </c>
      <c r="Q72" s="1203" t="str">
        <f>IF($B72=0,"",_xlfn.XLOOKUP($B72,INPUT_DATA!$CQ:$CQ,INPUT_DATA!DD:DD))</f>
        <v/>
      </c>
      <c r="R72" s="1256" t="str">
        <f>IF($B72=0,"",_xlfn.XLOOKUP($B72,INPUT_DATA!$CQ:$CQ,INPUT_DATA!DE:DE))</f>
        <v/>
      </c>
      <c r="S72" s="1203" t="str">
        <f>IF($B72=0,"",_xlfn.XLOOKUP($B72,INPUT_DATA!$CQ:$CQ,INPUT_DATA!DF:DF))</f>
        <v/>
      </c>
      <c r="T72" s="1256" t="str">
        <f>IF($B72=0,"",_xlfn.XLOOKUP($B72,INPUT_DATA!$CQ:$CQ,INPUT_DATA!DG:DG))</f>
        <v/>
      </c>
      <c r="U72" s="1203" t="str">
        <f>IF($B72=0,"",_xlfn.XLOOKUP($B72,INPUT_DATA!$CQ:$CQ,INPUT_DATA!DH:DH))</f>
        <v/>
      </c>
      <c r="V72" s="1256" t="str">
        <f>IF($B72=0,"",_xlfn.XLOOKUP($B72,INPUT_DATA!$CQ:$CQ,INPUT_DATA!DI:DI))</f>
        <v/>
      </c>
      <c r="W72" s="1203" t="str">
        <f>IF($B72=0,"",_xlfn.XLOOKUP($B72,INPUT_DATA!$CQ:$CQ,INPUT_DATA!DJ:DJ))</f>
        <v/>
      </c>
      <c r="X72" s="1256" t="str">
        <f>IF($B72=0,"",_xlfn.XLOOKUP($B72,INPUT_DATA!$CQ:$CQ,INPUT_DATA!DK:DK))</f>
        <v/>
      </c>
      <c r="Y72" s="1203" t="str">
        <f>IF($B72=0,"",_xlfn.XLOOKUP($B72,INPUT_DATA!$CQ:$CQ,INPUT_DATA!DL:DL))</f>
        <v/>
      </c>
      <c r="Z72" s="1256" t="str">
        <f>IF($B72=0,"",_xlfn.XLOOKUP($B72,INPUT_DATA!$CQ:$CQ,INPUT_DATA!DM:DM))</f>
        <v/>
      </c>
      <c r="AA72" s="1203" t="str">
        <f>IF($B72=0,"",_xlfn.XLOOKUP($B72,INPUT_DATA!$CQ:$CQ,INPUT_DATA!DN:DN))</f>
        <v/>
      </c>
      <c r="AB72" s="1256" t="str">
        <f>IF($B72=0,"",_xlfn.XLOOKUP($B72,INPUT_DATA!$CQ:$CQ,INPUT_DATA!DO:DO))</f>
        <v/>
      </c>
      <c r="AC72" s="1203" t="str">
        <f>IF($B72=0,"",_xlfn.XLOOKUP($B72,INPUT_DATA!$CQ:$CQ,INPUT_DATA!DP:DP))</f>
        <v/>
      </c>
      <c r="AD72" s="1256" t="str">
        <f>IF($B72=0,"",_xlfn.XLOOKUP($B72,INPUT_DATA!$CQ:$CQ,INPUT_DATA!DQ:DQ))</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2025-11-27T07:44:20Z</cp:lastPrinted>
  <dcterms:created xsi:type="dcterms:W3CDTF">2015-06-05T18:17:20Z</dcterms:created>
  <dcterms:modified xsi:type="dcterms:W3CDTF">2026-08-14T11:16:32Z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