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6\2026 01 27\"/>
    </mc:Choice>
  </mc:AlternateContent>
  <xr:revisionPtr revIDLastSave="0" documentId="13_ncr:1_{FC535A95-C6B3-43C0-954F-71296B4AD61B}" xr6:coauthVersionLast="47" xr6:coauthVersionMax="47" xr10:uidLastSave="{00000000-0000-0000-0000-000000000000}"/>
  <bookViews>
    <workbookView xWindow="-28920" yWindow="-120" windowWidth="29040" windowHeight="15720" tabRatio="789"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state="hidden" r:id="rId47"/>
    <sheet name="Calendar" sheetId="40" r:id="rId48"/>
    <sheet name="Annex 12" sheetId="54" r:id="rId49"/>
    <sheet name="Sheet1" sheetId="62" state="hidden" r:id="rId50"/>
    <sheet name="Annex 14" sheetId="53" r:id="rId51"/>
    <sheet name="2_Securitisation" sheetId="55" r:id="rId52"/>
    <sheet name="2_Cashflow" sheetId="56" r:id="rId53"/>
    <sheet name="12_Counterparty" sheetId="57" r:id="rId54"/>
    <sheet name="12_Securitisation" sheetId="58" r:id="rId55"/>
    <sheet name="12_Account" sheetId="59" r:id="rId56"/>
    <sheet name="12_Bond" sheetId="60" r:id="rId57"/>
    <sheet name="2_TestsEventsTriggers" sheetId="61"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24" l="1"/>
  <c r="Q14" i="24"/>
  <c r="S14" i="24"/>
  <c r="T14" i="24"/>
  <c r="U14" i="24"/>
  <c r="W14" i="24"/>
  <c r="X14" i="24"/>
  <c r="Y14" i="24"/>
  <c r="E42" i="14"/>
  <c r="E39" i="14"/>
  <c r="J28" i="14" l="1"/>
  <c r="C29" i="8" l="1"/>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B29" i="8"/>
  <c r="D26" i="22"/>
  <c r="D14" i="19" l="1"/>
  <c r="I29" i="23"/>
  <c r="E23" i="30"/>
  <c r="E15" i="30"/>
  <c r="J16" i="27"/>
  <c r="E4" i="63" l="1"/>
  <c r="G28" i="14"/>
  <c r="G58" i="14" l="1"/>
  <c r="W4" i="60" l="1"/>
  <c r="Y4" i="60"/>
  <c r="J48" i="53"/>
  <c r="J41" i="53"/>
  <c r="J37" i="53"/>
  <c r="X17" i="63" l="1"/>
  <c r="W17" i="63"/>
  <c r="U17" i="63"/>
  <c r="V17" i="63" s="1"/>
  <c r="O17" i="63"/>
  <c r="I17" i="63"/>
  <c r="G17" i="63"/>
  <c r="H17" i="63" s="1"/>
  <c r="X16" i="63"/>
  <c r="W16" i="63"/>
  <c r="U16" i="63"/>
  <c r="V16" i="63" s="1"/>
  <c r="O16" i="63"/>
  <c r="I16" i="63"/>
  <c r="G16" i="63"/>
  <c r="H16" i="63" s="1"/>
  <c r="A11" i="36"/>
  <c r="I12" i="13" l="1"/>
  <c r="M19" i="12" l="1"/>
  <c r="N19" i="12"/>
  <c r="O19" i="12"/>
  <c r="P19" i="12"/>
  <c r="Q19" i="12"/>
  <c r="R19" i="12"/>
  <c r="S19" i="12"/>
  <c r="Y13" i="24" s="1"/>
  <c r="T19" i="12"/>
  <c r="U13" i="24" s="1"/>
  <c r="M20" i="12"/>
  <c r="N20" i="12"/>
  <c r="O20" i="12"/>
  <c r="P20" i="12"/>
  <c r="Q20" i="12"/>
  <c r="R20" i="12"/>
  <c r="S20" i="12"/>
  <c r="T20" i="12"/>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Y12" i="24" s="1"/>
  <c r="T18" i="12"/>
  <c r="U12" i="24" s="1"/>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T13" i="24" s="1"/>
  <c r="O27" i="11"/>
  <c r="S13" i="24" s="1"/>
  <c r="P27" i="11"/>
  <c r="Q27" i="11"/>
  <c r="X13" i="24" s="1"/>
  <c r="R27" i="11"/>
  <c r="W13" i="24" s="1"/>
  <c r="L28" i="11"/>
  <c r="M28" i="11"/>
  <c r="N28" i="11"/>
  <c r="O28" i="11"/>
  <c r="P28" i="11"/>
  <c r="Q28" i="11"/>
  <c r="R28" i="1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T12" i="24" s="1"/>
  <c r="O26" i="11"/>
  <c r="P26" i="11"/>
  <c r="Q26" i="11"/>
  <c r="X12" i="24" s="1"/>
  <c r="R26" i="11"/>
  <c r="W12" i="24" s="1"/>
  <c r="L26" i="11"/>
  <c r="W3" i="64"/>
  <c r="Q11" i="24"/>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L25" i="11" l="1"/>
  <c r="S12" i="24"/>
  <c r="F31" i="23"/>
  <c r="N17" i="12"/>
  <c r="CF3" i="64" s="1"/>
  <c r="G248" i="32"/>
  <c r="E248" i="32"/>
  <c r="V3" i="64" l="1"/>
  <c r="F30" i="23"/>
  <c r="M23" i="67"/>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L17"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E14" i="19" s="1"/>
  <c r="H26" i="11"/>
  <c r="I26" i="11"/>
  <c r="J26" i="11"/>
  <c r="D26" i="11"/>
  <c r="B27" i="11"/>
  <c r="O13" i="24" s="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O12" i="24" s="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E19" i="11" l="1"/>
  <c r="D17" i="45"/>
  <c r="W17" i="45"/>
  <c r="E46" i="34"/>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28" i="6" s="1"/>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Q12" i="24" s="1"/>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Q13" i="24" s="1"/>
  <c r="M13" i="24"/>
  <c r="I13" i="24"/>
  <c r="AD25" i="24"/>
  <c r="AL25" i="24"/>
  <c r="AH25" i="24"/>
  <c r="E25" i="24"/>
  <c r="M25" i="24"/>
  <c r="I25" i="24"/>
  <c r="AD14" i="24"/>
  <c r="AL14" i="24"/>
  <c r="AH14" i="24"/>
  <c r="E14" i="24"/>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B78" i="4"/>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I82" i="42" s="1"/>
  <c r="B81" i="42"/>
  <c r="AB81" i="42" s="1"/>
  <c r="B80" i="42"/>
  <c r="T80" i="42" s="1"/>
  <c r="B79" i="42"/>
  <c r="B78" i="42"/>
  <c r="B77" i="42"/>
  <c r="B76" i="42"/>
  <c r="B75" i="42"/>
  <c r="B74" i="42"/>
  <c r="B73" i="42"/>
  <c r="B72" i="42"/>
  <c r="B71" i="42"/>
  <c r="B70" i="42"/>
  <c r="E70" i="42" s="1"/>
  <c r="B69" i="42"/>
  <c r="B68" i="42"/>
  <c r="B67" i="42"/>
  <c r="B66" i="42"/>
  <c r="O66" i="42" s="1"/>
  <c r="B65" i="42"/>
  <c r="B64" i="42"/>
  <c r="B63" i="42"/>
  <c r="B62" i="42"/>
  <c r="B61" i="42"/>
  <c r="B60" i="42"/>
  <c r="B59" i="42"/>
  <c r="B58" i="42"/>
  <c r="K58" i="42" s="1"/>
  <c r="B57" i="42"/>
  <c r="B56" i="42"/>
  <c r="S56" i="42" s="1"/>
  <c r="B55" i="42"/>
  <c r="B54" i="42"/>
  <c r="AB54" i="42" s="1"/>
  <c r="B53" i="42"/>
  <c r="B52" i="42"/>
  <c r="B51" i="42"/>
  <c r="B50" i="42"/>
  <c r="B49" i="42"/>
  <c r="B48" i="42"/>
  <c r="B47" i="42"/>
  <c r="B46" i="42"/>
  <c r="T46" i="42" s="1"/>
  <c r="B45" i="42"/>
  <c r="B44" i="42"/>
  <c r="B43" i="42"/>
  <c r="B42" i="42"/>
  <c r="X42" i="42" s="1"/>
  <c r="B41" i="42"/>
  <c r="B40" i="42"/>
  <c r="B39" i="42"/>
  <c r="B38" i="42"/>
  <c r="B37" i="42"/>
  <c r="B36" i="42"/>
  <c r="B35" i="42"/>
  <c r="B34" i="42"/>
  <c r="C34" i="42" s="1"/>
  <c r="B33" i="42"/>
  <c r="AB33" i="42" s="1"/>
  <c r="B32" i="42"/>
  <c r="U32" i="42" s="1"/>
  <c r="B31" i="42"/>
  <c r="B30" i="42"/>
  <c r="AG30" i="42" s="1"/>
  <c r="B29" i="42"/>
  <c r="B28" i="42"/>
  <c r="K28" i="42" s="1"/>
  <c r="B27" i="42"/>
  <c r="Z27" i="42" s="1"/>
  <c r="B26" i="42"/>
  <c r="B25" i="42"/>
  <c r="B24" i="42"/>
  <c r="B23" i="42"/>
  <c r="B22" i="42"/>
  <c r="B21" i="42"/>
  <c r="B20" i="42"/>
  <c r="B19" i="42"/>
  <c r="B18" i="42"/>
  <c r="B17" i="42"/>
  <c r="B16" i="42"/>
  <c r="I16" i="42" s="1"/>
  <c r="B15" i="42"/>
  <c r="M15" i="42" s="1"/>
  <c r="B14" i="42"/>
  <c r="Q12" i="42"/>
  <c r="P12" i="42"/>
  <c r="O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CR77"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CR33" i="4"/>
  <c r="CP33" i="4"/>
  <c r="CQ33" i="4"/>
  <c r="BM21" i="4"/>
  <c r="BB68" i="4"/>
  <c r="CQ68" i="4"/>
  <c r="CR68" i="4"/>
  <c r="CP68" i="4"/>
  <c r="AJ56" i="4"/>
  <c r="CQ56" i="4"/>
  <c r="CR56" i="4"/>
  <c r="CP56" i="4"/>
  <c r="BI20" i="4"/>
  <c r="BA67" i="4"/>
  <c r="CR67" i="4"/>
  <c r="CQ67" i="4"/>
  <c r="CP67" i="4"/>
  <c r="U55" i="4"/>
  <c r="CQ55" i="4"/>
  <c r="BA43" i="4"/>
  <c r="CR43" i="4"/>
  <c r="CQ43" i="4"/>
  <c r="CP43" i="4"/>
  <c r="P31" i="4"/>
  <c r="K78" i="4"/>
  <c r="CR78" i="4"/>
  <c r="CQ78" i="4"/>
  <c r="CP78" i="4"/>
  <c r="AK66" i="4"/>
  <c r="CR66" i="4"/>
  <c r="CQ66" i="4"/>
  <c r="CP66" i="4"/>
  <c r="W54" i="4"/>
  <c r="CR54" i="4"/>
  <c r="CQ54" i="4"/>
  <c r="CP54" i="4"/>
  <c r="BN42" i="4"/>
  <c r="CR42" i="4"/>
  <c r="CQ42" i="4"/>
  <c r="CP42" i="4"/>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L71" i="8" s="1"/>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AC35" i="8" s="1"/>
  <c r="Q39" i="4"/>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AF77" i="4"/>
  <c r="AI34" i="4"/>
  <c r="R22" i="4"/>
  <c r="AH34" i="4"/>
  <c r="H22" i="4"/>
  <c r="AN34" i="4"/>
  <c r="B54" i="8"/>
  <c r="V54" i="8" s="1"/>
  <c r="AD34" i="4"/>
  <c r="J58" i="4"/>
  <c r="U22" i="4"/>
  <c r="AB82" i="4"/>
  <c r="AT82" i="4"/>
  <c r="E22" i="4"/>
  <c r="AD52" i="4"/>
  <c r="W59" i="42"/>
  <c r="I18" i="4"/>
  <c r="T52" i="4"/>
  <c r="BY18" i="4"/>
  <c r="P18" i="4"/>
  <c r="CB18" i="4"/>
  <c r="AL18" i="4"/>
  <c r="N18" i="4"/>
  <c r="C52" i="4"/>
  <c r="D45" i="34" s="1"/>
  <c r="AM59" i="42"/>
  <c r="E35" i="42"/>
  <c r="W26" i="4"/>
  <c r="C56" i="4"/>
  <c r="D49" i="34" s="1"/>
  <c r="W56" i="4"/>
  <c r="F68" i="4"/>
  <c r="AE59" i="42"/>
  <c r="AD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K51" i="42"/>
  <c r="AJ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K57" i="8" s="1"/>
  <c r="R61" i="4"/>
  <c r="G61" i="4"/>
  <c r="AB49" i="4"/>
  <c r="AY73" i="4"/>
  <c r="T61" i="4"/>
  <c r="F25" i="4"/>
  <c r="X25" i="4"/>
  <c r="AP25" i="4"/>
  <c r="AT25" i="4"/>
  <c r="H49" i="4"/>
  <c r="AW73" i="4"/>
  <c r="B21" i="8"/>
  <c r="M49" i="4"/>
  <c r="AV25" i="4"/>
  <c r="M73" i="4"/>
  <c r="AC25" i="4"/>
  <c r="B69" i="8"/>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I51" i="42"/>
  <c r="K89" i="5"/>
  <c r="G26" i="4"/>
  <c r="AO26" i="4"/>
  <c r="N74" i="4"/>
  <c r="AP74" i="4"/>
  <c r="J74" i="4"/>
  <c r="H26" i="4"/>
  <c r="AT74" i="4"/>
  <c r="X26" i="4"/>
  <c r="AS62" i="4"/>
  <c r="AD50" i="4"/>
  <c r="AG62" i="4"/>
  <c r="Z50" i="4"/>
  <c r="AS74" i="4"/>
  <c r="AK38" i="4"/>
  <c r="G74" i="4"/>
  <c r="C34" i="5"/>
  <c r="AR34" i="5" s="1"/>
  <c r="T86" i="4"/>
  <c r="X62" i="4"/>
  <c r="AI74" i="4"/>
  <c r="AK50" i="4"/>
  <c r="V51" i="42"/>
  <c r="AL51" i="42"/>
  <c r="I89" i="5"/>
  <c r="AV74" i="4"/>
  <c r="S38" i="4"/>
  <c r="AT62" i="4"/>
  <c r="AE74" i="4"/>
  <c r="T74" i="4"/>
  <c r="AI50" i="4"/>
  <c r="AO74" i="4"/>
  <c r="AV62" i="4"/>
  <c r="AW62" i="4"/>
  <c r="AU26" i="4"/>
  <c r="AK62" i="4"/>
  <c r="AX38" i="4"/>
  <c r="AW50" i="4"/>
  <c r="AM74" i="4"/>
  <c r="D74" i="4"/>
  <c r="AM38" i="4"/>
  <c r="X50" i="4"/>
  <c r="AV50" i="4"/>
  <c r="B22" i="8"/>
  <c r="C20" i="33" s="1"/>
  <c r="F51" i="42"/>
  <c r="AQ74" i="4"/>
  <c r="AP62" i="4"/>
  <c r="C46" i="5"/>
  <c r="AH62" i="4"/>
  <c r="C58" i="5"/>
  <c r="AR58" i="5" s="1"/>
  <c r="I74" i="4"/>
  <c r="C22" i="5"/>
  <c r="AY74" i="4"/>
  <c r="C70" i="5"/>
  <c r="AR70" i="5" s="1"/>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I63" i="42"/>
  <c r="W51" i="42"/>
  <c r="H101" i="5"/>
  <c r="C74" i="4"/>
  <c r="Z62" i="4"/>
  <c r="B34" i="8"/>
  <c r="Y34" i="8" s="1"/>
  <c r="T62" i="4"/>
  <c r="R62" i="4"/>
  <c r="Q62" i="4"/>
  <c r="D62" i="4"/>
  <c r="V26" i="4"/>
  <c r="AL50" i="4"/>
  <c r="AQ50" i="4"/>
  <c r="H74" i="4"/>
  <c r="K62" i="4"/>
  <c r="F55" i="34" s="1"/>
  <c r="H55" i="34" s="1"/>
  <c r="AF26" i="4"/>
  <c r="AF62" i="4"/>
  <c r="V86" i="4"/>
  <c r="N86" i="4"/>
  <c r="AN51" i="42"/>
  <c r="AI62" i="4"/>
  <c r="AA74" i="4"/>
  <c r="AY38" i="4"/>
  <c r="AE62" i="4"/>
  <c r="E62" i="4"/>
  <c r="AH51" i="42"/>
  <c r="W62" i="4"/>
  <c r="R74" i="4"/>
  <c r="AO50" i="4"/>
  <c r="I62" i="4"/>
  <c r="AJ38" i="4"/>
  <c r="AM62" i="4"/>
  <c r="AA26" i="4"/>
  <c r="P62" i="4"/>
  <c r="AB26" i="4"/>
  <c r="F50" i="4"/>
  <c r="S50" i="4"/>
  <c r="Q74" i="4"/>
  <c r="N62" i="4"/>
  <c r="V38" i="4"/>
  <c r="V50" i="4"/>
  <c r="Q86" i="4"/>
  <c r="B58" i="8"/>
  <c r="M58" i="8" s="1"/>
  <c r="AD26" i="4"/>
  <c r="AP50" i="4"/>
  <c r="AG50" i="4"/>
  <c r="B70" i="8"/>
  <c r="G70" i="8" s="1"/>
  <c r="BN74" i="4"/>
  <c r="AF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L34" i="42"/>
  <c r="AM43" i="4"/>
  <c r="J120" i="5"/>
  <c r="V34" i="42"/>
  <c r="L84" i="5"/>
  <c r="O51" i="42"/>
  <c r="V89" i="5"/>
  <c r="AA27" i="42"/>
  <c r="E89" i="5"/>
  <c r="S51" i="42"/>
  <c r="G89" i="5"/>
  <c r="J51" i="42"/>
  <c r="M89" i="5"/>
  <c r="N89" i="5"/>
  <c r="I113" i="5"/>
  <c r="AM74" i="42"/>
  <c r="R38" i="42"/>
  <c r="K74" i="42"/>
  <c r="AL38" i="42"/>
  <c r="F112" i="5"/>
  <c r="T74" i="42"/>
  <c r="G88" i="5"/>
  <c r="Q100" i="5"/>
  <c r="I88" i="5"/>
  <c r="F74" i="42"/>
  <c r="O88" i="5"/>
  <c r="T88" i="5"/>
  <c r="C38" i="42"/>
  <c r="P62" i="42"/>
  <c r="G74" i="42"/>
  <c r="S23" i="42"/>
  <c r="F59" i="42"/>
  <c r="AD59" i="42"/>
  <c r="V59" i="42"/>
  <c r="I59" i="42"/>
  <c r="AV43" i="4"/>
  <c r="G23" i="42"/>
  <c r="AH59" i="42"/>
  <c r="C59" i="42"/>
  <c r="E59" i="42"/>
  <c r="O47" i="42"/>
  <c r="AS43" i="4"/>
  <c r="AG23" i="42"/>
  <c r="AI23" i="42"/>
  <c r="AF59" i="42"/>
  <c r="U59" i="42"/>
  <c r="P47" i="42"/>
  <c r="Y23" i="42"/>
  <c r="M23" i="42"/>
  <c r="Q59" i="42"/>
  <c r="Y59" i="42"/>
  <c r="T47" i="42"/>
  <c r="H23" i="42"/>
  <c r="X59" i="42"/>
  <c r="AB59" i="42"/>
  <c r="AE47" i="42"/>
  <c r="AG59" i="42"/>
  <c r="AN59" i="42"/>
  <c r="R19" i="4"/>
  <c r="AB47" i="42"/>
  <c r="L71" i="42"/>
  <c r="R59" i="42"/>
  <c r="T59" i="42"/>
  <c r="X35" i="42"/>
  <c r="G67" i="4"/>
  <c r="AG47" i="42"/>
  <c r="AA59" i="42"/>
  <c r="N59" i="42"/>
  <c r="G35" i="42"/>
  <c r="W31" i="4"/>
  <c r="H67" i="4"/>
  <c r="L47" i="42"/>
  <c r="M59" i="42"/>
  <c r="G31" i="4"/>
  <c r="I67" i="4"/>
  <c r="T23" i="42"/>
  <c r="L59" i="42"/>
  <c r="H59" i="42"/>
  <c r="AL59" i="42"/>
  <c r="AI59" i="42"/>
  <c r="F67" i="4"/>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F44" i="8"/>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L62" i="42"/>
  <c r="D62" i="42"/>
  <c r="S39" i="42"/>
  <c r="G51" i="42"/>
  <c r="T51" i="42"/>
  <c r="P89" i="5"/>
  <c r="H89" i="5"/>
  <c r="G75" i="42"/>
  <c r="V101" i="5"/>
  <c r="Y75" i="42"/>
  <c r="AE51" i="42"/>
  <c r="M88" i="5"/>
  <c r="AB38" i="42"/>
  <c r="AB62" i="42"/>
  <c r="R51" i="42"/>
  <c r="Y51" i="42"/>
  <c r="N112" i="5"/>
  <c r="O89" i="5"/>
  <c r="L89" i="5"/>
  <c r="F101" i="5"/>
  <c r="H88" i="5"/>
  <c r="J69" i="4"/>
  <c r="Y62" i="42"/>
  <c r="AE26" i="42"/>
  <c r="F38" i="42"/>
  <c r="D51" i="42"/>
  <c r="M51" i="42"/>
  <c r="J89" i="5"/>
  <c r="T89" i="5"/>
  <c r="N88" i="5"/>
  <c r="B65" i="8"/>
  <c r="AC65" i="8" s="1"/>
  <c r="Q99" i="5"/>
  <c r="Q74" i="42"/>
  <c r="J88" i="5"/>
  <c r="AH62" i="42"/>
  <c r="U62" i="42"/>
  <c r="X38" i="42"/>
  <c r="T15" i="42"/>
  <c r="AB51" i="42"/>
  <c r="Q51" i="42"/>
  <c r="U51" i="42"/>
  <c r="Q89" i="5"/>
  <c r="U89" i="5"/>
  <c r="G26" i="42"/>
  <c r="S113" i="5"/>
  <c r="V88" i="5"/>
  <c r="P88" i="5"/>
  <c r="AG33" i="4"/>
  <c r="S81" i="4"/>
  <c r="H38" i="42"/>
  <c r="Z62" i="42"/>
  <c r="C62" i="42"/>
  <c r="L39" i="42"/>
  <c r="AM51" i="42"/>
  <c r="AG51" i="42"/>
  <c r="AD51" i="42"/>
  <c r="F89" i="5"/>
  <c r="G99" i="5"/>
  <c r="D15" i="42"/>
  <c r="N113" i="5"/>
  <c r="E88" i="5"/>
  <c r="R88" i="5"/>
  <c r="AA45" i="4"/>
  <c r="G33" i="4"/>
  <c r="R39" i="42"/>
  <c r="W74" i="42"/>
  <c r="AE74" i="42"/>
  <c r="Q88" i="5"/>
  <c r="W62" i="42"/>
  <c r="L26" i="42"/>
  <c r="V62" i="42"/>
  <c r="P51" i="42"/>
  <c r="AA51" i="42"/>
  <c r="H100" i="5"/>
  <c r="R89" i="5"/>
  <c r="T113" i="5"/>
  <c r="K88" i="5"/>
  <c r="B87" i="5"/>
  <c r="AC81" i="4"/>
  <c r="AN69" i="4"/>
  <c r="F88" i="5"/>
  <c r="U74" i="42"/>
  <c r="N51" i="42"/>
  <c r="Z51" i="42"/>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H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H58" i="42"/>
  <c r="E84" i="5"/>
  <c r="S84" i="5"/>
  <c r="AI46" i="42"/>
  <c r="M120" i="5"/>
  <c r="Q120" i="5"/>
  <c r="H120" i="5"/>
  <c r="AD77" i="4"/>
  <c r="AH42" i="4"/>
  <c r="C66" i="4"/>
  <c r="AV66" i="4"/>
  <c r="AG20" i="24"/>
  <c r="S82" i="42"/>
  <c r="G84" i="5"/>
  <c r="K84" i="5"/>
  <c r="AF4" i="11"/>
  <c r="O120" i="5"/>
  <c r="G96" i="5"/>
  <c r="AX42" i="4"/>
  <c r="E58" i="42"/>
  <c r="AL78" i="4"/>
  <c r="N84" i="5"/>
  <c r="AN46" i="42"/>
  <c r="G120" i="5"/>
  <c r="N120" i="5"/>
  <c r="T84" i="5"/>
  <c r="L2" i="30"/>
  <c r="L6" i="30" s="1"/>
  <c r="Q6" i="33" s="1"/>
  <c r="L6" i="34" s="1"/>
  <c r="I6" i="35" s="1"/>
  <c r="B10" i="35" s="1"/>
  <c r="BB62" i="4"/>
  <c r="AF32" i="24"/>
  <c r="AG82" i="42"/>
  <c r="AA78" i="4"/>
  <c r="H84" i="5"/>
  <c r="R120" i="5"/>
  <c r="AH77" i="4"/>
  <c r="K32" i="24"/>
  <c r="K20" i="24"/>
  <c r="AG32" i="24"/>
  <c r="P84" i="5"/>
  <c r="T108" i="5"/>
  <c r="T77" i="4"/>
  <c r="W77" i="4"/>
  <c r="BG74" i="4"/>
  <c r="BN62" i="4"/>
  <c r="BN50" i="4"/>
  <c r="L32" i="24"/>
  <c r="L20" i="24"/>
  <c r="F84" i="5"/>
  <c r="I84" i="5"/>
  <c r="D66" i="4"/>
  <c r="BK77" i="4"/>
  <c r="BF74" i="4"/>
  <c r="BM62" i="4"/>
  <c r="BM50" i="4"/>
  <c r="V82" i="42"/>
  <c r="B83" i="5"/>
  <c r="I96" i="5"/>
  <c r="AC77" i="4"/>
  <c r="F42" i="4"/>
  <c r="G42" i="4"/>
  <c r="BE74" i="4"/>
  <c r="BK62" i="4"/>
  <c r="BK50" i="4"/>
  <c r="G32" i="24"/>
  <c r="G20" i="24"/>
  <c r="AN70" i="42"/>
  <c r="O84" i="5"/>
  <c r="P120" i="5"/>
  <c r="K96" i="5"/>
  <c r="P96" i="5"/>
  <c r="BG77" i="4"/>
  <c r="BD74" i="4"/>
  <c r="BJ62" i="4"/>
  <c r="BB50" i="4"/>
  <c r="H32" i="24"/>
  <c r="H20" i="24"/>
  <c r="AJ20" i="24"/>
  <c r="D70" i="42"/>
  <c r="Q84" i="5"/>
  <c r="S120" i="5"/>
  <c r="E96" i="5"/>
  <c r="Q96" i="5"/>
  <c r="C58" i="42"/>
  <c r="BC74" i="4"/>
  <c r="BH62" i="4"/>
  <c r="R84" i="5"/>
  <c r="F46" i="42"/>
  <c r="C16" i="17"/>
  <c r="J2" i="20" s="1"/>
  <c r="L120" i="5"/>
  <c r="B119" i="5"/>
  <c r="BN38" i="4"/>
  <c r="L17" i="24"/>
  <c r="AJ29" i="24"/>
  <c r="AN34" i="42"/>
  <c r="G17" i="24"/>
  <c r="K29" i="24"/>
  <c r="H17" i="24"/>
  <c r="AF29" i="24"/>
  <c r="AJ17" i="24"/>
  <c r="AF17" i="24"/>
  <c r="W82" i="42"/>
  <c r="G29" i="24"/>
  <c r="AG17" i="24"/>
  <c r="BD84" i="4"/>
  <c r="H29" i="24"/>
  <c r="N96" i="5"/>
  <c r="M58" i="42"/>
  <c r="L115" i="5"/>
  <c r="AC22" i="4"/>
  <c r="C22" i="4"/>
  <c r="W22" i="4"/>
  <c r="U104" i="5"/>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L18" i="5" s="1"/>
  <c r="M34" i="4"/>
  <c r="AS58" i="4"/>
  <c r="W82" i="4"/>
  <c r="AX34"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I81" i="42"/>
  <c r="X21" i="42"/>
  <c r="Q57" i="42"/>
  <c r="CS18" i="4"/>
  <c r="BR18" i="4"/>
  <c r="X18" i="4"/>
  <c r="J18" i="4"/>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L56" i="42"/>
  <c r="BO18" i="4"/>
  <c r="CD18" i="4"/>
  <c r="BP18" i="4"/>
  <c r="BM18" i="4"/>
  <c r="AA18" i="4"/>
  <c r="G18" i="4"/>
  <c r="W18" i="4"/>
  <c r="AP18" i="4"/>
  <c r="M32" i="42"/>
  <c r="AA32" i="42"/>
  <c r="BU18" i="4"/>
  <c r="BX18" i="4"/>
  <c r="R18" i="4"/>
  <c r="E18" i="4"/>
  <c r="AO18" i="4"/>
  <c r="J47" i="42"/>
  <c r="L23" i="42"/>
  <c r="AH47" i="42"/>
  <c r="W47" i="42"/>
  <c r="R47" i="42"/>
  <c r="AM47" i="42"/>
  <c r="E47" i="42"/>
  <c r="AA47" i="42"/>
  <c r="X47" i="42"/>
  <c r="AN47" i="42"/>
  <c r="U47" i="42"/>
  <c r="O59" i="42"/>
  <c r="J59" i="42"/>
  <c r="H35" i="42"/>
  <c r="D47" i="42"/>
  <c r="M47" i="42"/>
  <c r="K47" i="42"/>
  <c r="S47" i="42"/>
  <c r="AL35" i="42"/>
  <c r="AA23" i="42"/>
  <c r="H47" i="42"/>
  <c r="Z47" i="42"/>
  <c r="AI47" i="42"/>
  <c r="V47" i="42"/>
  <c r="C23" i="42"/>
  <c r="AA71" i="42"/>
  <c r="AL47" i="42"/>
  <c r="G47" i="42"/>
  <c r="F47" i="42"/>
  <c r="D23" i="42"/>
  <c r="C47" i="42"/>
  <c r="Y47" i="42"/>
  <c r="U23" i="42"/>
  <c r="K59" i="42"/>
  <c r="N47" i="42"/>
  <c r="I47" i="42"/>
  <c r="AE83" i="42"/>
  <c r="Q47" i="42"/>
  <c r="Y80" i="42"/>
  <c r="AA44" i="42"/>
  <c r="AG68" i="42"/>
  <c r="V44" i="42"/>
  <c r="AF56" i="42"/>
  <c r="V56" i="42"/>
  <c r="AE68" i="42"/>
  <c r="U80" i="42"/>
  <c r="AD80" i="42"/>
  <c r="H118" i="5"/>
  <c r="E56" i="42"/>
  <c r="E32" i="42"/>
  <c r="E68" i="42"/>
  <c r="N80" i="42"/>
  <c r="P32" i="42"/>
  <c r="D56" i="42"/>
  <c r="Q56" i="42"/>
  <c r="AN80" i="42"/>
  <c r="W44" i="42"/>
  <c r="L56" i="42"/>
  <c r="AH56" i="42"/>
  <c r="AG80" i="42"/>
  <c r="T56" i="42"/>
  <c r="U68" i="42"/>
  <c r="AB68" i="42"/>
  <c r="I118" i="5"/>
  <c r="G80" i="42"/>
  <c r="P106" i="5"/>
  <c r="D32" i="42"/>
  <c r="W32" i="42"/>
  <c r="S80" i="42"/>
  <c r="AD32" i="42"/>
  <c r="M80" i="42"/>
  <c r="Y44" i="42"/>
  <c r="Y68" i="42"/>
  <c r="G44" i="42"/>
  <c r="AM68" i="42"/>
  <c r="V80" i="42"/>
  <c r="F56" i="42"/>
  <c r="AF59" i="4"/>
  <c r="I80" i="42"/>
  <c r="AI80" i="42"/>
  <c r="M56" i="42"/>
  <c r="AE56" i="42"/>
  <c r="L80" i="42"/>
  <c r="AB80" i="42"/>
  <c r="E44" i="42"/>
  <c r="Q68" i="42"/>
  <c r="AF80" i="42"/>
  <c r="AM80" i="42"/>
  <c r="BK84" i="4"/>
  <c r="R80" i="42"/>
  <c r="Q80" i="42"/>
  <c r="BJ84" i="4"/>
  <c r="AG32" i="42"/>
  <c r="H56" i="42"/>
  <c r="AH44" i="42"/>
  <c r="X56" i="42"/>
  <c r="AG44" i="42"/>
  <c r="S68" i="42"/>
  <c r="V32" i="42"/>
  <c r="AL44" i="42"/>
  <c r="AB56" i="42"/>
  <c r="AH32" i="42"/>
  <c r="AL68" i="42"/>
  <c r="U44" i="42"/>
  <c r="K44" i="42"/>
  <c r="AI44" i="42"/>
  <c r="Z80" i="42"/>
  <c r="D68" i="42"/>
  <c r="S106" i="5"/>
  <c r="O80" i="42"/>
  <c r="P68" i="42"/>
  <c r="BG84" i="4"/>
  <c r="BJ60" i="4"/>
  <c r="W56" i="42"/>
  <c r="X44" i="42"/>
  <c r="E80" i="42"/>
  <c r="O68" i="42"/>
  <c r="K56" i="42"/>
  <c r="Z56" i="42"/>
  <c r="M68" i="42"/>
  <c r="Z68" i="42"/>
  <c r="Y32" i="42"/>
  <c r="AH80" i="42"/>
  <c r="T44" i="42"/>
  <c r="AE80" i="42"/>
  <c r="R68" i="42"/>
  <c r="AL80" i="42"/>
  <c r="H68" i="42"/>
  <c r="P44" i="42"/>
  <c r="L68" i="42"/>
  <c r="L32" i="42"/>
  <c r="X80" i="42"/>
  <c r="AE44" i="42"/>
  <c r="L44" i="42"/>
  <c r="AA56" i="42"/>
  <c r="AI56" i="42"/>
  <c r="T32" i="42"/>
  <c r="J68" i="42"/>
  <c r="V94" i="5"/>
  <c r="C44" i="42"/>
  <c r="C68" i="42"/>
  <c r="J80" i="42"/>
  <c r="P80" i="42"/>
  <c r="AF44" i="42"/>
  <c r="AL32" i="42"/>
  <c r="AG56" i="42"/>
  <c r="U56" i="42"/>
  <c r="M44" i="42"/>
  <c r="AF68" i="42"/>
  <c r="AA68" i="42"/>
  <c r="C80" i="42"/>
  <c r="N68" i="42"/>
  <c r="G94" i="5"/>
  <c r="BC84" i="4"/>
  <c r="BJ72" i="4"/>
  <c r="X68" i="42"/>
  <c r="AD68" i="42"/>
  <c r="K80" i="42"/>
  <c r="AE32" i="42"/>
  <c r="K68" i="42"/>
  <c r="Z44" i="42"/>
  <c r="K32" i="42"/>
  <c r="H32" i="42"/>
  <c r="G56" i="42"/>
  <c r="AF32" i="42"/>
  <c r="F68" i="42"/>
  <c r="D44" i="42"/>
  <c r="F44" i="42"/>
  <c r="J44" i="42"/>
  <c r="F80" i="42"/>
  <c r="BN81" i="4"/>
  <c r="S32" i="42"/>
  <c r="AI68" i="42"/>
  <c r="AI32" i="42"/>
  <c r="V68" i="42"/>
  <c r="AD56" i="42"/>
  <c r="S44" i="42"/>
  <c r="T68" i="42"/>
  <c r="Y56" i="42"/>
  <c r="G32" i="42"/>
  <c r="I68" i="42"/>
  <c r="H80" i="42"/>
  <c r="O32" i="42"/>
  <c r="I92" i="5"/>
  <c r="AD69" i="4"/>
  <c r="B41" i="8"/>
  <c r="AD41" i="8" s="1"/>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29" i="5" s="1"/>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AO45" i="4"/>
  <c r="AT21" i="4"/>
  <c r="Y45" i="4"/>
  <c r="AW81" i="4"/>
  <c r="AY69" i="4"/>
  <c r="C69" i="4"/>
  <c r="V45" i="4"/>
  <c r="E81" i="4"/>
  <c r="AS33" i="4"/>
  <c r="AB69" i="4"/>
  <c r="AG81" i="4"/>
  <c r="AM33" i="4"/>
  <c r="C77" i="5"/>
  <c r="AR77" i="5" s="1"/>
  <c r="AH33" i="4"/>
  <c r="V69" i="4"/>
  <c r="R33" i="4"/>
  <c r="D45" i="4"/>
  <c r="AW45" i="4"/>
  <c r="T81" i="4"/>
  <c r="AK33" i="4"/>
  <c r="K81" i="4"/>
  <c r="D33" i="4"/>
  <c r="AU69" i="4"/>
  <c r="Q33" i="4"/>
  <c r="AS45" i="4"/>
  <c r="N45" i="4"/>
  <c r="AY81" i="4"/>
  <c r="AO33" i="4"/>
  <c r="AH69" i="4"/>
  <c r="C65" i="5"/>
  <c r="AR65" i="5" s="1"/>
  <c r="C17" i="5"/>
  <c r="AD81" i="4"/>
  <c r="R81" i="4"/>
  <c r="Q45" i="4"/>
  <c r="I46" i="29"/>
  <c r="S28" i="42"/>
  <c r="AA28" i="42"/>
  <c r="M28" i="42"/>
  <c r="L28" i="42"/>
  <c r="R40" i="42"/>
  <c r="C76" i="42"/>
  <c r="U103" i="5"/>
  <c r="E103" i="5"/>
  <c r="R103" i="5"/>
  <c r="I115" i="5"/>
  <c r="E115" i="5"/>
  <c r="O115" i="5"/>
  <c r="R115" i="5"/>
  <c r="U115" i="5"/>
  <c r="N115" i="5"/>
  <c r="B114" i="5"/>
  <c r="T115" i="5"/>
  <c r="H115" i="5"/>
  <c r="K115" i="5"/>
  <c r="S115" i="5"/>
  <c r="G115" i="5"/>
  <c r="V115" i="5"/>
  <c r="F115" i="5"/>
  <c r="E17" i="42"/>
  <c r="M16" i="42"/>
  <c r="AL40" i="42"/>
  <c r="AE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N40" i="42"/>
  <c r="C40" i="42"/>
  <c r="Y40" i="42"/>
  <c r="Q40" i="42"/>
  <c r="F40" i="42"/>
  <c r="AM40" i="42"/>
  <c r="V40" i="42"/>
  <c r="AH40" i="42"/>
  <c r="X40" i="42"/>
  <c r="AI40" i="42"/>
  <c r="AB40" i="42"/>
  <c r="U40" i="42"/>
  <c r="AG40" i="42"/>
  <c r="I40" i="42"/>
  <c r="N40" i="42"/>
  <c r="AF40" i="42"/>
  <c r="L40" i="42"/>
  <c r="S40" i="42"/>
  <c r="J40" i="42"/>
  <c r="AA40" i="42"/>
  <c r="D40" i="42"/>
  <c r="M40" i="42"/>
  <c r="H40" i="42"/>
  <c r="AD40" i="42"/>
  <c r="AM76" i="42"/>
  <c r="E76" i="42"/>
  <c r="AA76" i="42"/>
  <c r="W76" i="42"/>
  <c r="Q76" i="42"/>
  <c r="Z76" i="42"/>
  <c r="P76" i="42"/>
  <c r="L76" i="42"/>
  <c r="AE76" i="42"/>
  <c r="G76" i="42"/>
  <c r="AI76" i="42"/>
  <c r="AG76" i="42"/>
  <c r="AD76" i="42"/>
  <c r="AN76" i="42"/>
  <c r="S76" i="42"/>
  <c r="AB76" i="42"/>
  <c r="U76" i="42"/>
  <c r="V76" i="42"/>
  <c r="J76" i="42"/>
  <c r="H76" i="42"/>
  <c r="K76" i="42"/>
  <c r="AL76" i="42"/>
  <c r="N76" i="42"/>
  <c r="T76" i="42"/>
  <c r="X76" i="42"/>
  <c r="M76" i="42"/>
  <c r="E40" i="42"/>
  <c r="T40" i="42"/>
  <c r="M115" i="5"/>
  <c r="Y76" i="42"/>
  <c r="AE52" i="42"/>
  <c r="X52" i="42"/>
  <c r="AG52" i="42"/>
  <c r="W52" i="42"/>
  <c r="C52" i="42"/>
  <c r="C65" i="42"/>
  <c r="AM65" i="42"/>
  <c r="AA65" i="42"/>
  <c r="Q103" i="5"/>
  <c r="AD64" i="42"/>
  <c r="H64" i="42"/>
  <c r="T64" i="42"/>
  <c r="AF64" i="42"/>
  <c r="N64" i="42"/>
  <c r="U64" i="42"/>
  <c r="R76" i="42"/>
  <c r="AF76" i="42"/>
  <c r="V28" i="42"/>
  <c r="AM64" i="42"/>
  <c r="S77" i="42"/>
  <c r="AH77" i="42"/>
  <c r="E77" i="42"/>
  <c r="O77" i="42"/>
  <c r="AM77" i="42"/>
  <c r="Q52" i="42"/>
  <c r="I76" i="42"/>
  <c r="W40" i="42"/>
  <c r="AF41" i="42"/>
  <c r="J41" i="42"/>
  <c r="AH28" i="42"/>
  <c r="Z40" i="42"/>
  <c r="Q115" i="5"/>
  <c r="O76" i="42"/>
  <c r="BM59" i="4"/>
  <c r="AN22" i="4"/>
  <c r="X22" i="4"/>
  <c r="AE34" i="4"/>
  <c r="AQ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AR30" i="5" s="1"/>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D66" i="42"/>
  <c r="S30" i="42"/>
  <c r="AB30" i="42"/>
  <c r="Y30"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R31" i="5" s="1"/>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N68" i="42"/>
  <c r="BG72" i="4"/>
  <c r="BC72" i="4"/>
  <c r="BH63" i="4"/>
  <c r="BF39" i="4"/>
  <c r="V98" i="5"/>
  <c r="U33" i="42"/>
  <c r="I81" i="42"/>
  <c r="AB57" i="42"/>
  <c r="AC20" i="4"/>
  <c r="K44" i="4"/>
  <c r="F37" i="34" s="1"/>
  <c r="AF44" i="4"/>
  <c r="AG44" i="4"/>
  <c r="AH44" i="4"/>
  <c r="D56" i="4"/>
  <c r="P56" i="4"/>
  <c r="AF56" i="4"/>
  <c r="W57" i="42"/>
  <c r="K21" i="42"/>
  <c r="AG21" i="42"/>
  <c r="V81" i="42"/>
  <c r="T81" i="42"/>
  <c r="M33" i="42"/>
  <c r="M81" i="42"/>
  <c r="E21" i="42"/>
  <c r="O81" i="42"/>
  <c r="I57" i="42"/>
  <c r="R57" i="42"/>
  <c r="AS44" i="4"/>
  <c r="AQ44" i="4"/>
  <c r="Z44" i="4"/>
  <c r="AL56" i="4"/>
  <c r="H121" i="5"/>
  <c r="R98" i="5"/>
  <c r="H86" i="5"/>
  <c r="AI21" i="42"/>
  <c r="L57" i="42"/>
  <c r="H33" i="42"/>
  <c r="V33" i="42"/>
  <c r="H81" i="42"/>
  <c r="E57" i="42"/>
  <c r="T20" i="4"/>
  <c r="S44" i="4"/>
  <c r="V44" i="4"/>
  <c r="AB44" i="4"/>
  <c r="P44" i="4"/>
  <c r="U56" i="4"/>
  <c r="AV56" i="4"/>
  <c r="AK56" i="4"/>
  <c r="AE81" i="42"/>
  <c r="X81" i="42"/>
  <c r="AO56" i="4"/>
  <c r="Q56" i="4"/>
  <c r="W68" i="4"/>
  <c r="F57" i="42"/>
  <c r="BA75" i="4"/>
  <c r="BG63" i="4"/>
  <c r="BE39" i="4"/>
  <c r="I98" i="5"/>
  <c r="X57" i="42"/>
  <c r="AL21" i="42"/>
  <c r="M57" i="42"/>
  <c r="G33" i="42"/>
  <c r="AA33" i="42"/>
  <c r="AH81" i="42"/>
  <c r="AD57" i="42"/>
  <c r="CK20" i="4"/>
  <c r="AO44" i="4"/>
  <c r="W44" i="4"/>
  <c r="AM44" i="4"/>
  <c r="M56" i="4"/>
  <c r="AD56" i="4"/>
  <c r="AQ56" i="4"/>
  <c r="F56" i="4"/>
  <c r="AE21" i="42"/>
  <c r="AD81" i="42"/>
  <c r="T21" i="42"/>
  <c r="C81" i="42"/>
  <c r="S57" i="42"/>
  <c r="BN75" i="4"/>
  <c r="BF63" i="4"/>
  <c r="BE56" i="4"/>
  <c r="BD39" i="4"/>
  <c r="G86" i="5"/>
  <c r="N98" i="5"/>
  <c r="M21" i="42"/>
  <c r="AG57" i="42"/>
  <c r="AL33" i="42"/>
  <c r="Z33" i="42"/>
  <c r="E81" i="42"/>
  <c r="H57" i="42"/>
  <c r="H44" i="4"/>
  <c r="AE44" i="4"/>
  <c r="AV44" i="4"/>
  <c r="J56" i="4"/>
  <c r="T56" i="4"/>
  <c r="X56" i="4"/>
  <c r="Z56" i="4"/>
  <c r="Z57" i="42"/>
  <c r="U81" i="42"/>
  <c r="Z81" i="42"/>
  <c r="R81" i="42"/>
  <c r="P81" i="42"/>
  <c r="AM81" i="42"/>
  <c r="AF57" i="42"/>
  <c r="R44" i="4"/>
  <c r="AA20" i="4"/>
  <c r="C40" i="5"/>
  <c r="AR40" i="5" s="1"/>
  <c r="G57" i="42"/>
  <c r="I21" i="42"/>
  <c r="F98" i="5"/>
  <c r="O98" i="5"/>
  <c r="AT44" i="4"/>
  <c r="BM75" i="4"/>
  <c r="BE63" i="4"/>
  <c r="BC39" i="4"/>
  <c r="U98" i="5"/>
  <c r="K98" i="5"/>
  <c r="P98" i="5"/>
  <c r="E98" i="5"/>
  <c r="AI57" i="42"/>
  <c r="S21" i="42"/>
  <c r="X45" i="42"/>
  <c r="K57" i="42"/>
  <c r="AN33" i="42"/>
  <c r="AH33" i="42"/>
  <c r="G81" i="42"/>
  <c r="AH57" i="42"/>
  <c r="X32" i="4"/>
  <c r="AP44" i="4"/>
  <c r="AJ44" i="4"/>
  <c r="AN44" i="4"/>
  <c r="S56" i="4"/>
  <c r="R56" i="4"/>
  <c r="AE56" i="4"/>
  <c r="AT56" i="4"/>
  <c r="G21" i="42"/>
  <c r="AB21" i="42"/>
  <c r="T57" i="42"/>
  <c r="AG33" i="42"/>
  <c r="D57" i="42"/>
  <c r="C57" i="42"/>
  <c r="D21" i="42"/>
  <c r="BS20" i="4"/>
  <c r="N121" i="5"/>
  <c r="S98" i="5"/>
  <c r="G98" i="5"/>
  <c r="Y57" i="42"/>
  <c r="AA21" i="42"/>
  <c r="J33" i="42"/>
  <c r="P33" i="42"/>
  <c r="N33" i="42"/>
  <c r="K81" i="42"/>
  <c r="AE57" i="42"/>
  <c r="U20" i="4"/>
  <c r="AD44" i="4"/>
  <c r="AR44" i="4"/>
  <c r="I44" i="4"/>
  <c r="AB56" i="4"/>
  <c r="H56" i="4"/>
  <c r="K56" i="4"/>
  <c r="F49" i="34" s="1"/>
  <c r="AW56" i="4"/>
  <c r="N57" i="42"/>
  <c r="Y69" i="42"/>
  <c r="BJ75" i="4"/>
  <c r="BC63" i="4"/>
  <c r="T121" i="5"/>
  <c r="K86" i="5"/>
  <c r="AL57" i="42"/>
  <c r="X33" i="42"/>
  <c r="AM33" i="42"/>
  <c r="I33" i="42"/>
  <c r="P20" i="4"/>
  <c r="AP32" i="4"/>
  <c r="AI44" i="4"/>
  <c r="AL44" i="4"/>
  <c r="J44" i="4"/>
  <c r="AX56" i="4"/>
  <c r="V56" i="4"/>
  <c r="E56" i="4"/>
  <c r="G56" i="4"/>
  <c r="U57" i="42"/>
  <c r="E33" i="42"/>
  <c r="AN57" i="42"/>
  <c r="AN81" i="42"/>
  <c r="K48" i="15"/>
  <c r="K41" i="29"/>
  <c r="BH75" i="4"/>
  <c r="BB63" i="4"/>
  <c r="BD27" i="4"/>
  <c r="J98" i="5"/>
  <c r="Q98" i="5"/>
  <c r="J86" i="5"/>
  <c r="V57" i="42"/>
  <c r="W33" i="42"/>
  <c r="O33" i="42"/>
  <c r="S33" i="42"/>
  <c r="S81" i="42"/>
  <c r="CA20" i="4"/>
  <c r="AF32" i="4"/>
  <c r="F44" i="4"/>
  <c r="AU44" i="4"/>
  <c r="Q44" i="4"/>
  <c r="AA56" i="4"/>
  <c r="AR56" i="4"/>
  <c r="AC56" i="4"/>
  <c r="B52" i="8"/>
  <c r="E52" i="8" s="1"/>
  <c r="L21" i="42"/>
  <c r="AF21" i="42"/>
  <c r="J45" i="42"/>
  <c r="J57" i="42"/>
  <c r="Q81" i="42"/>
  <c r="J81" i="42"/>
  <c r="AC44" i="4"/>
  <c r="F33" i="42"/>
  <c r="BG75" i="4"/>
  <c r="BA63" i="4"/>
  <c r="BM39" i="4"/>
  <c r="L98" i="5"/>
  <c r="S121" i="5"/>
  <c r="B97" i="5"/>
  <c r="L81" i="42"/>
  <c r="AI33" i="42"/>
  <c r="Q33" i="42"/>
  <c r="T33" i="42"/>
  <c r="N81" i="42"/>
  <c r="M20" i="4"/>
  <c r="D44" i="4"/>
  <c r="AY44" i="4"/>
  <c r="C44" i="4"/>
  <c r="D37" i="34" s="1"/>
  <c r="AG56" i="4"/>
  <c r="AH56" i="4"/>
  <c r="AS56" i="4"/>
  <c r="V68" i="4"/>
  <c r="H21" i="42"/>
  <c r="Y81" i="42"/>
  <c r="U69" i="42"/>
  <c r="C52" i="5"/>
  <c r="AR52" i="5" s="1"/>
  <c r="AH21" i="42"/>
  <c r="P57" i="42"/>
  <c r="BF75" i="4"/>
  <c r="BN63" i="4"/>
  <c r="BK39" i="4"/>
  <c r="T98" i="5"/>
  <c r="H98" i="5"/>
  <c r="AI45" i="42"/>
  <c r="W81" i="42"/>
  <c r="D33" i="42"/>
  <c r="K33" i="42"/>
  <c r="AD33" i="42"/>
  <c r="AF81" i="42"/>
  <c r="CU20" i="4"/>
  <c r="C32" i="4"/>
  <c r="D25" i="34" s="1"/>
  <c r="E44" i="4"/>
  <c r="G44" i="4"/>
  <c r="B40" i="8"/>
  <c r="Y40" i="8" s="1"/>
  <c r="AN56" i="4"/>
  <c r="AI56" i="4"/>
  <c r="Y56" i="4"/>
  <c r="X68" i="4"/>
  <c r="Y21" i="42"/>
  <c r="AA81" i="42"/>
  <c r="AM57" i="42"/>
  <c r="BE75" i="4"/>
  <c r="BM63" i="4"/>
  <c r="BJ39" i="4"/>
  <c r="K110" i="5"/>
  <c r="AG81" i="42"/>
  <c r="Y33" i="42"/>
  <c r="R33" i="42"/>
  <c r="AF33" i="42"/>
  <c r="AL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K32" i="4"/>
  <c r="CF32" i="4"/>
  <c r="BT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H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AN31" i="42"/>
  <c r="M31" i="42"/>
  <c r="E79" i="42"/>
  <c r="AN79" i="42"/>
  <c r="F79" i="42"/>
  <c r="T79" i="42"/>
  <c r="AA79" i="42"/>
  <c r="U79" i="42"/>
  <c r="AF79" i="42"/>
  <c r="N79" i="42"/>
  <c r="Y79" i="42"/>
  <c r="C79" i="42"/>
  <c r="X79" i="42"/>
  <c r="AM79" i="42"/>
  <c r="H79" i="42"/>
  <c r="AB79" i="42"/>
  <c r="M79" i="42"/>
  <c r="I79" i="42"/>
  <c r="AE79" i="42"/>
  <c r="O79" i="42"/>
  <c r="G79" i="42"/>
  <c r="S79" i="42"/>
  <c r="D79" i="42"/>
  <c r="P79" i="42"/>
  <c r="J79" i="42"/>
  <c r="AG79" i="42"/>
  <c r="Q79" i="42"/>
  <c r="Z79" i="42"/>
  <c r="AL79" i="42"/>
  <c r="AI79" i="42"/>
  <c r="W79" i="42"/>
  <c r="AD79" i="42"/>
  <c r="V79" i="42"/>
  <c r="L79" i="42"/>
  <c r="G67" i="42"/>
  <c r="AM67" i="42"/>
  <c r="D67" i="42"/>
  <c r="H67" i="42"/>
  <c r="Z67" i="42"/>
  <c r="X67" i="42"/>
  <c r="AG67" i="42"/>
  <c r="K67" i="42"/>
  <c r="L67" i="42"/>
  <c r="AN67" i="42"/>
  <c r="N67" i="42"/>
  <c r="U67" i="42"/>
  <c r="T67" i="42"/>
  <c r="W67" i="42"/>
  <c r="O67" i="42"/>
  <c r="AL67" i="42"/>
  <c r="R67" i="42"/>
  <c r="S67" i="42"/>
  <c r="C67" i="42"/>
  <c r="E67" i="42"/>
  <c r="AD67" i="42"/>
  <c r="I67" i="42"/>
  <c r="V67" i="42"/>
  <c r="P67" i="42"/>
  <c r="AE67" i="42"/>
  <c r="AF67" i="42"/>
  <c r="Q67" i="42"/>
  <c r="F67" i="42"/>
  <c r="AA67" i="42"/>
  <c r="AH79" i="42"/>
  <c r="U85" i="5"/>
  <c r="K79" i="42"/>
  <c r="AI67" i="42"/>
  <c r="AI43" i="42"/>
  <c r="H43" i="42"/>
  <c r="L43" i="42"/>
  <c r="E43" i="42"/>
  <c r="AN43" i="42"/>
  <c r="R43" i="42"/>
  <c r="D43" i="42"/>
  <c r="AG43" i="42"/>
  <c r="P43" i="42"/>
  <c r="AD43" i="42"/>
  <c r="F43" i="42"/>
  <c r="I43" i="42"/>
  <c r="S43" i="42"/>
  <c r="Z43" i="42"/>
  <c r="N43" i="42"/>
  <c r="T43" i="42"/>
  <c r="Y43" i="42"/>
  <c r="K43" i="42"/>
  <c r="AB43" i="42"/>
  <c r="X43" i="42"/>
  <c r="AA43" i="42"/>
  <c r="O43" i="42"/>
  <c r="V43" i="42"/>
  <c r="W43" i="42"/>
  <c r="M43" i="42"/>
  <c r="U43" i="42"/>
  <c r="C43" i="42"/>
  <c r="G43" i="42"/>
  <c r="AF43" i="42"/>
  <c r="AE43" i="42"/>
  <c r="AL43" i="42"/>
  <c r="Q43" i="42"/>
  <c r="AH43" i="42"/>
  <c r="W55" i="42"/>
  <c r="Y67" i="42"/>
  <c r="R79" i="42"/>
  <c r="Z55" i="42"/>
  <c r="J55" i="42"/>
  <c r="V55" i="42"/>
  <c r="AL55" i="42"/>
  <c r="AF55" i="42"/>
  <c r="O55" i="42"/>
  <c r="H55" i="42"/>
  <c r="AD55" i="42"/>
  <c r="AI55" i="42"/>
  <c r="AM55" i="42"/>
  <c r="Q55" i="42"/>
  <c r="E55" i="42"/>
  <c r="U55" i="42"/>
  <c r="C55" i="42"/>
  <c r="AH55" i="42"/>
  <c r="F55" i="42"/>
  <c r="M55" i="42"/>
  <c r="AA55" i="42"/>
  <c r="AE55" i="42"/>
  <c r="I55" i="42"/>
  <c r="D55" i="42"/>
  <c r="L55" i="42"/>
  <c r="T55" i="42"/>
  <c r="AN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I39" i="8" s="1"/>
  <c r="AQ43" i="4"/>
  <c r="M55" i="4"/>
  <c r="AP55" i="4"/>
  <c r="B51" i="8"/>
  <c r="M51" i="8" s="1"/>
  <c r="AE67" i="4"/>
  <c r="AK67" i="4"/>
  <c r="M67" i="4"/>
  <c r="B63" i="8"/>
  <c r="BQ19" i="4"/>
  <c r="C63" i="5"/>
  <c r="BB55" i="4"/>
  <c r="BC43" i="4"/>
  <c r="X65" i="42"/>
  <c r="U29" i="42"/>
  <c r="E41" i="42"/>
  <c r="I41" i="42"/>
  <c r="Z41" i="42"/>
  <c r="M77" i="42"/>
  <c r="J77" i="42"/>
  <c r="AI17" i="42"/>
  <c r="Z17" i="42"/>
  <c r="X17" i="42"/>
  <c r="P65" i="42"/>
  <c r="H41" i="42"/>
  <c r="AN41" i="42"/>
  <c r="V29" i="42"/>
  <c r="AB65" i="42"/>
  <c r="U65" i="42"/>
  <c r="AL41" i="42"/>
  <c r="T41" i="42"/>
  <c r="AE41" i="42"/>
  <c r="L77" i="42"/>
  <c r="G77" i="42"/>
  <c r="N77" i="42"/>
  <c r="E29" i="42"/>
  <c r="R107" i="5"/>
  <c r="U107" i="5"/>
  <c r="G17" i="42"/>
  <c r="O65" i="42"/>
  <c r="J65" i="42"/>
  <c r="BF49" i="4"/>
  <c r="BF45" i="4"/>
  <c r="BF44" i="4"/>
  <c r="BH37" i="4"/>
  <c r="BE25" i="4"/>
  <c r="S29" i="42"/>
  <c r="H65" i="42"/>
  <c r="F41" i="42"/>
  <c r="V41" i="42"/>
  <c r="C77" i="42"/>
  <c r="F77" i="42"/>
  <c r="C17" i="42"/>
  <c r="Y65" i="42"/>
  <c r="AG29" i="42"/>
  <c r="Y17" i="42"/>
  <c r="L107" i="5"/>
  <c r="Q65" i="42"/>
  <c r="N65" i="42"/>
  <c r="I107" i="5"/>
  <c r="W29" i="42"/>
  <c r="AD65" i="42"/>
  <c r="N41" i="42"/>
  <c r="P41" i="42"/>
  <c r="V77" i="42"/>
  <c r="AI77" i="42"/>
  <c r="T17" i="42"/>
  <c r="AL65" i="42"/>
  <c r="L29" i="42"/>
  <c r="K17" i="42"/>
  <c r="S107" i="5"/>
  <c r="AA77" i="42"/>
  <c r="AN65" i="42"/>
  <c r="AI29" i="42"/>
  <c r="AB17" i="42"/>
  <c r="AL53" i="42"/>
  <c r="K53" i="42"/>
  <c r="C41" i="42"/>
  <c r="W41" i="42"/>
  <c r="Q77" i="42"/>
  <c r="AB77" i="42"/>
  <c r="U77" i="42"/>
  <c r="M65" i="42"/>
  <c r="J29" i="42"/>
  <c r="O29" i="42"/>
  <c r="T65" i="42"/>
  <c r="AM53" i="42"/>
  <c r="BF66" i="4"/>
  <c r="BB49" i="4"/>
  <c r="BB45" i="4"/>
  <c r="BB44" i="4"/>
  <c r="BD37" i="4"/>
  <c r="BF33" i="4"/>
  <c r="AL29" i="42"/>
  <c r="Z65" i="42"/>
  <c r="K41" i="42"/>
  <c r="AG41" i="42"/>
  <c r="I77" i="42"/>
  <c r="AN77" i="42"/>
  <c r="AL77" i="42"/>
  <c r="AF17" i="42"/>
  <c r="I65" i="42"/>
  <c r="N29" i="42"/>
  <c r="V107" i="5"/>
  <c r="H17" i="42"/>
  <c r="R77" i="42"/>
  <c r="BA49" i="4"/>
  <c r="BA45" i="4"/>
  <c r="BA44" i="4"/>
  <c r="BB37" i="4"/>
  <c r="BE33" i="4"/>
  <c r="AM41" i="42"/>
  <c r="G41" i="42"/>
  <c r="Q41" i="42"/>
  <c r="AF77" i="42"/>
  <c r="W77" i="42"/>
  <c r="K77" i="42"/>
  <c r="AA17" i="42"/>
  <c r="G65" i="42"/>
  <c r="AA29" i="42"/>
  <c r="AL17" i="42"/>
  <c r="M29" i="42"/>
  <c r="H107" i="5"/>
  <c r="B106" i="5"/>
  <c r="P107" i="5"/>
  <c r="J107" i="5"/>
  <c r="X29" i="42"/>
  <c r="AN29" i="42"/>
  <c r="S17" i="42"/>
  <c r="AM29" i="42"/>
  <c r="I53" i="42"/>
  <c r="R65" i="42"/>
  <c r="U17" i="42"/>
  <c r="S65" i="42"/>
  <c r="W65" i="42"/>
  <c r="AH17" i="42"/>
  <c r="O41" i="42"/>
  <c r="U41" i="42"/>
  <c r="M41" i="42"/>
  <c r="D77" i="42"/>
  <c r="AD77" i="42"/>
  <c r="T77" i="42"/>
  <c r="K65" i="42"/>
  <c r="AF29" i="42"/>
  <c r="I29" i="42"/>
  <c r="K107" i="5"/>
  <c r="E107" i="5"/>
  <c r="O107" i="5"/>
  <c r="T107" i="5"/>
  <c r="D17" i="42"/>
  <c r="C29" i="42"/>
  <c r="AJ66" i="4"/>
  <c r="BM49" i="4"/>
  <c r="BM45" i="4"/>
  <c r="BM44" i="4"/>
  <c r="AH65" i="42"/>
  <c r="V17" i="42"/>
  <c r="Y77" i="42"/>
  <c r="L41" i="42"/>
  <c r="AB41" i="42"/>
  <c r="AD41" i="42"/>
  <c r="AE77" i="42"/>
  <c r="X77" i="42"/>
  <c r="V65" i="42"/>
  <c r="F29" i="42"/>
  <c r="AG17" i="42"/>
  <c r="N107" i="5"/>
  <c r="M17" i="42"/>
  <c r="D29" i="42"/>
  <c r="F65" i="42"/>
  <c r="BK49" i="4"/>
  <c r="BK45" i="4"/>
  <c r="BK44" i="4"/>
  <c r="BN37" i="4"/>
  <c r="AG65" i="42"/>
  <c r="S41" i="42"/>
  <c r="AH41" i="42"/>
  <c r="AG77" i="42"/>
  <c r="L17" i="42"/>
  <c r="AF65" i="42"/>
  <c r="AE65" i="42"/>
  <c r="AB29" i="42"/>
  <c r="F107" i="5"/>
  <c r="Q107" i="5"/>
  <c r="Z29" i="42"/>
  <c r="D65" i="42"/>
  <c r="L65" i="42"/>
  <c r="M53" i="42"/>
  <c r="Z77" i="42"/>
  <c r="Y41" i="42"/>
  <c r="AA41" i="42"/>
  <c r="AI41" i="42"/>
  <c r="H77" i="42"/>
  <c r="P77" i="42"/>
  <c r="AI65" i="42"/>
  <c r="E65" i="42"/>
  <c r="AE17" i="42"/>
  <c r="AD29" i="42"/>
  <c r="I17" i="42"/>
  <c r="R29" i="42"/>
  <c r="P29" i="42"/>
  <c r="K49" i="15"/>
  <c r="K42" i="29" s="1"/>
  <c r="I32" i="42"/>
  <c r="O56" i="42"/>
  <c r="F32" i="42"/>
  <c r="N32" i="42"/>
  <c r="R44" i="42"/>
  <c r="Q44" i="42"/>
  <c r="AN44" i="42"/>
  <c r="AM44" i="42"/>
  <c r="R32" i="42"/>
  <c r="AM32" i="42"/>
  <c r="J32" i="42"/>
  <c r="N56" i="42"/>
  <c r="C32" i="42"/>
  <c r="R56" i="42"/>
  <c r="AN32" i="42"/>
  <c r="AM56" i="42"/>
  <c r="C56" i="42"/>
  <c r="B89" i="5"/>
  <c r="O44" i="42"/>
  <c r="J56" i="42"/>
  <c r="I44" i="42"/>
  <c r="H44" i="42"/>
  <c r="N44" i="42"/>
  <c r="Q32" i="42"/>
  <c r="P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AT42" i="4"/>
  <c r="F54" i="4"/>
  <c r="N66" i="4"/>
  <c r="AB54" i="4"/>
  <c r="V66" i="4"/>
  <c r="BE66" i="4"/>
  <c r="BG54" i="4"/>
  <c r="BM42" i="4"/>
  <c r="L77" i="4"/>
  <c r="F108" i="5"/>
  <c r="E97" i="5"/>
  <c r="Z42" i="4"/>
  <c r="AL54" i="4"/>
  <c r="Z54" i="4"/>
  <c r="G54" i="4"/>
  <c r="AL66" i="4"/>
  <c r="AL42" i="4"/>
  <c r="AE54" i="4"/>
  <c r="Q97" i="5"/>
  <c r="AX66" i="4"/>
  <c r="AN42" i="4"/>
  <c r="T87" i="5"/>
  <c r="E42" i="4"/>
  <c r="G87" i="5"/>
  <c r="Y42" i="4"/>
  <c r="Z66" i="4"/>
  <c r="C74" i="5"/>
  <c r="AF78" i="4"/>
  <c r="BD66" i="4"/>
  <c r="BF54" i="4"/>
  <c r="BK42" i="4"/>
  <c r="BI18" i="4"/>
  <c r="AK78" i="4"/>
  <c r="O108" i="5"/>
  <c r="F97" i="5"/>
  <c r="J19" i="4"/>
  <c r="AM54" i="4"/>
  <c r="X54" i="4"/>
  <c r="AQ54" i="4"/>
  <c r="AT66" i="4"/>
  <c r="AO42" i="4"/>
  <c r="AW42" i="4"/>
  <c r="I54" i="4"/>
  <c r="AQ66" i="4"/>
  <c r="H66"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R42" i="4"/>
  <c r="AR54" i="4"/>
  <c r="Q54" i="4"/>
  <c r="B50" i="8"/>
  <c r="AV54" i="4"/>
  <c r="AE66" i="4"/>
  <c r="AF42" i="4"/>
  <c r="AW54" i="4"/>
  <c r="AU66"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Y54" i="4"/>
  <c r="AC54" i="4"/>
  <c r="AA42" i="4"/>
  <c r="AU54" i="4"/>
  <c r="AN66" i="4"/>
  <c r="X42" i="4"/>
  <c r="AJ54" i="4"/>
  <c r="AI66"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AJ42" i="4"/>
  <c r="AI42" i="4"/>
  <c r="K54" i="4"/>
  <c r="F47" i="34" s="1"/>
  <c r="U66" i="4"/>
  <c r="Q42" i="4"/>
  <c r="BM66" i="4"/>
  <c r="BA54"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BK66" i="4"/>
  <c r="BN54" i="4"/>
  <c r="BL82" i="4"/>
  <c r="L82" i="4"/>
  <c r="O82" i="4"/>
  <c r="BL70" i="4"/>
  <c r="L70" i="4"/>
  <c r="O70" i="4"/>
  <c r="BL58" i="4"/>
  <c r="L58" i="4"/>
  <c r="O58" i="4"/>
  <c r="BD46" i="4"/>
  <c r="BL46" i="4"/>
  <c r="L46" i="4"/>
  <c r="O46" i="4"/>
  <c r="BA34" i="4"/>
  <c r="BL34" i="4"/>
  <c r="L34" i="4"/>
  <c r="O34" i="4"/>
  <c r="L22" i="4"/>
  <c r="F87" i="5"/>
  <c r="L108" i="5"/>
  <c r="U108" i="5"/>
  <c r="E108" i="5"/>
  <c r="M97" i="5"/>
  <c r="AO54" i="4"/>
  <c r="V42" i="4"/>
  <c r="J42" i="4"/>
  <c r="AO66" i="4"/>
  <c r="N42" i="4"/>
  <c r="V54" i="4"/>
  <c r="I66" i="4"/>
  <c r="H42" i="4"/>
  <c r="J54" i="4"/>
  <c r="AX54" i="4"/>
  <c r="K66" i="4"/>
  <c r="AH54" i="4"/>
  <c r="AG54" i="4"/>
  <c r="C38" i="5"/>
  <c r="G66" i="4"/>
  <c r="BJ66" i="4"/>
  <c r="BM54"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AR32" i="5" s="1"/>
  <c r="BK78" i="4"/>
  <c r="BM68" i="4"/>
  <c r="BN57" i="4"/>
  <c r="BF46" i="4"/>
  <c r="BJ36"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V36" i="4"/>
  <c r="AO36" i="4"/>
  <c r="BJ78" i="4"/>
  <c r="BK68" i="4"/>
  <c r="BM57" i="4"/>
  <c r="BE46" i="4"/>
  <c r="BH36"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C30" i="33" s="1"/>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M32" i="4"/>
  <c r="N32" i="4"/>
  <c r="AS70" i="4"/>
  <c r="AH70" i="4"/>
  <c r="K70" i="4"/>
  <c r="M101" i="5"/>
  <c r="G101" i="5"/>
  <c r="S32" i="4"/>
  <c r="AM20" i="4"/>
  <c r="D32" i="4"/>
  <c r="AQ61" i="4"/>
  <c r="AN61" i="4"/>
  <c r="H61" i="4"/>
  <c r="AW61" i="4"/>
  <c r="S61" i="4"/>
  <c r="BJ70" i="4"/>
  <c r="BJ61" i="4"/>
  <c r="BJ51" i="4"/>
  <c r="BJ50" i="4"/>
  <c r="BJ4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A25" i="4"/>
  <c r="BA24" i="4"/>
  <c r="BA23" i="4"/>
  <c r="BE18" i="4"/>
  <c r="BJ40" i="4"/>
  <c r="BK35" i="4"/>
  <c r="BK34" i="4"/>
  <c r="BM31" i="4"/>
  <c r="BD18" i="4"/>
  <c r="AM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U44" i="5"/>
  <c r="AU44" i="5"/>
  <c r="O51" i="5"/>
  <c r="AU51" i="5"/>
  <c r="O22" i="5"/>
  <c r="AU69" i="5"/>
  <c r="E21" i="5"/>
  <c r="T35" i="5"/>
  <c r="AU35" i="5"/>
  <c r="AU64" i="5"/>
  <c r="AU40" i="5"/>
  <c r="AU81" i="5"/>
  <c r="AU78" i="5"/>
  <c r="AU30" i="5"/>
  <c r="P17" i="5"/>
  <c r="S80" i="5"/>
  <c r="AU80" i="5"/>
  <c r="AU71" i="5"/>
  <c r="AU77" i="5"/>
  <c r="AU31" i="5"/>
  <c r="T52" i="5"/>
  <c r="AU52" i="5"/>
  <c r="AU29" i="5"/>
  <c r="N70" i="5"/>
  <c r="AU70" i="5"/>
  <c r="R41" i="5"/>
  <c r="AU41" i="5"/>
  <c r="L57" i="5"/>
  <c r="AU57" i="5"/>
  <c r="AF13" i="42"/>
  <c r="J22" i="5"/>
  <c r="F21" i="5"/>
  <c r="L21" i="5"/>
  <c r="S35" i="5"/>
  <c r="K35" i="5"/>
  <c r="P35" i="5"/>
  <c r="U35" i="5"/>
  <c r="V44" i="5"/>
  <c r="T44" i="5"/>
  <c r="Q44" i="5"/>
  <c r="B43" i="5"/>
  <c r="B21" i="5"/>
  <c r="G21" i="5"/>
  <c r="E22" i="5"/>
  <c r="I70" i="8"/>
  <c r="AC70" i="8"/>
  <c r="L70" i="8"/>
  <c r="T70" i="8"/>
  <c r="T81" i="5"/>
  <c r="J35" i="5"/>
  <c r="M35" i="5"/>
  <c r="G35" i="5"/>
  <c r="N35" i="5"/>
  <c r="F35" i="5"/>
  <c r="R35" i="5"/>
  <c r="E35" i="5"/>
  <c r="H35" i="5"/>
  <c r="L35" i="5"/>
  <c r="O35" i="5"/>
  <c r="V35" i="5"/>
  <c r="B34" i="5"/>
  <c r="AC22" i="8"/>
  <c r="O22" i="8"/>
  <c r="H22" i="8"/>
  <c r="G22" i="8"/>
  <c r="F22" i="8"/>
  <c r="X22" i="8"/>
  <c r="M45" i="5"/>
  <c r="E22" i="8"/>
  <c r="T22" i="8"/>
  <c r="M22" i="8"/>
  <c r="AD22" i="8"/>
  <c r="W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Q58" i="8"/>
  <c r="O44" i="5"/>
  <c r="M44" i="5"/>
  <c r="I44" i="5"/>
  <c r="N44" i="5"/>
  <c r="E44" i="5"/>
  <c r="L44" i="5"/>
  <c r="M56" i="8"/>
  <c r="K44" i="5"/>
  <c r="J44" i="5"/>
  <c r="R44" i="5"/>
  <c r="H44" i="5"/>
  <c r="S44" i="5"/>
  <c r="G44" i="5"/>
  <c r="F44" i="5"/>
  <c r="P44" i="5"/>
  <c r="T69" i="8"/>
  <c r="Z69" i="8"/>
  <c r="O56" i="8"/>
  <c r="K69" i="8"/>
  <c r="J56" i="8"/>
  <c r="F69" i="8"/>
  <c r="AA29" i="8"/>
  <c r="AA54" i="8"/>
  <c r="T54" i="8"/>
  <c r="Z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F41" i="8"/>
  <c r="U41" i="8"/>
  <c r="T41" i="8"/>
  <c r="Y41" i="8"/>
  <c r="N41" i="8"/>
  <c r="U69" i="5"/>
  <c r="Q45" i="8"/>
  <c r="U45" i="8"/>
  <c r="AB45" i="8"/>
  <c r="V45" i="8"/>
  <c r="Z68" i="8"/>
  <c r="R80" i="5"/>
  <c r="H80" i="5"/>
  <c r="J17" i="5"/>
  <c r="L17" i="5"/>
  <c r="M17" i="5"/>
  <c r="S17" i="5"/>
  <c r="B16" i="5"/>
  <c r="O17" i="5"/>
  <c r="G17" i="5"/>
  <c r="U17" i="5"/>
  <c r="R17" i="5"/>
  <c r="L34" i="8"/>
  <c r="V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W65" i="8"/>
  <c r="AB65" i="8"/>
  <c r="I45" i="8"/>
  <c r="I65" i="8"/>
  <c r="F57" i="5"/>
  <c r="AC45" i="8"/>
  <c r="T45" i="8"/>
  <c r="E65" i="8"/>
  <c r="D65" i="8"/>
  <c r="Q65" i="8"/>
  <c r="R65" i="8"/>
  <c r="S65" i="8"/>
  <c r="O65" i="8"/>
  <c r="T65" i="8"/>
  <c r="Y45" i="8"/>
  <c r="M65" i="8"/>
  <c r="K65" i="8"/>
  <c r="W45" i="8"/>
  <c r="R45" i="8"/>
  <c r="D52" i="8"/>
  <c r="Y52" i="8"/>
  <c r="S52" i="8"/>
  <c r="W52" i="8"/>
  <c r="U52" i="8"/>
  <c r="T68" i="5"/>
  <c r="B67" i="5"/>
  <c r="K68" i="5"/>
  <c r="E68" i="5"/>
  <c r="U68" i="5"/>
  <c r="N68" i="5"/>
  <c r="V68" i="5"/>
  <c r="M68" i="5"/>
  <c r="N58" i="8"/>
  <c r="S68" i="5"/>
  <c r="G68" i="5"/>
  <c r="I68" i="5"/>
  <c r="Q68" i="5"/>
  <c r="J68" i="5"/>
  <c r="Y27" i="8"/>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R29" i="5"/>
  <c r="J29" i="5"/>
  <c r="F29" i="5"/>
  <c r="T29" i="5"/>
  <c r="B28" i="5"/>
  <c r="L29" i="5"/>
  <c r="I29" i="5"/>
  <c r="H29" i="5"/>
  <c r="O29" i="5"/>
  <c r="K55" i="5"/>
  <c r="S29" i="5"/>
  <c r="N29" i="5"/>
  <c r="O55" i="5"/>
  <c r="V29" i="5"/>
  <c r="G29" i="5"/>
  <c r="Q29" i="5"/>
  <c r="M29" i="5"/>
  <c r="K52" i="8"/>
  <c r="O52" i="8"/>
  <c r="G52" i="8"/>
  <c r="AA52" i="8"/>
  <c r="T52" i="8"/>
  <c r="F52" i="8"/>
  <c r="Q52" i="8"/>
  <c r="M52" i="8"/>
  <c r="H52" i="8"/>
  <c r="J52" i="8"/>
  <c r="N52" i="8"/>
  <c r="Z52" i="8"/>
  <c r="AC52" i="8"/>
  <c r="V52" i="8"/>
  <c r="L52" i="8"/>
  <c r="AD52" i="8"/>
  <c r="I52" i="8"/>
  <c r="K30" i="5"/>
  <c r="Q30" i="5"/>
  <c r="H30" i="5"/>
  <c r="H30" i="8"/>
  <c r="AD30" i="8"/>
  <c r="X30" i="8"/>
  <c r="O30" i="8"/>
  <c r="V30" i="8"/>
  <c r="I30" i="5"/>
  <c r="K74" i="5"/>
  <c r="F74" i="5"/>
  <c r="R74" i="5"/>
  <c r="Q74" i="5"/>
  <c r="S74" i="5"/>
  <c r="T74" i="5"/>
  <c r="P30" i="5"/>
  <c r="Z40" i="8"/>
  <c r="X40" i="8"/>
  <c r="H40" i="8"/>
  <c r="F40" i="8"/>
  <c r="J40" i="8"/>
  <c r="O40" i="8"/>
  <c r="AB40" i="8"/>
  <c r="AC40" i="8"/>
  <c r="R40" i="8"/>
  <c r="T40" i="8"/>
  <c r="E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E29" i="8"/>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F78" i="5"/>
  <c r="T78" i="5"/>
  <c r="O78" i="5"/>
  <c r="I78" i="5"/>
  <c r="L78" i="5"/>
  <c r="G78" i="5"/>
  <c r="M78" i="5"/>
  <c r="B77" i="5"/>
  <c r="K78" i="5"/>
  <c r="R78" i="5"/>
  <c r="U78" i="5"/>
  <c r="S78" i="5"/>
  <c r="P78" i="5"/>
  <c r="V78" i="5"/>
  <c r="E78" i="5"/>
  <c r="Q78" i="5"/>
  <c r="N78" i="5"/>
  <c r="J78" i="5"/>
  <c r="H78" i="5"/>
  <c r="L30" i="5"/>
  <c r="U30" i="5"/>
  <c r="O30" i="5"/>
  <c r="E74" i="5"/>
  <c r="B73" i="5"/>
  <c r="G74" i="5"/>
  <c r="U74" i="5"/>
  <c r="N74" i="5"/>
  <c r="M31" i="5"/>
  <c r="V31" i="5"/>
  <c r="B30" i="5"/>
  <c r="P31" i="5"/>
  <c r="S31" i="5"/>
  <c r="K31" i="5"/>
  <c r="J31" i="5"/>
  <c r="L31" i="5"/>
  <c r="Q31" i="5"/>
  <c r="E31" i="5"/>
  <c r="G31" i="5"/>
  <c r="F31" i="5"/>
  <c r="O31" i="5"/>
  <c r="T31" i="5"/>
  <c r="U31" i="5"/>
  <c r="H31" i="5"/>
  <c r="I31" i="5"/>
  <c r="N31" i="5"/>
  <c r="R31" i="5"/>
  <c r="P19" i="5"/>
  <c r="F43" i="8"/>
  <c r="O43" i="8"/>
  <c r="M43" i="8"/>
  <c r="AB43" i="8"/>
  <c r="Z43" i="8"/>
  <c r="Q43" i="8"/>
  <c r="Y43" i="8"/>
  <c r="J43" i="8"/>
  <c r="P43" i="8"/>
  <c r="AD43" i="8"/>
  <c r="X43" i="8"/>
  <c r="G43" i="8"/>
  <c r="H43" i="8"/>
  <c r="V43" i="8"/>
  <c r="I43" i="8"/>
  <c r="E43" i="8"/>
  <c r="K43" i="8"/>
  <c r="T43" i="8"/>
  <c r="N43" i="8"/>
  <c r="W43" i="8"/>
  <c r="AA43" i="8"/>
  <c r="L43" i="8"/>
  <c r="D43" i="8"/>
  <c r="R43" i="8"/>
  <c r="U43" i="8"/>
  <c r="AC43" i="8"/>
  <c r="S43" i="8"/>
  <c r="AC55" i="8"/>
  <c r="Q55" i="8"/>
  <c r="T55" i="8"/>
  <c r="F55" i="8"/>
  <c r="H55" i="8"/>
  <c r="E55" i="8"/>
  <c r="AD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K27" i="8"/>
  <c r="N27" i="8"/>
  <c r="J27" i="8"/>
  <c r="O27" i="8"/>
  <c r="AA27" i="8"/>
  <c r="P27" i="8"/>
  <c r="F63" i="8"/>
  <c r="V63" i="8"/>
  <c r="L63" i="8"/>
  <c r="M63" i="8"/>
  <c r="R63" i="8"/>
  <c r="W63" i="8"/>
  <c r="AD63" i="8"/>
  <c r="J63" i="8"/>
  <c r="AC63" i="8"/>
  <c r="Z63" i="8"/>
  <c r="G63" i="8"/>
  <c r="D63" i="8"/>
  <c r="N63" i="8"/>
  <c r="O63" i="8"/>
  <c r="U63" i="8"/>
  <c r="K63" i="8"/>
  <c r="T63" i="8"/>
  <c r="P63" i="8"/>
  <c r="I63" i="8"/>
  <c r="X63" i="8"/>
  <c r="AB63" i="8"/>
  <c r="Q63" i="8"/>
  <c r="H63" i="8"/>
  <c r="AA63" i="8"/>
  <c r="E63" i="8"/>
  <c r="Y63" i="8"/>
  <c r="S63" i="8"/>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L38" i="8"/>
  <c r="U38" i="8"/>
  <c r="T38" i="8"/>
  <c r="E38" i="8"/>
  <c r="K38" i="8"/>
  <c r="O38" i="8"/>
  <c r="AB38" i="8"/>
  <c r="W38" i="8"/>
  <c r="AD38" i="8"/>
  <c r="Q38" i="8"/>
  <c r="P38" i="8"/>
  <c r="G38" i="8"/>
  <c r="M38" i="8"/>
  <c r="H50" i="8"/>
  <c r="AA50" i="8"/>
  <c r="K50" i="8"/>
  <c r="T50"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AC20" i="8"/>
  <c r="Y32" i="8"/>
  <c r="T32" i="8"/>
  <c r="AA32" i="8"/>
  <c r="P32" i="8"/>
  <c r="W32" i="8"/>
  <c r="E32" i="8"/>
  <c r="S32" i="8"/>
  <c r="AC32" i="8"/>
  <c r="M32" i="8"/>
  <c r="V32" i="8"/>
  <c r="D32" i="8"/>
  <c r="Z32" i="8"/>
  <c r="O32" i="8"/>
  <c r="AD32" i="8"/>
  <c r="J32" i="8"/>
  <c r="K32" i="8"/>
  <c r="X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S66" i="8"/>
  <c r="I47" i="5"/>
  <c r="E47" i="5"/>
  <c r="S47" i="5"/>
  <c r="G47" i="5"/>
  <c r="J47" i="5"/>
  <c r="U47" i="5"/>
  <c r="N47" i="5"/>
  <c r="O47" i="5"/>
  <c r="Q47" i="5"/>
  <c r="B46" i="5"/>
  <c r="K47" i="5"/>
  <c r="V47" i="5"/>
  <c r="L47" i="5"/>
  <c r="R47" i="5"/>
  <c r="T47" i="5"/>
  <c r="F47" i="5"/>
  <c r="M47" i="5"/>
  <c r="P47" i="5"/>
  <c r="H47" i="5"/>
  <c r="AA28" i="8"/>
  <c r="S28" i="8"/>
  <c r="G28" i="8"/>
  <c r="N28" i="8"/>
  <c r="X28" i="8"/>
  <c r="J28" i="8"/>
  <c r="P28" i="8"/>
  <c r="E28" i="8"/>
  <c r="Z28" i="8"/>
  <c r="M28" i="8"/>
  <c r="W28" i="8"/>
  <c r="R28" i="8"/>
  <c r="U28" i="8"/>
  <c r="O28" i="8"/>
  <c r="L28" i="8"/>
  <c r="V28" i="8"/>
  <c r="I28" i="8"/>
  <c r="AC28" i="8"/>
  <c r="T28" i="8"/>
  <c r="Y28" i="8"/>
  <c r="AD28" i="8"/>
  <c r="AB28" i="8"/>
  <c r="K28" i="8"/>
  <c r="Q28" i="8"/>
  <c r="F28" i="8"/>
  <c r="H28" i="8"/>
  <c r="Z16" i="8"/>
  <c r="S66" i="5"/>
  <c r="T66" i="5"/>
  <c r="L66" i="5"/>
  <c r="E66" i="5"/>
  <c r="P66" i="5"/>
  <c r="C13" i="34"/>
  <c r="E13" i="34" s="1"/>
  <c r="L28" i="5"/>
  <c r="U28" i="5"/>
  <c r="V47" i="8"/>
  <c r="Z47" i="8"/>
  <c r="Q47" i="8"/>
  <c r="K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30" i="23"/>
  <c r="I30" i="23" s="1"/>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C19" i="8" l="1"/>
  <c r="C21" i="8"/>
  <c r="C17" i="8"/>
  <c r="C28" i="8"/>
  <c r="AS32" i="4"/>
  <c r="AY32" i="4" s="1"/>
  <c r="AR32" i="4"/>
  <c r="AX32" i="4" s="1"/>
  <c r="AQ32" i="4"/>
  <c r="AW32" i="4" s="1"/>
  <c r="O32" i="4"/>
  <c r="Q32" i="4" s="1"/>
  <c r="BL32" i="4"/>
  <c r="BN32" i="4" s="1"/>
  <c r="D28" i="8"/>
  <c r="D26" i="33"/>
  <c r="K26" i="33" s="1"/>
  <c r="CC30" i="4"/>
  <c r="BY30" i="4"/>
  <c r="AD27" i="8"/>
  <c r="Q27" i="8"/>
  <c r="I27" i="8"/>
  <c r="R27" i="8"/>
  <c r="L22" i="8"/>
  <c r="H27" i="8"/>
  <c r="F27" i="8"/>
  <c r="G27" i="8"/>
  <c r="C27" i="8" s="1"/>
  <c r="V27" i="8"/>
  <c r="AJ30" i="4"/>
  <c r="AB27" i="8"/>
  <c r="U27" i="8"/>
  <c r="L27" i="8"/>
  <c r="AC27" i="8"/>
  <c r="S27" i="8"/>
  <c r="Z27" i="8"/>
  <c r="S19" i="5"/>
  <c r="K22" i="8"/>
  <c r="Y22" i="8"/>
  <c r="V15" i="8"/>
  <c r="T27" i="8"/>
  <c r="P15" i="8"/>
  <c r="H15" i="8"/>
  <c r="Z20" i="8"/>
  <c r="M27" i="8"/>
  <c r="W27" i="8"/>
  <c r="P22" i="8"/>
  <c r="R22" i="8"/>
  <c r="F30" i="4"/>
  <c r="H28" i="42"/>
  <c r="C16" i="42"/>
  <c r="AG28" i="42"/>
  <c r="AI28" i="42"/>
  <c r="AH27" i="42"/>
  <c r="H16" i="42"/>
  <c r="L16" i="42"/>
  <c r="AF16" i="42"/>
  <c r="N28" i="42"/>
  <c r="Y28" i="42"/>
  <c r="K15" i="42"/>
  <c r="AL15" i="42"/>
  <c r="L15" i="42"/>
  <c r="N15" i="42" s="1"/>
  <c r="AE27" i="42"/>
  <c r="S15" i="42"/>
  <c r="X28" i="42"/>
  <c r="I28" i="42"/>
  <c r="X15" i="42"/>
  <c r="D28" i="42"/>
  <c r="AF28" i="42"/>
  <c r="AF15" i="42"/>
  <c r="D27" i="42"/>
  <c r="AL28" i="42"/>
  <c r="AB28" i="42"/>
  <c r="H15" i="42"/>
  <c r="P15" i="42" s="1"/>
  <c r="C15" i="42"/>
  <c r="U28" i="42"/>
  <c r="AE28" i="42"/>
  <c r="Z15" i="42"/>
  <c r="T28" i="42"/>
  <c r="G28" i="42"/>
  <c r="AI15" i="42"/>
  <c r="E15" i="42"/>
  <c r="Y27" i="42"/>
  <c r="Z28" i="42"/>
  <c r="AB27" i="42"/>
  <c r="E28" i="42"/>
  <c r="C28" i="42"/>
  <c r="E20" i="30"/>
  <c r="E9" i="63" s="1"/>
  <c r="J22" i="27"/>
  <c r="E7" i="66"/>
  <c r="F8" i="66" s="1"/>
  <c r="J19" i="27"/>
  <c r="K19" i="27" s="1"/>
  <c r="E17" i="30"/>
  <c r="E6" i="63" s="1"/>
  <c r="J21" i="27"/>
  <c r="K16" i="27"/>
  <c r="E22" i="30"/>
  <c r="E11" i="63" s="1"/>
  <c r="AR31" i="4"/>
  <c r="AX31" i="4" s="1"/>
  <c r="AS31" i="4"/>
  <c r="AY31" i="4" s="1"/>
  <c r="AQ31" i="4"/>
  <c r="AW31" i="4" s="1"/>
  <c r="BL31" i="4"/>
  <c r="BN31" i="4" s="1"/>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X30" i="4"/>
  <c r="AK30" i="4"/>
  <c r="AT30" i="4"/>
  <c r="AM30" i="4"/>
  <c r="BR30" i="4"/>
  <c r="BX30" i="4"/>
  <c r="BA30" i="4"/>
  <c r="BD30" i="4"/>
  <c r="AB30" i="4"/>
  <c r="G30" i="4"/>
  <c r="I30" i="4"/>
  <c r="B26" i="8"/>
  <c r="BQ30" i="4"/>
  <c r="CM30" i="4"/>
  <c r="M4" i="60"/>
  <c r="X4" i="60"/>
  <c r="L4" i="60"/>
  <c r="BL18" i="4"/>
  <c r="E21" i="30"/>
  <c r="E10" i="63" s="1"/>
  <c r="J23" i="27"/>
  <c r="AF3" i="42"/>
  <c r="AC4" i="12"/>
  <c r="K4" i="67"/>
  <c r="AC5" i="12"/>
  <c r="AC6" i="12"/>
  <c r="Y17" i="12"/>
  <c r="AC24" i="42"/>
  <c r="L25" i="42"/>
  <c r="AC25" i="42"/>
  <c r="AC14" i="42"/>
  <c r="AC15" i="42"/>
  <c r="AC16" i="42"/>
  <c r="AC17" i="42"/>
  <c r="AD17" i="42" s="1"/>
  <c r="C18" i="42"/>
  <c r="AC18" i="42"/>
  <c r="AC19" i="42"/>
  <c r="AC20" i="42"/>
  <c r="C21" i="42"/>
  <c r="O21" i="42" s="1"/>
  <c r="AC21" i="42"/>
  <c r="E22" i="42"/>
  <c r="AC22" i="42"/>
  <c r="AF23" i="42"/>
  <c r="AC23" i="42"/>
  <c r="AD23" i="42" s="1"/>
  <c r="J40" i="29"/>
  <c r="L48" i="15"/>
  <c r="K51" i="15"/>
  <c r="K44" i="29" s="1"/>
  <c r="K73" i="54"/>
  <c r="O73" i="54"/>
  <c r="L73" i="54"/>
  <c r="I73" i="54"/>
  <c r="M73" i="54"/>
  <c r="Q73" i="54"/>
  <c r="J73" i="54"/>
  <c r="N73" i="54"/>
  <c r="K48" i="53"/>
  <c r="I48" i="53"/>
  <c r="M15" i="11"/>
  <c r="BF3" i="50"/>
  <c r="AC3" i="64"/>
  <c r="I72" i="53"/>
  <c r="AC13" i="42"/>
  <c r="C30" i="42"/>
  <c r="Z21" i="42"/>
  <c r="Y30" i="8"/>
  <c r="C28" i="33"/>
  <c r="O58" i="42"/>
  <c r="N82" i="42"/>
  <c r="H46" i="42"/>
  <c r="AB22" i="42"/>
  <c r="Z70" i="42"/>
  <c r="AI70" i="42"/>
  <c r="AL22" i="42"/>
  <c r="AD70" i="42"/>
  <c r="K70" i="42"/>
  <c r="H82" i="42"/>
  <c r="K34" i="42"/>
  <c r="N46" i="42"/>
  <c r="AF82" i="42"/>
  <c r="Z34" i="42"/>
  <c r="Y70" i="42"/>
  <c r="Q58" i="42"/>
  <c r="P82" i="42"/>
  <c r="J82" i="42"/>
  <c r="N34" i="42"/>
  <c r="Y22" i="42"/>
  <c r="V70" i="42"/>
  <c r="AE70" i="42"/>
  <c r="M70" i="42"/>
  <c r="H22" i="42"/>
  <c r="J22" i="42" s="1"/>
  <c r="I46" i="42"/>
  <c r="L58" i="42"/>
  <c r="AL70" i="42"/>
  <c r="G58" i="42"/>
  <c r="AD46" i="42"/>
  <c r="AH22" i="42"/>
  <c r="E82" i="42"/>
  <c r="AF22" i="42"/>
  <c r="P46" i="42"/>
  <c r="H30" i="33"/>
  <c r="D30" i="33"/>
  <c r="N30" i="33"/>
  <c r="G30" i="33"/>
  <c r="F30" i="33"/>
  <c r="P30" i="33"/>
  <c r="I30" i="33"/>
  <c r="Q30" i="33"/>
  <c r="E30" i="33"/>
  <c r="L30" i="33"/>
  <c r="J30" i="33"/>
  <c r="O30" i="33"/>
  <c r="M30" i="33"/>
  <c r="K30" i="33"/>
  <c r="O54" i="42"/>
  <c r="J29" i="8"/>
  <c r="C27" i="33"/>
  <c r="Q82" i="42"/>
  <c r="Q34" i="42"/>
  <c r="AB58" i="42"/>
  <c r="R34" i="42"/>
  <c r="AG70" i="42"/>
  <c r="I34" i="42"/>
  <c r="T22" i="42"/>
  <c r="T70" i="42"/>
  <c r="Z22" i="42"/>
  <c r="W46" i="42"/>
  <c r="E46" i="42"/>
  <c r="N70" i="42"/>
  <c r="S34" i="42"/>
  <c r="U46" i="42"/>
  <c r="M22" i="42"/>
  <c r="X18" i="42"/>
  <c r="AI54" i="42"/>
  <c r="L34" i="42"/>
  <c r="P34" i="42"/>
  <c r="S70" i="42"/>
  <c r="L33" i="42"/>
  <c r="L82" i="42"/>
  <c r="AM58" i="42"/>
  <c r="V22" i="42"/>
  <c r="AE22" i="42"/>
  <c r="AG22" i="42"/>
  <c r="M34" i="42"/>
  <c r="K46" i="42"/>
  <c r="AA70" i="42"/>
  <c r="S58" i="42"/>
  <c r="AA46" i="42"/>
  <c r="K82" i="42"/>
  <c r="V18" i="42"/>
  <c r="AE33" i="42"/>
  <c r="J34" i="42"/>
  <c r="V58" i="42"/>
  <c r="D82" i="42"/>
  <c r="AA22" i="42"/>
  <c r="AL58" i="42"/>
  <c r="Y82" i="42"/>
  <c r="H58" i="42"/>
  <c r="L22" i="42"/>
  <c r="G34" i="42"/>
  <c r="D58" i="42"/>
  <c r="AE82" i="42"/>
  <c r="AB46" i="42"/>
  <c r="X70" i="42"/>
  <c r="O70" i="42"/>
  <c r="G70" i="42"/>
  <c r="D34" i="42"/>
  <c r="Z18" i="42"/>
  <c r="F82" i="42"/>
  <c r="AM82" i="42"/>
  <c r="I82" i="42"/>
  <c r="X46" i="42"/>
  <c r="T34" i="42"/>
  <c r="W58" i="42"/>
  <c r="AA82" i="42"/>
  <c r="X22" i="42"/>
  <c r="AD58" i="42"/>
  <c r="I58" i="42"/>
  <c r="C70" i="42"/>
  <c r="C22" i="42"/>
  <c r="O46" i="42"/>
  <c r="L70" i="42"/>
  <c r="Y58" i="42"/>
  <c r="S22" i="42"/>
  <c r="AU32" i="5"/>
  <c r="AL30" i="42"/>
  <c r="AM34" i="42"/>
  <c r="AN82" i="42"/>
  <c r="AF34" i="42"/>
  <c r="AE46" i="42"/>
  <c r="AA34" i="42"/>
  <c r="AB82" i="42"/>
  <c r="G82" i="42"/>
  <c r="AD82" i="42"/>
  <c r="E34" i="42"/>
  <c r="F70" i="42"/>
  <c r="I22" i="42"/>
  <c r="J70" i="42"/>
  <c r="T58" i="42"/>
  <c r="AH70" i="42"/>
  <c r="D22" i="42"/>
  <c r="F22" i="42" s="1"/>
  <c r="O34" i="42"/>
  <c r="P58" i="42"/>
  <c r="X58" i="42"/>
  <c r="AG46" i="42"/>
  <c r="AL46" i="42"/>
  <c r="AF70" i="42"/>
  <c r="L46" i="42"/>
  <c r="W34" i="42"/>
  <c r="Y34" i="42"/>
  <c r="J58" i="42"/>
  <c r="AH82" i="42"/>
  <c r="H34" i="42"/>
  <c r="K22" i="42"/>
  <c r="R70" i="42"/>
  <c r="AH34" i="42"/>
  <c r="M30" i="42"/>
  <c r="AN58" i="42"/>
  <c r="R58" i="42"/>
  <c r="S46" i="42"/>
  <c r="X82" i="42"/>
  <c r="Z46" i="42"/>
  <c r="AD34" i="42"/>
  <c r="M46" i="42"/>
  <c r="AF58" i="42"/>
  <c r="G46" i="42"/>
  <c r="U22" i="42"/>
  <c r="U82" i="42"/>
  <c r="U70" i="42"/>
  <c r="Z82" i="42"/>
  <c r="AB34" i="42"/>
  <c r="D46" i="42"/>
  <c r="T30" i="42"/>
  <c r="U58" i="42"/>
  <c r="C82" i="42"/>
  <c r="Q70" i="42"/>
  <c r="V46" i="42"/>
  <c r="T82" i="42"/>
  <c r="J46" i="42"/>
  <c r="AE58" i="42"/>
  <c r="R46" i="42"/>
  <c r="AE34" i="42"/>
  <c r="Q46" i="42"/>
  <c r="G22" i="42"/>
  <c r="AF46" i="42"/>
  <c r="AG34" i="42"/>
  <c r="P70" i="42"/>
  <c r="AA58" i="42"/>
  <c r="N58" i="42"/>
  <c r="I70" i="42"/>
  <c r="X34" i="42"/>
  <c r="O82" i="42"/>
  <c r="R82" i="42"/>
  <c r="F58" i="42"/>
  <c r="F34" i="42"/>
  <c r="AB70" i="42"/>
  <c r="C46" i="42"/>
  <c r="Z58" i="42"/>
  <c r="Y46" i="42"/>
  <c r="AM46" i="42"/>
  <c r="M82" i="42"/>
  <c r="W70" i="42"/>
  <c r="U34" i="42"/>
  <c r="AM70" i="42"/>
  <c r="X27" i="8"/>
  <c r="C25" i="33"/>
  <c r="N5" i="8"/>
  <c r="K5" i="67"/>
  <c r="M18" i="42"/>
  <c r="N18" i="42" s="1"/>
  <c r="L18" i="42"/>
  <c r="AN30" i="42"/>
  <c r="AH30" i="42"/>
  <c r="Y66" i="42"/>
  <c r="AD35" i="42"/>
  <c r="AK35" i="42"/>
  <c r="AJ35" i="42"/>
  <c r="AF47" i="42"/>
  <c r="AK47" i="42"/>
  <c r="AJ47" i="42"/>
  <c r="G59" i="42"/>
  <c r="AK59" i="42"/>
  <c r="AJ59" i="42"/>
  <c r="AE71" i="42"/>
  <c r="AK71" i="42"/>
  <c r="AJ71" i="42"/>
  <c r="AF83" i="42"/>
  <c r="AK83" i="42"/>
  <c r="AJ83" i="42"/>
  <c r="AK30" i="42"/>
  <c r="AJ30" i="42"/>
  <c r="T54" i="42"/>
  <c r="AK54" i="42"/>
  <c r="AJ54" i="42"/>
  <c r="E18" i="42"/>
  <c r="H18" i="42"/>
  <c r="AF66" i="42"/>
  <c r="N30" i="42"/>
  <c r="AI30" i="42"/>
  <c r="AB66" i="42"/>
  <c r="L54" i="42"/>
  <c r="AK36" i="42"/>
  <c r="AJ36" i="42"/>
  <c r="AK48" i="42"/>
  <c r="AJ48" i="42"/>
  <c r="H60" i="42"/>
  <c r="AK60" i="42"/>
  <c r="AJ60" i="42"/>
  <c r="AK72" i="42"/>
  <c r="AJ72" i="42"/>
  <c r="AE18" i="42"/>
  <c r="AG18" i="42"/>
  <c r="H30" i="42"/>
  <c r="W30" i="42"/>
  <c r="AM30" i="42"/>
  <c r="Z66" i="42"/>
  <c r="AA26" i="42"/>
  <c r="AJ26" i="42"/>
  <c r="AN38" i="42"/>
  <c r="AK38" i="42"/>
  <c r="AJ38" i="42"/>
  <c r="I50" i="42"/>
  <c r="AK50" i="42"/>
  <c r="AJ50" i="42"/>
  <c r="H62" i="42"/>
  <c r="AK62" i="42"/>
  <c r="AJ62" i="42"/>
  <c r="AH74" i="42"/>
  <c r="AK74" i="42"/>
  <c r="AJ74" i="42"/>
  <c r="G18" i="42"/>
  <c r="U18" i="42"/>
  <c r="E30" i="42"/>
  <c r="K30" i="42"/>
  <c r="O30" i="42"/>
  <c r="F66" i="42"/>
  <c r="AL27" i="42"/>
  <c r="AJ27" i="42"/>
  <c r="AN39" i="42"/>
  <c r="AK39" i="42"/>
  <c r="AJ39" i="42"/>
  <c r="E51" i="42"/>
  <c r="AK51" i="42"/>
  <c r="AJ51" i="42"/>
  <c r="J63" i="42"/>
  <c r="AK63" i="42"/>
  <c r="AJ63" i="42"/>
  <c r="S75" i="42"/>
  <c r="AK75" i="42"/>
  <c r="AJ75" i="42"/>
  <c r="D18" i="42"/>
  <c r="Y18" i="42"/>
  <c r="AE30" i="42"/>
  <c r="X30" i="42"/>
  <c r="AF30" i="42"/>
  <c r="H66" i="42"/>
  <c r="AJ28" i="42"/>
  <c r="O40" i="42"/>
  <c r="AK40" i="42"/>
  <c r="AJ40" i="42"/>
  <c r="AK52" i="42"/>
  <c r="AJ52" i="42"/>
  <c r="AH64" i="42"/>
  <c r="AK64" i="42"/>
  <c r="AJ64" i="42"/>
  <c r="D76" i="42"/>
  <c r="AK76" i="42"/>
  <c r="AJ76" i="42"/>
  <c r="AK37" i="42"/>
  <c r="AJ37" i="42"/>
  <c r="AG49" i="42"/>
  <c r="AK49" i="42"/>
  <c r="AJ49" i="42"/>
  <c r="AK61" i="42"/>
  <c r="AJ61" i="42"/>
  <c r="AK73" i="42"/>
  <c r="AJ73" i="42"/>
  <c r="AL18" i="42"/>
  <c r="AA18" i="42"/>
  <c r="U30" i="42"/>
  <c r="Z30" i="42"/>
  <c r="L30" i="42"/>
  <c r="K29" i="42"/>
  <c r="AK29" i="42"/>
  <c r="AJ29" i="42"/>
  <c r="AK41" i="42"/>
  <c r="AJ41" i="42"/>
  <c r="AG53" i="42"/>
  <c r="AK53" i="42"/>
  <c r="AJ53" i="42"/>
  <c r="AK65" i="42"/>
  <c r="AJ65" i="42"/>
  <c r="AK77" i="42"/>
  <c r="AJ77" i="42"/>
  <c r="K18" i="42"/>
  <c r="V30" i="42"/>
  <c r="I30" i="42"/>
  <c r="AD30" i="42"/>
  <c r="AA30" i="42"/>
  <c r="AH18" i="42"/>
  <c r="AG31" i="42"/>
  <c r="AK31" i="42"/>
  <c r="AJ31" i="42"/>
  <c r="AK43" i="42"/>
  <c r="AJ43" i="42"/>
  <c r="AG55" i="42"/>
  <c r="AK55" i="42"/>
  <c r="AJ55" i="42"/>
  <c r="J67" i="42"/>
  <c r="AK67" i="42"/>
  <c r="AJ67" i="42"/>
  <c r="AK79" i="42"/>
  <c r="AJ79" i="42"/>
  <c r="T18" i="42"/>
  <c r="Q30" i="42"/>
  <c r="P30" i="42"/>
  <c r="D30" i="42"/>
  <c r="Q54" i="42"/>
  <c r="J54" i="42"/>
  <c r="X32" i="42"/>
  <c r="AK32" i="42"/>
  <c r="AJ32" i="42"/>
  <c r="AD44" i="42"/>
  <c r="AK44" i="42"/>
  <c r="AJ44" i="42"/>
  <c r="AN56" i="42"/>
  <c r="AK56" i="42"/>
  <c r="AJ56" i="42"/>
  <c r="AH68" i="42"/>
  <c r="AK68" i="42"/>
  <c r="AJ68" i="42"/>
  <c r="AA80" i="42"/>
  <c r="AK80" i="42"/>
  <c r="AJ80" i="42"/>
  <c r="G78" i="42"/>
  <c r="AK78" i="42"/>
  <c r="AJ78" i="42"/>
  <c r="AI18" i="42"/>
  <c r="AB18" i="42"/>
  <c r="J30" i="42"/>
  <c r="R30" i="42"/>
  <c r="AF18" i="42"/>
  <c r="S54" i="42"/>
  <c r="C33" i="42"/>
  <c r="AK33" i="42"/>
  <c r="AJ33" i="42"/>
  <c r="AB45" i="42"/>
  <c r="AK45" i="42"/>
  <c r="AJ45" i="42"/>
  <c r="AA57" i="42"/>
  <c r="AK57" i="42"/>
  <c r="AJ57" i="42"/>
  <c r="L69" i="42"/>
  <c r="AK69" i="42"/>
  <c r="AJ69" i="42"/>
  <c r="D81" i="42"/>
  <c r="AK81" i="42"/>
  <c r="AJ81" i="42"/>
  <c r="M42" i="42"/>
  <c r="AK42" i="42"/>
  <c r="AJ42" i="42"/>
  <c r="U66" i="42"/>
  <c r="AK66" i="42"/>
  <c r="AJ66" i="42"/>
  <c r="S18" i="42"/>
  <c r="I18" i="42"/>
  <c r="N42" i="42"/>
  <c r="G30" i="42"/>
  <c r="F30" i="42"/>
  <c r="AE54" i="42"/>
  <c r="AI34" i="42"/>
  <c r="AK34" i="42"/>
  <c r="AJ34" i="42"/>
  <c r="AH46" i="42"/>
  <c r="AK46" i="42"/>
  <c r="AJ46" i="42"/>
  <c r="AG58" i="42"/>
  <c r="AK58" i="42"/>
  <c r="AJ58" i="42"/>
  <c r="H70" i="42"/>
  <c r="AK70" i="42"/>
  <c r="AJ70" i="42"/>
  <c r="AL82" i="42"/>
  <c r="AK82" i="42"/>
  <c r="AJ82" i="42"/>
  <c r="AJ25" i="42"/>
  <c r="J49" i="14"/>
  <c r="B5" i="66"/>
  <c r="AH3" i="50"/>
  <c r="G388" i="32"/>
  <c r="H373" i="32" s="1"/>
  <c r="AR111" i="5"/>
  <c r="AH111" i="5"/>
  <c r="AF111" i="5"/>
  <c r="AI111" i="5"/>
  <c r="X111" i="5"/>
  <c r="AJ111" i="5"/>
  <c r="AT111" i="5"/>
  <c r="Y111" i="5"/>
  <c r="AK111" i="5"/>
  <c r="Z111" i="5"/>
  <c r="AL111" i="5"/>
  <c r="AA111" i="5"/>
  <c r="AM111" i="5"/>
  <c r="AB111" i="5"/>
  <c r="AN111" i="5"/>
  <c r="AC111" i="5"/>
  <c r="AO111" i="5"/>
  <c r="AD111" i="5"/>
  <c r="AE111" i="5"/>
  <c r="AG111" i="5"/>
  <c r="S15" i="5"/>
  <c r="K26" i="5"/>
  <c r="O26"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P26" i="5"/>
  <c r="N19" i="5"/>
  <c r="B64" i="5"/>
  <c r="I58" i="5"/>
  <c r="R58" i="5"/>
  <c r="G66" i="5"/>
  <c r="AR66" i="5"/>
  <c r="G50" i="5"/>
  <c r="AR50" i="5"/>
  <c r="M105" i="5"/>
  <c r="P105" i="5"/>
  <c r="F93" i="5"/>
  <c r="B104" i="5"/>
  <c r="E111" i="5"/>
  <c r="L111" i="5"/>
  <c r="K93" i="5"/>
  <c r="F15" i="5"/>
  <c r="N16" i="5"/>
  <c r="U15" i="5"/>
  <c r="R15" i="5"/>
  <c r="I26" i="5"/>
  <c r="G26"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R26"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M26"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F26"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J26"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N26" i="5"/>
  <c r="F19" i="5"/>
  <c r="K65" i="5"/>
  <c r="R65" i="5"/>
  <c r="U58" i="5"/>
  <c r="AU58" i="5"/>
  <c r="I87" i="5"/>
  <c r="AU63" i="5"/>
  <c r="AR63" i="5"/>
  <c r="L93" i="5"/>
  <c r="P93" i="5"/>
  <c r="O93" i="5"/>
  <c r="T105" i="5"/>
  <c r="H93" i="5"/>
  <c r="J111" i="5"/>
  <c r="R99" i="5"/>
  <c r="M99" i="5"/>
  <c r="R93" i="5"/>
  <c r="N20" i="5"/>
  <c r="I15" i="5"/>
  <c r="L26" i="5"/>
  <c r="E26"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B25" i="5"/>
  <c r="G65" i="5"/>
  <c r="V65" i="5"/>
  <c r="O58" i="5"/>
  <c r="AU54" i="5"/>
  <c r="J87" i="5"/>
  <c r="M87" i="5"/>
  <c r="F111" i="5"/>
  <c r="U87" i="5"/>
  <c r="B116" i="5"/>
  <c r="V117" i="5"/>
  <c r="H117" i="5"/>
  <c r="T117" i="5"/>
  <c r="L87" i="5"/>
  <c r="V111" i="5"/>
  <c r="L105" i="5"/>
  <c r="U99" i="5"/>
  <c r="N99" i="5"/>
  <c r="AU87" i="5"/>
  <c r="AU93" i="5"/>
  <c r="AU99" i="5"/>
  <c r="AU105" i="5"/>
  <c r="AU111" i="5"/>
  <c r="AU117" i="5"/>
  <c r="N23" i="42"/>
  <c r="K23" i="42"/>
  <c r="O23" i="42" s="1"/>
  <c r="AL23" i="42"/>
  <c r="AJ24" i="42"/>
  <c r="AE23" i="42"/>
  <c r="AH23" i="42"/>
  <c r="I23" i="42"/>
  <c r="J23" i="42" s="1"/>
  <c r="AB23" i="42"/>
  <c r="E23" i="42"/>
  <c r="X23" i="42"/>
  <c r="P23" i="42"/>
  <c r="X20" i="8"/>
  <c r="F20" i="8"/>
  <c r="M20" i="8"/>
  <c r="E20" i="8"/>
  <c r="N20" i="8"/>
  <c r="G20" i="8"/>
  <c r="P20" i="8"/>
  <c r="AD20" i="8"/>
  <c r="O20" i="8"/>
  <c r="S20" i="8"/>
  <c r="I22" i="8"/>
  <c r="AA20" i="8"/>
  <c r="H20" i="8"/>
  <c r="U20" i="8"/>
  <c r="Q20" i="8"/>
  <c r="W20" i="8"/>
  <c r="Y20" i="8"/>
  <c r="L20" i="8"/>
  <c r="I20" i="8"/>
  <c r="V20" i="8"/>
  <c r="C18" i="33"/>
  <c r="R20" i="8"/>
  <c r="T20" i="8"/>
  <c r="AB20" i="8"/>
  <c r="J20" i="8"/>
  <c r="V23" i="42"/>
  <c r="W23" i="42" s="1"/>
  <c r="AJ23" i="42"/>
  <c r="AJ14" i="42"/>
  <c r="AJ17" i="42"/>
  <c r="AK17" i="42" s="1"/>
  <c r="AJ18" i="42"/>
  <c r="AJ20" i="42"/>
  <c r="Z13" i="42"/>
  <c r="F12" i="34"/>
  <c r="Q22" i="5"/>
  <c r="H22" i="5"/>
  <c r="AT22" i="5" s="1"/>
  <c r="AR26" i="4"/>
  <c r="AX26" i="4" s="1"/>
  <c r="AQ26" i="4"/>
  <c r="AW26" i="4" s="1"/>
  <c r="AS26" i="4"/>
  <c r="AY26" i="4" s="1"/>
  <c r="BL26" i="4"/>
  <c r="BN26" i="4" s="1"/>
  <c r="O26" i="4"/>
  <c r="Q26" i="4" s="1"/>
  <c r="O22" i="42"/>
  <c r="U18" i="5"/>
  <c r="G18" i="5"/>
  <c r="I18" i="5"/>
  <c r="R18" i="5"/>
  <c r="F18" i="5"/>
  <c r="B17" i="5"/>
  <c r="AG15" i="42"/>
  <c r="AJ15" i="42"/>
  <c r="M18" i="5"/>
  <c r="Y16" i="42"/>
  <c r="AJ16" i="42"/>
  <c r="F18" i="8"/>
  <c r="J18" i="5"/>
  <c r="E18" i="5"/>
  <c r="E18" i="8"/>
  <c r="P18" i="5"/>
  <c r="T14" i="8"/>
  <c r="K18" i="5"/>
  <c r="V19" i="42"/>
  <c r="AJ19" i="42"/>
  <c r="N18" i="5"/>
  <c r="AD14" i="8"/>
  <c r="N21" i="42"/>
  <c r="U21" i="42"/>
  <c r="W21" i="42" s="1"/>
  <c r="AJ21" i="42"/>
  <c r="AK21" i="42" s="1"/>
  <c r="Q14" i="8"/>
  <c r="AI22" i="42"/>
  <c r="AJ22" i="42"/>
  <c r="U13" i="42"/>
  <c r="AJ13" i="42"/>
  <c r="F13" i="34"/>
  <c r="E15" i="19"/>
  <c r="F14" i="34"/>
  <c r="D14" i="34"/>
  <c r="D14" i="35" s="1"/>
  <c r="H14" i="35" s="1"/>
  <c r="Q3" i="50"/>
  <c r="BK79" i="4"/>
  <c r="X79" i="4"/>
  <c r="BY52" i="4"/>
  <c r="U52" i="4"/>
  <c r="S24" i="42"/>
  <c r="AF24" i="42"/>
  <c r="X24" i="42"/>
  <c r="U24" i="42"/>
  <c r="I24" i="42"/>
  <c r="AI24" i="42"/>
  <c r="M24" i="42"/>
  <c r="E24" i="42"/>
  <c r="G24" i="42"/>
  <c r="H24" i="42"/>
  <c r="AL24" i="42"/>
  <c r="C24" i="42"/>
  <c r="V24" i="42"/>
  <c r="AE24" i="42"/>
  <c r="AB24" i="42"/>
  <c r="Z24" i="42"/>
  <c r="K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CK29" i="4"/>
  <c r="BU29" i="4"/>
  <c r="B25" i="8"/>
  <c r="C23" i="33" s="1"/>
  <c r="CF29" i="4"/>
  <c r="S29" i="4"/>
  <c r="CD29" i="4"/>
  <c r="BA29" i="4"/>
  <c r="AU29" i="4"/>
  <c r="CO29" i="4"/>
  <c r="BO29" i="4"/>
  <c r="N29" i="4"/>
  <c r="BY29" i="4"/>
  <c r="AP29" i="4"/>
  <c r="V29" i="4"/>
  <c r="Y29" i="4"/>
  <c r="D25" i="42"/>
  <c r="Y25" i="42"/>
  <c r="U25" i="42"/>
  <c r="AG25" i="42"/>
  <c r="T25" i="42"/>
  <c r="V25" i="42"/>
  <c r="AF25" i="42"/>
  <c r="E25" i="42"/>
  <c r="AH25" i="42"/>
  <c r="K25" i="42"/>
  <c r="AE25" i="42"/>
  <c r="AA25" i="42"/>
  <c r="AL25" i="42"/>
  <c r="M25" i="42"/>
  <c r="X25" i="42"/>
  <c r="G25" i="42"/>
  <c r="I25" i="42"/>
  <c r="Z25" i="42"/>
  <c r="AI25" i="42"/>
  <c r="E37" i="42"/>
  <c r="AL37" i="42"/>
  <c r="P37" i="42"/>
  <c r="H37" i="42"/>
  <c r="AI37" i="42"/>
  <c r="Z37" i="42"/>
  <c r="G37" i="42"/>
  <c r="AB37" i="42"/>
  <c r="K37" i="42"/>
  <c r="AN37" i="42"/>
  <c r="F37" i="42"/>
  <c r="J37" i="42"/>
  <c r="AF37" i="42"/>
  <c r="X37" i="42"/>
  <c r="R37" i="42"/>
  <c r="S37" i="42"/>
  <c r="AE37" i="42"/>
  <c r="C37" i="42"/>
  <c r="N37" i="42"/>
  <c r="V37" i="42"/>
  <c r="W37" i="42"/>
  <c r="D37" i="42"/>
  <c r="L37" i="42"/>
  <c r="Q37" i="42"/>
  <c r="P49" i="42"/>
  <c r="AD49" i="42"/>
  <c r="J49" i="42"/>
  <c r="W49" i="42"/>
  <c r="Q49" i="42"/>
  <c r="AL49" i="42"/>
  <c r="M49" i="42"/>
  <c r="Z49" i="42"/>
  <c r="R49" i="42"/>
  <c r="AH49" i="42"/>
  <c r="I49" i="42"/>
  <c r="H49" i="42"/>
  <c r="AF49" i="42"/>
  <c r="N49" i="42"/>
  <c r="X49" i="42"/>
  <c r="AN49" i="42"/>
  <c r="K49" i="42"/>
  <c r="G49" i="42"/>
  <c r="AM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C22" i="33" s="1"/>
  <c r="S40" i="4"/>
  <c r="CP79" i="4"/>
  <c r="BG28" i="4"/>
  <c r="CV40" i="4"/>
  <c r="BW64" i="4"/>
  <c r="CN79" i="4"/>
  <c r="C28" i="4"/>
  <c r="D21" i="34" s="1"/>
  <c r="CQ79" i="4"/>
  <c r="BA52" i="4"/>
  <c r="BE79" i="4"/>
  <c r="BO40" i="4"/>
  <c r="CL64" i="4"/>
  <c r="BZ79" i="4"/>
  <c r="Y76" i="4"/>
  <c r="U29" i="4"/>
  <c r="AA37" i="42"/>
  <c r="I37" i="42"/>
  <c r="AM37" i="42"/>
  <c r="AY40" i="4"/>
  <c r="AI28" i="4"/>
  <c r="BF41" i="4"/>
  <c r="BY40" i="4"/>
  <c r="CB76" i="4"/>
  <c r="BS79" i="4"/>
  <c r="S76" i="4"/>
  <c r="Y37" i="42"/>
  <c r="S25" i="42"/>
  <c r="AE40" i="4"/>
  <c r="AG40" i="4"/>
  <c r="AN28" i="4"/>
  <c r="BM76" i="4"/>
  <c r="L40" i="4"/>
  <c r="BV40" i="4"/>
  <c r="BQ76" i="4"/>
  <c r="CE79" i="4"/>
  <c r="C72" i="5"/>
  <c r="AR72" i="5" s="1"/>
  <c r="AM76" i="4"/>
  <c r="AB25" i="42"/>
  <c r="AG28" i="4"/>
  <c r="BK76" i="4"/>
  <c r="BL40" i="4"/>
  <c r="BW52" i="4"/>
  <c r="BU76" i="4"/>
  <c r="BW79" i="4"/>
  <c r="BB40" i="4"/>
  <c r="AT65" i="4"/>
  <c r="H25" i="42"/>
  <c r="AH37" i="42"/>
  <c r="W69" i="8"/>
  <c r="G69" i="8"/>
  <c r="AB69" i="8"/>
  <c r="O69" i="8"/>
  <c r="V69" i="8"/>
  <c r="E69" i="8"/>
  <c r="AC69" i="8"/>
  <c r="P69" i="8"/>
  <c r="R69" i="8"/>
  <c r="X69" i="8"/>
  <c r="N69" i="8"/>
  <c r="D69" i="8"/>
  <c r="AD69" i="8"/>
  <c r="H69" i="8"/>
  <c r="I69" i="8"/>
  <c r="AA69" i="8"/>
  <c r="Q69" i="8"/>
  <c r="S69" i="8"/>
  <c r="L69" i="8"/>
  <c r="M69" i="8"/>
  <c r="U69" i="8"/>
  <c r="Y69" i="8"/>
  <c r="S52" i="4"/>
  <c r="C76" i="4"/>
  <c r="G313" i="32"/>
  <c r="H300" i="32" s="1"/>
  <c r="AA24" i="42"/>
  <c r="T24" i="42"/>
  <c r="O39" i="8"/>
  <c r="D39" i="8"/>
  <c r="Y24" i="42"/>
  <c r="D24" i="42"/>
  <c r="G376" i="32"/>
  <c r="E28" i="5"/>
  <c r="G28" i="5"/>
  <c r="Q50" i="5"/>
  <c r="R50" i="5"/>
  <c r="O38" i="5"/>
  <c r="N25" i="8"/>
  <c r="K2" i="29"/>
  <c r="U26" i="42"/>
  <c r="AL36" i="42"/>
  <c r="K36" i="42"/>
  <c r="I36" i="42"/>
  <c r="AG36" i="42"/>
  <c r="AD36" i="42"/>
  <c r="E36" i="42"/>
  <c r="R36" i="42"/>
  <c r="AA36" i="42"/>
  <c r="O36" i="42"/>
  <c r="S36" i="42"/>
  <c r="D36" i="42"/>
  <c r="AI36" i="42"/>
  <c r="M36" i="42"/>
  <c r="H36" i="42"/>
  <c r="T36" i="42"/>
  <c r="AN36" i="42"/>
  <c r="P36" i="42"/>
  <c r="V36" i="42"/>
  <c r="X36" i="42"/>
  <c r="Q36" i="42"/>
  <c r="AB36" i="42"/>
  <c r="W36" i="42"/>
  <c r="N48" i="42"/>
  <c r="L48" i="42"/>
  <c r="Y48" i="42"/>
  <c r="O48" i="42"/>
  <c r="M48" i="42"/>
  <c r="D48" i="42"/>
  <c r="P48" i="42"/>
  <c r="I48" i="42"/>
  <c r="AI48" i="42"/>
  <c r="AF48" i="42"/>
  <c r="C48" i="42"/>
  <c r="V48" i="42"/>
  <c r="G48" i="42"/>
  <c r="AA48" i="42"/>
  <c r="AH48" i="42"/>
  <c r="AD48" i="42"/>
  <c r="F48" i="42"/>
  <c r="Z48" i="42"/>
  <c r="AM48" i="42"/>
  <c r="J48" i="42"/>
  <c r="AN48" i="42"/>
  <c r="W48" i="42"/>
  <c r="K48" i="42"/>
  <c r="X48" i="42"/>
  <c r="AG48" i="42"/>
  <c r="Q48" i="42"/>
  <c r="AD72" i="42"/>
  <c r="AL72" i="42"/>
  <c r="I72" i="42"/>
  <c r="Z72" i="42"/>
  <c r="C72" i="42"/>
  <c r="K72" i="42"/>
  <c r="O72" i="42"/>
  <c r="AA72" i="42"/>
  <c r="M72" i="42"/>
  <c r="Y72" i="42"/>
  <c r="AE72" i="42"/>
  <c r="AF72" i="42"/>
  <c r="AN72" i="42"/>
  <c r="AH72" i="42"/>
  <c r="J72" i="42"/>
  <c r="G72" i="42"/>
  <c r="AG72" i="42"/>
  <c r="D72" i="42"/>
  <c r="AB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M50" i="5"/>
  <c r="I50" i="5"/>
  <c r="F38" i="5"/>
  <c r="P25" i="8"/>
  <c r="K25" i="8"/>
  <c r="BG80" i="4"/>
  <c r="AH80" i="4"/>
  <c r="BN80" i="4"/>
  <c r="BQ80" i="4"/>
  <c r="T48" i="42"/>
  <c r="H72" i="42"/>
  <c r="AB48" i="42"/>
  <c r="N36" i="42"/>
  <c r="U14" i="42"/>
  <c r="M14" i="42"/>
  <c r="D14" i="42"/>
  <c r="M28" i="5"/>
  <c r="T50" i="5"/>
  <c r="E38" i="5"/>
  <c r="J38" i="5"/>
  <c r="V25" i="8"/>
  <c r="O25" i="8"/>
  <c r="BT80" i="4"/>
  <c r="V50" i="5"/>
  <c r="I38" i="5"/>
  <c r="V38" i="5"/>
  <c r="R25" i="8"/>
  <c r="CJ80" i="4"/>
  <c r="F80" i="4"/>
  <c r="AM72" i="42"/>
  <c r="C36" i="42"/>
  <c r="E50" i="5"/>
  <c r="L38" i="5"/>
  <c r="B37" i="5"/>
  <c r="U25" i="8"/>
  <c r="AK80" i="4"/>
  <c r="CL80" i="4"/>
  <c r="F60" i="42"/>
  <c r="H48" i="42"/>
  <c r="L36" i="42"/>
  <c r="O28" i="5"/>
  <c r="R28" i="5"/>
  <c r="U50" i="5"/>
  <c r="K38" i="5"/>
  <c r="S38" i="5"/>
  <c r="I25" i="8"/>
  <c r="AU38" i="5"/>
  <c r="AF80" i="4"/>
  <c r="BC80" i="4"/>
  <c r="BX80" i="4"/>
  <c r="AE36" i="42"/>
  <c r="T26" i="42"/>
  <c r="K50" i="5"/>
  <c r="R38" i="5"/>
  <c r="Q38" i="5"/>
  <c r="AU50" i="5"/>
  <c r="Q80" i="4"/>
  <c r="BZ80" i="4"/>
  <c r="V72" i="42"/>
  <c r="I28" i="5"/>
  <c r="N28" i="5"/>
  <c r="K28" i="5"/>
  <c r="J28" i="5"/>
  <c r="H50" i="5"/>
  <c r="L50" i="5"/>
  <c r="P38" i="5"/>
  <c r="E25" i="8"/>
  <c r="Z25" i="8"/>
  <c r="AE48" i="42"/>
  <c r="G36" i="42"/>
  <c r="H26" i="42"/>
  <c r="D26" i="42"/>
  <c r="E26" i="42"/>
  <c r="V26" i="42"/>
  <c r="I26" i="42"/>
  <c r="AG26" i="42"/>
  <c r="Z26" i="42"/>
  <c r="AB26" i="42"/>
  <c r="S26" i="42"/>
  <c r="K26" i="42"/>
  <c r="AH26" i="42"/>
  <c r="C26" i="42"/>
  <c r="AL26" i="42"/>
  <c r="AI26" i="42"/>
  <c r="Y26" i="42"/>
  <c r="M26" i="42"/>
  <c r="N26" i="42" s="1"/>
  <c r="S28" i="5"/>
  <c r="P28" i="5"/>
  <c r="B49" i="5"/>
  <c r="N50" i="5"/>
  <c r="H38" i="5"/>
  <c r="N38" i="5"/>
  <c r="F36" i="42"/>
  <c r="AM36" i="42"/>
  <c r="J36" i="42"/>
  <c r="R72" i="42"/>
  <c r="W72" i="42"/>
  <c r="X26" i="42"/>
  <c r="B27" i="5"/>
  <c r="F28" i="5"/>
  <c r="J50" i="5"/>
  <c r="M38" i="5"/>
  <c r="AM80" i="4"/>
  <c r="BB80" i="4"/>
  <c r="K80" i="4"/>
  <c r="U72" i="42"/>
  <c r="E48" i="42"/>
  <c r="R48" i="42"/>
  <c r="AF26" i="42"/>
  <c r="P66" i="42"/>
  <c r="X31" i="42"/>
  <c r="CX86" i="4"/>
  <c r="CC86" i="4"/>
  <c r="K42" i="42"/>
  <c r="R66" i="42"/>
  <c r="D66" i="42"/>
  <c r="V66" i="42"/>
  <c r="W54" i="42"/>
  <c r="R54" i="42"/>
  <c r="AM54" i="42"/>
  <c r="G16" i="42"/>
  <c r="AA16" i="42"/>
  <c r="BM86" i="4"/>
  <c r="K38" i="42"/>
  <c r="AM38" i="42"/>
  <c r="AD38" i="42"/>
  <c r="E74" i="42"/>
  <c r="M38" i="42"/>
  <c r="M74" i="42"/>
  <c r="J38" i="42"/>
  <c r="AL62" i="42"/>
  <c r="U38" i="42"/>
  <c r="Z50" i="42"/>
  <c r="AG38" i="42"/>
  <c r="X27" i="42"/>
  <c r="U86" i="4"/>
  <c r="AV86" i="4"/>
  <c r="AP86" i="4"/>
  <c r="M37" i="42"/>
  <c r="E60" i="6"/>
  <c r="F60" i="6"/>
  <c r="E48" i="6"/>
  <c r="F48" i="6"/>
  <c r="C35" i="35"/>
  <c r="E36" i="6"/>
  <c r="F36" i="6"/>
  <c r="C23" i="35"/>
  <c r="AI31" i="42"/>
  <c r="CM86" i="4"/>
  <c r="CD86" i="4"/>
  <c r="S42" i="42"/>
  <c r="AL66" i="42"/>
  <c r="I66" i="42"/>
  <c r="Z54" i="42"/>
  <c r="G54" i="42"/>
  <c r="E16" i="42"/>
  <c r="BN86" i="4"/>
  <c r="C74" i="42"/>
  <c r="AM62" i="42"/>
  <c r="Y38" i="42"/>
  <c r="N62" i="42"/>
  <c r="O62" i="42"/>
  <c r="V38" i="42"/>
  <c r="G62" i="42"/>
  <c r="AF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W31" i="42"/>
  <c r="BU86" i="4"/>
  <c r="CN86" i="4"/>
  <c r="BS86" i="4"/>
  <c r="G66" i="42"/>
  <c r="M66" i="42"/>
  <c r="H54" i="42"/>
  <c r="U54" i="42"/>
  <c r="S16" i="42"/>
  <c r="K16" i="42"/>
  <c r="BD86" i="4"/>
  <c r="AA38" i="42"/>
  <c r="X74" i="42"/>
  <c r="R74" i="42"/>
  <c r="V50" i="42"/>
  <c r="O74" i="42"/>
  <c r="AI62" i="42"/>
  <c r="AG74" i="42"/>
  <c r="M62" i="42"/>
  <c r="AF74" i="42"/>
  <c r="AF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I66" i="42"/>
  <c r="S66" i="42"/>
  <c r="D54" i="42"/>
  <c r="V54" i="42"/>
  <c r="X54" i="42"/>
  <c r="Z16" i="42"/>
  <c r="BB86" i="4"/>
  <c r="X62" i="42"/>
  <c r="AF38" i="42"/>
  <c r="AA74" i="42"/>
  <c r="P74" i="42"/>
  <c r="I27" i="42"/>
  <c r="AI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G66" i="42"/>
  <c r="E54" i="42"/>
  <c r="K66" i="42"/>
  <c r="Q66" i="42"/>
  <c r="N66" i="42"/>
  <c r="AL54" i="42"/>
  <c r="Y54" i="42"/>
  <c r="T16" i="42"/>
  <c r="AE16" i="42"/>
  <c r="BF86" i="4"/>
  <c r="BG86" i="4"/>
  <c r="H27" i="42"/>
  <c r="T62" i="42"/>
  <c r="AD62" i="42"/>
  <c r="S38" i="42"/>
  <c r="Q62" i="42"/>
  <c r="I74" i="42"/>
  <c r="G27" i="42"/>
  <c r="AI27" i="42"/>
  <c r="AE38" i="42"/>
  <c r="AD74" i="42"/>
  <c r="F62" i="42"/>
  <c r="W38" i="42"/>
  <c r="AO86" i="4"/>
  <c r="AN86" i="4"/>
  <c r="S86" i="4"/>
  <c r="W86" i="4"/>
  <c r="C82" i="5"/>
  <c r="AE82" i="5" s="1"/>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29" i="6" s="1"/>
  <c r="CK86" i="4"/>
  <c r="CA86" i="4"/>
  <c r="CF86" i="4"/>
  <c r="J21" i="42"/>
  <c r="AN78" i="42"/>
  <c r="C66" i="42"/>
  <c r="J66" i="42"/>
  <c r="AA66" i="42"/>
  <c r="M54" i="42"/>
  <c r="AA54" i="42"/>
  <c r="AD54" i="42"/>
  <c r="AL16" i="42"/>
  <c r="AG16" i="42"/>
  <c r="BH86" i="4"/>
  <c r="J62" i="42"/>
  <c r="K27" i="42"/>
  <c r="L38" i="42"/>
  <c r="M27" i="42"/>
  <c r="K62" i="42"/>
  <c r="P38" i="42"/>
  <c r="S27" i="42"/>
  <c r="T38" i="42"/>
  <c r="Q38" i="42"/>
  <c r="AN62" i="42"/>
  <c r="AL74" i="42"/>
  <c r="AB74" i="42"/>
  <c r="O38" i="42"/>
  <c r="X86" i="4"/>
  <c r="AI86" i="4"/>
  <c r="P86" i="4"/>
  <c r="T27" i="42"/>
  <c r="U27" i="42"/>
  <c r="CQ86" i="4"/>
  <c r="E64" i="6"/>
  <c r="F64" i="6"/>
  <c r="C64" i="6" s="1"/>
  <c r="E52" i="6"/>
  <c r="F52" i="6"/>
  <c r="C52" i="6" s="1"/>
  <c r="E40" i="6"/>
  <c r="F40" i="6"/>
  <c r="C40" i="6" s="1"/>
  <c r="E28" i="6"/>
  <c r="C27" i="35"/>
  <c r="F28" i="6"/>
  <c r="C28" i="6" s="1"/>
  <c r="CW86" i="4"/>
  <c r="BP86" i="4"/>
  <c r="CU86" i="4"/>
  <c r="Y78" i="42"/>
  <c r="L66" i="42"/>
  <c r="W66" i="42"/>
  <c r="X66" i="42"/>
  <c r="K54" i="42"/>
  <c r="AN54" i="42"/>
  <c r="AH54" i="42"/>
  <c r="AI16" i="42"/>
  <c r="D16" i="42"/>
  <c r="V16" i="42"/>
  <c r="BE86" i="4"/>
  <c r="AF27" i="42"/>
  <c r="S74" i="42"/>
  <c r="V74" i="42"/>
  <c r="I62" i="42"/>
  <c r="N38" i="42"/>
  <c r="E27" i="42"/>
  <c r="F27" i="42" s="1"/>
  <c r="R62" i="42"/>
  <c r="E62" i="42"/>
  <c r="AW86" i="4"/>
  <c r="Y86" i="4"/>
  <c r="AD86" i="4"/>
  <c r="I86" i="4"/>
  <c r="O49" i="42"/>
  <c r="CR86" i="4"/>
  <c r="E63" i="6"/>
  <c r="F63" i="6"/>
  <c r="C63" i="6" s="1"/>
  <c r="E51" i="6"/>
  <c r="F51" i="6"/>
  <c r="C51" i="6" s="1"/>
  <c r="E39" i="6"/>
  <c r="F39" i="6"/>
  <c r="C39" i="6" s="1"/>
  <c r="E27" i="6"/>
  <c r="C26" i="35"/>
  <c r="F27" i="6"/>
  <c r="C27" i="6" s="1"/>
  <c r="BW86" i="4"/>
  <c r="CB86" i="4"/>
  <c r="BI86" i="4"/>
  <c r="K78" i="42"/>
  <c r="AE66" i="42"/>
  <c r="T66" i="42"/>
  <c r="E66" i="42"/>
  <c r="F54" i="42"/>
  <c r="C54" i="42"/>
  <c r="N54" i="42"/>
  <c r="AB16" i="42"/>
  <c r="AH16" i="42"/>
  <c r="U16" i="42"/>
  <c r="BK86" i="4"/>
  <c r="L74" i="42"/>
  <c r="AG27" i="42"/>
  <c r="N74" i="42"/>
  <c r="L27" i="42"/>
  <c r="P27" i="42" s="1"/>
  <c r="G38" i="42"/>
  <c r="J74" i="42"/>
  <c r="S62" i="42"/>
  <c r="AE62" i="42"/>
  <c r="AI74" i="42"/>
  <c r="C86" i="4"/>
  <c r="V27" i="42"/>
  <c r="AU86" i="4"/>
  <c r="K86" i="4"/>
  <c r="BA86" i="4"/>
  <c r="E332" i="32"/>
  <c r="F331" i="32" s="1"/>
  <c r="E62" i="6"/>
  <c r="F62" i="6"/>
  <c r="D62" i="6" s="1"/>
  <c r="E50" i="6"/>
  <c r="F50" i="6"/>
  <c r="C50" i="6" s="1"/>
  <c r="E38" i="6"/>
  <c r="F38" i="6"/>
  <c r="C38" i="6" s="1"/>
  <c r="C25" i="35"/>
  <c r="E26" i="6"/>
  <c r="F26" i="6"/>
  <c r="AM66" i="42"/>
  <c r="CL86" i="4"/>
  <c r="BQ86" i="4"/>
  <c r="AN66" i="42"/>
  <c r="AH66" i="42"/>
  <c r="P54" i="42"/>
  <c r="AG54" i="42"/>
  <c r="I54" i="42"/>
  <c r="AF54" i="42"/>
  <c r="X16" i="42"/>
  <c r="AH38" i="42"/>
  <c r="E38" i="42"/>
  <c r="H74" i="42"/>
  <c r="AN74" i="42"/>
  <c r="I38" i="42"/>
  <c r="D38" i="42"/>
  <c r="Z38" i="42"/>
  <c r="AY86" i="4"/>
  <c r="AB86" i="4"/>
  <c r="AG62" i="42"/>
  <c r="U37" i="42"/>
  <c r="E61" i="6"/>
  <c r="F61" i="6"/>
  <c r="C61" i="6" s="1"/>
  <c r="E49" i="6"/>
  <c r="F49" i="6"/>
  <c r="C49" i="6" s="1"/>
  <c r="E37" i="6"/>
  <c r="F37" i="6"/>
  <c r="C37" i="6" s="1"/>
  <c r="C24" i="35"/>
  <c r="E25" i="6"/>
  <c r="F25" i="6"/>
  <c r="D21" i="8"/>
  <c r="Q21" i="5"/>
  <c r="H21" i="5"/>
  <c r="AT21" i="5" s="1"/>
  <c r="AQ25" i="4"/>
  <c r="AW25" i="4" s="1"/>
  <c r="AR25" i="4"/>
  <c r="AX25" i="4" s="1"/>
  <c r="AS25" i="4"/>
  <c r="AY25" i="4" s="1"/>
  <c r="O25" i="4"/>
  <c r="Q25" i="4" s="1"/>
  <c r="BL25" i="4"/>
  <c r="BN25" i="4" s="1"/>
  <c r="D19" i="33"/>
  <c r="M19" i="33" s="1"/>
  <c r="AN21" i="42"/>
  <c r="Q21" i="42"/>
  <c r="P21" i="42"/>
  <c r="I16" i="5"/>
  <c r="E20" i="5"/>
  <c r="I14" i="5"/>
  <c r="AK14" i="5"/>
  <c r="J16" i="5"/>
  <c r="P20" i="5"/>
  <c r="AG14" i="42"/>
  <c r="AF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T29" i="8"/>
  <c r="C12" i="33"/>
  <c r="G14" i="8"/>
  <c r="H37" i="5"/>
  <c r="AB57" i="8"/>
  <c r="U57" i="8"/>
  <c r="S61" i="5"/>
  <c r="S56" i="8"/>
  <c r="J46" i="5"/>
  <c r="M46" i="5"/>
  <c r="S46" i="5"/>
  <c r="AN2" i="24"/>
  <c r="H46" i="8"/>
  <c r="D29" i="8"/>
  <c r="U56" i="8"/>
  <c r="Y56" i="8"/>
  <c r="X56" i="8"/>
  <c r="H57" i="8"/>
  <c r="O77" i="4"/>
  <c r="AD53" i="42"/>
  <c r="P53" i="42"/>
  <c r="T31" i="42"/>
  <c r="AL31" i="42"/>
  <c r="S31" i="42"/>
  <c r="CF77" i="4"/>
  <c r="CM77" i="4"/>
  <c r="Q42" i="42"/>
  <c r="C42" i="42"/>
  <c r="O42" i="42"/>
  <c r="AI64" i="42"/>
  <c r="J64" i="42"/>
  <c r="D64" i="42"/>
  <c r="BF77" i="4"/>
  <c r="AN77" i="4"/>
  <c r="N77" i="4"/>
  <c r="AB77" i="4"/>
  <c r="V75" i="42"/>
  <c r="O75" i="42"/>
  <c r="C75" i="42"/>
  <c r="L72" i="42"/>
  <c r="O37" i="42"/>
  <c r="CP77" i="4"/>
  <c r="S43" i="5"/>
  <c r="AA18" i="8"/>
  <c r="N55" i="5"/>
  <c r="M76" i="5"/>
  <c r="Q53" i="8"/>
  <c r="AD53" i="8"/>
  <c r="AB53" i="8"/>
  <c r="F50" i="8"/>
  <c r="D50" i="8"/>
  <c r="E51" i="8"/>
  <c r="J51" i="8"/>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G75" i="42"/>
  <c r="BE77" i="4"/>
  <c r="F27" i="5"/>
  <c r="P54" i="5"/>
  <c r="AD29" i="8"/>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I42" i="42"/>
  <c r="H42" i="42"/>
  <c r="AL42" i="42"/>
  <c r="O64" i="42"/>
  <c r="Z53" i="42"/>
  <c r="G64" i="42"/>
  <c r="AG64" i="42"/>
  <c r="AG77" i="4"/>
  <c r="AR77" i="4"/>
  <c r="P77" i="4"/>
  <c r="BA77" i="4"/>
  <c r="K75" i="42"/>
  <c r="E75" i="42"/>
  <c r="U60" i="42"/>
  <c r="AL48" i="42"/>
  <c r="T37" i="42"/>
  <c r="AG37" i="42"/>
  <c r="K77" i="4"/>
  <c r="E77" i="4"/>
  <c r="AA51" i="8"/>
  <c r="W53" i="8"/>
  <c r="Y53" i="8"/>
  <c r="J50" i="8"/>
  <c r="P50" i="8"/>
  <c r="AD51" i="8"/>
  <c r="Z51" i="8"/>
  <c r="P27" i="5"/>
  <c r="N27" i="5"/>
  <c r="V43" i="5"/>
  <c r="Z18" i="8"/>
  <c r="O18" i="8"/>
  <c r="I18" i="8"/>
  <c r="V54" i="5"/>
  <c r="U55" i="5"/>
  <c r="P46" i="5"/>
  <c r="M37" i="5"/>
  <c r="W57" i="8"/>
  <c r="H14" i="8"/>
  <c r="L37" i="5"/>
  <c r="AD56" i="8"/>
  <c r="W46" i="8"/>
  <c r="AB46" i="8"/>
  <c r="I46" i="5"/>
  <c r="I2" i="26"/>
  <c r="I2" i="23"/>
  <c r="Z46" i="8"/>
  <c r="N29" i="8"/>
  <c r="AB29" i="8"/>
  <c r="F56" i="8"/>
  <c r="E56" i="8"/>
  <c r="J57" i="8"/>
  <c r="D57" i="8"/>
  <c r="R46" i="5"/>
  <c r="C53" i="42"/>
  <c r="AF31" i="42"/>
  <c r="J31" i="42"/>
  <c r="O31" i="42"/>
  <c r="CJ77" i="4"/>
  <c r="BZ77" i="4"/>
  <c r="AG42" i="42"/>
  <c r="L42" i="42"/>
  <c r="AE42" i="42"/>
  <c r="Q53" i="42"/>
  <c r="W64" i="42"/>
  <c r="AL64" i="42"/>
  <c r="AI77" i="4"/>
  <c r="AA77" i="4"/>
  <c r="Z77" i="4"/>
  <c r="Y77" i="4"/>
  <c r="J75" i="42"/>
  <c r="I75" i="42"/>
  <c r="L75" i="42"/>
  <c r="AM75" i="42"/>
  <c r="W75" i="42"/>
  <c r="AD37" i="42"/>
  <c r="U51" i="8"/>
  <c r="M53" i="8"/>
  <c r="X53" i="8"/>
  <c r="G50" i="8"/>
  <c r="W50" i="8"/>
  <c r="L51" i="8"/>
  <c r="Q51" i="8"/>
  <c r="E27" i="5"/>
  <c r="J27" i="5"/>
  <c r="E43" i="5"/>
  <c r="J43" i="5"/>
  <c r="AD18" i="8"/>
  <c r="T18" i="8"/>
  <c r="N18" i="8"/>
  <c r="T54" i="5"/>
  <c r="N14" i="8"/>
  <c r="S55" i="5"/>
  <c r="P55" i="5"/>
  <c r="X14" i="8"/>
  <c r="B36" i="5"/>
  <c r="F57" i="8"/>
  <c r="L61" i="5"/>
  <c r="F37" i="5"/>
  <c r="I46" i="8"/>
  <c r="V46" i="5"/>
  <c r="B45" i="5"/>
  <c r="T46" i="8"/>
  <c r="Y46" i="8"/>
  <c r="U29" i="8"/>
  <c r="L29" i="8"/>
  <c r="V56" i="8"/>
  <c r="G57" i="8"/>
  <c r="V57" i="8"/>
  <c r="AU61" i="5"/>
  <c r="AU37" i="5"/>
  <c r="BB77" i="4"/>
  <c r="G53" i="42"/>
  <c r="W53" i="42"/>
  <c r="Y31" i="42"/>
  <c r="AB31" i="42"/>
  <c r="R31" i="42"/>
  <c r="CV77" i="4"/>
  <c r="CO77" i="4"/>
  <c r="G42" i="42"/>
  <c r="AH42" i="42"/>
  <c r="I42" i="42"/>
  <c r="AM42" i="42"/>
  <c r="E53" i="42"/>
  <c r="Z64" i="42"/>
  <c r="AB64" i="42"/>
  <c r="AT77" i="4"/>
  <c r="AJ77" i="4"/>
  <c r="AK77" i="4"/>
  <c r="H77" i="4"/>
  <c r="AA75" i="42"/>
  <c r="AH75" i="42"/>
  <c r="R46" i="8"/>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AA57" i="8"/>
  <c r="S57" i="8"/>
  <c r="S37" i="5"/>
  <c r="BD77" i="4"/>
  <c r="X53" i="42"/>
  <c r="AI53" i="42"/>
  <c r="AE53" i="42"/>
  <c r="AB53" i="42"/>
  <c r="AH31" i="42"/>
  <c r="G31" i="42"/>
  <c r="BR77" i="4"/>
  <c r="BV77" i="4"/>
  <c r="BO77" i="4"/>
  <c r="Z42" i="42"/>
  <c r="P42" i="42"/>
  <c r="R42" i="42"/>
  <c r="V42" i="42"/>
  <c r="Y42" i="42"/>
  <c r="K64" i="42"/>
  <c r="L64" i="42"/>
  <c r="AL77" i="4"/>
  <c r="R77" i="4"/>
  <c r="AQ77" i="4"/>
  <c r="C73" i="5"/>
  <c r="M77" i="4"/>
  <c r="T75" i="42"/>
  <c r="U75" i="42"/>
  <c r="M75" i="42"/>
  <c r="H75" i="42"/>
  <c r="N75" i="42"/>
  <c r="I77" i="4"/>
  <c r="V77" i="4"/>
  <c r="S48" i="42"/>
  <c r="N43" i="5"/>
  <c r="V29" i="8"/>
  <c r="V46" i="8"/>
  <c r="P53" i="8"/>
  <c r="J53" i="8"/>
  <c r="X50" i="8"/>
  <c r="AC50" i="8"/>
  <c r="E50" i="8"/>
  <c r="G51" i="8"/>
  <c r="AB51" i="8"/>
  <c r="U27" i="5"/>
  <c r="M43" i="5"/>
  <c r="H18" i="8"/>
  <c r="S18" i="8"/>
  <c r="F54" i="5"/>
  <c r="S54" i="5"/>
  <c r="E14" i="8"/>
  <c r="R55" i="5"/>
  <c r="J37" i="5"/>
  <c r="I2" i="28"/>
  <c r="F14" i="8"/>
  <c r="R37" i="5"/>
  <c r="O37" i="5"/>
  <c r="I14" i="8"/>
  <c r="AD57" i="8"/>
  <c r="L46" i="8"/>
  <c r="O46" i="8"/>
  <c r="Z29" i="8"/>
  <c r="I56" i="8"/>
  <c r="T56" i="8"/>
  <c r="Q57" i="8"/>
  <c r="V53" i="42"/>
  <c r="Y53" i="42"/>
  <c r="U53" i="42"/>
  <c r="F53" i="42"/>
  <c r="AE31" i="42"/>
  <c r="N31" i="42"/>
  <c r="P31" i="42"/>
  <c r="E31" i="42"/>
  <c r="CD77" i="4"/>
  <c r="CK77" i="4"/>
  <c r="CA77" i="4"/>
  <c r="F42" i="42"/>
  <c r="AF42" i="42"/>
  <c r="P64" i="42"/>
  <c r="S64" i="42"/>
  <c r="X64" i="42"/>
  <c r="AW77" i="4"/>
  <c r="AV77" i="4"/>
  <c r="AU77" i="4"/>
  <c r="AS77" i="4"/>
  <c r="AO77" i="4"/>
  <c r="E64" i="42"/>
  <c r="X75" i="42"/>
  <c r="U54" i="5"/>
  <c r="Q46" i="8"/>
  <c r="U53" i="8"/>
  <c r="G53" i="8"/>
  <c r="Y50" i="8"/>
  <c r="S50" i="8"/>
  <c r="AB50" i="8"/>
  <c r="S51" i="8"/>
  <c r="R27" i="5"/>
  <c r="K27" i="5"/>
  <c r="B42" i="5"/>
  <c r="C16" i="33"/>
  <c r="V18" i="8"/>
  <c r="O54" i="5"/>
  <c r="N54" i="5"/>
  <c r="L14" i="8"/>
  <c r="Q55" i="5"/>
  <c r="T55" i="5"/>
  <c r="P37" i="5"/>
  <c r="U14" i="8"/>
  <c r="E61" i="5"/>
  <c r="N56" i="8"/>
  <c r="N46" i="5"/>
  <c r="M46" i="8"/>
  <c r="K2" i="27"/>
  <c r="W29" i="8"/>
  <c r="S29" i="8"/>
  <c r="W56" i="8"/>
  <c r="AA56" i="8"/>
  <c r="P57" i="8"/>
  <c r="O29" i="8"/>
  <c r="AU43" i="5"/>
  <c r="R53" i="42"/>
  <c r="AF53" i="42"/>
  <c r="AH53" i="42"/>
  <c r="I31" i="42"/>
  <c r="F31" i="42"/>
  <c r="L31" i="42"/>
  <c r="CS77" i="4"/>
  <c r="CW77" i="4"/>
  <c r="BP77" i="4"/>
  <c r="AB42" i="42"/>
  <c r="W42" i="42"/>
  <c r="T42" i="42"/>
  <c r="Y64" i="42"/>
  <c r="AA64" i="42"/>
  <c r="F64" i="42"/>
  <c r="D77" i="4"/>
  <c r="BH77" i="4"/>
  <c r="AY77" i="4"/>
  <c r="C77" i="4"/>
  <c r="P75" i="42"/>
  <c r="AF75" i="42"/>
  <c r="U48" i="42"/>
  <c r="K29" i="8"/>
  <c r="Z53" i="8"/>
  <c r="O53" i="8"/>
  <c r="M50" i="8"/>
  <c r="N50" i="8"/>
  <c r="L50" i="8"/>
  <c r="P51" i="8"/>
  <c r="N51" i="8"/>
  <c r="K51" i="8"/>
  <c r="B26" i="5"/>
  <c r="K43" i="5"/>
  <c r="X18" i="8"/>
  <c r="W18" i="8"/>
  <c r="M54" i="5"/>
  <c r="I54" i="5"/>
  <c r="AA14" i="8"/>
  <c r="B54" i="5"/>
  <c r="Y14" i="8"/>
  <c r="D56" i="8"/>
  <c r="T46" i="5"/>
  <c r="E46" i="8"/>
  <c r="U46" i="8"/>
  <c r="AD46" i="8"/>
  <c r="P29" i="8"/>
  <c r="I29" i="8"/>
  <c r="K56" i="8"/>
  <c r="O57" i="8"/>
  <c r="M57" i="8"/>
  <c r="X57" i="8"/>
  <c r="S46" i="8"/>
  <c r="N53" i="42"/>
  <c r="Q31" i="42"/>
  <c r="U31" i="42"/>
  <c r="AD31" i="42"/>
  <c r="H31" i="42"/>
  <c r="BI77" i="4"/>
  <c r="BS77" i="4"/>
  <c r="BW77" i="4"/>
  <c r="CB77" i="4"/>
  <c r="D42" i="42"/>
  <c r="E42" i="42"/>
  <c r="AN42" i="42"/>
  <c r="Q64" i="42"/>
  <c r="R64" i="42"/>
  <c r="AX77" i="4"/>
  <c r="BM77" i="4"/>
  <c r="BN77" i="4"/>
  <c r="Q77" i="4"/>
  <c r="S77" i="4"/>
  <c r="AE75" i="42"/>
  <c r="AI75" i="42"/>
  <c r="AL75" i="42"/>
  <c r="D75" i="42"/>
  <c r="AB75" i="42"/>
  <c r="AD75" i="42"/>
  <c r="AM77" i="4"/>
  <c r="H53" i="8"/>
  <c r="V50" i="8"/>
  <c r="Q50" i="8"/>
  <c r="AC51" i="8"/>
  <c r="R51" i="8"/>
  <c r="Y18" i="8"/>
  <c r="H54" i="5"/>
  <c r="X29" i="8"/>
  <c r="P14" i="8"/>
  <c r="J55" i="5"/>
  <c r="G61" i="5"/>
  <c r="AB14" i="8"/>
  <c r="AC14" i="8"/>
  <c r="Z14" i="8"/>
  <c r="Q56" i="8"/>
  <c r="P46" i="8"/>
  <c r="R29" i="8"/>
  <c r="Y29" i="8"/>
  <c r="R56" i="8"/>
  <c r="AC46" i="8"/>
  <c r="J53" i="42"/>
  <c r="L53" i="42"/>
  <c r="AN53" i="42"/>
  <c r="AA31" i="42"/>
  <c r="AM31" i="42"/>
  <c r="CE77" i="4"/>
  <c r="CL77" i="4"/>
  <c r="BQ77" i="4"/>
  <c r="AA42" i="42"/>
  <c r="AD42" i="42"/>
  <c r="M64" i="42"/>
  <c r="AN64" i="42"/>
  <c r="AE64" i="42"/>
  <c r="AE77" i="4"/>
  <c r="U77" i="4"/>
  <c r="F75" i="42"/>
  <c r="AN75" i="42"/>
  <c r="R75" i="42"/>
  <c r="Z75" i="42"/>
  <c r="Q75" i="42"/>
  <c r="F77" i="4"/>
  <c r="G332" i="32"/>
  <c r="H330" i="32" s="1"/>
  <c r="AI72" i="42"/>
  <c r="G324" i="32"/>
  <c r="H321" i="32" s="1"/>
  <c r="AR24" i="4"/>
  <c r="AX24" i="4" s="1"/>
  <c r="AS24" i="4"/>
  <c r="AY24" i="4" s="1"/>
  <c r="AQ24" i="4"/>
  <c r="AW24" i="4" s="1"/>
  <c r="BL24" i="4"/>
  <c r="BN24" i="4" s="1"/>
  <c r="O24" i="4"/>
  <c r="Q24" i="4" s="1"/>
  <c r="X15" i="8"/>
  <c r="AC15" i="8"/>
  <c r="AA15" i="42"/>
  <c r="R15" i="8"/>
  <c r="G15" i="8"/>
  <c r="G15" i="42"/>
  <c r="O15" i="42" s="1"/>
  <c r="Y15" i="8"/>
  <c r="N15" i="8"/>
  <c r="L15" i="8"/>
  <c r="AB15" i="42"/>
  <c r="F15" i="42"/>
  <c r="AE15" i="42"/>
  <c r="S15" i="8"/>
  <c r="M15" i="8"/>
  <c r="AB15" i="8"/>
  <c r="W15" i="8"/>
  <c r="E15" i="8"/>
  <c r="C13" i="33"/>
  <c r="T15" i="8"/>
  <c r="I15" i="42"/>
  <c r="Q15" i="42" s="1"/>
  <c r="AH15" i="42"/>
  <c r="Z15" i="8"/>
  <c r="I15" i="8"/>
  <c r="K15" i="8"/>
  <c r="Y15" i="42"/>
  <c r="O15" i="8"/>
  <c r="U15" i="8"/>
  <c r="J15" i="8"/>
  <c r="F15" i="8"/>
  <c r="AA15" i="8"/>
  <c r="AD15" i="8"/>
  <c r="U15" i="42"/>
  <c r="W15" i="42" s="1"/>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F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F5" i="42"/>
  <c r="C13" i="42"/>
  <c r="AL13" i="42"/>
  <c r="AG13" i="42"/>
  <c r="K13" i="42"/>
  <c r="AA13" i="42"/>
  <c r="L13" i="42"/>
  <c r="AE13" i="42"/>
  <c r="G13" i="42"/>
  <c r="H13" i="42"/>
  <c r="E13" i="42"/>
  <c r="M13" i="42"/>
  <c r="V13" i="42"/>
  <c r="T13" i="42"/>
  <c r="AH13" i="42"/>
  <c r="X13" i="42"/>
  <c r="AI13" i="42"/>
  <c r="Y13" i="42"/>
  <c r="S13" i="42"/>
  <c r="I13" i="42"/>
  <c r="J13" i="34"/>
  <c r="O66" i="5"/>
  <c r="V66" i="5"/>
  <c r="B52" i="5"/>
  <c r="J61" i="8"/>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C31" i="33" s="1"/>
  <c r="AJ37" i="4"/>
  <c r="S37" i="4"/>
  <c r="AD37" i="4"/>
  <c r="AF37" i="4"/>
  <c r="AX37" i="4"/>
  <c r="AY37" i="4"/>
  <c r="Y37" i="4"/>
  <c r="C37" i="4"/>
  <c r="D30" i="34" s="1"/>
  <c r="AC37" i="4"/>
  <c r="N37" i="4"/>
  <c r="AT37" i="4"/>
  <c r="AQ37" i="4"/>
  <c r="BK37" i="4"/>
  <c r="AA37" i="4"/>
  <c r="AE37" i="4"/>
  <c r="C33" i="5"/>
  <c r="AO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U61" i="8"/>
  <c r="H29" i="42"/>
  <c r="CO27" i="4"/>
  <c r="BH27" i="4"/>
  <c r="C71" i="42"/>
  <c r="D63" i="42"/>
  <c r="E63" i="42"/>
  <c r="M66" i="5"/>
  <c r="J66" i="5"/>
  <c r="L53" i="5"/>
  <c r="Q53" i="5"/>
  <c r="F61" i="8"/>
  <c r="L61" i="8"/>
  <c r="BS27" i="4"/>
  <c r="BT27" i="4"/>
  <c r="BO27" i="4"/>
  <c r="T73" i="42"/>
  <c r="G73" i="42"/>
  <c r="AA46" i="4"/>
  <c r="BJ46" i="4"/>
  <c r="Z46" i="4"/>
  <c r="CR46" i="4"/>
  <c r="CQ46" i="4"/>
  <c r="CP46" i="4"/>
  <c r="R46" i="4"/>
  <c r="AM46" i="4"/>
  <c r="C42" i="5"/>
  <c r="AM42" i="5" s="1"/>
  <c r="B42" i="8"/>
  <c r="J42" i="8" s="1"/>
  <c r="B31" i="8"/>
  <c r="C29" i="33" s="1"/>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D61" i="42"/>
  <c r="X61" i="42"/>
  <c r="U61" i="42"/>
  <c r="R61" i="42"/>
  <c r="N61" i="42"/>
  <c r="AN61" i="42"/>
  <c r="AE61" i="42"/>
  <c r="AB61" i="42"/>
  <c r="Y61" i="42"/>
  <c r="O61" i="42"/>
  <c r="P61" i="42"/>
  <c r="AG61" i="42"/>
  <c r="F61" i="42"/>
  <c r="D61" i="42"/>
  <c r="J61" i="42"/>
  <c r="V61" i="42"/>
  <c r="Q61" i="42"/>
  <c r="AM61" i="42"/>
  <c r="I61" i="42"/>
  <c r="H61" i="42"/>
  <c r="AF61" i="42"/>
  <c r="AL61" i="42"/>
  <c r="K61" i="42"/>
  <c r="AH61" i="42"/>
  <c r="L61" i="42"/>
  <c r="M61" i="42"/>
  <c r="S61" i="42"/>
  <c r="S71" i="42"/>
  <c r="N71" i="42"/>
  <c r="AL71" i="42"/>
  <c r="T71" i="42"/>
  <c r="U71" i="42"/>
  <c r="O71" i="42"/>
  <c r="R71" i="42"/>
  <c r="F71" i="42"/>
  <c r="AI71" i="42"/>
  <c r="J71" i="42"/>
  <c r="Y71" i="42"/>
  <c r="AD71" i="42"/>
  <c r="Q71" i="42"/>
  <c r="AB71" i="42"/>
  <c r="D71" i="42"/>
  <c r="K71" i="42"/>
  <c r="G71" i="42"/>
  <c r="W71" i="42"/>
  <c r="AF71" i="42"/>
  <c r="AN71" i="42"/>
  <c r="AH71" i="42"/>
  <c r="E71" i="42"/>
  <c r="Z71" i="42"/>
  <c r="H71" i="42"/>
  <c r="P71" i="42"/>
  <c r="I71" i="42"/>
  <c r="AM71" i="42"/>
  <c r="K83" i="42"/>
  <c r="AH83" i="42"/>
  <c r="W83" i="42"/>
  <c r="R83" i="42"/>
  <c r="P83" i="42"/>
  <c r="AD83" i="42"/>
  <c r="Q83" i="42"/>
  <c r="AN83" i="42"/>
  <c r="O83" i="42"/>
  <c r="U83" i="42"/>
  <c r="I83" i="42"/>
  <c r="G83" i="42"/>
  <c r="AG83" i="42"/>
  <c r="S83" i="42"/>
  <c r="F83" i="42"/>
  <c r="AL83" i="42"/>
  <c r="C83" i="42"/>
  <c r="Z83" i="42"/>
  <c r="AB83" i="42"/>
  <c r="X83" i="42"/>
  <c r="E83" i="42"/>
  <c r="M83" i="42"/>
  <c r="T83" i="42"/>
  <c r="Y83" i="42"/>
  <c r="AA83" i="42"/>
  <c r="V83" i="42"/>
  <c r="D83" i="42"/>
  <c r="H83" i="42"/>
  <c r="J83" i="42"/>
  <c r="AM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H73" i="42"/>
  <c r="AL39" i="42"/>
  <c r="AF39" i="42"/>
  <c r="V39" i="42"/>
  <c r="AD39" i="42"/>
  <c r="C39" i="42"/>
  <c r="Q39" i="42"/>
  <c r="I39" i="42"/>
  <c r="M39" i="42"/>
  <c r="D39" i="42"/>
  <c r="Y39" i="42"/>
  <c r="AH39" i="42"/>
  <c r="H39" i="42"/>
  <c r="G39" i="42"/>
  <c r="F39" i="42"/>
  <c r="E39" i="42"/>
  <c r="K39" i="42"/>
  <c r="Z39" i="42"/>
  <c r="AB39" i="42"/>
  <c r="P39" i="42"/>
  <c r="AE39" i="42"/>
  <c r="X39" i="42"/>
  <c r="N39" i="42"/>
  <c r="T39" i="42"/>
  <c r="AG39" i="42"/>
  <c r="O39" i="42"/>
  <c r="J39" i="42"/>
  <c r="AI39" i="42"/>
  <c r="W39" i="42"/>
  <c r="U39" i="42"/>
  <c r="AA39" i="42"/>
  <c r="N50" i="42"/>
  <c r="T50" i="42"/>
  <c r="R50" i="42"/>
  <c r="Q50" i="42"/>
  <c r="AE50" i="42"/>
  <c r="W50" i="42"/>
  <c r="U50" i="42"/>
  <c r="K50" i="42"/>
  <c r="X50" i="42"/>
  <c r="AA50" i="42"/>
  <c r="H50" i="42"/>
  <c r="Y50" i="42"/>
  <c r="L50" i="42"/>
  <c r="D50" i="42"/>
  <c r="G50" i="42"/>
  <c r="P50" i="42"/>
  <c r="AH50" i="42"/>
  <c r="AB50" i="42"/>
  <c r="S50" i="42"/>
  <c r="AM50" i="42"/>
  <c r="AG50" i="42"/>
  <c r="AN50" i="42"/>
  <c r="AI50" i="42"/>
  <c r="J50" i="42"/>
  <c r="AD50" i="42"/>
  <c r="M50" i="42"/>
  <c r="AL50" i="42"/>
  <c r="F50" i="42"/>
  <c r="G55" i="4"/>
  <c r="Y55" i="4"/>
  <c r="CR55" i="4"/>
  <c r="J55" i="4"/>
  <c r="CP55" i="4"/>
  <c r="CQ44" i="4"/>
  <c r="AA44" i="4"/>
  <c r="CR44" i="4"/>
  <c r="CP44" i="4"/>
  <c r="U44" i="4"/>
  <c r="AK44" i="4"/>
  <c r="AX44" i="4"/>
  <c r="N61" i="8"/>
  <c r="P61" i="8"/>
  <c r="K61" i="8"/>
  <c r="V61" i="8"/>
  <c r="Q61" i="8"/>
  <c r="BA27" i="4"/>
  <c r="BW27" i="4"/>
  <c r="BV27" i="4"/>
  <c r="CB27" i="4"/>
  <c r="Z61" i="42"/>
  <c r="AE29" i="42"/>
  <c r="Y29" i="42"/>
  <c r="Q29" i="42"/>
  <c r="T29" i="42"/>
  <c r="AG63" i="42"/>
  <c r="V63" i="42"/>
  <c r="T63" i="42"/>
  <c r="AM63" i="42"/>
  <c r="Z63" i="42"/>
  <c r="U63" i="42"/>
  <c r="G63" i="42"/>
  <c r="X63" i="42"/>
  <c r="AE63" i="42"/>
  <c r="W63" i="42"/>
  <c r="AD63" i="42"/>
  <c r="I63" i="42"/>
  <c r="Q63" i="42"/>
  <c r="AB63" i="42"/>
  <c r="AF63" i="42"/>
  <c r="AN63" i="42"/>
  <c r="R63" i="42"/>
  <c r="K63" i="42"/>
  <c r="N63" i="42"/>
  <c r="H63" i="42"/>
  <c r="AH63" i="42"/>
  <c r="Y63" i="42"/>
  <c r="F63" i="42"/>
  <c r="M63" i="42"/>
  <c r="S63" i="42"/>
  <c r="AL63" i="42"/>
  <c r="L63" i="42"/>
  <c r="O63" i="42"/>
  <c r="AA63" i="42"/>
  <c r="P63" i="42"/>
  <c r="AN73" i="42"/>
  <c r="H73" i="42"/>
  <c r="U73" i="42"/>
  <c r="F73" i="42"/>
  <c r="W73" i="42"/>
  <c r="K73" i="42"/>
  <c r="X73" i="42"/>
  <c r="AL73" i="42"/>
  <c r="D73" i="42"/>
  <c r="AF73" i="42"/>
  <c r="S73" i="42"/>
  <c r="O73" i="42"/>
  <c r="AD73" i="42"/>
  <c r="Q73" i="42"/>
  <c r="Z73" i="42"/>
  <c r="P73" i="42"/>
  <c r="AI73" i="42"/>
  <c r="AB73" i="42"/>
  <c r="E73" i="42"/>
  <c r="L73" i="42"/>
  <c r="N73" i="42"/>
  <c r="C73" i="42"/>
  <c r="J73" i="42"/>
  <c r="V73" i="42"/>
  <c r="Y73" i="42"/>
  <c r="AG73" i="42"/>
  <c r="AM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AA61" i="8"/>
  <c r="F66" i="5"/>
  <c r="S53" i="5"/>
  <c r="AB61" i="8"/>
  <c r="AC61" i="8"/>
  <c r="T61" i="8"/>
  <c r="E61" i="8"/>
  <c r="AU74" i="5"/>
  <c r="BC27" i="4"/>
  <c r="BE27" i="4"/>
  <c r="CK27" i="4"/>
  <c r="BQ27" i="4"/>
  <c r="AG71" i="42"/>
  <c r="AE73" i="42"/>
  <c r="X71" i="42"/>
  <c r="O50" i="42"/>
  <c r="D41" i="42"/>
  <c r="X41" i="42"/>
  <c r="R41" i="42"/>
  <c r="Z52" i="42"/>
  <c r="R52" i="42"/>
  <c r="N52" i="42"/>
  <c r="AB52" i="42"/>
  <c r="J52" i="42"/>
  <c r="H52" i="42"/>
  <c r="T52" i="42"/>
  <c r="K52" i="42"/>
  <c r="L52" i="42"/>
  <c r="G52" i="42"/>
  <c r="D52" i="42"/>
  <c r="AH52" i="42"/>
  <c r="I52" i="42"/>
  <c r="AL52" i="42"/>
  <c r="S52" i="42"/>
  <c r="AA52" i="42"/>
  <c r="AM52" i="42"/>
  <c r="E52" i="42"/>
  <c r="F52" i="42"/>
  <c r="O52" i="42"/>
  <c r="U52" i="42"/>
  <c r="V52" i="42"/>
  <c r="Y52" i="42"/>
  <c r="AN52" i="42"/>
  <c r="M52" i="42"/>
  <c r="AI52" i="42"/>
  <c r="AD52" i="42"/>
  <c r="P52" i="42"/>
  <c r="AF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G29" i="42"/>
  <c r="CE27" i="4"/>
  <c r="CC27" i="4"/>
  <c r="BK27" i="4"/>
  <c r="AM39" i="42"/>
  <c r="AI83" i="42"/>
  <c r="AG20" i="42"/>
  <c r="S20" i="42"/>
  <c r="V20" i="42"/>
  <c r="AF20" i="42"/>
  <c r="T20" i="42"/>
  <c r="I20" i="42"/>
  <c r="Y20" i="42"/>
  <c r="E20" i="42"/>
  <c r="AE20" i="42"/>
  <c r="AA20" i="42"/>
  <c r="Z20" i="42"/>
  <c r="AB20" i="42"/>
  <c r="C20" i="42"/>
  <c r="AI20" i="42"/>
  <c r="H20" i="42"/>
  <c r="AH20" i="42"/>
  <c r="D20" i="42"/>
  <c r="M20" i="42"/>
  <c r="K20" i="42"/>
  <c r="X20" i="42"/>
  <c r="AL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S63" i="4"/>
  <c r="E63" i="4"/>
  <c r="AW63" i="4"/>
  <c r="U53" i="5"/>
  <c r="H66" i="5"/>
  <c r="K66" i="5"/>
  <c r="R53" i="5"/>
  <c r="V53" i="5"/>
  <c r="Z61" i="8"/>
  <c r="Y61" i="8"/>
  <c r="BM27" i="4"/>
  <c r="CJ27" i="4"/>
  <c r="BX27" i="4"/>
  <c r="L83" i="42"/>
  <c r="T61" i="42"/>
  <c r="C27" i="4"/>
  <c r="D20" i="34" s="1"/>
  <c r="I27" i="4"/>
  <c r="Z27" i="4"/>
  <c r="I66" i="5"/>
  <c r="E53" i="5"/>
  <c r="S61" i="8"/>
  <c r="L27" i="4"/>
  <c r="CD27" i="4"/>
  <c r="CM27" i="4"/>
  <c r="AH29" i="42"/>
  <c r="W61" i="42"/>
  <c r="C50" i="42"/>
  <c r="AV27" i="4"/>
  <c r="AU27" i="4"/>
  <c r="AS23" i="4"/>
  <c r="AY23" i="4" s="1"/>
  <c r="AQ23" i="4"/>
  <c r="AW23" i="4" s="1"/>
  <c r="AR23" i="4"/>
  <c r="AX23" i="4" s="1"/>
  <c r="O23" i="4"/>
  <c r="Q23" i="4" s="1"/>
  <c r="BL23" i="4"/>
  <c r="BN23" i="4" s="1"/>
  <c r="D19" i="8"/>
  <c r="D17" i="33"/>
  <c r="F17" i="33" s="1"/>
  <c r="AL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H79" i="5"/>
  <c r="Z79" i="5"/>
  <c r="AB79" i="5"/>
  <c r="AD79" i="5"/>
  <c r="AT70" i="5"/>
  <c r="Y70" i="5"/>
  <c r="AK70" i="5"/>
  <c r="Z70" i="5"/>
  <c r="AL70" i="5"/>
  <c r="AA70" i="5"/>
  <c r="AM70" i="5"/>
  <c r="AB70" i="5"/>
  <c r="AN70" i="5"/>
  <c r="AC70" i="5"/>
  <c r="AO70" i="5"/>
  <c r="AD70" i="5"/>
  <c r="AE70" i="5"/>
  <c r="AF70" i="5"/>
  <c r="AG70" i="5"/>
  <c r="AH70" i="5"/>
  <c r="AI70" i="5"/>
  <c r="X70" i="5"/>
  <c r="AJ70" i="5"/>
  <c r="AH24" i="42"/>
  <c r="AT81" i="5"/>
  <c r="AE81" i="5"/>
  <c r="AF81" i="5"/>
  <c r="AG81" i="5"/>
  <c r="AH81" i="5"/>
  <c r="AI81" i="5"/>
  <c r="X81" i="5"/>
  <c r="AJ81" i="5"/>
  <c r="Y81" i="5"/>
  <c r="AK81" i="5"/>
  <c r="Z81" i="5"/>
  <c r="AL81" i="5"/>
  <c r="AA81" i="5"/>
  <c r="AM81" i="5"/>
  <c r="AB81" i="5"/>
  <c r="AN81" i="5"/>
  <c r="AD81" i="5"/>
  <c r="AO81" i="5"/>
  <c r="AC81" i="5"/>
  <c r="AG24" i="42"/>
  <c r="AH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D36" i="5"/>
  <c r="AE36" i="5"/>
  <c r="AF36" i="5"/>
  <c r="AT36" i="5"/>
  <c r="AG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AF25" i="5"/>
  <c r="AG25" i="5"/>
  <c r="AH25" i="5"/>
  <c r="AI25" i="5"/>
  <c r="X25" i="5"/>
  <c r="Y25" i="5"/>
  <c r="AK25" i="5"/>
  <c r="Z25" i="5"/>
  <c r="AL25" i="5"/>
  <c r="AB25" i="5"/>
  <c r="AN25" i="5"/>
  <c r="AC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I58" i="42"/>
  <c r="CI80" i="4"/>
  <c r="CH80" i="4"/>
  <c r="CG80" i="4"/>
  <c r="CI73" i="4"/>
  <c r="CH73" i="4"/>
  <c r="CG73" i="4"/>
  <c r="CI67" i="4"/>
  <c r="CG67" i="4"/>
  <c r="CH67" i="4"/>
  <c r="CI61" i="4"/>
  <c r="CH61" i="4"/>
  <c r="CG61" i="4"/>
  <c r="CI54" i="4"/>
  <c r="CH54" i="4"/>
  <c r="CG54" i="4"/>
  <c r="CI40" i="4"/>
  <c r="CH40" i="4"/>
  <c r="CG40" i="4"/>
  <c r="CI32" i="4"/>
  <c r="CR32" i="4" s="1"/>
  <c r="CX32" i="4" s="1"/>
  <c r="CH32" i="4"/>
  <c r="CQ32" i="4" s="1"/>
  <c r="CW32" i="4" s="1"/>
  <c r="CG32" i="4"/>
  <c r="CP32" i="4" s="1"/>
  <c r="CV32" i="4" s="1"/>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L48" i="5"/>
  <c r="AA48" i="5"/>
  <c r="AH48"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I49" i="42"/>
  <c r="AI61" i="42"/>
  <c r="AA61" i="42"/>
  <c r="V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Z24" i="5"/>
  <c r="AE24" i="5"/>
  <c r="AK24"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L76" i="5"/>
  <c r="AA76" i="5"/>
  <c r="AM76" i="5"/>
  <c r="AB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G35" i="4"/>
  <c r="CH35" i="4"/>
  <c r="Z28" i="5"/>
  <c r="AL28" i="5"/>
  <c r="AB28" i="5"/>
  <c r="AN28" i="5"/>
  <c r="AC28" i="5"/>
  <c r="AD28" i="5"/>
  <c r="AE28" i="5"/>
  <c r="AF28" i="5"/>
  <c r="AG28" i="5"/>
  <c r="AH28" i="5"/>
  <c r="AI28" i="5"/>
  <c r="Y28" i="5"/>
  <c r="AK28" i="5"/>
  <c r="X28" i="5"/>
  <c r="Z20" i="5"/>
  <c r="AL20" i="5"/>
  <c r="AB20" i="5"/>
  <c r="AN20" i="5"/>
  <c r="AC20" i="5"/>
  <c r="AD20" i="5"/>
  <c r="AE20" i="5"/>
  <c r="AF20" i="5"/>
  <c r="AG20" i="5"/>
  <c r="AH20" i="5"/>
  <c r="AI20" i="5"/>
  <c r="Y20" i="5"/>
  <c r="AK20" i="5"/>
  <c r="X20" i="5"/>
  <c r="Z26" i="5"/>
  <c r="AL26" i="5"/>
  <c r="AB26" i="5"/>
  <c r="AN26" i="5"/>
  <c r="AC26" i="5"/>
  <c r="AD26" i="5"/>
  <c r="AE26" i="5"/>
  <c r="AF26" i="5"/>
  <c r="AG26" i="5"/>
  <c r="AH26" i="5"/>
  <c r="AI26" i="5"/>
  <c r="Y26" i="5"/>
  <c r="AK26" i="5"/>
  <c r="X26" i="5"/>
  <c r="Z40" i="5"/>
  <c r="AL40" i="5"/>
  <c r="AA40" i="5"/>
  <c r="AM40" i="5"/>
  <c r="AB40" i="5"/>
  <c r="AN40" i="5"/>
  <c r="AC40" i="5"/>
  <c r="AO40" i="5"/>
  <c r="AD40" i="5"/>
  <c r="AE40" i="5"/>
  <c r="AF40" i="5"/>
  <c r="AG40" i="5"/>
  <c r="AH40" i="5"/>
  <c r="AI40" i="5"/>
  <c r="AT40" i="5"/>
  <c r="Y40" i="5"/>
  <c r="AK40" i="5"/>
  <c r="X40" i="5"/>
  <c r="AJ40" i="5"/>
  <c r="AT72" i="5"/>
  <c r="AE72" i="5"/>
  <c r="X72" i="42"/>
  <c r="AA49" i="42"/>
  <c r="AE49" i="42"/>
  <c r="AF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O22" i="4"/>
  <c r="Q22" i="4" s="1"/>
  <c r="H17" i="5"/>
  <c r="AT17" i="5" s="1"/>
  <c r="AR22" i="4"/>
  <c r="AX22" i="4" s="1"/>
  <c r="AQ22" i="4"/>
  <c r="AW22" i="4" s="1"/>
  <c r="BL22" i="4"/>
  <c r="BN22" i="4" s="1"/>
  <c r="AS22" i="4"/>
  <c r="AY22" i="4" s="1"/>
  <c r="E388" i="32"/>
  <c r="F374" i="32" s="1"/>
  <c r="Q16" i="42"/>
  <c r="N17" i="42"/>
  <c r="AD16" i="8"/>
  <c r="V16" i="8"/>
  <c r="C14" i="33"/>
  <c r="O16" i="8"/>
  <c r="X16" i="8"/>
  <c r="W17" i="42"/>
  <c r="R16" i="8"/>
  <c r="AB16" i="8"/>
  <c r="J16" i="8"/>
  <c r="Y16" i="8"/>
  <c r="H16" i="8"/>
  <c r="M16" i="8"/>
  <c r="C15" i="34"/>
  <c r="F15" i="34" s="1"/>
  <c r="T16" i="8"/>
  <c r="N16" i="8"/>
  <c r="K16" i="8"/>
  <c r="E16" i="8"/>
  <c r="G16" i="8"/>
  <c r="I16" i="8"/>
  <c r="S16" i="8"/>
  <c r="P16" i="8"/>
  <c r="AC16" i="8"/>
  <c r="L16" i="8"/>
  <c r="W16" i="8"/>
  <c r="Q16" i="8"/>
  <c r="U16" i="8"/>
  <c r="K13" i="5"/>
  <c r="J13" i="5"/>
  <c r="E13" i="5"/>
  <c r="G13" i="5"/>
  <c r="AE13" i="5"/>
  <c r="I13" i="5"/>
  <c r="M13" i="5"/>
  <c r="Y13" i="5"/>
  <c r="AL13" i="5"/>
  <c r="AI13" i="5"/>
  <c r="Q2" i="33"/>
  <c r="L2" i="34" s="1"/>
  <c r="I2" i="35" s="1"/>
  <c r="E324" i="32"/>
  <c r="F323" i="32" s="1"/>
  <c r="H301" i="32"/>
  <c r="G156" i="32"/>
  <c r="F11" i="34"/>
  <c r="D15" i="33"/>
  <c r="L15" i="33" s="1"/>
  <c r="O17" i="42"/>
  <c r="J17" i="42"/>
  <c r="Q17" i="5"/>
  <c r="AS21" i="4"/>
  <c r="AY21" i="4" s="1"/>
  <c r="AQ21" i="4"/>
  <c r="AW21" i="4" s="1"/>
  <c r="AR21" i="4"/>
  <c r="AX21" i="4" s="1"/>
  <c r="O21" i="4"/>
  <c r="BL21" i="4"/>
  <c r="BN21" i="4" s="1"/>
  <c r="D17" i="8"/>
  <c r="Q17" i="42"/>
  <c r="P17" i="42"/>
  <c r="Z14" i="42"/>
  <c r="H14" i="42"/>
  <c r="S14" i="42"/>
  <c r="J14" i="34"/>
  <c r="AE14" i="42"/>
  <c r="K14" i="42"/>
  <c r="Y14" i="42"/>
  <c r="V14" i="42"/>
  <c r="T14" i="42"/>
  <c r="AH14" i="42"/>
  <c r="AI14" i="42"/>
  <c r="L14" i="42"/>
  <c r="AN17" i="42"/>
  <c r="N16" i="42"/>
  <c r="AL14" i="42"/>
  <c r="I14" i="42"/>
  <c r="CI20" i="4"/>
  <c r="CR20" i="4" s="1"/>
  <c r="CX20" i="4" s="1"/>
  <c r="J16" i="42"/>
  <c r="G14" i="42"/>
  <c r="AA14" i="42"/>
  <c r="AB14" i="42"/>
  <c r="CH20" i="4"/>
  <c r="CQ20" i="4" s="1"/>
  <c r="CW20" i="4" s="1"/>
  <c r="X14" i="42"/>
  <c r="E14" i="42"/>
  <c r="CQ19" i="4"/>
  <c r="CW19" i="4" s="1"/>
  <c r="AQ19" i="4"/>
  <c r="AW19" i="4" s="1"/>
  <c r="H14" i="5"/>
  <c r="AT14" i="5" s="1"/>
  <c r="AQ20" i="4"/>
  <c r="AW20" i="4" s="1"/>
  <c r="K5" i="29"/>
  <c r="I5" i="23"/>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F19" i="42"/>
  <c r="T19" i="42"/>
  <c r="S69" i="42"/>
  <c r="O69" i="42"/>
  <c r="P45" i="42"/>
  <c r="AE78" i="42"/>
  <c r="R78" i="42"/>
  <c r="V78" i="42"/>
  <c r="D35" i="42"/>
  <c r="Q69" i="42"/>
  <c r="X60" i="42"/>
  <c r="AI60" i="42"/>
  <c r="AN60" i="42"/>
  <c r="F35" i="42"/>
  <c r="I19" i="42"/>
  <c r="AA35" i="42"/>
  <c r="O60" i="42"/>
  <c r="T69" i="42"/>
  <c r="X78" i="42"/>
  <c r="V69" i="42"/>
  <c r="F45" i="42"/>
  <c r="Y45" i="42"/>
  <c r="R45" i="42"/>
  <c r="S78" i="42"/>
  <c r="O78" i="42"/>
  <c r="M45" i="42"/>
  <c r="K60" i="42"/>
  <c r="AE60" i="42"/>
  <c r="T60" i="42"/>
  <c r="N60" i="42"/>
  <c r="C60" i="42"/>
  <c r="AG19" i="42"/>
  <c r="S19" i="42"/>
  <c r="K69" i="42"/>
  <c r="U45" i="42"/>
  <c r="E45" i="42"/>
  <c r="AM69" i="42"/>
  <c r="F69" i="42"/>
  <c r="AG45" i="42"/>
  <c r="AN45" i="42"/>
  <c r="C45" i="42"/>
  <c r="K45" i="42"/>
  <c r="AB69" i="42"/>
  <c r="AB78" i="42"/>
  <c r="AF78" i="42"/>
  <c r="Z78" i="42"/>
  <c r="I35" i="42"/>
  <c r="AN35" i="42"/>
  <c r="J60" i="42"/>
  <c r="AA60" i="42"/>
  <c r="V60" i="42"/>
  <c r="H19" i="42"/>
  <c r="X19" i="42"/>
  <c r="AH19" i="42"/>
  <c r="AM45" i="42"/>
  <c r="V45" i="42"/>
  <c r="N45" i="42"/>
  <c r="O45" i="42"/>
  <c r="AF69" i="42"/>
  <c r="G69" i="42"/>
  <c r="H45" i="42"/>
  <c r="AD78" i="42"/>
  <c r="AH78" i="42"/>
  <c r="Y35" i="42"/>
  <c r="R35" i="42"/>
  <c r="E69" i="42"/>
  <c r="AG60" i="42"/>
  <c r="AA19" i="42"/>
  <c r="AB19" i="42"/>
  <c r="K19" i="42"/>
  <c r="AN69" i="42"/>
  <c r="I45" i="42"/>
  <c r="D69" i="42"/>
  <c r="AL69" i="42"/>
  <c r="AD69" i="42"/>
  <c r="H69" i="42"/>
  <c r="I69" i="42"/>
  <c r="G45" i="42"/>
  <c r="AI78" i="42"/>
  <c r="J78" i="42"/>
  <c r="D78" i="42"/>
  <c r="F78" i="42"/>
  <c r="L35" i="42"/>
  <c r="E60" i="42"/>
  <c r="R60" i="42"/>
  <c r="I60" i="42"/>
  <c r="W60" i="42"/>
  <c r="Y19" i="42"/>
  <c r="Z19" i="42"/>
  <c r="L45" i="42"/>
  <c r="X69" i="42"/>
  <c r="Q78" i="42"/>
  <c r="N78" i="42"/>
  <c r="L78" i="42"/>
  <c r="AE35" i="42"/>
  <c r="P35" i="42"/>
  <c r="Q60" i="42"/>
  <c r="P60" i="42"/>
  <c r="G60" i="42"/>
  <c r="S60" i="42"/>
  <c r="AB35" i="42"/>
  <c r="D13" i="42"/>
  <c r="G19" i="42"/>
  <c r="AE19" i="42"/>
  <c r="N69" i="42"/>
  <c r="AG78" i="42"/>
  <c r="AM78" i="42"/>
  <c r="AL78" i="42"/>
  <c r="J35" i="42"/>
  <c r="T35" i="42"/>
  <c r="AD60" i="42"/>
  <c r="Z60" i="42"/>
  <c r="D19" i="42"/>
  <c r="E19" i="42"/>
  <c r="D45" i="42"/>
  <c r="AF45" i="42"/>
  <c r="AH69" i="42"/>
  <c r="W78" i="42"/>
  <c r="U78" i="42"/>
  <c r="P78" i="42"/>
  <c r="T78" i="42"/>
  <c r="O35" i="42"/>
  <c r="Q35" i="42"/>
  <c r="M35" i="42"/>
  <c r="W69" i="42"/>
  <c r="AF60" i="42"/>
  <c r="AL60" i="42"/>
  <c r="C35" i="42"/>
  <c r="AM60" i="42"/>
  <c r="D60" i="42"/>
  <c r="AI19" i="42"/>
  <c r="M19" i="42"/>
  <c r="U19" i="42"/>
  <c r="J69" i="42"/>
  <c r="P69" i="42"/>
  <c r="C69" i="42"/>
  <c r="AA69" i="42"/>
  <c r="AL45" i="42"/>
  <c r="AD45" i="42"/>
  <c r="AA78" i="42"/>
  <c r="M78" i="42"/>
  <c r="AF35" i="42"/>
  <c r="N35" i="42"/>
  <c r="W35" i="42"/>
  <c r="AH45" i="42"/>
  <c r="Z69" i="42"/>
  <c r="AM35" i="42"/>
  <c r="AI35" i="42"/>
  <c r="L19" i="42"/>
  <c r="C19" i="42"/>
  <c r="R69" i="42"/>
  <c r="T45" i="42"/>
  <c r="AG69" i="42"/>
  <c r="Z45" i="42"/>
  <c r="M69" i="42"/>
  <c r="C78" i="42"/>
  <c r="H78" i="42"/>
  <c r="I78" i="42"/>
  <c r="K35" i="42"/>
  <c r="U35" i="42"/>
  <c r="Z35" i="42"/>
  <c r="V35" i="42"/>
  <c r="Q45" i="42"/>
  <c r="AB60" i="42"/>
  <c r="AH60" i="42"/>
  <c r="AH35" i="42"/>
  <c r="AE69" i="42"/>
  <c r="W45" i="42"/>
  <c r="AI69" i="42"/>
  <c r="AE45" i="42"/>
  <c r="S45" i="42"/>
  <c r="E78" i="42"/>
  <c r="S35" i="42"/>
  <c r="AG35" i="42"/>
  <c r="Y60" i="42"/>
  <c r="M60" i="42"/>
  <c r="L60" i="42"/>
  <c r="AA45" i="42"/>
  <c r="J11" i="34"/>
  <c r="D11" i="34"/>
  <c r="D11" i="35" s="1"/>
  <c r="I36" i="13"/>
  <c r="J84" i="29" s="1"/>
  <c r="I14" i="13"/>
  <c r="J59" i="29" s="1"/>
  <c r="O20" i="4"/>
  <c r="Q20" i="4" s="1"/>
  <c r="BL20" i="4"/>
  <c r="BN20" i="4" s="1"/>
  <c r="I3" i="26"/>
  <c r="AN3" i="24"/>
  <c r="I3" i="23"/>
  <c r="I3" i="28"/>
  <c r="K3" i="27"/>
  <c r="G39" i="8"/>
  <c r="T39" i="8"/>
  <c r="AB39" i="8"/>
  <c r="N25" i="5"/>
  <c r="E293" i="32"/>
  <c r="E376" i="32"/>
  <c r="R39" i="8"/>
  <c r="H39" i="8"/>
  <c r="N39" i="8"/>
  <c r="M42" i="5"/>
  <c r="E25" i="5"/>
  <c r="G293" i="32"/>
  <c r="H282" i="32" s="1"/>
  <c r="P21" i="4"/>
  <c r="Y39" i="8"/>
  <c r="AU34" i="5"/>
  <c r="X39" i="8"/>
  <c r="Q39" i="8"/>
  <c r="T30" i="5"/>
  <c r="V39" i="8"/>
  <c r="J39" i="8"/>
  <c r="S25" i="5"/>
  <c r="V30" i="5"/>
  <c r="P39" i="8"/>
  <c r="S39" i="8"/>
  <c r="G25" i="5"/>
  <c r="P25" i="5"/>
  <c r="E39" i="8"/>
  <c r="K39" i="8"/>
  <c r="U39" i="8"/>
  <c r="L39" i="8"/>
  <c r="W39" i="8"/>
  <c r="P42" i="5"/>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H309" i="32" l="1"/>
  <c r="H307" i="32"/>
  <c r="H384" i="32"/>
  <c r="C22" i="8"/>
  <c r="C14" i="8"/>
  <c r="C16" i="8"/>
  <c r="C20" i="8"/>
  <c r="C15" i="8"/>
  <c r="C18" i="8"/>
  <c r="G19" i="27"/>
  <c r="H28" i="5"/>
  <c r="AT28" i="5" s="1"/>
  <c r="Q28" i="5"/>
  <c r="AJ28" i="5"/>
  <c r="AA28" i="5"/>
  <c r="AM28" i="5" s="1"/>
  <c r="AO28" i="5" s="1"/>
  <c r="I26" i="33"/>
  <c r="J26" i="33"/>
  <c r="H305" i="32"/>
  <c r="H366" i="32"/>
  <c r="H367" i="32" s="1"/>
  <c r="H311" i="32"/>
  <c r="H387" i="32"/>
  <c r="H310" i="32"/>
  <c r="H306" i="32"/>
  <c r="H304" i="32"/>
  <c r="H385" i="32"/>
  <c r="H303" i="32"/>
  <c r="H386" i="32"/>
  <c r="H374" i="32"/>
  <c r="H308" i="32"/>
  <c r="H312" i="32"/>
  <c r="H375" i="32"/>
  <c r="H376" i="32" s="1"/>
  <c r="L26" i="33"/>
  <c r="H302" i="32"/>
  <c r="AK28" i="42"/>
  <c r="AN27" i="42"/>
  <c r="AD27" i="42"/>
  <c r="W28" i="42"/>
  <c r="N25" i="42"/>
  <c r="Q18" i="42"/>
  <c r="P28" i="42"/>
  <c r="J28" i="42"/>
  <c r="Q22" i="42"/>
  <c r="D22" i="8"/>
  <c r="D20" i="33"/>
  <c r="Q20" i="33" s="1"/>
  <c r="P26" i="33"/>
  <c r="Q26" i="33"/>
  <c r="D25" i="33"/>
  <c r="M25" i="33" s="1"/>
  <c r="D27" i="8"/>
  <c r="N26" i="33"/>
  <c r="M26" i="33"/>
  <c r="O26" i="33"/>
  <c r="T28" i="5"/>
  <c r="G26" i="33"/>
  <c r="E26" i="33"/>
  <c r="F26" i="33"/>
  <c r="H26" i="33"/>
  <c r="AD28" i="42"/>
  <c r="AD26" i="42"/>
  <c r="AN28" i="42"/>
  <c r="O28" i="42"/>
  <c r="Q28" i="42"/>
  <c r="F28" i="42"/>
  <c r="R28" i="42" s="1"/>
  <c r="W22" i="42"/>
  <c r="AD15" i="42"/>
  <c r="AN15" i="42"/>
  <c r="P16" i="42"/>
  <c r="CP30" i="4"/>
  <c r="CV30" i="4" s="1"/>
  <c r="AR30" i="4"/>
  <c r="AX30" i="4" s="1"/>
  <c r="H27" i="5"/>
  <c r="AT27" i="5" s="1"/>
  <c r="K21" i="27"/>
  <c r="G21" i="27"/>
  <c r="K22" i="27"/>
  <c r="G22" i="27"/>
  <c r="Q27" i="42"/>
  <c r="O27" i="42"/>
  <c r="J27" i="42"/>
  <c r="AK27" i="42"/>
  <c r="W27" i="42"/>
  <c r="P22" i="42"/>
  <c r="W26" i="42"/>
  <c r="J25" i="42"/>
  <c r="N27" i="42"/>
  <c r="F26" i="42"/>
  <c r="F18" i="42"/>
  <c r="O18" i="42"/>
  <c r="AN22" i="42"/>
  <c r="AJ27" i="5"/>
  <c r="AA27" i="5"/>
  <c r="Q27" i="5"/>
  <c r="CQ30" i="4"/>
  <c r="CW30" i="4" s="1"/>
  <c r="AS30" i="4"/>
  <c r="AY30" i="4" s="1"/>
  <c r="AQ30" i="4"/>
  <c r="AW30" i="4" s="1"/>
  <c r="O30" i="4"/>
  <c r="Q30" i="4" s="1"/>
  <c r="BL30" i="4"/>
  <c r="BN30" i="4" s="1"/>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H26" i="5"/>
  <c r="AT26" i="5" s="1"/>
  <c r="J7" i="63"/>
  <c r="A7" i="63" s="1"/>
  <c r="J16" i="63"/>
  <c r="A16" i="63" s="1"/>
  <c r="J17" i="63"/>
  <c r="A17" i="63" s="1"/>
  <c r="G23" i="27"/>
  <c r="K23" i="27"/>
  <c r="O26" i="42"/>
  <c r="AD21" i="42"/>
  <c r="AM21" i="42" s="1"/>
  <c r="AD14" i="42"/>
  <c r="P26" i="42"/>
  <c r="AK26" i="42"/>
  <c r="AJ26" i="5"/>
  <c r="AD13" i="42"/>
  <c r="X17" i="12"/>
  <c r="Z17" i="12" s="1"/>
  <c r="O17" i="12"/>
  <c r="CG3" i="64" s="1"/>
  <c r="AB11" i="24"/>
  <c r="O11" i="24"/>
  <c r="CE17" i="4"/>
  <c r="I46" i="53"/>
  <c r="I47" i="53" s="1"/>
  <c r="AA26" i="5"/>
  <c r="AU26" i="5" s="1"/>
  <c r="F24" i="6"/>
  <c r="D24" i="6" s="1"/>
  <c r="F22" i="35" s="1"/>
  <c r="G22" i="35" s="1"/>
  <c r="Q26" i="5"/>
  <c r="AD20" i="42"/>
  <c r="J26" i="42"/>
  <c r="AD24" i="42"/>
  <c r="J18" i="42"/>
  <c r="AD25" i="42"/>
  <c r="Q26" i="42"/>
  <c r="AN18" i="42"/>
  <c r="AN26" i="42"/>
  <c r="AD19" i="42"/>
  <c r="AD18" i="42"/>
  <c r="AD16" i="42"/>
  <c r="N22" i="42"/>
  <c r="AD22" i="42"/>
  <c r="W13" i="42"/>
  <c r="L43" i="53"/>
  <c r="L49" i="15"/>
  <c r="J41" i="29"/>
  <c r="J20" i="16"/>
  <c r="K18" i="31" s="1"/>
  <c r="F16" i="19"/>
  <c r="AF25" i="11"/>
  <c r="AB3" i="50" s="1"/>
  <c r="I6" i="60"/>
  <c r="E17" i="19"/>
  <c r="Q19" i="5"/>
  <c r="H20" i="5"/>
  <c r="AT20" i="5" s="1"/>
  <c r="H16" i="5"/>
  <c r="AT16" i="5" s="1"/>
  <c r="Q15" i="5"/>
  <c r="AO72" i="5"/>
  <c r="AH76" i="5"/>
  <c r="AF48" i="5"/>
  <c r="Q31" i="33"/>
  <c r="E31" i="33"/>
  <c r="P31" i="33"/>
  <c r="D31" i="33"/>
  <c r="K31" i="33"/>
  <c r="J31" i="33"/>
  <c r="I31" i="33"/>
  <c r="O31" i="33"/>
  <c r="H31" i="33"/>
  <c r="N31" i="33"/>
  <c r="L31" i="33"/>
  <c r="M31" i="33"/>
  <c r="F31" i="33"/>
  <c r="G31" i="33"/>
  <c r="K76" i="5"/>
  <c r="AB72" i="5"/>
  <c r="AK76" i="5"/>
  <c r="AO36" i="5"/>
  <c r="AL33" i="5"/>
  <c r="AC82" i="5"/>
  <c r="F46" i="6"/>
  <c r="C46" i="6" s="1"/>
  <c r="AO48" i="5"/>
  <c r="G82" i="5"/>
  <c r="C60" i="6"/>
  <c r="AI72" i="5"/>
  <c r="AL72" i="5"/>
  <c r="AI42" i="5"/>
  <c r="AD76" i="5"/>
  <c r="AC61" i="5"/>
  <c r="AH61" i="5"/>
  <c r="AT33" i="5"/>
  <c r="AT82" i="5"/>
  <c r="AJ48" i="5"/>
  <c r="AC48" i="5"/>
  <c r="AK36" i="5"/>
  <c r="AB36" i="5"/>
  <c r="O61" i="5"/>
  <c r="L76" i="5"/>
  <c r="R61" i="5"/>
  <c r="F58" i="6"/>
  <c r="C58" i="6" s="1"/>
  <c r="AD72" i="5"/>
  <c r="AG48" i="5"/>
  <c r="AT48" i="5"/>
  <c r="Z76" i="5"/>
  <c r="X82" i="5"/>
  <c r="K29" i="33"/>
  <c r="D29" i="33"/>
  <c r="J29" i="33"/>
  <c r="I29" i="33"/>
  <c r="F29" i="33"/>
  <c r="M29" i="33"/>
  <c r="L29" i="33"/>
  <c r="E29" i="33"/>
  <c r="P29" i="33"/>
  <c r="H29" i="33"/>
  <c r="G29" i="33"/>
  <c r="Q29" i="33"/>
  <c r="N29" i="33"/>
  <c r="O29" i="33"/>
  <c r="T76" i="5"/>
  <c r="AG76" i="5"/>
  <c r="AD48" i="5"/>
  <c r="AJ36" i="5"/>
  <c r="AC36" i="5"/>
  <c r="R82" i="5"/>
  <c r="U76" i="5"/>
  <c r="X72" i="5"/>
  <c r="AA72" i="5"/>
  <c r="AE76" i="5"/>
  <c r="AT76" i="5"/>
  <c r="AK33" i="5"/>
  <c r="AL82" i="5"/>
  <c r="X36" i="5"/>
  <c r="AN36" i="5"/>
  <c r="AH72" i="5"/>
  <c r="Z72" i="5"/>
  <c r="AO42" i="5"/>
  <c r="AO76" i="5"/>
  <c r="AN61" i="5"/>
  <c r="AG61" i="5"/>
  <c r="N24" i="42"/>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Q27" i="33"/>
  <c r="E27" i="33"/>
  <c r="G27" i="33"/>
  <c r="P27" i="33"/>
  <c r="D27" i="33"/>
  <c r="O27" i="33"/>
  <c r="M27" i="33"/>
  <c r="K27" i="33"/>
  <c r="J27" i="33"/>
  <c r="H27" i="33"/>
  <c r="I27" i="33"/>
  <c r="N27" i="33"/>
  <c r="L27" i="33"/>
  <c r="F27" i="33"/>
  <c r="E76" i="5"/>
  <c r="Q76" i="5"/>
  <c r="C36" i="6"/>
  <c r="N28" i="33"/>
  <c r="L28" i="33"/>
  <c r="I28" i="33"/>
  <c r="F28" i="33"/>
  <c r="E28" i="33"/>
  <c r="O28" i="33"/>
  <c r="M28" i="33"/>
  <c r="Q28" i="33"/>
  <c r="J28" i="33"/>
  <c r="D28" i="33"/>
  <c r="K28" i="33"/>
  <c r="H28" i="33"/>
  <c r="G28" i="33"/>
  <c r="P28" i="33"/>
  <c r="H76" i="5"/>
  <c r="N76" i="5"/>
  <c r="AU76" i="5"/>
  <c r="V76" i="5"/>
  <c r="U61" i="5"/>
  <c r="B75" i="5"/>
  <c r="AK18" i="42"/>
  <c r="AK22" i="42"/>
  <c r="W18" i="42"/>
  <c r="P18" i="42"/>
  <c r="W25" i="42"/>
  <c r="H234" i="32"/>
  <c r="H248" i="32"/>
  <c r="F240" i="32"/>
  <c r="F248" i="32"/>
  <c r="O25" i="42"/>
  <c r="F24" i="42"/>
  <c r="Q25" i="42"/>
  <c r="D50" i="6"/>
  <c r="AJ25" i="5"/>
  <c r="AA25" i="5"/>
  <c r="AU25" i="5" s="1"/>
  <c r="CQ29" i="4"/>
  <c r="CW29" i="4" s="1"/>
  <c r="AR29" i="4"/>
  <c r="AX29" i="4" s="1"/>
  <c r="AQ29" i="4"/>
  <c r="AW29" i="4" s="1"/>
  <c r="AS29" i="4"/>
  <c r="AY29" i="4" s="1"/>
  <c r="CR29" i="4"/>
  <c r="CX29" i="4" s="1"/>
  <c r="BL29" i="4"/>
  <c r="BN29" i="4" s="1"/>
  <c r="P25" i="42"/>
  <c r="N14" i="42"/>
  <c r="AK25" i="42"/>
  <c r="F25" i="42"/>
  <c r="AN25" i="42"/>
  <c r="CP29" i="4"/>
  <c r="CV29" i="4" s="1"/>
  <c r="G25" i="8"/>
  <c r="Y25" i="8"/>
  <c r="X25" i="8"/>
  <c r="W25" i="8"/>
  <c r="AA25" i="8"/>
  <c r="Q25" i="8"/>
  <c r="H25" i="8"/>
  <c r="AD25" i="8"/>
  <c r="J25" i="8"/>
  <c r="T25" i="8"/>
  <c r="O29" i="4"/>
  <c r="Q29" i="4" s="1"/>
  <c r="AF17" i="4"/>
  <c r="F17" i="4"/>
  <c r="E12" i="25" s="1"/>
  <c r="X17" i="4"/>
  <c r="AF13" i="5"/>
  <c r="AH13" i="5"/>
  <c r="CI17" i="4"/>
  <c r="B12" i="9"/>
  <c r="X13" i="5"/>
  <c r="AA13" i="5" s="1"/>
  <c r="I16" i="54" s="1"/>
  <c r="L3" i="55" s="1"/>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AG13" i="5"/>
  <c r="S13" i="5"/>
  <c r="J8" i="63"/>
  <c r="A8" i="63" s="1"/>
  <c r="N13" i="5"/>
  <c r="AB13" i="5"/>
  <c r="AC13" i="5"/>
  <c r="AK13" i="5"/>
  <c r="P13" i="5"/>
  <c r="AD17" i="4"/>
  <c r="F13" i="5"/>
  <c r="H13" i="5" s="1"/>
  <c r="I20" i="54" s="1"/>
  <c r="P3" i="55" s="1"/>
  <c r="AN13" i="5"/>
  <c r="H11" i="26" s="1"/>
  <c r="BN18" i="4"/>
  <c r="H19" i="5"/>
  <c r="AT19" i="5" s="1"/>
  <c r="H15" i="5"/>
  <c r="AT15" i="5" s="1"/>
  <c r="H18" i="5"/>
  <c r="AT18" i="5" s="1"/>
  <c r="O24" i="42"/>
  <c r="F330" i="32"/>
  <c r="F332" i="32" s="1"/>
  <c r="F321" i="32"/>
  <c r="AI67" i="5"/>
  <c r="AR67" i="5"/>
  <c r="AI79" i="5"/>
  <c r="AR79" i="5"/>
  <c r="AD42" i="5"/>
  <c r="AR42" i="5"/>
  <c r="V82" i="5"/>
  <c r="AR82" i="5"/>
  <c r="AN60" i="5"/>
  <c r="AR60" i="5"/>
  <c r="AJ49" i="5"/>
  <c r="AR49" i="5"/>
  <c r="AA33" i="5"/>
  <c r="AR33"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W24" i="42"/>
  <c r="Q24" i="42"/>
  <c r="E22" i="6"/>
  <c r="C21" i="35"/>
  <c r="AN24" i="42"/>
  <c r="AN23" i="42"/>
  <c r="AK24" i="42"/>
  <c r="Q23" i="42"/>
  <c r="P24" i="42"/>
  <c r="AK23" i="42"/>
  <c r="AM23" i="42" s="1"/>
  <c r="F23" i="42"/>
  <c r="R23" i="42" s="1"/>
  <c r="CR27" i="4"/>
  <c r="CX27" i="4" s="1"/>
  <c r="CQ27" i="4"/>
  <c r="CW27" i="4" s="1"/>
  <c r="CP27" i="4"/>
  <c r="CV27" i="4" s="1"/>
  <c r="AR27" i="4"/>
  <c r="AX27" i="4" s="1"/>
  <c r="AS27" i="4"/>
  <c r="AY27" i="4" s="1"/>
  <c r="AQ27" i="4"/>
  <c r="AW27" i="4" s="1"/>
  <c r="BL27" i="4"/>
  <c r="BN27" i="4" s="1"/>
  <c r="D20" i="8"/>
  <c r="D18" i="33"/>
  <c r="I18" i="33" s="1"/>
  <c r="O27" i="4"/>
  <c r="Q27" i="4" s="1"/>
  <c r="AC23" i="5"/>
  <c r="AK15" i="42"/>
  <c r="AK20" i="42"/>
  <c r="AK16" i="42"/>
  <c r="AM17" i="42"/>
  <c r="AK14" i="42"/>
  <c r="AK19" i="42"/>
  <c r="AK13" i="42"/>
  <c r="R22" i="42"/>
  <c r="E17" i="4"/>
  <c r="BP17" i="4"/>
  <c r="J19" i="63"/>
  <c r="A19" i="63" s="1"/>
  <c r="CD17" i="4"/>
  <c r="J21" i="63"/>
  <c r="A21" i="63" s="1"/>
  <c r="CF17" i="4"/>
  <c r="J12" i="63"/>
  <c r="A12" i="63" s="1"/>
  <c r="C17" i="4"/>
  <c r="F12" i="6" s="1"/>
  <c r="H17" i="4"/>
  <c r="T22" i="5"/>
  <c r="V22" i="5" s="1"/>
  <c r="D43" i="6"/>
  <c r="AA22" i="5"/>
  <c r="AU22" i="5" s="1"/>
  <c r="D52" i="6"/>
  <c r="Q18" i="5"/>
  <c r="AJ22" i="5"/>
  <c r="D45" i="6"/>
  <c r="D68" i="6"/>
  <c r="O16" i="42"/>
  <c r="W16" i="42"/>
  <c r="AN16" i="42"/>
  <c r="D20" i="6"/>
  <c r="R21" i="42"/>
  <c r="D42" i="6"/>
  <c r="O13" i="5"/>
  <c r="U13" i="5"/>
  <c r="AG17" i="4"/>
  <c r="R13" i="5"/>
  <c r="D27" i="6"/>
  <c r="F25" i="35" s="1"/>
  <c r="D55" i="6"/>
  <c r="CP3" i="64"/>
  <c r="D39" i="6"/>
  <c r="E17" i="35"/>
  <c r="D33" i="6"/>
  <c r="F31" i="35" s="1"/>
  <c r="D26" i="6"/>
  <c r="F24" i="35" s="1"/>
  <c r="G24" i="35" s="1"/>
  <c r="D64" i="6"/>
  <c r="D67" i="6"/>
  <c r="T21" i="5"/>
  <c r="AR21" i="5" s="1"/>
  <c r="D44" i="6"/>
  <c r="D69" i="6"/>
  <c r="C62" i="6"/>
  <c r="D29" i="6"/>
  <c r="F27" i="35" s="1"/>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F16" i="42"/>
  <c r="R16" i="42" s="1"/>
  <c r="S42" i="5"/>
  <c r="AA42" i="5"/>
  <c r="AN82" i="5"/>
  <c r="AD73" i="5"/>
  <c r="AF73" i="5"/>
  <c r="L82" i="5"/>
  <c r="Q82" i="5"/>
  <c r="I82" i="5"/>
  <c r="D16" i="35"/>
  <c r="H16" i="35" s="1"/>
  <c r="L42" i="5"/>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I37" i="8"/>
  <c r="V37" i="8"/>
  <c r="G37" i="8"/>
  <c r="O37" i="8"/>
  <c r="T37" i="8"/>
  <c r="J37" i="8"/>
  <c r="AA37" i="8"/>
  <c r="U37" i="8"/>
  <c r="H37" i="8"/>
  <c r="AB37" i="8"/>
  <c r="W37" i="8"/>
  <c r="S37" i="8"/>
  <c r="AC37" i="8"/>
  <c r="D37" i="8"/>
  <c r="AK42" i="5"/>
  <c r="Z42" i="5"/>
  <c r="AI82" i="5"/>
  <c r="AM82" i="5"/>
  <c r="AN73" i="5"/>
  <c r="M82" i="5"/>
  <c r="D63" i="6"/>
  <c r="D28" i="6"/>
  <c r="F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AA36" i="8"/>
  <c r="K36" i="8"/>
  <c r="J36" i="8"/>
  <c r="F36" i="8"/>
  <c r="S72" i="8"/>
  <c r="R72" i="8"/>
  <c r="K72" i="8"/>
  <c r="O72" i="8"/>
  <c r="D72" i="8"/>
  <c r="L72" i="8"/>
  <c r="H72" i="8"/>
  <c r="AB72" i="8"/>
  <c r="P72" i="8"/>
  <c r="I72" i="8"/>
  <c r="Y72" i="8"/>
  <c r="E72" i="8"/>
  <c r="U72" i="8"/>
  <c r="Z72" i="8"/>
  <c r="T72" i="8"/>
  <c r="X72" i="8"/>
  <c r="Q72" i="8"/>
  <c r="W72" i="8"/>
  <c r="AC72" i="8"/>
  <c r="V72" i="8"/>
  <c r="J72" i="8"/>
  <c r="N72" i="8"/>
  <c r="AA72" i="8"/>
  <c r="G72" i="8"/>
  <c r="AD72" i="8"/>
  <c r="M72" i="8"/>
  <c r="F72" i="8"/>
  <c r="Q48" i="8"/>
  <c r="O48" i="8"/>
  <c r="Y48" i="8"/>
  <c r="S48" i="8"/>
  <c r="W48" i="8"/>
  <c r="F48" i="8"/>
  <c r="N48" i="8"/>
  <c r="R48" i="8"/>
  <c r="J48" i="8"/>
  <c r="G48" i="8"/>
  <c r="AD48" i="8"/>
  <c r="Z48" i="8"/>
  <c r="X48" i="8"/>
  <c r="AA48" i="8"/>
  <c r="V48" i="8"/>
  <c r="P48" i="8"/>
  <c r="H48" i="8"/>
  <c r="K48" i="8"/>
  <c r="D48" i="8"/>
  <c r="T48" i="8"/>
  <c r="A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H25" i="5" s="1"/>
  <c r="AT25" i="5" s="1"/>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E47" i="6"/>
  <c r="F47" i="6"/>
  <c r="D48" i="6"/>
  <c r="H271" i="32"/>
  <c r="Q67" i="5"/>
  <c r="Q42" i="8"/>
  <c r="N42" i="8"/>
  <c r="V17" i="4"/>
  <c r="Z17" i="4"/>
  <c r="CC17" i="4"/>
  <c r="D17" i="4"/>
  <c r="H24" i="13" s="1"/>
  <c r="BD17" i="4"/>
  <c r="AD33" i="5"/>
  <c r="AJ33" i="5"/>
  <c r="AA67" i="5"/>
  <c r="AT67" i="5"/>
  <c r="AA79" i="5"/>
  <c r="AT79" i="5"/>
  <c r="E26" i="35"/>
  <c r="G25" i="35"/>
  <c r="H25"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D24" i="35"/>
  <c r="G76" i="5"/>
  <c r="R76" i="5"/>
  <c r="F76" i="5"/>
  <c r="I76" i="5"/>
  <c r="AI33" i="5"/>
  <c r="AK67" i="5"/>
  <c r="L67" i="5"/>
  <c r="S42" i="8"/>
  <c r="R42" i="8"/>
  <c r="S17" i="4"/>
  <c r="T17" i="4"/>
  <c r="J17" i="4"/>
  <c r="N17" i="4"/>
  <c r="K17" i="4"/>
  <c r="E12" i="9" s="1"/>
  <c r="AN33" i="5"/>
  <c r="AH33" i="5"/>
  <c r="Y67" i="5"/>
  <c r="Y79" i="5"/>
  <c r="E24" i="35"/>
  <c r="H24" i="35" s="1"/>
  <c r="D23" i="35"/>
  <c r="E71" i="6"/>
  <c r="F71" i="6"/>
  <c r="D20" i="35"/>
  <c r="D49" i="8"/>
  <c r="P49" i="8"/>
  <c r="V49" i="8"/>
  <c r="O49" i="8"/>
  <c r="R49" i="8"/>
  <c r="E49" i="8"/>
  <c r="Z49" i="8"/>
  <c r="U49" i="8"/>
  <c r="AB49" i="8"/>
  <c r="S49" i="8"/>
  <c r="J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G23" i="35" s="1"/>
  <c r="M67" i="5"/>
  <c r="H134" i="32"/>
  <c r="AF33" i="5"/>
  <c r="AD67" i="5"/>
  <c r="X67" i="5"/>
  <c r="AC79" i="5"/>
  <c r="H144" i="32"/>
  <c r="G17" i="4"/>
  <c r="P17" i="4"/>
  <c r="AA17" i="4"/>
  <c r="I17" i="4"/>
  <c r="BY17" i="4"/>
  <c r="AO67" i="5"/>
  <c r="AO79" i="5"/>
  <c r="E27" i="35"/>
  <c r="H26" i="35"/>
  <c r="G26" i="35"/>
  <c r="D26" i="35"/>
  <c r="D27" i="35"/>
  <c r="E28" i="35"/>
  <c r="G27" i="35"/>
  <c r="H27" i="35"/>
  <c r="G32" i="35"/>
  <c r="D32" i="35"/>
  <c r="H32" i="35"/>
  <c r="E33" i="35"/>
  <c r="V61" i="5"/>
  <c r="T61" i="5"/>
  <c r="Q61" i="5"/>
  <c r="J61" i="5"/>
  <c r="B60" i="5"/>
  <c r="D28" i="35"/>
  <c r="E29" i="35"/>
  <c r="H28" i="35"/>
  <c r="G28" i="35"/>
  <c r="G29" i="35"/>
  <c r="D29" i="35"/>
  <c r="H29" i="35"/>
  <c r="E30" i="35"/>
  <c r="E23" i="35"/>
  <c r="H23" i="35" s="1"/>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D16" i="33"/>
  <c r="O16" i="33" s="1"/>
  <c r="D14" i="8"/>
  <c r="E28" i="19" s="1"/>
  <c r="L19" i="33"/>
  <c r="I19" i="33"/>
  <c r="H19" i="33"/>
  <c r="Q19" i="33"/>
  <c r="F19" i="33"/>
  <c r="J19" i="33"/>
  <c r="K19" i="33"/>
  <c r="E14" i="6"/>
  <c r="E12" i="35" s="1"/>
  <c r="H12" i="35" s="1"/>
  <c r="D15" i="6"/>
  <c r="D12" i="33"/>
  <c r="F12" i="33" s="1"/>
  <c r="F20" i="42"/>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D13" i="33"/>
  <c r="J13" i="33" s="1"/>
  <c r="AA20" i="5"/>
  <c r="AU20" i="5" s="1"/>
  <c r="AJ20" i="5"/>
  <c r="P20" i="42"/>
  <c r="P13" i="42"/>
  <c r="O13" i="42"/>
  <c r="J15" i="42"/>
  <c r="R15" i="42" s="1"/>
  <c r="N20" i="42"/>
  <c r="J20" i="42"/>
  <c r="W20" i="42"/>
  <c r="Q13" i="42"/>
  <c r="AN13" i="42"/>
  <c r="J19" i="42"/>
  <c r="N13" i="42"/>
  <c r="Q20" i="42"/>
  <c r="R17" i="42"/>
  <c r="O20" i="42"/>
  <c r="M17" i="33"/>
  <c r="AN20" i="42"/>
  <c r="J13" i="42"/>
  <c r="BY3" i="64"/>
  <c r="E10" i="23"/>
  <c r="BZ3" i="64"/>
  <c r="AN4" i="24"/>
  <c r="K46" i="53"/>
  <c r="K47" i="53" s="1"/>
  <c r="L47" i="53" s="1"/>
  <c r="I4" i="28"/>
  <c r="K4" i="27"/>
  <c r="I4" i="26"/>
  <c r="I4" i="23"/>
  <c r="BI3" i="50"/>
  <c r="Q5" i="33"/>
  <c r="L5" i="34" s="1"/>
  <c r="I5" i="35" s="1"/>
  <c r="BH3" i="50"/>
  <c r="D10" i="23"/>
  <c r="A33" i="36"/>
  <c r="K4" i="29"/>
  <c r="H17" i="12"/>
  <c r="J17" i="12" s="1"/>
  <c r="AN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N19" i="42"/>
  <c r="P19" i="42"/>
  <c r="Q19" i="42"/>
  <c r="F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F302" i="32"/>
  <c r="F305" i="32"/>
  <c r="F312" i="32"/>
  <c r="F308" i="32"/>
  <c r="O15" i="33"/>
  <c r="D16" i="8"/>
  <c r="P15" i="33"/>
  <c r="F187" i="32"/>
  <c r="F170" i="32"/>
  <c r="F179" i="32"/>
  <c r="F190" i="32"/>
  <c r="F181" i="32"/>
  <c r="F168" i="32"/>
  <c r="F186" i="32"/>
  <c r="F176" i="32"/>
  <c r="F178" i="32"/>
  <c r="F171" i="32"/>
  <c r="F180" i="32"/>
  <c r="F191" i="32"/>
  <c r="I15" i="33"/>
  <c r="E15" i="33"/>
  <c r="N15" i="33"/>
  <c r="J15" i="33"/>
  <c r="G15" i="33"/>
  <c r="D14" i="33"/>
  <c r="O14" i="33" s="1"/>
  <c r="K15" i="33"/>
  <c r="Q15" i="33"/>
  <c r="H15" i="33"/>
  <c r="F15" i="33"/>
  <c r="D15" i="34"/>
  <c r="M15" i="33"/>
  <c r="W14" i="42"/>
  <c r="AN14" i="42"/>
  <c r="O14" i="42"/>
  <c r="J14" i="42"/>
  <c r="P14" i="42"/>
  <c r="Q14" i="42"/>
  <c r="F14" i="42"/>
  <c r="Q21" i="4"/>
  <c r="F13" i="42"/>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C10" i="34"/>
  <c r="E10" i="34" s="1"/>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44"/>
  <c r="E12" i="36"/>
  <c r="C25" i="8" l="1"/>
  <c r="D23" i="33" s="1"/>
  <c r="F23" i="33" s="1"/>
  <c r="C26" i="8"/>
  <c r="C23" i="8"/>
  <c r="C24" i="8"/>
  <c r="AU28" i="5"/>
  <c r="D58" i="6"/>
  <c r="AN3" i="64"/>
  <c r="H388" i="32"/>
  <c r="K20" i="33"/>
  <c r="N20" i="33"/>
  <c r="J20" i="33"/>
  <c r="E20" i="33"/>
  <c r="H20" i="33"/>
  <c r="L20" i="33"/>
  <c r="O20" i="33"/>
  <c r="P20" i="33"/>
  <c r="I20" i="33"/>
  <c r="G20" i="33"/>
  <c r="M20" i="33"/>
  <c r="F20" i="33"/>
  <c r="AA24" i="5"/>
  <c r="AU24" i="5" s="1"/>
  <c r="H313" i="32"/>
  <c r="AM27" i="42"/>
  <c r="AM28" i="42"/>
  <c r="T27" i="5"/>
  <c r="AR27" i="5" s="1"/>
  <c r="C26" i="6"/>
  <c r="V28" i="5"/>
  <c r="AR28" i="5"/>
  <c r="R27" i="42"/>
  <c r="R25" i="42"/>
  <c r="R18" i="42"/>
  <c r="AM27" i="5"/>
  <c r="AO27" i="5" s="1"/>
  <c r="AU27" i="5"/>
  <c r="AM26" i="42"/>
  <c r="R24" i="42"/>
  <c r="AM18" i="42"/>
  <c r="R26" i="42"/>
  <c r="AJ24" i="5"/>
  <c r="AM24" i="5" s="1"/>
  <c r="AO24" i="5" s="1"/>
  <c r="D26" i="8"/>
  <c r="J25" i="33"/>
  <c r="N25" i="33"/>
  <c r="F25" i="33"/>
  <c r="O25" i="33"/>
  <c r="K25" i="33"/>
  <c r="P25" i="33"/>
  <c r="E25" i="33"/>
  <c r="C25" i="6"/>
  <c r="H25" i="33"/>
  <c r="D24" i="33"/>
  <c r="Q25" i="33"/>
  <c r="G25" i="33"/>
  <c r="I25" i="33"/>
  <c r="T26" i="5"/>
  <c r="AR26" i="5" s="1"/>
  <c r="L25" i="33"/>
  <c r="J15" i="15"/>
  <c r="H21" i="26" s="1"/>
  <c r="E15" i="25"/>
  <c r="J16" i="15"/>
  <c r="H22" i="26" s="1"/>
  <c r="E17" i="45"/>
  <c r="H13" i="7"/>
  <c r="H324" i="32"/>
  <c r="AM22" i="42"/>
  <c r="Q17" i="12"/>
  <c r="AM26" i="5"/>
  <c r="AO26" i="5" s="1"/>
  <c r="Q12" i="33"/>
  <c r="E12" i="33"/>
  <c r="G12" i="33"/>
  <c r="C24" i="6"/>
  <c r="AM25" i="42"/>
  <c r="T16" i="5"/>
  <c r="V16" i="5" s="1"/>
  <c r="T20" i="5"/>
  <c r="V20" i="5" s="1"/>
  <c r="E16" i="25"/>
  <c r="I69" i="29"/>
  <c r="Q11" i="4"/>
  <c r="L50" i="15"/>
  <c r="J42" i="29"/>
  <c r="J10" i="4"/>
  <c r="AM25" i="5"/>
  <c r="AO25" i="5" s="1"/>
  <c r="T19" i="5"/>
  <c r="V19" i="5" s="1"/>
  <c r="T15" i="5"/>
  <c r="V15" i="5" s="1"/>
  <c r="E12" i="6"/>
  <c r="E10" i="35" s="1"/>
  <c r="D46" i="6"/>
  <c r="L46" i="53"/>
  <c r="AJ13" i="5"/>
  <c r="I18" i="54" s="1"/>
  <c r="N3" i="55" s="1"/>
  <c r="AM13" i="42"/>
  <c r="AO13" i="42" s="1"/>
  <c r="E14" i="25"/>
  <c r="F324" i="32"/>
  <c r="Q13" i="5"/>
  <c r="I34" i="54"/>
  <c r="AD3" i="55" s="1"/>
  <c r="D25" i="8"/>
  <c r="Q25" i="5"/>
  <c r="T25" i="5" s="1"/>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F36" i="66"/>
  <c r="G18" i="33"/>
  <c r="E33" i="14"/>
  <c r="E34" i="14" s="1"/>
  <c r="H23" i="5"/>
  <c r="AT23" i="5" s="1"/>
  <c r="H24" i="5"/>
  <c r="AT24" i="5" s="1"/>
  <c r="Q24" i="5"/>
  <c r="H16" i="33"/>
  <c r="I16" i="33"/>
  <c r="AM15" i="42"/>
  <c r="AM20" i="42"/>
  <c r="AM24" i="42"/>
  <c r="N12" i="33"/>
  <c r="L16" i="33"/>
  <c r="J16" i="33"/>
  <c r="M12" i="33"/>
  <c r="P12" i="33"/>
  <c r="E16" i="33"/>
  <c r="D24" i="8"/>
  <c r="D22" i="33"/>
  <c r="M22" i="33" s="1"/>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M16" i="42"/>
  <c r="AJ23" i="5"/>
  <c r="Q23" i="5"/>
  <c r="I38" i="54"/>
  <c r="AH3" i="55" s="1"/>
  <c r="E13" i="27"/>
  <c r="E53" i="14"/>
  <c r="G53" i="14" s="1"/>
  <c r="J53" i="14" s="1"/>
  <c r="E17" i="66" s="1"/>
  <c r="F18" i="66" s="1"/>
  <c r="E10" i="25"/>
  <c r="E21" i="19"/>
  <c r="E30" i="19" s="1"/>
  <c r="D23" i="8"/>
  <c r="D21" i="33"/>
  <c r="O21" i="33" s="1"/>
  <c r="AM22" i="5"/>
  <c r="AO22" i="5" s="1"/>
  <c r="AM14" i="42"/>
  <c r="AM19" i="42"/>
  <c r="AR22" i="5"/>
  <c r="V17" i="5"/>
  <c r="AR17" i="5"/>
  <c r="V14" i="5"/>
  <c r="AR14" i="5"/>
  <c r="E39" i="19" s="1"/>
  <c r="V21" i="5"/>
  <c r="C12" i="9"/>
  <c r="H18" i="35"/>
  <c r="F13" i="33"/>
  <c r="F18" i="35"/>
  <c r="G18" i="35" s="1"/>
  <c r="C20" i="6"/>
  <c r="H17" i="35"/>
  <c r="AM21" i="5"/>
  <c r="AO21" i="5" s="1"/>
  <c r="D11" i="36"/>
  <c r="C19" i="6"/>
  <c r="O17" i="4"/>
  <c r="Q17" i="4" s="1"/>
  <c r="D13" i="6"/>
  <c r="C13" i="6" s="1"/>
  <c r="AS17" i="4"/>
  <c r="AY17" i="4" s="1"/>
  <c r="AQ17" i="4"/>
  <c r="I39" i="54"/>
  <c r="AI3" i="55" s="1"/>
  <c r="E17" i="25"/>
  <c r="AR17" i="4"/>
  <c r="AX17" i="4" s="1"/>
  <c r="CP17" i="4"/>
  <c r="CV17" i="4" s="1"/>
  <c r="R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H21" i="35" s="1"/>
  <c r="C35" i="6"/>
  <c r="D35" i="6"/>
  <c r="F33" i="35" s="1"/>
  <c r="D21" i="6"/>
  <c r="F19" i="35" s="1"/>
  <c r="G19" i="35" s="1"/>
  <c r="H276" i="32"/>
  <c r="H76" i="32"/>
  <c r="E45" i="19"/>
  <c r="BL17" i="4"/>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R20" i="42"/>
  <c r="BP3" i="50"/>
  <c r="CO3" i="64"/>
  <c r="CQ3" i="64"/>
  <c r="F12" i="9"/>
  <c r="F36" i="19" s="1"/>
  <c r="F3" i="64"/>
  <c r="D8" i="23"/>
  <c r="D9" i="23"/>
  <c r="BJ3" i="50"/>
  <c r="D11" i="23"/>
  <c r="R19" i="42"/>
  <c r="F376" i="32"/>
  <c r="H137" i="32"/>
  <c r="CR17" i="4"/>
  <c r="CX17" i="4" s="1"/>
  <c r="AM19" i="5"/>
  <c r="AO19" i="5" s="1"/>
  <c r="AU13" i="5"/>
  <c r="AM15" i="5"/>
  <c r="AO15" i="5" s="1"/>
  <c r="CQ17" i="4"/>
  <c r="CW17" i="4" s="1"/>
  <c r="AT13" i="5"/>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R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36"/>
  <c r="E13" i="44"/>
  <c r="C13" i="8" l="1"/>
  <c r="V27" i="5"/>
  <c r="V26" i="5"/>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P13" i="42"/>
  <c r="R11" i="4"/>
  <c r="P11" i="4"/>
  <c r="G34" i="14"/>
  <c r="J34" i="14" s="1"/>
  <c r="J15" i="27" s="1"/>
  <c r="L51" i="15"/>
  <c r="J43" i="29"/>
  <c r="AP3" i="64"/>
  <c r="AR18" i="5"/>
  <c r="E31" i="66"/>
  <c r="F32" i="66" s="1"/>
  <c r="I22" i="54"/>
  <c r="R3" i="55" s="1"/>
  <c r="T13" i="5"/>
  <c r="H10" i="26" s="1"/>
  <c r="H12" i="26" s="1"/>
  <c r="G33" i="14"/>
  <c r="J33" i="14" s="1"/>
  <c r="C23" i="6"/>
  <c r="V25" i="5"/>
  <c r="AR25" i="5"/>
  <c r="H23" i="33"/>
  <c r="G23" i="33"/>
  <c r="E23" i="33"/>
  <c r="M23" i="33"/>
  <c r="J23" i="33"/>
  <c r="O23" i="33"/>
  <c r="N23" i="33"/>
  <c r="P23" i="33"/>
  <c r="L23" i="33"/>
  <c r="C22" i="6"/>
  <c r="K23" i="33"/>
  <c r="Q23" i="33"/>
  <c r="I23" i="33"/>
  <c r="E16" i="16"/>
  <c r="E16" i="31" s="1"/>
  <c r="F34" i="66"/>
  <c r="T23" i="5"/>
  <c r="AR23" i="5" s="1"/>
  <c r="AW17" i="4"/>
  <c r="E35" i="66"/>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I53" i="54"/>
  <c r="AW3" i="55" s="1"/>
  <c r="D13" i="8"/>
  <c r="F28" i="19" s="1"/>
  <c r="J15" i="34"/>
  <c r="K15" i="34" s="1"/>
  <c r="D13" i="36"/>
  <c r="F13" i="36"/>
  <c r="G13" i="36" s="1"/>
  <c r="J13" i="27"/>
  <c r="K13" i="27" s="1"/>
  <c r="E13" i="30"/>
  <c r="E2" i="63" s="1"/>
  <c r="F360" i="32"/>
  <c r="H360" i="32"/>
  <c r="M11" i="44"/>
  <c r="N11" i="44" s="1"/>
  <c r="E14" i="36"/>
  <c r="E14" i="44"/>
  <c r="J61" i="14" l="1"/>
  <c r="I28" i="15" s="1"/>
  <c r="H17" i="29" s="1"/>
  <c r="G12" i="9"/>
  <c r="H3" i="64" s="1"/>
  <c r="AY3" i="64"/>
  <c r="F10" i="35"/>
  <c r="V13" i="5"/>
  <c r="E18" i="23"/>
  <c r="L52" i="15"/>
  <c r="J44" i="29"/>
  <c r="AQ3" i="64"/>
  <c r="S17" i="45"/>
  <c r="T17" i="45" s="1"/>
  <c r="AR13" i="5"/>
  <c r="J11" i="15" s="1"/>
  <c r="H15" i="13" s="1"/>
  <c r="V23" i="5"/>
  <c r="V24" i="5"/>
  <c r="CD3" i="64"/>
  <c r="E25" i="66"/>
  <c r="F26" i="66" s="1"/>
  <c r="E13" i="66"/>
  <c r="F14" i="66" s="1"/>
  <c r="E33" i="66"/>
  <c r="AZ3" i="64"/>
  <c r="M11" i="36"/>
  <c r="N11" i="36" s="1"/>
  <c r="Q11" i="36" s="1"/>
  <c r="AL3" i="50"/>
  <c r="AU3" i="64"/>
  <c r="AX3" i="64"/>
  <c r="V17" i="45"/>
  <c r="BP3" i="64"/>
  <c r="C12" i="10"/>
  <c r="J3" i="64" s="1"/>
  <c r="AE3" i="50"/>
  <c r="D14" i="44"/>
  <c r="F14" i="44"/>
  <c r="G14" i="44" s="1"/>
  <c r="G10" i="35"/>
  <c r="F43" i="19" s="1"/>
  <c r="H50" i="34"/>
  <c r="I51" i="34"/>
  <c r="L51" i="34"/>
  <c r="F45" i="19"/>
  <c r="I52" i="54"/>
  <c r="AV3" i="55" s="1"/>
  <c r="I54" i="54"/>
  <c r="AX3" i="55" s="1"/>
  <c r="I57" i="54"/>
  <c r="BA3" i="55" s="1"/>
  <c r="C10" i="8"/>
  <c r="D11" i="33"/>
  <c r="M11" i="33" s="1"/>
  <c r="F30" i="19"/>
  <c r="I51" i="54"/>
  <c r="AU3" i="55" s="1"/>
  <c r="I56" i="54"/>
  <c r="AZ3" i="55" s="1"/>
  <c r="I55" i="54"/>
  <c r="AY3" i="55" s="1"/>
  <c r="BM3" i="50"/>
  <c r="E25" i="30"/>
  <c r="E14" i="63" s="1"/>
  <c r="I11" i="24"/>
  <c r="K14" i="34"/>
  <c r="D14" i="36"/>
  <c r="F14" i="36"/>
  <c r="G14" i="36" s="1"/>
  <c r="F23" i="19"/>
  <c r="AM3" i="50"/>
  <c r="E15" i="27"/>
  <c r="E16" i="30"/>
  <c r="E5" i="63" s="1"/>
  <c r="K15" i="27"/>
  <c r="K29" i="27" s="1"/>
  <c r="Q11" i="44"/>
  <c r="J12" i="44"/>
  <c r="E15" i="36"/>
  <c r="E15" i="44"/>
  <c r="H12" i="9" l="1"/>
  <c r="I3" i="64" s="1"/>
  <c r="J10" i="34"/>
  <c r="AR4" i="5"/>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36"/>
  <c r="E16" i="44"/>
  <c r="L54" i="15" l="1"/>
  <c r="J46" i="29"/>
  <c r="F16" i="44"/>
  <c r="G16" i="44" s="1"/>
  <c r="D16" i="44"/>
  <c r="H48" i="34"/>
  <c r="I49" i="34"/>
  <c r="L49" i="34"/>
  <c r="K12" i="34"/>
  <c r="D16" i="36"/>
  <c r="F16" i="36"/>
  <c r="G16" i="36" s="1"/>
  <c r="AP3" i="50"/>
  <c r="Q12" i="36"/>
  <c r="J13" i="36"/>
  <c r="N12" i="44"/>
  <c r="E17" i="36"/>
  <c r="E17" i="44"/>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36"/>
  <c r="E19" i="44"/>
  <c r="F19" i="44" l="1"/>
  <c r="G19" i="44" s="1"/>
  <c r="D19" i="44"/>
  <c r="H45" i="34"/>
  <c r="I46" i="34"/>
  <c r="L46" i="34"/>
  <c r="F19" i="36"/>
  <c r="G19" i="36" s="1"/>
  <c r="D19" i="36"/>
  <c r="J14" i="36"/>
  <c r="K14" i="36" s="1"/>
  <c r="L14" i="36" s="1"/>
  <c r="M14" i="36" s="1"/>
  <c r="L13" i="44"/>
  <c r="M13" i="44" s="1"/>
  <c r="E20" i="36"/>
  <c r="E20" i="44"/>
  <c r="F20" i="44" l="1"/>
  <c r="G20" i="44" s="1"/>
  <c r="D20" i="44"/>
  <c r="H44" i="34"/>
  <c r="I45" i="34"/>
  <c r="L45" i="34"/>
  <c r="D20" i="36"/>
  <c r="F20" i="36"/>
  <c r="G20" i="36" s="1"/>
  <c r="N13" i="44"/>
  <c r="N14" i="36"/>
  <c r="E21" i="36"/>
  <c r="E21" i="44"/>
  <c r="D21" i="44" l="1"/>
  <c r="F21" i="44"/>
  <c r="G21" i="44" s="1"/>
  <c r="I44" i="34"/>
  <c r="H43" i="34"/>
  <c r="L44" i="34"/>
  <c r="D21" i="36"/>
  <c r="F21" i="36"/>
  <c r="G21" i="36" s="1"/>
  <c r="J14" i="44"/>
  <c r="K14" i="44" s="1"/>
  <c r="Q13" i="44"/>
  <c r="Q14" i="36"/>
  <c r="J15" i="36"/>
  <c r="E22" i="44"/>
  <c r="E22" i="36"/>
  <c r="D22" i="44" l="1"/>
  <c r="F22" i="44"/>
  <c r="G22" i="44" s="1"/>
  <c r="H42" i="34"/>
  <c r="I43" i="34"/>
  <c r="L43" i="34"/>
  <c r="F22" i="36"/>
  <c r="G22" i="36" s="1"/>
  <c r="D22" i="36"/>
  <c r="L14" i="44"/>
  <c r="M14" i="44" s="1"/>
  <c r="K15" i="36"/>
  <c r="L15" i="36" s="1"/>
  <c r="E23" i="44"/>
  <c r="E23" i="36"/>
  <c r="D23" i="44" l="1"/>
  <c r="F23" i="44"/>
  <c r="G23" i="44" s="1"/>
  <c r="H41" i="34"/>
  <c r="I42" i="34"/>
  <c r="L42" i="34"/>
  <c r="D23" i="36"/>
  <c r="F23" i="36"/>
  <c r="G23" i="36" s="1"/>
  <c r="N14" i="44"/>
  <c r="Q14" i="44" s="1"/>
  <c r="M15" i="36"/>
  <c r="N15" i="36" s="1"/>
  <c r="J16" i="36" s="1"/>
  <c r="E24" i="36"/>
  <c r="E24" i="44"/>
  <c r="F24" i="44" l="1"/>
  <c r="G24" i="44" s="1"/>
  <c r="D24" i="44"/>
  <c r="H40" i="34"/>
  <c r="I41" i="34"/>
  <c r="L41" i="34"/>
  <c r="D24" i="36"/>
  <c r="F24" i="36"/>
  <c r="G24" i="36" s="1"/>
  <c r="J15" i="44"/>
  <c r="K15" i="44" s="1"/>
  <c r="L15" i="44" s="1"/>
  <c r="M15" i="44" s="1"/>
  <c r="Q15" i="36"/>
  <c r="K16" i="36"/>
  <c r="L16" i="36" s="1"/>
  <c r="E25" i="36"/>
  <c r="E25" i="44"/>
  <c r="F25" i="44" l="1"/>
  <c r="G25" i="44" s="1"/>
  <c r="D25" i="44"/>
  <c r="H39" i="34"/>
  <c r="I40" i="34"/>
  <c r="L40" i="34"/>
  <c r="F25" i="36"/>
  <c r="G25" i="36" s="1"/>
  <c r="D25" i="36"/>
  <c r="M16" i="36"/>
  <c r="N16" i="36" s="1"/>
  <c r="Q16" i="36" s="1"/>
  <c r="N15" i="44"/>
  <c r="E26" i="44"/>
  <c r="E26" i="36"/>
  <c r="D26" i="44" l="1"/>
  <c r="F26" i="44"/>
  <c r="G26" i="44" s="1"/>
  <c r="H38" i="34"/>
  <c r="I39" i="34"/>
  <c r="L39" i="34"/>
  <c r="D26" i="36"/>
  <c r="F26" i="36"/>
  <c r="G26" i="36" s="1"/>
  <c r="J17" i="36"/>
  <c r="K17" i="36" s="1"/>
  <c r="Q15" i="44"/>
  <c r="J16" i="44"/>
  <c r="E27" i="44"/>
  <c r="E27" i="36"/>
  <c r="F27" i="44" l="1"/>
  <c r="G27" i="44" s="1"/>
  <c r="D27" i="44"/>
  <c r="H37" i="34"/>
  <c r="I38" i="34"/>
  <c r="L38" i="34"/>
  <c r="F27" i="36"/>
  <c r="G27" i="36" s="1"/>
  <c r="D27" i="36"/>
  <c r="L17" i="36"/>
  <c r="M17" i="36" s="1"/>
  <c r="K16" i="44"/>
  <c r="L16" i="44" s="1"/>
  <c r="E28" i="44"/>
  <c r="E28" i="36"/>
  <c r="F28" i="44" l="1"/>
  <c r="G28" i="44" s="1"/>
  <c r="D28" i="44"/>
  <c r="H36" i="34"/>
  <c r="I37" i="34"/>
  <c r="L37" i="34"/>
  <c r="D28" i="36"/>
  <c r="F28" i="36"/>
  <c r="G28" i="36" s="1"/>
  <c r="N17" i="36"/>
  <c r="Q17" i="36" s="1"/>
  <c r="M16" i="44"/>
  <c r="N16" i="44" s="1"/>
  <c r="E29" i="36"/>
  <c r="E29" i="44"/>
  <c r="F29" i="44" l="1"/>
  <c r="G29" i="44" s="1"/>
  <c r="D29" i="44"/>
  <c r="H35" i="34"/>
  <c r="I36" i="34"/>
  <c r="L36" i="34"/>
  <c r="F29" i="36"/>
  <c r="G29" i="36" s="1"/>
  <c r="D29" i="36"/>
  <c r="J18" i="36"/>
  <c r="K18" i="36" s="1"/>
  <c r="L18" i="36" s="1"/>
  <c r="M18" i="36" s="1"/>
  <c r="J17" i="44"/>
  <c r="K17" i="44" s="1"/>
  <c r="Q16" i="44"/>
  <c r="E30" i="44"/>
  <c r="E30" i="36"/>
  <c r="D30" i="44" l="1"/>
  <c r="F30" i="44"/>
  <c r="G30" i="44" s="1"/>
  <c r="H34" i="34"/>
  <c r="I35" i="34"/>
  <c r="L35" i="34"/>
  <c r="D30" i="36"/>
  <c r="F30" i="36"/>
  <c r="G30" i="36" s="1"/>
  <c r="L17" i="44"/>
  <c r="M17" i="44" s="1"/>
  <c r="N18" i="36"/>
  <c r="E31" i="36"/>
  <c r="E31" i="44"/>
  <c r="F31" i="44" l="1"/>
  <c r="G31" i="44" s="1"/>
  <c r="D31" i="44"/>
  <c r="H33" i="34"/>
  <c r="I34" i="34"/>
  <c r="L34" i="34"/>
  <c r="D31" i="36"/>
  <c r="F31" i="36"/>
  <c r="G31" i="36" s="1"/>
  <c r="N17" i="44"/>
  <c r="J18" i="44" s="1"/>
  <c r="Q18" i="36"/>
  <c r="J19" i="36"/>
  <c r="E32" i="36"/>
  <c r="E32" i="44"/>
  <c r="F32" i="44" l="1"/>
  <c r="G32" i="44" s="1"/>
  <c r="D32" i="44"/>
  <c r="H32" i="34"/>
  <c r="I33" i="34"/>
  <c r="L33" i="34"/>
  <c r="D32" i="36"/>
  <c r="F32" i="36"/>
  <c r="G32" i="36" s="1"/>
  <c r="Q17" i="44"/>
  <c r="K19" i="36"/>
  <c r="L19" i="36" s="1"/>
  <c r="K18" i="44"/>
  <c r="L18" i="44" s="1"/>
  <c r="E33" i="36"/>
  <c r="E33" i="44"/>
  <c r="F33" i="44" l="1"/>
  <c r="G33" i="44" s="1"/>
  <c r="D33" i="44"/>
  <c r="H31" i="34"/>
  <c r="I32" i="34"/>
  <c r="L32" i="34"/>
  <c r="D33" i="36"/>
  <c r="F33" i="36"/>
  <c r="G33" i="36" s="1"/>
  <c r="M18" i="44"/>
  <c r="N18" i="44" s="1"/>
  <c r="Q18" i="44" s="1"/>
  <c r="M19" i="36"/>
  <c r="N19" i="36" s="1"/>
  <c r="E34" i="36"/>
  <c r="E34" i="44"/>
  <c r="F34" i="44" l="1"/>
  <c r="G34" i="44" s="1"/>
  <c r="D34" i="44"/>
  <c r="H30" i="34"/>
  <c r="I31" i="34"/>
  <c r="L31" i="34"/>
  <c r="D34" i="36"/>
  <c r="F34" i="36"/>
  <c r="G34" i="36" s="1"/>
  <c r="J19" i="44"/>
  <c r="K19" i="44" s="1"/>
  <c r="J20" i="36"/>
  <c r="K20" i="36" s="1"/>
  <c r="Q19" i="36"/>
  <c r="E35" i="44"/>
  <c r="E35" i="36"/>
  <c r="D35" i="44" l="1"/>
  <c r="F35" i="44"/>
  <c r="G35" i="44" s="1"/>
  <c r="I30" i="34"/>
  <c r="H29" i="34"/>
  <c r="L30" i="34"/>
  <c r="F35" i="36"/>
  <c r="G35" i="36" s="1"/>
  <c r="D35" i="36"/>
  <c r="L20" i="36"/>
  <c r="M20" i="36" s="1"/>
  <c r="N20" i="36" s="1"/>
  <c r="L19" i="44"/>
  <c r="E36" i="44"/>
  <c r="E36" i="36"/>
  <c r="F36" i="44" l="1"/>
  <c r="G36" i="44" s="1"/>
  <c r="D36" i="44"/>
  <c r="H28" i="34"/>
  <c r="I29" i="34"/>
  <c r="L29" i="34"/>
  <c r="D36" i="36"/>
  <c r="F36" i="36"/>
  <c r="G36" i="36" s="1"/>
  <c r="J21" i="36"/>
  <c r="Q20" i="36"/>
  <c r="M19" i="44"/>
  <c r="N19" i="44" s="1"/>
  <c r="E37" i="44"/>
  <c r="E37" i="36"/>
  <c r="D37" i="44" l="1"/>
  <c r="F37" i="44"/>
  <c r="G37" i="44" s="1"/>
  <c r="I28" i="34"/>
  <c r="H27" i="34"/>
  <c r="L28" i="34"/>
  <c r="D37" i="36"/>
  <c r="F37" i="36"/>
  <c r="G37" i="36" s="1"/>
  <c r="Q19" i="44"/>
  <c r="J20" i="44"/>
  <c r="K20" i="44" s="1"/>
  <c r="K21" i="36"/>
  <c r="E38" i="36"/>
  <c r="E38" i="44"/>
  <c r="F38" i="44" l="1"/>
  <c r="G38" i="44" s="1"/>
  <c r="D38" i="44"/>
  <c r="H26" i="34"/>
  <c r="I27" i="34"/>
  <c r="L27" i="34"/>
  <c r="D38" i="36"/>
  <c r="F38" i="36"/>
  <c r="G38" i="36" s="1"/>
  <c r="L20" i="44"/>
  <c r="M20" i="44" s="1"/>
  <c r="N20" i="44" s="1"/>
  <c r="Q20" i="44" s="1"/>
  <c r="L21" i="36"/>
  <c r="E39" i="36"/>
  <c r="E39" i="44"/>
  <c r="D39" i="44" l="1"/>
  <c r="F39" i="44"/>
  <c r="G39" i="44" s="1"/>
  <c r="H25" i="34"/>
  <c r="I26" i="34"/>
  <c r="L26" i="34"/>
  <c r="F39" i="36"/>
  <c r="G39" i="36" s="1"/>
  <c r="D39" i="36"/>
  <c r="J21" i="44"/>
  <c r="K21" i="44" s="1"/>
  <c r="L21" i="44" s="1"/>
  <c r="M21" i="36"/>
  <c r="N21" i="36" s="1"/>
  <c r="E40" i="36"/>
  <c r="E40" i="44"/>
  <c r="F40" i="44" l="1"/>
  <c r="G40" i="44" s="1"/>
  <c r="D40" i="44"/>
  <c r="H24" i="34"/>
  <c r="I25" i="34"/>
  <c r="L25" i="34"/>
  <c r="D40" i="36"/>
  <c r="F40" i="36"/>
  <c r="G40" i="36" s="1"/>
  <c r="J22" i="36"/>
  <c r="Q21" i="36"/>
  <c r="M21" i="44"/>
  <c r="N21" i="44" s="1"/>
  <c r="E41" i="36"/>
  <c r="E41" i="44"/>
  <c r="D41" i="44" l="1"/>
  <c r="F41" i="44"/>
  <c r="G41" i="44" s="1"/>
  <c r="H23" i="34"/>
  <c r="I24" i="34"/>
  <c r="L24" i="34"/>
  <c r="D41" i="36"/>
  <c r="F41" i="36"/>
  <c r="G41" i="36" s="1"/>
  <c r="K22" i="36"/>
  <c r="L22" i="36" s="1"/>
  <c r="M22" i="36" s="1"/>
  <c r="N22" i="36" s="1"/>
  <c r="Q21" i="44"/>
  <c r="J22" i="44"/>
  <c r="K22" i="44" s="1"/>
  <c r="L22" i="44" s="1"/>
  <c r="M22" i="44" s="1"/>
  <c r="N22" i="44" s="1"/>
  <c r="E42" i="36"/>
  <c r="E42" i="44"/>
  <c r="F42" i="44" l="1"/>
  <c r="G42" i="44" s="1"/>
  <c r="D42" i="44"/>
  <c r="H22" i="34"/>
  <c r="I23" i="34"/>
  <c r="L23" i="34"/>
  <c r="F42" i="36"/>
  <c r="G42" i="36" s="1"/>
  <c r="D42" i="36"/>
  <c r="Q22" i="36"/>
  <c r="J23" i="36"/>
  <c r="K23" i="36" s="1"/>
  <c r="Q22" i="44"/>
  <c r="J23" i="44"/>
  <c r="E43" i="44"/>
  <c r="E43" i="36"/>
  <c r="F43" i="44" l="1"/>
  <c r="G43" i="44" s="1"/>
  <c r="D43" i="44"/>
  <c r="H21" i="34"/>
  <c r="I22" i="34"/>
  <c r="L22" i="34"/>
  <c r="D43" i="36"/>
  <c r="F43" i="36"/>
  <c r="G43" i="36" s="1"/>
  <c r="L23" i="36"/>
  <c r="M23" i="36" s="1"/>
  <c r="K23" i="44"/>
  <c r="E44" i="36"/>
  <c r="E44" i="44"/>
  <c r="D44" i="44" l="1"/>
  <c r="F44" i="44"/>
  <c r="G44" i="44" s="1"/>
  <c r="H20" i="34"/>
  <c r="I21" i="34"/>
  <c r="L21" i="34"/>
  <c r="F44" i="36"/>
  <c r="G44" i="36" s="1"/>
  <c r="D44" i="36"/>
  <c r="N23" i="36"/>
  <c r="J24" i="36" s="1"/>
  <c r="L23" i="44"/>
  <c r="E45" i="36"/>
  <c r="E45" i="44"/>
  <c r="F45" i="44" l="1"/>
  <c r="G45" i="44" s="1"/>
  <c r="D45" i="44"/>
  <c r="H19" i="34"/>
  <c r="I20" i="34"/>
  <c r="L20" i="34"/>
  <c r="F45" i="36"/>
  <c r="G45" i="36" s="1"/>
  <c r="D45" i="36"/>
  <c r="Q23" i="36"/>
  <c r="M23" i="44"/>
  <c r="N23" i="44" s="1"/>
  <c r="K24" i="36"/>
  <c r="L24" i="36" s="1"/>
  <c r="E46" i="44"/>
  <c r="E46" i="36"/>
  <c r="F46" i="44" l="1"/>
  <c r="G46" i="44" s="1"/>
  <c r="D46" i="44"/>
  <c r="H18" i="34"/>
  <c r="I19" i="34"/>
  <c r="L19" i="34"/>
  <c r="D46" i="36"/>
  <c r="F46" i="36"/>
  <c r="G46" i="36" s="1"/>
  <c r="Q23" i="44"/>
  <c r="J24" i="44"/>
  <c r="M24" i="36"/>
  <c r="N24" i="36" s="1"/>
  <c r="E47" i="44"/>
  <c r="E47" i="36"/>
  <c r="D47" i="44" l="1"/>
  <c r="F47" i="44"/>
  <c r="G47" i="44" s="1"/>
  <c r="H17" i="34"/>
  <c r="I18" i="34"/>
  <c r="L18" i="34"/>
  <c r="F47" i="36"/>
  <c r="G47" i="36" s="1"/>
  <c r="D47" i="36"/>
  <c r="K24" i="44"/>
  <c r="L24" i="44" s="1"/>
  <c r="M24" i="44" s="1"/>
  <c r="Q24" i="36"/>
  <c r="J25" i="36"/>
  <c r="E48" i="44"/>
  <c r="E48" i="36"/>
  <c r="F48" i="44" l="1"/>
  <c r="G48" i="44" s="1"/>
  <c r="D48" i="44"/>
  <c r="H16" i="34"/>
  <c r="I17" i="34"/>
  <c r="L17" i="34"/>
  <c r="F48" i="36"/>
  <c r="G48" i="36" s="1"/>
  <c r="D48" i="36"/>
  <c r="N24" i="44"/>
  <c r="K25" i="36"/>
  <c r="E49" i="44"/>
  <c r="E49" i="36"/>
  <c r="D49" i="44" l="1"/>
  <c r="F49" i="44"/>
  <c r="G49" i="44" s="1"/>
  <c r="I16" i="34"/>
  <c r="H15" i="34"/>
  <c r="L16" i="34"/>
  <c r="D49" i="36"/>
  <c r="F49" i="36"/>
  <c r="G49" i="36" s="1"/>
  <c r="L25" i="36"/>
  <c r="M25" i="36" s="1"/>
  <c r="N25" i="36" s="1"/>
  <c r="Q24" i="44"/>
  <c r="J25" i="44"/>
  <c r="E50" i="36"/>
  <c r="E50" i="44"/>
  <c r="D50" i="44" l="1"/>
  <c r="F50" i="44"/>
  <c r="G50" i="44" s="1"/>
  <c r="H14" i="34"/>
  <c r="I15" i="34"/>
  <c r="L15" i="34"/>
  <c r="F50" i="36"/>
  <c r="G50" i="36" s="1"/>
  <c r="D50" i="36"/>
  <c r="Q25" i="36"/>
  <c r="J26" i="36"/>
  <c r="K25" i="44"/>
  <c r="L25" i="44" s="1"/>
  <c r="M25" i="44" s="1"/>
  <c r="E51" i="36"/>
  <c r="E51" i="44"/>
  <c r="D51" i="44" l="1"/>
  <c r="F51" i="44"/>
  <c r="G51" i="44" s="1"/>
  <c r="H13" i="34"/>
  <c r="I14" i="34"/>
  <c r="L14" i="34"/>
  <c r="D51" i="36"/>
  <c r="F51" i="36"/>
  <c r="G51" i="36" s="1"/>
  <c r="K26" i="36"/>
  <c r="L26" i="36" s="1"/>
  <c r="M26" i="36" s="1"/>
  <c r="N25" i="44"/>
  <c r="E52" i="44"/>
  <c r="E52" i="36"/>
  <c r="D52" i="44" l="1"/>
  <c r="F52" i="44"/>
  <c r="G52" i="44" s="1"/>
  <c r="H12" i="34"/>
  <c r="I13" i="34"/>
  <c r="L13" i="34"/>
  <c r="D52" i="36"/>
  <c r="F52" i="36"/>
  <c r="G52" i="36" s="1"/>
  <c r="N26" i="36"/>
  <c r="Q25" i="44"/>
  <c r="J26" i="44"/>
  <c r="E53" i="36"/>
  <c r="E53" i="44"/>
  <c r="F53" i="44" l="1"/>
  <c r="G53" i="44" s="1"/>
  <c r="D53" i="44"/>
  <c r="I12" i="34"/>
  <c r="H11" i="34"/>
  <c r="L12" i="34"/>
  <c r="D53" i="36"/>
  <c r="F53" i="36"/>
  <c r="G53" i="36" s="1"/>
  <c r="Q26" i="36"/>
  <c r="J27" i="36"/>
  <c r="K26" i="44"/>
  <c r="L26" i="44" s="1"/>
  <c r="E54" i="36"/>
  <c r="E54" i="44"/>
  <c r="D54" i="44" l="1"/>
  <c r="F54" i="44"/>
  <c r="G54" i="44" s="1"/>
  <c r="H10" i="34"/>
  <c r="I11" i="34"/>
  <c r="L11" i="34"/>
  <c r="D54" i="36"/>
  <c r="F54" i="36"/>
  <c r="G54" i="36" s="1"/>
  <c r="M26" i="44"/>
  <c r="N26" i="44" s="1"/>
  <c r="K27" i="36"/>
  <c r="L27" i="36" s="1"/>
  <c r="M27" i="36" s="1"/>
  <c r="E55" i="36"/>
  <c r="E55" i="44"/>
  <c r="D55" i="44" l="1"/>
  <c r="F55" i="44"/>
  <c r="G55" i="44" s="1"/>
  <c r="I10" i="34"/>
  <c r="L10" i="34"/>
  <c r="F55" i="36"/>
  <c r="G55" i="36" s="1"/>
  <c r="D55" i="36"/>
  <c r="Q26" i="44"/>
  <c r="J27" i="44"/>
  <c r="K27" i="44" s="1"/>
  <c r="N27" i="36"/>
  <c r="E56" i="36"/>
  <c r="E56" i="44"/>
  <c r="D56" i="44" l="1"/>
  <c r="F56" i="44"/>
  <c r="G56" i="44" s="1"/>
  <c r="D56" i="36"/>
  <c r="F56" i="36"/>
  <c r="G56" i="36" s="1"/>
  <c r="L27" i="44"/>
  <c r="M27" i="44" s="1"/>
  <c r="N27" i="44" s="1"/>
  <c r="Q27" i="36"/>
  <c r="J28" i="36"/>
  <c r="E57" i="36"/>
  <c r="E57" i="44"/>
  <c r="D57" i="44" l="1"/>
  <c r="F57" i="44"/>
  <c r="G57" i="44" s="1"/>
  <c r="D57" i="36"/>
  <c r="F57" i="36"/>
  <c r="G57" i="36" s="1"/>
  <c r="Q27" i="44"/>
  <c r="J28" i="44"/>
  <c r="K28" i="36"/>
  <c r="L28" i="36" s="1"/>
  <c r="M28" i="36" s="1"/>
  <c r="E58" i="44"/>
  <c r="E58" i="36"/>
  <c r="F58" i="44" l="1"/>
  <c r="G58" i="44" s="1"/>
  <c r="D58" i="44"/>
  <c r="D58" i="36"/>
  <c r="F58" i="36"/>
  <c r="G58" i="36" s="1"/>
  <c r="N28" i="36"/>
  <c r="K28" i="44"/>
  <c r="L28" i="44" s="1"/>
  <c r="E59" i="44"/>
  <c r="E59" i="36"/>
  <c r="F59" i="44" l="1"/>
  <c r="G59" i="44" s="1"/>
  <c r="D59" i="44"/>
  <c r="D59" i="36"/>
  <c r="F59" i="36"/>
  <c r="G59" i="36" s="1"/>
  <c r="M28" i="44"/>
  <c r="N28" i="44" s="1"/>
  <c r="Q28" i="36"/>
  <c r="J29" i="36"/>
  <c r="E60" i="44"/>
  <c r="E60" i="36"/>
  <c r="D60" i="44" l="1"/>
  <c r="F60" i="44"/>
  <c r="G60" i="44" s="1"/>
  <c r="D60" i="36"/>
  <c r="F60" i="36"/>
  <c r="G60" i="36" s="1"/>
  <c r="Q28" i="44"/>
  <c r="J29" i="44"/>
  <c r="K29" i="36"/>
  <c r="L29" i="36" s="1"/>
  <c r="E61" i="44"/>
  <c r="E61" i="36"/>
  <c r="F61" i="44" l="1"/>
  <c r="G61" i="44" s="1"/>
  <c r="D61" i="44"/>
  <c r="D61" i="36"/>
  <c r="F61" i="36"/>
  <c r="G61" i="36" s="1"/>
  <c r="M29" i="36"/>
  <c r="N29" i="36" s="1"/>
  <c r="K29" i="44"/>
  <c r="E62" i="36"/>
  <c r="E62" i="44"/>
  <c r="F62" i="44" l="1"/>
  <c r="G62" i="44" s="1"/>
  <c r="D62" i="44"/>
  <c r="F62" i="36"/>
  <c r="G62" i="36" s="1"/>
  <c r="D62" i="36"/>
  <c r="L29" i="44"/>
  <c r="M29" i="44" s="1"/>
  <c r="Q29" i="36"/>
  <c r="J30" i="36"/>
  <c r="E63" i="36"/>
  <c r="E63" i="44"/>
  <c r="D63" i="44" l="1"/>
  <c r="F63" i="44"/>
  <c r="G63" i="44" s="1"/>
  <c r="F63" i="36"/>
  <c r="G63" i="36" s="1"/>
  <c r="D63" i="36"/>
  <c r="N29" i="44"/>
  <c r="J30" i="44" s="1"/>
  <c r="K30" i="44" s="1"/>
  <c r="K30" i="36"/>
  <c r="L30" i="36" s="1"/>
  <c r="M30" i="36" s="1"/>
  <c r="E64" i="44"/>
  <c r="E64" i="36"/>
  <c r="D64" i="44" l="1"/>
  <c r="F64" i="44"/>
  <c r="G64" i="44" s="1"/>
  <c r="F64" i="36"/>
  <c r="G64" i="36" s="1"/>
  <c r="D64" i="36"/>
  <c r="Q29" i="44"/>
  <c r="L30" i="44"/>
  <c r="M30" i="44" s="1"/>
  <c r="N30" i="44" s="1"/>
  <c r="N30" i="36"/>
  <c r="E65" i="36"/>
  <c r="E65" i="44"/>
  <c r="F65" i="44" l="1"/>
  <c r="G65" i="44" s="1"/>
  <c r="D65" i="44"/>
  <c r="F65" i="36"/>
  <c r="G65" i="36" s="1"/>
  <c r="D65" i="36"/>
  <c r="Q30" i="36"/>
  <c r="J31" i="36"/>
  <c r="Q30" i="44"/>
  <c r="J31" i="44"/>
  <c r="E66" i="44"/>
  <c r="E66" i="36"/>
  <c r="D66" i="44" l="1"/>
  <c r="F66" i="44"/>
  <c r="G66" i="44" s="1"/>
  <c r="D66" i="36"/>
  <c r="F66" i="36"/>
  <c r="G66" i="36" s="1"/>
  <c r="K31" i="36"/>
  <c r="L31" i="36" s="1"/>
  <c r="M31" i="36" s="1"/>
  <c r="N31" i="36" s="1"/>
  <c r="K31" i="44"/>
  <c r="L31" i="44" s="1"/>
  <c r="E67" i="44"/>
  <c r="E67" i="36"/>
  <c r="D67" i="44" l="1"/>
  <c r="F67" i="44"/>
  <c r="G67" i="44" s="1"/>
  <c r="F67" i="36"/>
  <c r="G67" i="36" s="1"/>
  <c r="D67" i="36"/>
  <c r="M31" i="44"/>
  <c r="N31" i="44" s="1"/>
  <c r="Q31" i="36"/>
  <c r="J32" i="36"/>
  <c r="E68" i="36"/>
  <c r="E68" i="44"/>
  <c r="F68" i="44" l="1"/>
  <c r="G68" i="44" s="1"/>
  <c r="D68" i="44"/>
  <c r="D68" i="36"/>
  <c r="F68" i="36"/>
  <c r="G68" i="36" s="1"/>
  <c r="J32" i="44"/>
  <c r="K32" i="44" s="1"/>
  <c r="Q31" i="44"/>
  <c r="K32" i="36"/>
  <c r="L32" i="36" s="1"/>
  <c r="M32" i="36" s="1"/>
  <c r="E69" i="36"/>
  <c r="E69" i="44"/>
  <c r="D69" i="44" l="1"/>
  <c r="F69" i="44"/>
  <c r="G69" i="44" s="1"/>
  <c r="D69" i="36"/>
  <c r="F69" i="36"/>
  <c r="G69" i="36" s="1"/>
  <c r="L32" i="44"/>
  <c r="M32" i="44" s="1"/>
  <c r="N32" i="44" s="1"/>
  <c r="N32" i="36"/>
  <c r="E70" i="36"/>
  <c r="E70" i="44"/>
  <c r="D70" i="44" l="1"/>
  <c r="F70" i="44"/>
  <c r="G70" i="44" s="1"/>
  <c r="F70" i="36"/>
  <c r="G70" i="36" s="1"/>
  <c r="D70" i="36"/>
  <c r="J33" i="44"/>
  <c r="K33" i="44" s="1"/>
  <c r="L33" i="44" s="1"/>
  <c r="M33" i="44" s="1"/>
  <c r="N33" i="44" s="1"/>
  <c r="Q32" i="44"/>
  <c r="Q32" i="36"/>
  <c r="J33" i="36"/>
  <c r="E71" i="44"/>
  <c r="E71" i="36"/>
  <c r="F71" i="44" l="1"/>
  <c r="G71" i="44" s="1"/>
  <c r="D71" i="44"/>
  <c r="D71" i="36"/>
  <c r="F71" i="36"/>
  <c r="G71" i="36" s="1"/>
  <c r="Q33" i="44"/>
  <c r="J34" i="44"/>
  <c r="K33" i="36"/>
  <c r="L33" i="36" s="1"/>
  <c r="E72" i="36"/>
  <c r="E72" i="44"/>
  <c r="D72" i="44" l="1"/>
  <c r="F72" i="44"/>
  <c r="G72" i="44" s="1"/>
  <c r="F72" i="36"/>
  <c r="G72" i="36" s="1"/>
  <c r="D72" i="36"/>
  <c r="M33" i="36"/>
  <c r="N33" i="36" s="1"/>
  <c r="K34" i="44"/>
  <c r="E73" i="44"/>
  <c r="E73" i="36"/>
  <c r="F73" i="44" l="1"/>
  <c r="G73" i="44" s="1"/>
  <c r="D73" i="44"/>
  <c r="F73" i="36"/>
  <c r="G73" i="36" s="1"/>
  <c r="D73" i="36"/>
  <c r="J34" i="36"/>
  <c r="K34" i="36" s="1"/>
  <c r="Q33" i="36"/>
  <c r="L34" i="44"/>
  <c r="M34" i="44" s="1"/>
  <c r="E74" i="44"/>
  <c r="E74" i="36"/>
  <c r="D74" i="44" l="1"/>
  <c r="F74" i="44"/>
  <c r="G74" i="44" s="1"/>
  <c r="D74" i="36"/>
  <c r="F74" i="36"/>
  <c r="G74" i="36" s="1"/>
  <c r="N34" i="44"/>
  <c r="Q34" i="44" s="1"/>
  <c r="L34" i="36"/>
  <c r="E75" i="36"/>
  <c r="E75" i="44"/>
  <c r="D75" i="44" l="1"/>
  <c r="F75" i="44"/>
  <c r="G75" i="44" s="1"/>
  <c r="F75" i="36"/>
  <c r="G75" i="36" s="1"/>
  <c r="D75" i="36"/>
  <c r="J35" i="44"/>
  <c r="K35" i="44" s="1"/>
  <c r="L35" i="44" s="1"/>
  <c r="M34" i="36"/>
  <c r="N34" i="36" s="1"/>
  <c r="E76" i="44"/>
  <c r="E76" i="36"/>
  <c r="D76" i="44" l="1"/>
  <c r="F76" i="44"/>
  <c r="G76" i="44" s="1"/>
  <c r="F76" i="36"/>
  <c r="G76" i="36" s="1"/>
  <c r="D76" i="36"/>
  <c r="Q34" i="36"/>
  <c r="J35" i="36"/>
  <c r="K35" i="36" s="1"/>
  <c r="L35" i="36" s="1"/>
  <c r="M35" i="36" s="1"/>
  <c r="M35" i="44"/>
  <c r="N35" i="44" s="1"/>
  <c r="E77" i="36"/>
  <c r="E77" i="44"/>
  <c r="F77" i="44" l="1"/>
  <c r="G77" i="44" s="1"/>
  <c r="D77" i="44"/>
  <c r="D77" i="36"/>
  <c r="F77" i="36"/>
  <c r="G77" i="36" s="1"/>
  <c r="J36" i="44"/>
  <c r="K36" i="44" s="1"/>
  <c r="L36" i="44" s="1"/>
  <c r="Q35" i="44"/>
  <c r="N35" i="36"/>
  <c r="E78" i="44"/>
  <c r="E78" i="36"/>
  <c r="D78" i="44" l="1"/>
  <c r="F78" i="44"/>
  <c r="G78" i="44" s="1"/>
  <c r="D78" i="36"/>
  <c r="F78" i="36"/>
  <c r="G78" i="36" s="1"/>
  <c r="M36" i="44"/>
  <c r="N36" i="44" s="1"/>
  <c r="J37" i="44" s="1"/>
  <c r="Q35" i="36"/>
  <c r="J36" i="36"/>
  <c r="E79" i="36"/>
  <c r="E79" i="44"/>
  <c r="D79" i="44" l="1"/>
  <c r="F79" i="44"/>
  <c r="G79" i="44" s="1"/>
  <c r="F79" i="36"/>
  <c r="G79" i="36" s="1"/>
  <c r="D79" i="36"/>
  <c r="Q36" i="44"/>
  <c r="K37" i="44"/>
  <c r="K36" i="36"/>
  <c r="L36" i="36" s="1"/>
  <c r="E80" i="36"/>
  <c r="E80" i="44"/>
  <c r="F80" i="44" l="1"/>
  <c r="G80" i="44" s="1"/>
  <c r="D80" i="44"/>
  <c r="D80" i="36"/>
  <c r="F80" i="36"/>
  <c r="G80" i="36" s="1"/>
  <c r="M36" i="36"/>
  <c r="N36" i="36" s="1"/>
  <c r="L37" i="44"/>
  <c r="M37" i="44" s="1"/>
  <c r="N37" i="44" s="1"/>
  <c r="E81" i="44"/>
  <c r="E81" i="36"/>
  <c r="D81" i="44" l="1"/>
  <c r="F81" i="44"/>
  <c r="G81" i="44" s="1"/>
  <c r="F81" i="36"/>
  <c r="G81" i="36" s="1"/>
  <c r="D81" i="36"/>
  <c r="Q37" i="44"/>
  <c r="J38" i="44"/>
  <c r="Q36" i="36"/>
  <c r="J37" i="36"/>
  <c r="E82" i="36"/>
  <c r="E82" i="44"/>
  <c r="D82" i="44" l="1"/>
  <c r="F82" i="44"/>
  <c r="G82" i="44" s="1"/>
  <c r="F82" i="36"/>
  <c r="G82" i="36" s="1"/>
  <c r="D82" i="36"/>
  <c r="K38" i="44"/>
  <c r="L38" i="44" s="1"/>
  <c r="K37" i="36"/>
  <c r="L37" i="36" s="1"/>
  <c r="E83" i="44"/>
  <c r="E83" i="36"/>
  <c r="F83" i="44" l="1"/>
  <c r="G83" i="44" s="1"/>
  <c r="D83" i="44"/>
  <c r="F83" i="36"/>
  <c r="G83" i="36" s="1"/>
  <c r="D83" i="36"/>
  <c r="M37" i="36"/>
  <c r="N37" i="36" s="1"/>
  <c r="M38" i="44"/>
  <c r="N38" i="44" s="1"/>
  <c r="E84" i="36"/>
  <c r="E84" i="44"/>
  <c r="D84" i="44" l="1"/>
  <c r="F84" i="44"/>
  <c r="G84" i="44" s="1"/>
  <c r="F84" i="36"/>
  <c r="G84" i="36" s="1"/>
  <c r="D84" i="36"/>
  <c r="Q37" i="36"/>
  <c r="J38" i="36"/>
  <c r="K38" i="36" s="1"/>
  <c r="Q38" i="44"/>
  <c r="J39" i="44"/>
  <c r="E85" i="36"/>
  <c r="E85" i="44"/>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44"/>
  <c r="E87" i="36"/>
  <c r="F87" i="44" l="1"/>
  <c r="G87" i="44" s="1"/>
  <c r="D87" i="44"/>
  <c r="F87" i="36"/>
  <c r="G87" i="36" s="1"/>
  <c r="D87" i="36"/>
  <c r="Q39" i="44"/>
  <c r="J40" i="44"/>
  <c r="K39" i="36"/>
  <c r="L39" i="36" s="1"/>
  <c r="E88" i="36"/>
  <c r="E88" i="44"/>
  <c r="D88" i="44" l="1"/>
  <c r="F88" i="44"/>
  <c r="G88" i="44" s="1"/>
  <c r="F88" i="36"/>
  <c r="G88" i="36" s="1"/>
  <c r="D88" i="36"/>
  <c r="M39" i="36"/>
  <c r="N39" i="36" s="1"/>
  <c r="K40" i="44"/>
  <c r="L40" i="44" s="1"/>
  <c r="M40" i="44" s="1"/>
  <c r="E89" i="44"/>
  <c r="E89" i="36"/>
  <c r="D89" i="44" l="1"/>
  <c r="F89" i="44"/>
  <c r="G89" i="44" s="1"/>
  <c r="D89" i="36"/>
  <c r="F89" i="36"/>
  <c r="G89" i="36" s="1"/>
  <c r="Q39" i="36"/>
  <c r="J40" i="36"/>
  <c r="K40" i="36" s="1"/>
  <c r="L40" i="36" s="1"/>
  <c r="N40" i="44"/>
  <c r="E90" i="44"/>
  <c r="E90" i="36"/>
  <c r="F90" i="44" l="1"/>
  <c r="G90" i="44" s="1"/>
  <c r="D90" i="44"/>
  <c r="D90" i="36"/>
  <c r="F90" i="36"/>
  <c r="G90" i="36" s="1"/>
  <c r="M40" i="36"/>
  <c r="N40" i="36" s="1"/>
  <c r="J41" i="36" s="1"/>
  <c r="Q40" i="44"/>
  <c r="J41" i="44"/>
  <c r="E91" i="44"/>
  <c r="E91" i="36"/>
  <c r="F91" i="44" l="1"/>
  <c r="G91" i="44" s="1"/>
  <c r="D91" i="44"/>
  <c r="F91" i="36"/>
  <c r="G91" i="36" s="1"/>
  <c r="D91" i="36"/>
  <c r="Q40" i="36"/>
  <c r="K41" i="44"/>
  <c r="K41" i="36"/>
  <c r="L41" i="36" s="1"/>
  <c r="M41" i="36" s="1"/>
  <c r="E92" i="44"/>
  <c r="E92" i="36"/>
  <c r="F92" i="44" l="1"/>
  <c r="G92" i="44" s="1"/>
  <c r="D92" i="44"/>
  <c r="F92" i="36"/>
  <c r="G92" i="36" s="1"/>
  <c r="D92" i="36"/>
  <c r="N41" i="36"/>
  <c r="L41" i="44"/>
  <c r="M41" i="44" s="1"/>
  <c r="E93" i="44"/>
  <c r="E93" i="36"/>
  <c r="F93" i="44" l="1"/>
  <c r="G93" i="44" s="1"/>
  <c r="D93" i="44"/>
  <c r="D93" i="36"/>
  <c r="F93" i="36"/>
  <c r="G93" i="36" s="1"/>
  <c r="N41" i="44"/>
  <c r="Q41" i="36"/>
  <c r="J42" i="36"/>
  <c r="E94" i="44"/>
  <c r="E94" i="36"/>
  <c r="F94" i="44" l="1"/>
  <c r="G94" i="44" s="1"/>
  <c r="D94" i="44"/>
  <c r="F94" i="36"/>
  <c r="G94" i="36" s="1"/>
  <c r="D94" i="36"/>
  <c r="Q41" i="44"/>
  <c r="J42" i="44"/>
  <c r="K42" i="36"/>
  <c r="L42" i="36" s="1"/>
  <c r="M42" i="36" s="1"/>
  <c r="N42" i="36" s="1"/>
  <c r="E95" i="44"/>
  <c r="E95" i="36"/>
  <c r="D95" i="44" l="1"/>
  <c r="F95" i="44"/>
  <c r="G95" i="44" s="1"/>
  <c r="F95" i="36"/>
  <c r="G95" i="36" s="1"/>
  <c r="D95" i="36"/>
  <c r="Q42" i="36"/>
  <c r="J43" i="36"/>
  <c r="K42" i="44"/>
  <c r="L42" i="44" s="1"/>
  <c r="M42" i="44" s="1"/>
  <c r="E96" i="44"/>
  <c r="E96" i="36"/>
  <c r="D96" i="44" l="1"/>
  <c r="F96" i="44"/>
  <c r="G96" i="44" s="1"/>
  <c r="F96" i="36"/>
  <c r="G96" i="36" s="1"/>
  <c r="D96" i="36"/>
  <c r="K43" i="36"/>
  <c r="L43" i="36" s="1"/>
  <c r="M43" i="36" s="1"/>
  <c r="N42" i="44"/>
  <c r="E97" i="36"/>
  <c r="E97" i="44"/>
  <c r="D97" i="44" l="1"/>
  <c r="F97" i="44"/>
  <c r="G97" i="44" s="1"/>
  <c r="D97" i="36"/>
  <c r="F97" i="36"/>
  <c r="G97" i="36" s="1"/>
  <c r="Q42" i="44"/>
  <c r="J43" i="44"/>
  <c r="N43" i="36"/>
  <c r="E98" i="44"/>
  <c r="E98" i="36"/>
  <c r="F98" i="44" l="1"/>
  <c r="G98" i="44" s="1"/>
  <c r="D98" i="44"/>
  <c r="F98" i="36"/>
  <c r="G98" i="36" s="1"/>
  <c r="D98" i="36"/>
  <c r="Q43" i="36"/>
  <c r="J44" i="36"/>
  <c r="K43" i="44"/>
  <c r="L43" i="44" s="1"/>
  <c r="M43" i="44" s="1"/>
  <c r="E99" i="36"/>
  <c r="E99" i="44"/>
  <c r="D99" i="44" l="1"/>
  <c r="F99" i="44"/>
  <c r="G99" i="44" s="1"/>
  <c r="D99" i="36"/>
  <c r="F99" i="36"/>
  <c r="G99" i="36" s="1"/>
  <c r="N43" i="44"/>
  <c r="K44" i="36"/>
  <c r="L44" i="36" s="1"/>
  <c r="E100" i="36"/>
  <c r="E100" i="44"/>
  <c r="D100" i="44" l="1"/>
  <c r="F100" i="44"/>
  <c r="G100" i="44" s="1"/>
  <c r="D100" i="36"/>
  <c r="F100" i="36"/>
  <c r="G100" i="36" s="1"/>
  <c r="M44" i="36"/>
  <c r="N44" i="36" s="1"/>
  <c r="J45" i="36" s="1"/>
  <c r="Q43" i="44"/>
  <c r="J44" i="44"/>
  <c r="E101" i="44"/>
  <c r="E101" i="36"/>
  <c r="F101" i="44" l="1"/>
  <c r="G101" i="44" s="1"/>
  <c r="D101" i="44"/>
  <c r="D101" i="36"/>
  <c r="F101" i="36"/>
  <c r="G101" i="36" s="1"/>
  <c r="Q44" i="36"/>
  <c r="K45" i="36"/>
  <c r="L45" i="36" s="1"/>
  <c r="K44" i="44"/>
  <c r="L44" i="44" s="1"/>
  <c r="M44" i="44" s="1"/>
  <c r="N44" i="44" s="1"/>
  <c r="E102" i="36"/>
  <c r="E102" i="44"/>
  <c r="D102" i="44" l="1"/>
  <c r="F102" i="44"/>
  <c r="G102" i="44" s="1"/>
  <c r="D102" i="36"/>
  <c r="F102" i="36"/>
  <c r="G102" i="36" s="1"/>
  <c r="M45" i="36"/>
  <c r="N45" i="36" s="1"/>
  <c r="Q44" i="44"/>
  <c r="J45" i="44"/>
  <c r="E103" i="44"/>
  <c r="E103" i="36"/>
  <c r="D103" i="44" l="1"/>
  <c r="F103" i="44"/>
  <c r="G103" i="44" s="1"/>
  <c r="D103" i="36"/>
  <c r="F103" i="36"/>
  <c r="G103" i="36" s="1"/>
  <c r="Q45" i="36"/>
  <c r="J46" i="36"/>
  <c r="K45" i="44"/>
  <c r="L45" i="44" s="1"/>
  <c r="M45" i="44" s="1"/>
  <c r="N45" i="44" s="1"/>
  <c r="E104" i="36"/>
  <c r="E104" i="44"/>
  <c r="F104" i="44" l="1"/>
  <c r="G104" i="44" s="1"/>
  <c r="D104" i="44"/>
  <c r="D104" i="36"/>
  <c r="F104" i="36"/>
  <c r="G104" i="36" s="1"/>
  <c r="Q45" i="44"/>
  <c r="J46" i="44"/>
  <c r="K46" i="36"/>
  <c r="L46" i="36" s="1"/>
  <c r="M46" i="36" s="1"/>
  <c r="E105" i="36"/>
  <c r="E105" i="44"/>
  <c r="D105" i="44" l="1"/>
  <c r="F105" i="44"/>
  <c r="G105" i="44" s="1"/>
  <c r="F105" i="36"/>
  <c r="G105" i="36" s="1"/>
  <c r="D105" i="36"/>
  <c r="N46" i="36"/>
  <c r="K46" i="44"/>
  <c r="L46" i="44" s="1"/>
  <c r="E106" i="36"/>
  <c r="E106" i="44"/>
  <c r="D106" i="44" l="1"/>
  <c r="F106" i="44"/>
  <c r="G106" i="44" s="1"/>
  <c r="D106" i="36"/>
  <c r="F106" i="36"/>
  <c r="G106" i="36" s="1"/>
  <c r="M46" i="44"/>
  <c r="N46" i="44" s="1"/>
  <c r="Q46" i="36"/>
  <c r="J47" i="36"/>
  <c r="E107" i="44"/>
  <c r="E107" i="36"/>
  <c r="D107" i="44" l="1"/>
  <c r="F107" i="44"/>
  <c r="G107" i="44" s="1"/>
  <c r="F107" i="36"/>
  <c r="G107" i="36" s="1"/>
  <c r="D107" i="36"/>
  <c r="J47" i="44"/>
  <c r="K47" i="44" s="1"/>
  <c r="L47" i="44" s="1"/>
  <c r="M47" i="44" s="1"/>
  <c r="Q46" i="44"/>
  <c r="K47" i="36"/>
  <c r="L47" i="36" s="1"/>
  <c r="M47" i="36" s="1"/>
  <c r="E108" i="36"/>
  <c r="E108" i="44"/>
  <c r="D108" i="44" l="1"/>
  <c r="F108" i="44"/>
  <c r="G108" i="44" s="1"/>
  <c r="D108" i="36"/>
  <c r="F108" i="36"/>
  <c r="G108" i="36" s="1"/>
  <c r="N47" i="36"/>
  <c r="N47" i="44"/>
  <c r="E109" i="36"/>
  <c r="E109" i="44"/>
  <c r="D109" i="44" l="1"/>
  <c r="F109" i="44"/>
  <c r="G109" i="44" s="1"/>
  <c r="D109" i="36"/>
  <c r="F109" i="36"/>
  <c r="G109" i="36" s="1"/>
  <c r="Q47" i="44"/>
  <c r="J48" i="44"/>
  <c r="Q47" i="36"/>
  <c r="J48" i="36"/>
  <c r="E110" i="36"/>
  <c r="E110" i="44"/>
  <c r="D110" i="44" l="1"/>
  <c r="F110" i="44"/>
  <c r="G110" i="44" s="1"/>
  <c r="D110" i="36"/>
  <c r="F110" i="36"/>
  <c r="G110" i="36" s="1"/>
  <c r="K48" i="36"/>
  <c r="L48" i="36" s="1"/>
  <c r="K48" i="44"/>
  <c r="L48" i="44" s="1"/>
  <c r="E111" i="44"/>
  <c r="E111" i="36"/>
  <c r="D111" i="44" l="1"/>
  <c r="F111" i="44"/>
  <c r="G111" i="44" s="1"/>
  <c r="D111" i="36"/>
  <c r="F111" i="36"/>
  <c r="G111" i="36" s="1"/>
  <c r="M48" i="36"/>
  <c r="N48" i="36" s="1"/>
  <c r="M48" i="44"/>
  <c r="N48" i="44" s="1"/>
  <c r="Q48" i="44" s="1"/>
  <c r="E112" i="36"/>
  <c r="E112" i="44"/>
  <c r="D112" i="44" l="1"/>
  <c r="F112" i="44"/>
  <c r="G112" i="44" s="1"/>
  <c r="D112" i="36"/>
  <c r="F112" i="36"/>
  <c r="G112" i="36" s="1"/>
  <c r="J49" i="44"/>
  <c r="K49" i="44" s="1"/>
  <c r="L49" i="44" s="1"/>
  <c r="Q48" i="36"/>
  <c r="J49" i="36"/>
  <c r="E113" i="36"/>
  <c r="E113" i="44"/>
  <c r="F113" i="44" l="1"/>
  <c r="G113" i="44" s="1"/>
  <c r="D113" i="44"/>
  <c r="D113" i="36"/>
  <c r="F113" i="36"/>
  <c r="G113" i="36" s="1"/>
  <c r="M49" i="44"/>
  <c r="N49" i="44" s="1"/>
  <c r="J50" i="44" s="1"/>
  <c r="K49" i="36"/>
  <c r="L49" i="36" s="1"/>
  <c r="M49" i="36" s="1"/>
  <c r="E114" i="44"/>
  <c r="E114" i="36"/>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36"/>
  <c r="E116" i="44"/>
  <c r="F116" i="44" l="1"/>
  <c r="G116" i="44" s="1"/>
  <c r="D116" i="44"/>
  <c r="F116" i="36"/>
  <c r="G116" i="36" s="1"/>
  <c r="D116" i="36"/>
  <c r="Q50" i="44"/>
  <c r="J51" i="44"/>
  <c r="K50" i="36"/>
  <c r="L50" i="36" s="1"/>
  <c r="E117" i="36"/>
  <c r="E117" i="44"/>
  <c r="D117" i="44" l="1"/>
  <c r="F117" i="44"/>
  <c r="G117" i="44" s="1"/>
  <c r="D117" i="36"/>
  <c r="F117" i="36"/>
  <c r="G117" i="36" s="1"/>
  <c r="M50" i="36"/>
  <c r="N50" i="36" s="1"/>
  <c r="K51" i="44"/>
  <c r="L51" i="44" s="1"/>
  <c r="M51" i="44" s="1"/>
  <c r="N51" i="44" s="1"/>
  <c r="E118" i="36"/>
  <c r="E118" i="44"/>
  <c r="D118" i="44" l="1"/>
  <c r="F118" i="44"/>
  <c r="G118" i="44" s="1"/>
  <c r="D118" i="36"/>
  <c r="F118" i="36"/>
  <c r="G118" i="36" s="1"/>
  <c r="Q51" i="44"/>
  <c r="J52" i="44"/>
  <c r="Q50" i="36"/>
  <c r="J51" i="36"/>
  <c r="E119" i="36"/>
  <c r="E119" i="44"/>
  <c r="D119" i="44" l="1"/>
  <c r="F119" i="44"/>
  <c r="G119" i="44" s="1"/>
  <c r="F119" i="36"/>
  <c r="G119" i="36" s="1"/>
  <c r="D119" i="36"/>
  <c r="K52" i="44"/>
  <c r="K51" i="36"/>
  <c r="L51" i="36" s="1"/>
  <c r="E120" i="36"/>
  <c r="E120" i="44"/>
  <c r="F120" i="44" l="1"/>
  <c r="G120" i="44" s="1"/>
  <c r="D120" i="44"/>
  <c r="D120" i="36"/>
  <c r="F120" i="36"/>
  <c r="G120" i="36" s="1"/>
  <c r="M51" i="36"/>
  <c r="N51" i="36" s="1"/>
  <c r="L52" i="44"/>
  <c r="M52" i="44" s="1"/>
  <c r="E121" i="44"/>
  <c r="E121" i="36"/>
  <c r="F121" i="44" l="1"/>
  <c r="G121" i="44" s="1"/>
  <c r="D121" i="44"/>
  <c r="J52" i="36"/>
  <c r="K52" i="36" s="1"/>
  <c r="Q51" i="36"/>
  <c r="D121" i="36"/>
  <c r="F121" i="36"/>
  <c r="G121" i="36" s="1"/>
  <c r="N52" i="44"/>
  <c r="E122" i="44"/>
  <c r="E122" i="36"/>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44"/>
  <c r="E124" i="36"/>
  <c r="D124" i="44" l="1"/>
  <c r="F124" i="44"/>
  <c r="G124" i="44" s="1"/>
  <c r="D124" i="36"/>
  <c r="F124" i="36"/>
  <c r="G124" i="36" s="1"/>
  <c r="Q52" i="36"/>
  <c r="J53" i="36"/>
  <c r="N53" i="44"/>
  <c r="E125" i="44"/>
  <c r="E125" i="36"/>
  <c r="D125" i="44" l="1"/>
  <c r="F125" i="44"/>
  <c r="G125" i="44" s="1"/>
  <c r="D125" i="36"/>
  <c r="F125" i="36"/>
  <c r="G125" i="36" s="1"/>
  <c r="Q53" i="44"/>
  <c r="J54" i="44"/>
  <c r="K53" i="36"/>
  <c r="L53" i="36" s="1"/>
  <c r="E126" i="44"/>
  <c r="E126" i="36"/>
  <c r="F126" i="44" l="1"/>
  <c r="G126" i="44" s="1"/>
  <c r="D126" i="44"/>
  <c r="D126" i="36"/>
  <c r="F126" i="36"/>
  <c r="G126" i="36" s="1"/>
  <c r="K54" i="44"/>
  <c r="L54" i="44" s="1"/>
  <c r="M53" i="36"/>
  <c r="N53" i="36" s="1"/>
  <c r="E127" i="44"/>
  <c r="E127" i="36"/>
  <c r="F127" i="44" l="1"/>
  <c r="G127" i="44" s="1"/>
  <c r="D127" i="44"/>
  <c r="D127" i="36"/>
  <c r="F127" i="36"/>
  <c r="G127" i="36" s="1"/>
  <c r="M54" i="44"/>
  <c r="N54" i="44" s="1"/>
  <c r="Q53" i="36"/>
  <c r="J54" i="36"/>
  <c r="E128" i="44"/>
  <c r="E128" i="36"/>
  <c r="F128" i="44" l="1"/>
  <c r="G128" i="44" s="1"/>
  <c r="D128" i="44"/>
  <c r="D128" i="36"/>
  <c r="F128" i="36"/>
  <c r="G128" i="36" s="1"/>
  <c r="Q54" i="44"/>
  <c r="J55" i="44"/>
  <c r="K54" i="36"/>
  <c r="L54" i="36" s="1"/>
  <c r="E129" i="44"/>
  <c r="E129" i="36"/>
  <c r="D129" i="44" l="1"/>
  <c r="F129" i="44"/>
  <c r="G129" i="44" s="1"/>
  <c r="D129" i="36"/>
  <c r="F129" i="36"/>
  <c r="G129" i="36" s="1"/>
  <c r="M54" i="36"/>
  <c r="N54" i="36" s="1"/>
  <c r="K55" i="44"/>
  <c r="L55" i="44" s="1"/>
  <c r="E130" i="36"/>
  <c r="E130" i="44"/>
  <c r="D130" i="44" l="1"/>
  <c r="F130" i="44"/>
  <c r="G130" i="44" s="1"/>
  <c r="F130" i="36"/>
  <c r="G130" i="36" s="1"/>
  <c r="D130" i="36"/>
  <c r="M55" i="44"/>
  <c r="N55" i="44" s="1"/>
  <c r="Q54" i="36"/>
  <c r="J55" i="36"/>
  <c r="E131" i="44"/>
  <c r="E131" i="36"/>
  <c r="D131" i="44" l="1"/>
  <c r="F131" i="44"/>
  <c r="G131" i="44" s="1"/>
  <c r="F131" i="36"/>
  <c r="G131" i="36" s="1"/>
  <c r="D131" i="36"/>
  <c r="Q55" i="44"/>
  <c r="J56" i="44"/>
  <c r="K56" i="44" s="1"/>
  <c r="L56" i="44" s="1"/>
  <c r="M56" i="44" s="1"/>
  <c r="K55" i="36"/>
  <c r="L55" i="36" s="1"/>
  <c r="M55" i="36" s="1"/>
  <c r="E132" i="44"/>
  <c r="E132" i="36"/>
  <c r="D132" i="44" l="1"/>
  <c r="F132" i="44"/>
  <c r="G132" i="44" s="1"/>
  <c r="D132" i="36"/>
  <c r="F132" i="36"/>
  <c r="G132" i="36" s="1"/>
  <c r="N55" i="36"/>
  <c r="N56" i="44"/>
  <c r="E133" i="44"/>
  <c r="E133" i="36"/>
  <c r="D133" i="44" l="1"/>
  <c r="F133" i="44"/>
  <c r="G133" i="44" s="1"/>
  <c r="D133" i="36"/>
  <c r="F133" i="36"/>
  <c r="G133" i="36" s="1"/>
  <c r="Q55" i="36"/>
  <c r="J56" i="36"/>
  <c r="Q56" i="44"/>
  <c r="J57" i="44"/>
  <c r="E134" i="36"/>
  <c r="E134" i="44"/>
  <c r="F134" i="44" l="1"/>
  <c r="G134" i="44" s="1"/>
  <c r="D134" i="44"/>
  <c r="F134" i="36"/>
  <c r="G134" i="36" s="1"/>
  <c r="D134" i="36"/>
  <c r="K56" i="36"/>
  <c r="L56" i="36" s="1"/>
  <c r="K57" i="44"/>
  <c r="L57" i="44" s="1"/>
  <c r="E135" i="44"/>
  <c r="E135" i="36"/>
  <c r="F135" i="44" l="1"/>
  <c r="G135" i="44" s="1"/>
  <c r="D135" i="44"/>
  <c r="F135" i="36"/>
  <c r="G135" i="36" s="1"/>
  <c r="D135" i="36"/>
  <c r="M57" i="44"/>
  <c r="N57" i="44" s="1"/>
  <c r="Q57" i="44" s="1"/>
  <c r="M56" i="36"/>
  <c r="N56" i="36" s="1"/>
  <c r="E136" i="44"/>
  <c r="E136" i="36"/>
  <c r="D136" i="44" l="1"/>
  <c r="F136" i="44"/>
  <c r="G136" i="44" s="1"/>
  <c r="F136" i="36"/>
  <c r="G136" i="36" s="1"/>
  <c r="D136" i="36"/>
  <c r="J58" i="44"/>
  <c r="K58" i="44" s="1"/>
  <c r="L58" i="44" s="1"/>
  <c r="Q56" i="36"/>
  <c r="J57" i="36"/>
  <c r="E137" i="44"/>
  <c r="E137" i="36"/>
  <c r="F137" i="44" l="1"/>
  <c r="G137" i="44" s="1"/>
  <c r="D137" i="44"/>
  <c r="D137" i="36"/>
  <c r="F137" i="36"/>
  <c r="G137" i="36" s="1"/>
  <c r="M58" i="44"/>
  <c r="N58" i="44" s="1"/>
  <c r="K57" i="36"/>
  <c r="E138" i="44"/>
  <c r="E138" i="36"/>
  <c r="D138" i="44" l="1"/>
  <c r="F138" i="44"/>
  <c r="G138" i="44" s="1"/>
  <c r="F138" i="36"/>
  <c r="G138" i="36" s="1"/>
  <c r="D138" i="36"/>
  <c r="Q58" i="44"/>
  <c r="J59" i="44"/>
  <c r="L57" i="36"/>
  <c r="M57" i="36" s="1"/>
  <c r="N57" i="36" s="1"/>
  <c r="E139" i="36"/>
  <c r="E139" i="44"/>
  <c r="F139" i="44" l="1"/>
  <c r="G139" i="44" s="1"/>
  <c r="D139" i="44"/>
  <c r="F139" i="36"/>
  <c r="G139" i="36" s="1"/>
  <c r="D139" i="36"/>
  <c r="Q57" i="36"/>
  <c r="J58" i="36"/>
  <c r="K59" i="44"/>
  <c r="L59" i="44" s="1"/>
  <c r="E140" i="44"/>
  <c r="E140" i="36"/>
  <c r="F140" i="44" l="1"/>
  <c r="G140" i="44" s="1"/>
  <c r="D140" i="44"/>
  <c r="F140" i="36"/>
  <c r="G140" i="36" s="1"/>
  <c r="D140" i="36"/>
  <c r="K58" i="36"/>
  <c r="L58" i="36" s="1"/>
  <c r="M59" i="44"/>
  <c r="N59" i="44" s="1"/>
  <c r="E141" i="36"/>
  <c r="E141" i="44"/>
  <c r="F141" i="44" l="1"/>
  <c r="G141" i="44" s="1"/>
  <c r="D141" i="44"/>
  <c r="F141" i="36"/>
  <c r="G141" i="36" s="1"/>
  <c r="D141" i="36"/>
  <c r="Q59" i="44"/>
  <c r="J60" i="44"/>
  <c r="M58" i="36"/>
  <c r="N58" i="36" s="1"/>
  <c r="E142" i="36"/>
  <c r="E142" i="44"/>
  <c r="F142" i="44" l="1"/>
  <c r="G142" i="44" s="1"/>
  <c r="D142" i="44"/>
  <c r="D142" i="36"/>
  <c r="F142" i="36"/>
  <c r="G142" i="36" s="1"/>
  <c r="Q58" i="36"/>
  <c r="J59" i="36"/>
  <c r="K60" i="44"/>
  <c r="L60" i="44" s="1"/>
  <c r="M60" i="44" s="1"/>
  <c r="E143" i="36"/>
  <c r="E143" i="44"/>
  <c r="D143" i="44" l="1"/>
  <c r="F143" i="44"/>
  <c r="G143" i="44" s="1"/>
  <c r="D143" i="36"/>
  <c r="F143" i="36"/>
  <c r="G143" i="36" s="1"/>
  <c r="K59" i="36"/>
  <c r="L59" i="36" s="1"/>
  <c r="M59" i="36" s="1"/>
  <c r="N60" i="44"/>
  <c r="E144" i="44"/>
  <c r="E144" i="36"/>
  <c r="F144" i="44" l="1"/>
  <c r="G144" i="44" s="1"/>
  <c r="D144" i="44"/>
  <c r="D144" i="36"/>
  <c r="F144" i="36"/>
  <c r="G144" i="36" s="1"/>
  <c r="N59" i="36"/>
  <c r="Q60" i="44"/>
  <c r="J61" i="44"/>
  <c r="E145" i="36"/>
  <c r="E145" i="44"/>
  <c r="D145" i="44" l="1"/>
  <c r="F145" i="44"/>
  <c r="G145" i="44" s="1"/>
  <c r="J60" i="36"/>
  <c r="K60" i="36" s="1"/>
  <c r="L60" i="36" s="1"/>
  <c r="M60" i="36" s="1"/>
  <c r="Q59" i="36"/>
  <c r="F145" i="36"/>
  <c r="G145" i="36" s="1"/>
  <c r="D145" i="36"/>
  <c r="K61" i="44"/>
  <c r="E146" i="44"/>
  <c r="E146" i="36"/>
  <c r="D146" i="44" l="1"/>
  <c r="F146" i="44"/>
  <c r="G146" i="44" s="1"/>
  <c r="D146" i="36"/>
  <c r="F146" i="36"/>
  <c r="G146" i="36" s="1"/>
  <c r="L61" i="44"/>
  <c r="M61" i="44" s="1"/>
  <c r="N61" i="44" s="1"/>
  <c r="N60" i="36"/>
  <c r="E147" i="36"/>
  <c r="E147" i="44"/>
  <c r="D147" i="44" l="1"/>
  <c r="F147" i="44"/>
  <c r="G147" i="44" s="1"/>
  <c r="D147" i="36"/>
  <c r="F147" i="36"/>
  <c r="G147" i="36" s="1"/>
  <c r="Q60" i="36"/>
  <c r="J61" i="36"/>
  <c r="Q61" i="44"/>
  <c r="J62" i="44"/>
  <c r="E148" i="36"/>
  <c r="E148" i="44"/>
  <c r="D148" i="44" l="1"/>
  <c r="F148" i="44"/>
  <c r="G148" i="44" s="1"/>
  <c r="D148" i="36"/>
  <c r="F148" i="36"/>
  <c r="G148" i="36" s="1"/>
  <c r="K61" i="36"/>
  <c r="K62" i="44"/>
  <c r="L62" i="44" s="1"/>
  <c r="E149" i="44"/>
  <c r="E149" i="36"/>
  <c r="F149" i="44" l="1"/>
  <c r="G149" i="44" s="1"/>
  <c r="D149" i="44"/>
  <c r="D149" i="36"/>
  <c r="F149" i="36"/>
  <c r="G149" i="36" s="1"/>
  <c r="L61" i="36"/>
  <c r="M61" i="36" s="1"/>
  <c r="N61" i="36" s="1"/>
  <c r="M62" i="44"/>
  <c r="N62" i="44" s="1"/>
  <c r="E150" i="44"/>
  <c r="E150" i="36"/>
  <c r="D150" i="44" l="1"/>
  <c r="F150" i="44"/>
  <c r="G150" i="44" s="1"/>
  <c r="D150" i="36"/>
  <c r="F150" i="36"/>
  <c r="G150" i="36" s="1"/>
  <c r="J63" i="44"/>
  <c r="K63" i="44" s="1"/>
  <c r="L63" i="44" s="1"/>
  <c r="Q62" i="44"/>
  <c r="Q61" i="36"/>
  <c r="J62" i="36"/>
  <c r="E151" i="36"/>
  <c r="E151" i="44"/>
  <c r="F151" i="44" l="1"/>
  <c r="G151" i="44" s="1"/>
  <c r="D151" i="44"/>
  <c r="D151" i="36"/>
  <c r="F151" i="36"/>
  <c r="G151" i="36" s="1"/>
  <c r="M63" i="44"/>
  <c r="N63" i="44" s="1"/>
  <c r="K62" i="36"/>
  <c r="L62" i="36" s="1"/>
  <c r="E152" i="44"/>
  <c r="E152" i="36"/>
  <c r="F152" i="44" l="1"/>
  <c r="G152" i="44" s="1"/>
  <c r="D152" i="44"/>
  <c r="D152" i="36"/>
  <c r="F152" i="36"/>
  <c r="G152" i="36" s="1"/>
  <c r="Q63" i="44"/>
  <c r="J64" i="44"/>
  <c r="M62" i="36"/>
  <c r="N62" i="36" s="1"/>
  <c r="E153" i="36"/>
  <c r="E153" i="44"/>
  <c r="D153" i="44" l="1"/>
  <c r="F153" i="44"/>
  <c r="G153" i="44" s="1"/>
  <c r="F153" i="36"/>
  <c r="G153" i="36" s="1"/>
  <c r="D153" i="36"/>
  <c r="Q62" i="36"/>
  <c r="J63" i="36"/>
  <c r="K64" i="44"/>
  <c r="L64" i="44" s="1"/>
  <c r="E154" i="36"/>
  <c r="E154" i="44"/>
  <c r="F154" i="44" l="1"/>
  <c r="G154" i="44" s="1"/>
  <c r="D154" i="44"/>
  <c r="F154" i="36"/>
  <c r="G154" i="36" s="1"/>
  <c r="D154" i="36"/>
  <c r="M64" i="44"/>
  <c r="N64" i="44" s="1"/>
  <c r="K63" i="36"/>
  <c r="L63" i="36" s="1"/>
  <c r="E155" i="44"/>
  <c r="E155" i="36"/>
  <c r="D155" i="44" l="1"/>
  <c r="F155" i="44"/>
  <c r="G155" i="44" s="1"/>
  <c r="D155" i="36"/>
  <c r="F155" i="36"/>
  <c r="G155" i="36" s="1"/>
  <c r="Q64" i="44"/>
  <c r="J65" i="44"/>
  <c r="M63" i="36"/>
  <c r="N63" i="36" s="1"/>
  <c r="E156" i="36"/>
  <c r="E156" i="44"/>
  <c r="F156" i="44" l="1"/>
  <c r="G156" i="44" s="1"/>
  <c r="D156" i="44"/>
  <c r="F156" i="36"/>
  <c r="G156" i="36" s="1"/>
  <c r="D156" i="36"/>
  <c r="Q63" i="36"/>
  <c r="J64" i="36"/>
  <c r="K65" i="44"/>
  <c r="L65" i="44" s="1"/>
  <c r="E157" i="44"/>
  <c r="E157" i="36"/>
  <c r="D157" i="44" l="1"/>
  <c r="F157" i="44"/>
  <c r="G157" i="44" s="1"/>
  <c r="D157" i="36"/>
  <c r="F157" i="36"/>
  <c r="G157" i="36" s="1"/>
  <c r="M65" i="44"/>
  <c r="N65" i="44" s="1"/>
  <c r="K64" i="36"/>
  <c r="E158" i="44"/>
  <c r="E158" i="36"/>
  <c r="D158" i="44" l="1"/>
  <c r="F158" i="44"/>
  <c r="G158" i="44" s="1"/>
  <c r="F158" i="36"/>
  <c r="G158" i="36" s="1"/>
  <c r="D158" i="36"/>
  <c r="Q65" i="44"/>
  <c r="J66" i="44"/>
  <c r="L64" i="36"/>
  <c r="E159" i="44"/>
  <c r="E159" i="36"/>
  <c r="F159" i="44" l="1"/>
  <c r="G159" i="44" s="1"/>
  <c r="D159" i="44"/>
  <c r="D159" i="36"/>
  <c r="F159" i="36"/>
  <c r="G159" i="36" s="1"/>
  <c r="M64" i="36"/>
  <c r="N64" i="36" s="1"/>
  <c r="K66" i="44"/>
  <c r="L66" i="44" s="1"/>
  <c r="M66" i="44" s="1"/>
  <c r="E160" i="44"/>
  <c r="E160" i="36"/>
  <c r="D160" i="44" l="1"/>
  <c r="F160" i="44"/>
  <c r="G160" i="44" s="1"/>
  <c r="D160" i="36"/>
  <c r="F160" i="36"/>
  <c r="G160" i="36" s="1"/>
  <c r="Q64" i="36"/>
  <c r="J65" i="36"/>
  <c r="N66" i="44"/>
  <c r="E161" i="36"/>
  <c r="E161" i="44"/>
  <c r="F161" i="44" l="1"/>
  <c r="G161" i="44" s="1"/>
  <c r="D161" i="44"/>
  <c r="D161" i="36"/>
  <c r="F161" i="36"/>
  <c r="G161" i="36" s="1"/>
  <c r="K65" i="36"/>
  <c r="L65" i="36" s="1"/>
  <c r="M65" i="36" s="1"/>
  <c r="N65" i="36" s="1"/>
  <c r="Q66" i="44"/>
  <c r="J67" i="44"/>
  <c r="E162" i="36"/>
  <c r="E162" i="44"/>
  <c r="F162" i="44" l="1"/>
  <c r="G162" i="44" s="1"/>
  <c r="D162" i="44"/>
  <c r="F162" i="36"/>
  <c r="G162" i="36" s="1"/>
  <c r="D162" i="36"/>
  <c r="Q65" i="36"/>
  <c r="J66" i="36"/>
  <c r="K67" i="44"/>
  <c r="L67" i="44" s="1"/>
  <c r="E163" i="36"/>
  <c r="E163" i="44"/>
  <c r="F163" i="44" l="1"/>
  <c r="G163" i="44" s="1"/>
  <c r="D163" i="44"/>
  <c r="D163" i="36"/>
  <c r="F163" i="36"/>
  <c r="G163" i="36" s="1"/>
  <c r="K66" i="36"/>
  <c r="L66" i="36" s="1"/>
  <c r="M67" i="44"/>
  <c r="N67" i="44" s="1"/>
  <c r="E164" i="36"/>
  <c r="E164" i="44"/>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44"/>
  <c r="E166" i="36"/>
  <c r="D166" i="44" l="1"/>
  <c r="F166" i="44"/>
  <c r="G166" i="44" s="1"/>
  <c r="D166" i="36"/>
  <c r="F166" i="36"/>
  <c r="G166" i="36" s="1"/>
  <c r="M67" i="36"/>
  <c r="N67" i="36" s="1"/>
  <c r="Q68" i="44"/>
  <c r="J69" i="44"/>
  <c r="E167" i="36"/>
  <c r="E167" i="44"/>
  <c r="D167" i="44" l="1"/>
  <c r="F167" i="44"/>
  <c r="G167" i="44" s="1"/>
  <c r="D167" i="36"/>
  <c r="F167" i="36"/>
  <c r="G167" i="36" s="1"/>
  <c r="Q67" i="36"/>
  <c r="J68" i="36"/>
  <c r="K68" i="36" s="1"/>
  <c r="L68" i="36" s="1"/>
  <c r="K69" i="44"/>
  <c r="L69" i="44" s="1"/>
  <c r="E168" i="36"/>
  <c r="E168" i="44"/>
  <c r="D168" i="44" l="1"/>
  <c r="F168" i="44"/>
  <c r="G168" i="44" s="1"/>
  <c r="D168" i="36"/>
  <c r="F168" i="36"/>
  <c r="G168" i="36" s="1"/>
  <c r="M69" i="44"/>
  <c r="N69" i="44" s="1"/>
  <c r="M68" i="36"/>
  <c r="N68" i="36" s="1"/>
  <c r="E169" i="44"/>
  <c r="E169" i="36"/>
  <c r="D169" i="44" l="1"/>
  <c r="F169" i="44"/>
  <c r="G169" i="44" s="1"/>
  <c r="F169" i="36"/>
  <c r="G169" i="36" s="1"/>
  <c r="D169" i="36"/>
  <c r="Q69" i="44"/>
  <c r="J70" i="44"/>
  <c r="Q68" i="36"/>
  <c r="J69" i="36"/>
  <c r="E170" i="36"/>
  <c r="E170" i="44"/>
  <c r="F170" i="44" l="1"/>
  <c r="G170" i="44" s="1"/>
  <c r="D170" i="44"/>
  <c r="D170" i="36"/>
  <c r="F170" i="36"/>
  <c r="G170" i="36" s="1"/>
  <c r="K70" i="44"/>
  <c r="L70" i="44" s="1"/>
  <c r="K69" i="36"/>
  <c r="L69" i="36" s="1"/>
  <c r="M69" i="36" s="1"/>
  <c r="N69" i="36" s="1"/>
  <c r="E171" i="44"/>
  <c r="E171" i="36"/>
  <c r="D171" i="44" l="1"/>
  <c r="F171" i="44"/>
  <c r="G171" i="44" s="1"/>
  <c r="D171" i="36"/>
  <c r="F171" i="36"/>
  <c r="G171" i="36" s="1"/>
  <c r="M70" i="44"/>
  <c r="N70" i="44" s="1"/>
  <c r="Q70" i="44" s="1"/>
  <c r="Q69" i="36"/>
  <c r="J70" i="36"/>
  <c r="E172" i="36"/>
  <c r="E172" i="44"/>
  <c r="D172" i="44" l="1"/>
  <c r="F172" i="44"/>
  <c r="G172" i="44" s="1"/>
  <c r="D172" i="36"/>
  <c r="F172" i="36"/>
  <c r="G172" i="36" s="1"/>
  <c r="J71" i="44"/>
  <c r="K71" i="44" s="1"/>
  <c r="L71" i="44" s="1"/>
  <c r="K70" i="36"/>
  <c r="E173" i="36"/>
  <c r="E173" i="44"/>
  <c r="F173" i="44" l="1"/>
  <c r="G173" i="44" s="1"/>
  <c r="D173" i="44"/>
  <c r="D173" i="36"/>
  <c r="F173" i="36"/>
  <c r="G173" i="36" s="1"/>
  <c r="M71" i="44"/>
  <c r="N71" i="44" s="1"/>
  <c r="L70" i="36"/>
  <c r="M70" i="36" s="1"/>
  <c r="E174" i="44"/>
  <c r="E174" i="36"/>
  <c r="D174" i="44" l="1"/>
  <c r="F174" i="44"/>
  <c r="G174" i="44" s="1"/>
  <c r="F174" i="36"/>
  <c r="G174" i="36" s="1"/>
  <c r="D174" i="36"/>
  <c r="Q71" i="44"/>
  <c r="J72" i="44"/>
  <c r="N70" i="36"/>
  <c r="E175" i="36"/>
  <c r="E175" i="44"/>
  <c r="F175" i="44" l="1"/>
  <c r="G175" i="44" s="1"/>
  <c r="D175" i="44"/>
  <c r="D175" i="36"/>
  <c r="F175" i="36"/>
  <c r="G175" i="36" s="1"/>
  <c r="K72" i="44"/>
  <c r="L72" i="44" s="1"/>
  <c r="M72" i="44" s="1"/>
  <c r="Q70" i="36"/>
  <c r="J71" i="36"/>
  <c r="E176" i="44"/>
  <c r="E176" i="36"/>
  <c r="D176" i="44" l="1"/>
  <c r="F176" i="44"/>
  <c r="G176" i="44" s="1"/>
  <c r="F176" i="36"/>
  <c r="G176" i="36" s="1"/>
  <c r="D176" i="36"/>
  <c r="N72" i="44"/>
  <c r="K71" i="36"/>
  <c r="L71" i="36" s="1"/>
  <c r="M71" i="36" s="1"/>
  <c r="E177" i="44"/>
  <c r="E177" i="36"/>
  <c r="F177" i="44" l="1"/>
  <c r="G177" i="44" s="1"/>
  <c r="D177" i="44"/>
  <c r="F177" i="36"/>
  <c r="G177" i="36" s="1"/>
  <c r="D177" i="36"/>
  <c r="Q72" i="44"/>
  <c r="J73" i="44"/>
  <c r="N71" i="36"/>
  <c r="E178" i="36"/>
  <c r="E178" i="44"/>
  <c r="D178" i="44" l="1"/>
  <c r="F178" i="44"/>
  <c r="G178" i="44" s="1"/>
  <c r="D178" i="36"/>
  <c r="F178" i="36"/>
  <c r="G178" i="36" s="1"/>
  <c r="K73" i="44"/>
  <c r="Q71" i="36"/>
  <c r="J72" i="36"/>
  <c r="E179" i="44"/>
  <c r="E179" i="36"/>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36"/>
  <c r="E181" i="44"/>
  <c r="D181" i="44" l="1"/>
  <c r="F181" i="44"/>
  <c r="G181" i="44" s="1"/>
  <c r="D181" i="36"/>
  <c r="F181" i="36"/>
  <c r="G181" i="36" s="1"/>
  <c r="Q73" i="44"/>
  <c r="J74" i="44"/>
  <c r="Q72" i="36"/>
  <c r="J73" i="36"/>
  <c r="E182" i="36"/>
  <c r="E182" i="44"/>
  <c r="F182" i="44" l="1"/>
  <c r="G182" i="44" s="1"/>
  <c r="D182" i="44"/>
  <c r="D182" i="36"/>
  <c r="F182" i="36"/>
  <c r="G182" i="36" s="1"/>
  <c r="K74" i="44"/>
  <c r="L74" i="44" s="1"/>
  <c r="K73" i="36"/>
  <c r="L73" i="36" s="1"/>
  <c r="M73" i="36" s="1"/>
  <c r="N73" i="36" s="1"/>
  <c r="E183" i="44"/>
  <c r="E183" i="36"/>
  <c r="F183" i="44" l="1"/>
  <c r="G183" i="44" s="1"/>
  <c r="D183" i="44"/>
  <c r="D183" i="36"/>
  <c r="F183" i="36"/>
  <c r="G183" i="36" s="1"/>
  <c r="Q73" i="36"/>
  <c r="J74" i="36"/>
  <c r="M74" i="44"/>
  <c r="N74" i="44" s="1"/>
  <c r="E184" i="44"/>
  <c r="E184" i="36"/>
  <c r="F184" i="44" l="1"/>
  <c r="G184" i="44" s="1"/>
  <c r="D184" i="44"/>
  <c r="F184" i="36"/>
  <c r="G184" i="36" s="1"/>
  <c r="D184" i="36"/>
  <c r="Q74" i="44"/>
  <c r="J75" i="44"/>
  <c r="K74" i="36"/>
  <c r="L74" i="36" s="1"/>
  <c r="M74" i="36" s="1"/>
  <c r="E185" i="36"/>
  <c r="E185" i="44"/>
  <c r="F185" i="44" l="1"/>
  <c r="G185" i="44" s="1"/>
  <c r="D185" i="44"/>
  <c r="D185" i="36"/>
  <c r="F185" i="36"/>
  <c r="G185" i="36" s="1"/>
  <c r="K75" i="44"/>
  <c r="L75" i="44" s="1"/>
  <c r="M75" i="44" s="1"/>
  <c r="N74" i="36"/>
  <c r="E186" i="36"/>
  <c r="E186" i="44"/>
  <c r="D186" i="44" l="1"/>
  <c r="F186" i="44"/>
  <c r="G186" i="44" s="1"/>
  <c r="D186" i="36"/>
  <c r="F186" i="36"/>
  <c r="G186" i="36" s="1"/>
  <c r="Q74" i="36"/>
  <c r="J75" i="36"/>
  <c r="N75" i="44"/>
  <c r="E187" i="44"/>
  <c r="E187" i="36"/>
  <c r="F187" i="44" l="1"/>
  <c r="G187" i="44" s="1"/>
  <c r="D187" i="44"/>
  <c r="D187" i="36"/>
  <c r="F187" i="36"/>
  <c r="G187" i="36" s="1"/>
  <c r="K75" i="36"/>
  <c r="L75" i="36" s="1"/>
  <c r="M75" i="36" s="1"/>
  <c r="N75" i="36" s="1"/>
  <c r="Q75" i="44"/>
  <c r="J76" i="44"/>
  <c r="E188" i="36"/>
  <c r="E188" i="44"/>
  <c r="D188" i="44" l="1"/>
  <c r="F188" i="44"/>
  <c r="G188" i="44" s="1"/>
  <c r="F188" i="36"/>
  <c r="G188" i="36" s="1"/>
  <c r="D188" i="36"/>
  <c r="Q75" i="36"/>
  <c r="J76" i="36"/>
  <c r="K76" i="44"/>
  <c r="L76" i="44" s="1"/>
  <c r="M76" i="44" s="1"/>
  <c r="E189" i="36"/>
  <c r="E189" i="44"/>
  <c r="D189" i="44" l="1"/>
  <c r="F189" i="44"/>
  <c r="G189" i="44" s="1"/>
  <c r="D189" i="36"/>
  <c r="F189" i="36"/>
  <c r="G189" i="36" s="1"/>
  <c r="N76" i="44"/>
  <c r="K76" i="36"/>
  <c r="L76" i="36" s="1"/>
  <c r="E190" i="44"/>
  <c r="E190" i="36"/>
  <c r="D190" i="44" l="1"/>
  <c r="F190" i="44"/>
  <c r="G190" i="44" s="1"/>
  <c r="F190" i="36"/>
  <c r="G190" i="36" s="1"/>
  <c r="D190" i="36"/>
  <c r="M76" i="36"/>
  <c r="N76" i="36" s="1"/>
  <c r="Q76" i="44"/>
  <c r="J77" i="44"/>
  <c r="E191" i="44"/>
  <c r="E191" i="36"/>
  <c r="D191" i="44" l="1"/>
  <c r="F191" i="44"/>
  <c r="G191" i="44" s="1"/>
  <c r="D191" i="36"/>
  <c r="F191" i="36"/>
  <c r="G191" i="36" s="1"/>
  <c r="Q76" i="36"/>
  <c r="J77" i="36"/>
  <c r="K77" i="44"/>
  <c r="L77" i="44" s="1"/>
  <c r="M77" i="44" s="1"/>
  <c r="E192" i="36"/>
  <c r="E192" i="44"/>
  <c r="F192" i="44" l="1"/>
  <c r="G192" i="44" s="1"/>
  <c r="D192" i="44"/>
  <c r="F192" i="36"/>
  <c r="G192" i="36" s="1"/>
  <c r="D192" i="36"/>
  <c r="N77" i="44"/>
  <c r="K77" i="36"/>
  <c r="L77" i="36" s="1"/>
  <c r="E193" i="44"/>
  <c r="E193" i="36"/>
  <c r="D193" i="44" l="1"/>
  <c r="F193" i="44"/>
  <c r="G193" i="44" s="1"/>
  <c r="D193" i="36"/>
  <c r="F193" i="36"/>
  <c r="G193" i="36" s="1"/>
  <c r="M77" i="36"/>
  <c r="N77" i="36" s="1"/>
  <c r="Q77" i="44"/>
  <c r="J78" i="44"/>
  <c r="E194" i="36"/>
  <c r="E194" i="44"/>
  <c r="F194" i="44" l="1"/>
  <c r="G194" i="44" s="1"/>
  <c r="D194" i="44"/>
  <c r="D194" i="36"/>
  <c r="F194" i="36"/>
  <c r="G194" i="36" s="1"/>
  <c r="Q77" i="36"/>
  <c r="J78" i="36"/>
  <c r="K78" i="44"/>
  <c r="L78" i="44" s="1"/>
  <c r="M78" i="44" s="1"/>
  <c r="E195" i="36"/>
  <c r="E195" i="44"/>
  <c r="F195" i="44" l="1"/>
  <c r="G195" i="44" s="1"/>
  <c r="D195" i="44"/>
  <c r="D195" i="36"/>
  <c r="F195" i="36"/>
  <c r="G195" i="36" s="1"/>
  <c r="K78" i="36"/>
  <c r="L78" i="36" s="1"/>
  <c r="M78" i="36" s="1"/>
  <c r="N78" i="36" s="1"/>
  <c r="N78" i="44"/>
  <c r="E196" i="36"/>
  <c r="E196" i="44"/>
  <c r="F196" i="44" l="1"/>
  <c r="G196" i="44" s="1"/>
  <c r="D196" i="44"/>
  <c r="F196" i="36"/>
  <c r="G196" i="36" s="1"/>
  <c r="D196" i="36"/>
  <c r="Q78" i="36"/>
  <c r="J79" i="36"/>
  <c r="Q78" i="44"/>
  <c r="J79" i="44"/>
  <c r="E197" i="36"/>
  <c r="E197" i="44"/>
  <c r="D197" i="44" l="1"/>
  <c r="F197" i="44"/>
  <c r="G197" i="44" s="1"/>
  <c r="F197" i="36"/>
  <c r="G197" i="36" s="1"/>
  <c r="D197" i="36"/>
  <c r="K79" i="36"/>
  <c r="L79" i="36" s="1"/>
  <c r="M79" i="36" s="1"/>
  <c r="K79" i="44"/>
  <c r="L79" i="44" s="1"/>
  <c r="E198" i="36"/>
  <c r="E198" i="44"/>
  <c r="D198" i="44" l="1"/>
  <c r="F198" i="44"/>
  <c r="G198" i="44" s="1"/>
  <c r="D198" i="36"/>
  <c r="F198" i="36"/>
  <c r="G198" i="36" s="1"/>
  <c r="N79" i="36"/>
  <c r="M79" i="44"/>
  <c r="N79" i="44" s="1"/>
  <c r="E199" i="44"/>
  <c r="E199" i="36"/>
  <c r="F199" i="44" l="1"/>
  <c r="G199" i="44" s="1"/>
  <c r="D199" i="44"/>
  <c r="D199" i="36"/>
  <c r="F199" i="36"/>
  <c r="G199" i="36" s="1"/>
  <c r="Q79" i="44"/>
  <c r="J80" i="44"/>
  <c r="Q79" i="36"/>
  <c r="J80" i="36"/>
  <c r="E200" i="36"/>
  <c r="E200" i="44"/>
  <c r="D200" i="44" l="1"/>
  <c r="F200" i="44"/>
  <c r="G200" i="44" s="1"/>
  <c r="D200" i="36"/>
  <c r="F200" i="36"/>
  <c r="G200" i="36" s="1"/>
  <c r="K80" i="36"/>
  <c r="K80" i="44"/>
  <c r="L80" i="44" s="1"/>
  <c r="M80" i="44" s="1"/>
  <c r="E201" i="36"/>
  <c r="E201" i="44"/>
  <c r="F201" i="44" l="1"/>
  <c r="G201" i="44" s="1"/>
  <c r="D201" i="44"/>
  <c r="D201" i="36"/>
  <c r="F201" i="36"/>
  <c r="G201" i="36" s="1"/>
  <c r="N80" i="44"/>
  <c r="L80" i="36"/>
  <c r="E202" i="44"/>
  <c r="E202" i="36"/>
  <c r="D202" i="44" l="1"/>
  <c r="F202" i="44"/>
  <c r="G202" i="44" s="1"/>
  <c r="D202" i="36"/>
  <c r="F202" i="36"/>
  <c r="G202" i="36" s="1"/>
  <c r="M80" i="36"/>
  <c r="N80" i="36" s="1"/>
  <c r="Q80" i="44"/>
  <c r="J81" i="44"/>
  <c r="E203" i="36"/>
  <c r="E203" i="44"/>
  <c r="F203" i="44" l="1"/>
  <c r="G203" i="44" s="1"/>
  <c r="D203" i="44"/>
  <c r="F203" i="36"/>
  <c r="G203" i="36" s="1"/>
  <c r="D203" i="36"/>
  <c r="Q80" i="36"/>
  <c r="J81" i="36"/>
  <c r="K81" i="44"/>
  <c r="E204" i="44"/>
  <c r="E204" i="36"/>
  <c r="F204" i="44" l="1"/>
  <c r="G204" i="44" s="1"/>
  <c r="D204" i="44"/>
  <c r="D204" i="36"/>
  <c r="F204" i="36"/>
  <c r="G204" i="36" s="1"/>
  <c r="L81" i="44"/>
  <c r="M81" i="44" s="1"/>
  <c r="N81" i="44" s="1"/>
  <c r="K81" i="36"/>
  <c r="E205" i="44"/>
  <c r="E205" i="36"/>
  <c r="D205" i="44" l="1"/>
  <c r="F205" i="44"/>
  <c r="G205" i="44" s="1"/>
  <c r="F205" i="36"/>
  <c r="G205" i="36" s="1"/>
  <c r="D205" i="36"/>
  <c r="Q81" i="44"/>
  <c r="J82" i="44"/>
  <c r="L81" i="36"/>
  <c r="M81" i="36" s="1"/>
  <c r="E206" i="44"/>
  <c r="E206" i="36"/>
  <c r="F206" i="44" l="1"/>
  <c r="G206" i="44" s="1"/>
  <c r="D206" i="44"/>
  <c r="D206" i="36"/>
  <c r="F206" i="36"/>
  <c r="G206" i="36" s="1"/>
  <c r="N81" i="36"/>
  <c r="K82" i="44"/>
  <c r="E207" i="36"/>
  <c r="E207" i="44"/>
  <c r="F207" i="44" l="1"/>
  <c r="G207" i="44" s="1"/>
  <c r="D207" i="44"/>
  <c r="D207" i="36"/>
  <c r="F207" i="36"/>
  <c r="G207" i="36" s="1"/>
  <c r="Q81" i="36"/>
  <c r="J82" i="36"/>
  <c r="L82" i="44"/>
  <c r="M82" i="44" s="1"/>
  <c r="E208" i="36"/>
  <c r="E208" i="44"/>
  <c r="D208" i="44" l="1"/>
  <c r="F208" i="44"/>
  <c r="G208" i="44" s="1"/>
  <c r="F208" i="36"/>
  <c r="G208" i="36" s="1"/>
  <c r="D208" i="36"/>
  <c r="K82" i="36"/>
  <c r="N82" i="44"/>
  <c r="E209" i="44"/>
  <c r="E209" i="36"/>
  <c r="D209" i="44" l="1"/>
  <c r="F209" i="44"/>
  <c r="G209" i="44" s="1"/>
  <c r="D209" i="36"/>
  <c r="F209" i="36"/>
  <c r="G209" i="36" s="1"/>
  <c r="L82" i="36"/>
  <c r="M82" i="36" s="1"/>
  <c r="Q82" i="44"/>
  <c r="J83" i="44"/>
  <c r="E210" i="36"/>
  <c r="E210" i="44"/>
  <c r="D210" i="44" l="1"/>
  <c r="F210" i="44"/>
  <c r="G210" i="44" s="1"/>
  <c r="D210" i="36"/>
  <c r="F210" i="36"/>
  <c r="G210" i="36" s="1"/>
  <c r="K83" i="44"/>
  <c r="L83" i="44" s="1"/>
  <c r="M83" i="44" s="1"/>
  <c r="N82" i="36"/>
  <c r="E211" i="44"/>
  <c r="E211" i="36"/>
  <c r="F211" i="44" l="1"/>
  <c r="G211" i="44" s="1"/>
  <c r="D211" i="44"/>
  <c r="D211" i="36"/>
  <c r="F211" i="36"/>
  <c r="G211" i="36" s="1"/>
  <c r="N83" i="44"/>
  <c r="Q82" i="36"/>
  <c r="J83" i="36"/>
  <c r="E212" i="36"/>
  <c r="E212" i="44"/>
  <c r="F212" i="44" l="1"/>
  <c r="G212" i="44" s="1"/>
  <c r="D212" i="44"/>
  <c r="F212" i="36"/>
  <c r="G212" i="36" s="1"/>
  <c r="D212" i="36"/>
  <c r="K83" i="36"/>
  <c r="L83" i="36" s="1"/>
  <c r="Q83" i="44"/>
  <c r="J84" i="44"/>
  <c r="E213" i="36"/>
  <c r="E213" i="44"/>
  <c r="D213" i="44" l="1"/>
  <c r="F213" i="44"/>
  <c r="G213" i="44" s="1"/>
  <c r="D213" i="36"/>
  <c r="F213" i="36"/>
  <c r="G213" i="36" s="1"/>
  <c r="M83" i="36"/>
  <c r="N83" i="36" s="1"/>
  <c r="K84" i="44"/>
  <c r="L84" i="44" s="1"/>
  <c r="M84" i="44" s="1"/>
  <c r="N84" i="44" s="1"/>
  <c r="E214" i="36"/>
  <c r="E214" i="44"/>
  <c r="F214" i="44" l="1"/>
  <c r="G214" i="44" s="1"/>
  <c r="D214" i="44"/>
  <c r="D214" i="36"/>
  <c r="F214" i="36"/>
  <c r="G214" i="36" s="1"/>
  <c r="Q83" i="36"/>
  <c r="J84" i="36"/>
  <c r="K84" i="36" s="1"/>
  <c r="Q84" i="44"/>
  <c r="J85" i="44"/>
  <c r="E215" i="44"/>
  <c r="E215" i="36"/>
  <c r="D215" i="44" l="1"/>
  <c r="F215" i="44"/>
  <c r="G215" i="44" s="1"/>
  <c r="F215" i="36"/>
  <c r="G215" i="36" s="1"/>
  <c r="D215" i="36"/>
  <c r="L84" i="36"/>
  <c r="M84" i="36" s="1"/>
  <c r="N84" i="36" s="1"/>
  <c r="K85" i="44"/>
  <c r="L85" i="44" s="1"/>
  <c r="M85" i="44" s="1"/>
  <c r="N85" i="44" s="1"/>
  <c r="E216" i="44"/>
  <c r="E216" i="36"/>
  <c r="D216" i="44" l="1"/>
  <c r="F216" i="44"/>
  <c r="G216" i="44" s="1"/>
  <c r="D216" i="36"/>
  <c r="F216" i="36"/>
  <c r="G216" i="36" s="1"/>
  <c r="Q85" i="44"/>
  <c r="J86" i="44"/>
  <c r="Q84" i="36"/>
  <c r="J85" i="36"/>
  <c r="E217" i="36"/>
  <c r="E217" i="44"/>
  <c r="F217" i="44" l="1"/>
  <c r="G217" i="44" s="1"/>
  <c r="D217" i="44"/>
  <c r="D217" i="36"/>
  <c r="F217" i="36"/>
  <c r="G217" i="36" s="1"/>
  <c r="K85" i="36"/>
  <c r="L85" i="36" s="1"/>
  <c r="K86" i="44"/>
  <c r="L86" i="44" s="1"/>
  <c r="M86" i="44" s="1"/>
  <c r="E218" i="36"/>
  <c r="E218" i="44"/>
  <c r="D218" i="44" l="1"/>
  <c r="F218" i="44"/>
  <c r="G218" i="44" s="1"/>
  <c r="F218" i="36"/>
  <c r="G218" i="36" s="1"/>
  <c r="D218" i="36"/>
  <c r="M85" i="36"/>
  <c r="N85" i="36" s="1"/>
  <c r="N86" i="44"/>
  <c r="E219" i="36"/>
  <c r="E219" i="44"/>
  <c r="D219" i="44" l="1"/>
  <c r="F219" i="44"/>
  <c r="G219" i="44" s="1"/>
  <c r="F219" i="36"/>
  <c r="G219" i="36" s="1"/>
  <c r="D219" i="36"/>
  <c r="Q85" i="36"/>
  <c r="J86" i="36"/>
  <c r="Q86" i="44"/>
  <c r="J87" i="44"/>
  <c r="E220" i="44"/>
  <c r="E220" i="36"/>
  <c r="D220" i="44" l="1"/>
  <c r="F220" i="44"/>
  <c r="G220" i="44" s="1"/>
  <c r="F220" i="36"/>
  <c r="G220" i="36" s="1"/>
  <c r="D220" i="36"/>
  <c r="K86" i="36"/>
  <c r="L86" i="36" s="1"/>
  <c r="K87" i="44"/>
  <c r="L87" i="44" s="1"/>
  <c r="E221" i="44"/>
  <c r="E221" i="36"/>
  <c r="F221" i="44" l="1"/>
  <c r="G221" i="44" s="1"/>
  <c r="D221" i="44"/>
  <c r="D221" i="36"/>
  <c r="F221" i="36"/>
  <c r="G221" i="36" s="1"/>
  <c r="M86" i="36"/>
  <c r="N86" i="36" s="1"/>
  <c r="M87" i="44"/>
  <c r="N87" i="44" s="1"/>
  <c r="E222" i="44"/>
  <c r="E222" i="36"/>
  <c r="F222" i="44" l="1"/>
  <c r="G222" i="44" s="1"/>
  <c r="D222" i="44"/>
  <c r="D222" i="36"/>
  <c r="F222" i="36"/>
  <c r="G222" i="36" s="1"/>
  <c r="Q87" i="44"/>
  <c r="J88" i="44"/>
  <c r="Q86" i="36"/>
  <c r="J87" i="36"/>
  <c r="E223" i="36"/>
  <c r="E223" i="44"/>
  <c r="D223" i="44" l="1"/>
  <c r="F223" i="44"/>
  <c r="G223" i="44" s="1"/>
  <c r="F223" i="36"/>
  <c r="G223" i="36" s="1"/>
  <c r="D223" i="36"/>
  <c r="K88" i="44"/>
  <c r="L88" i="44" s="1"/>
  <c r="K87" i="36"/>
  <c r="L87" i="36" s="1"/>
  <c r="E224" i="36"/>
  <c r="E224" i="44"/>
  <c r="F224" i="44" l="1"/>
  <c r="G224" i="44" s="1"/>
  <c r="D224" i="44"/>
  <c r="D224" i="36"/>
  <c r="F224" i="36"/>
  <c r="G224" i="36" s="1"/>
  <c r="M87" i="36"/>
  <c r="N87" i="36" s="1"/>
  <c r="J88" i="36" s="1"/>
  <c r="M88" i="44"/>
  <c r="N88" i="44" s="1"/>
  <c r="E225" i="44"/>
  <c r="E225" i="36"/>
  <c r="D225" i="44" l="1"/>
  <c r="F225" i="44"/>
  <c r="G225" i="44" s="1"/>
  <c r="Q87" i="36"/>
  <c r="D225" i="36"/>
  <c r="F225" i="36"/>
  <c r="G225" i="36" s="1"/>
  <c r="Q88" i="44"/>
  <c r="J89" i="44"/>
  <c r="K88" i="36"/>
  <c r="E226" i="44"/>
  <c r="E226" i="36"/>
  <c r="D226" i="44" l="1"/>
  <c r="F226" i="44"/>
  <c r="G226" i="44" s="1"/>
  <c r="F226" i="36"/>
  <c r="G226" i="36" s="1"/>
  <c r="D226" i="36"/>
  <c r="K89" i="44"/>
  <c r="L89" i="44" s="1"/>
  <c r="M89" i="44" s="1"/>
  <c r="L88" i="36"/>
  <c r="M88" i="36" s="1"/>
  <c r="E227" i="36"/>
  <c r="E227" i="44"/>
  <c r="F227" i="44" l="1"/>
  <c r="G227" i="44" s="1"/>
  <c r="D227" i="44"/>
  <c r="D227" i="36"/>
  <c r="F227" i="36"/>
  <c r="G227" i="36" s="1"/>
  <c r="N88" i="36"/>
  <c r="N89" i="44"/>
  <c r="E228" i="44"/>
  <c r="E228" i="36"/>
  <c r="D228" i="44" l="1"/>
  <c r="F228" i="44"/>
  <c r="G228" i="44" s="1"/>
  <c r="F228" i="36"/>
  <c r="G228" i="36" s="1"/>
  <c r="D228" i="36"/>
  <c r="Q89" i="44"/>
  <c r="J90" i="44"/>
  <c r="Q88" i="36"/>
  <c r="J89" i="36"/>
  <c r="E229" i="36"/>
  <c r="E229" i="44"/>
  <c r="F229" i="44" l="1"/>
  <c r="G229" i="44" s="1"/>
  <c r="D229" i="44"/>
  <c r="F229" i="36"/>
  <c r="G229" i="36" s="1"/>
  <c r="D229" i="36"/>
  <c r="K89" i="36"/>
  <c r="L89" i="36" s="1"/>
  <c r="K90" i="44"/>
  <c r="L90" i="44" s="1"/>
  <c r="E230" i="44"/>
  <c r="E230" i="36"/>
  <c r="D230" i="44" l="1"/>
  <c r="F230" i="44"/>
  <c r="G230" i="44" s="1"/>
  <c r="D230" i="36"/>
  <c r="F230" i="36"/>
  <c r="G230" i="36" s="1"/>
  <c r="M89" i="36"/>
  <c r="N89" i="36" s="1"/>
  <c r="M90" i="44"/>
  <c r="N90" i="44" s="1"/>
  <c r="E231" i="44"/>
  <c r="E231" i="36"/>
  <c r="D231" i="44" l="1"/>
  <c r="F231" i="44"/>
  <c r="G231" i="44" s="1"/>
  <c r="F231" i="36"/>
  <c r="G231" i="36" s="1"/>
  <c r="D231" i="36"/>
  <c r="J90" i="36"/>
  <c r="K90" i="36" s="1"/>
  <c r="Q89" i="36"/>
  <c r="Q90" i="44"/>
  <c r="J91" i="44"/>
  <c r="E232" i="36"/>
  <c r="E232" i="44"/>
  <c r="D232" i="44" l="1"/>
  <c r="F232" i="44"/>
  <c r="G232" i="44" s="1"/>
  <c r="D232" i="36"/>
  <c r="F232" i="36"/>
  <c r="G232" i="36" s="1"/>
  <c r="K91" i="44"/>
  <c r="L90" i="36"/>
  <c r="E233" i="36"/>
  <c r="E233" i="44"/>
  <c r="F233" i="44" l="1"/>
  <c r="G233" i="44" s="1"/>
  <c r="D233" i="44"/>
  <c r="D233" i="36"/>
  <c r="F233" i="36"/>
  <c r="G233" i="36" s="1"/>
  <c r="M90" i="36"/>
  <c r="N90" i="36" s="1"/>
  <c r="L91" i="44"/>
  <c r="M91" i="44" s="1"/>
  <c r="E234" i="44"/>
  <c r="E234" i="36"/>
  <c r="D234" i="44" l="1"/>
  <c r="F234" i="44"/>
  <c r="G234" i="44" s="1"/>
  <c r="D234" i="36"/>
  <c r="F234" i="36"/>
  <c r="G234" i="36" s="1"/>
  <c r="N91" i="44"/>
  <c r="Q90" i="36"/>
  <c r="J91" i="36"/>
  <c r="E235" i="44"/>
  <c r="E235" i="36"/>
  <c r="F235" i="44" l="1"/>
  <c r="G235" i="44" s="1"/>
  <c r="D235" i="44"/>
  <c r="F235" i="36"/>
  <c r="G235" i="36" s="1"/>
  <c r="D235" i="36"/>
  <c r="Q91" i="44"/>
  <c r="J92" i="44"/>
  <c r="K91" i="36"/>
  <c r="L91" i="36" s="1"/>
  <c r="M91" i="36" s="1"/>
  <c r="E236" i="44"/>
  <c r="E236" i="36"/>
  <c r="D236" i="44" l="1"/>
  <c r="F236" i="44"/>
  <c r="G236" i="44" s="1"/>
  <c r="F236" i="36"/>
  <c r="G236" i="36" s="1"/>
  <c r="D236" i="36"/>
  <c r="N91" i="36"/>
  <c r="K92" i="44"/>
  <c r="L92" i="44" s="1"/>
  <c r="E237" i="44"/>
  <c r="E237" i="36"/>
  <c r="D237" i="44" l="1"/>
  <c r="F237" i="44"/>
  <c r="G237" i="44" s="1"/>
  <c r="D237" i="36"/>
  <c r="F237" i="36"/>
  <c r="G237" i="36" s="1"/>
  <c r="M92" i="44"/>
  <c r="N92" i="44" s="1"/>
  <c r="Q91" i="36"/>
  <c r="J92" i="36"/>
  <c r="E238" i="44"/>
  <c r="E238" i="36"/>
  <c r="F238" i="44" l="1"/>
  <c r="G238" i="44" s="1"/>
  <c r="D238" i="44"/>
  <c r="F238" i="36"/>
  <c r="G238" i="36" s="1"/>
  <c r="D238" i="36"/>
  <c r="Q92" i="44"/>
  <c r="J93" i="44"/>
  <c r="K92" i="36"/>
  <c r="L92" i="36" s="1"/>
  <c r="M92" i="36" s="1"/>
  <c r="N92" i="36" s="1"/>
  <c r="E239" i="44"/>
  <c r="E239" i="36"/>
  <c r="D239" i="44" l="1"/>
  <c r="F239" i="44"/>
  <c r="G239" i="44" s="1"/>
  <c r="D239" i="36"/>
  <c r="F239" i="36"/>
  <c r="G239" i="36" s="1"/>
  <c r="Q92" i="36"/>
  <c r="J93" i="36"/>
  <c r="K93" i="44"/>
  <c r="L93" i="44" s="1"/>
  <c r="E240" i="44"/>
  <c r="E240" i="36"/>
  <c r="F240" i="44" l="1"/>
  <c r="G240" i="44" s="1"/>
  <c r="D240" i="44"/>
  <c r="D240" i="36"/>
  <c r="F240" i="36"/>
  <c r="G240" i="36" s="1"/>
  <c r="M93" i="44"/>
  <c r="N93" i="44" s="1"/>
  <c r="K93" i="36"/>
  <c r="L93" i="36" s="1"/>
  <c r="E241" i="36"/>
  <c r="E241" i="44"/>
  <c r="F241" i="44" l="1"/>
  <c r="G241" i="44" s="1"/>
  <c r="D241" i="44"/>
  <c r="D241" i="36"/>
  <c r="F241" i="36"/>
  <c r="G241" i="36" s="1"/>
  <c r="M93" i="36"/>
  <c r="N93" i="36" s="1"/>
  <c r="Q93" i="36" s="1"/>
  <c r="Q93" i="44"/>
  <c r="J94" i="44"/>
  <c r="E242" i="44"/>
  <c r="E242" i="36"/>
  <c r="D242" i="44" l="1"/>
  <c r="F242" i="44"/>
  <c r="G242" i="44" s="1"/>
  <c r="J94" i="36"/>
  <c r="K94" i="36" s="1"/>
  <c r="L94" i="36" s="1"/>
  <c r="M94" i="36" s="1"/>
  <c r="N94" i="36" s="1"/>
  <c r="D242" i="36"/>
  <c r="F242" i="36"/>
  <c r="G242" i="36" s="1"/>
  <c r="K94" i="44"/>
  <c r="L94" i="44" s="1"/>
  <c r="M94" i="44" s="1"/>
  <c r="E243" i="36"/>
  <c r="E243" i="44"/>
  <c r="F243" i="44" l="1"/>
  <c r="G243" i="44" s="1"/>
  <c r="D243" i="44"/>
  <c r="D243" i="36"/>
  <c r="F243" i="36"/>
  <c r="G243" i="36" s="1"/>
  <c r="Q94" i="36"/>
  <c r="J95" i="36"/>
  <c r="N94" i="44"/>
  <c r="E244" i="44"/>
  <c r="E244" i="36"/>
  <c r="D244" i="44" l="1"/>
  <c r="F244" i="44"/>
  <c r="G244" i="44" s="1"/>
  <c r="D244" i="36"/>
  <c r="F244" i="36"/>
  <c r="G244" i="36" s="1"/>
  <c r="K95" i="36"/>
  <c r="L95" i="36" s="1"/>
  <c r="Q94" i="44"/>
  <c r="J95" i="44"/>
  <c r="E245" i="36"/>
  <c r="E245" i="44"/>
  <c r="F245" i="44" l="1"/>
  <c r="G245" i="44" s="1"/>
  <c r="D245" i="44"/>
  <c r="D245" i="36"/>
  <c r="F245" i="36"/>
  <c r="G245" i="36" s="1"/>
  <c r="M95" i="36"/>
  <c r="N95" i="36" s="1"/>
  <c r="K95" i="44"/>
  <c r="L95" i="44" s="1"/>
  <c r="M95" i="44" s="1"/>
  <c r="E246" i="36"/>
  <c r="E246" i="44"/>
  <c r="F246" i="44" l="1"/>
  <c r="G246" i="44" s="1"/>
  <c r="D246" i="44"/>
  <c r="D246" i="36"/>
  <c r="F246" i="36"/>
  <c r="G246" i="36" s="1"/>
  <c r="Q95" i="36"/>
  <c r="J96" i="36"/>
  <c r="K96" i="36" s="1"/>
  <c r="N95" i="44"/>
  <c r="E247" i="44"/>
  <c r="E247" i="36"/>
  <c r="D247" i="44" l="1"/>
  <c r="F247" i="44"/>
  <c r="G247" i="44" s="1"/>
  <c r="F247" i="36"/>
  <c r="G247" i="36" s="1"/>
  <c r="D247" i="36"/>
  <c r="L96" i="36"/>
  <c r="M96" i="36" s="1"/>
  <c r="N96" i="36" s="1"/>
  <c r="Q95" i="44"/>
  <c r="J96" i="44"/>
  <c r="E248" i="36"/>
  <c r="E248" i="44"/>
  <c r="F248" i="44" l="1"/>
  <c r="G248" i="44" s="1"/>
  <c r="D248" i="44"/>
  <c r="F248" i="36"/>
  <c r="G248" i="36" s="1"/>
  <c r="D248" i="36"/>
  <c r="K96" i="44"/>
  <c r="L96" i="44" s="1"/>
  <c r="M96" i="44" s="1"/>
  <c r="Q96" i="36"/>
  <c r="J97" i="36"/>
  <c r="E249" i="44"/>
  <c r="E249" i="36"/>
  <c r="F249" i="44" l="1"/>
  <c r="G249" i="44" s="1"/>
  <c r="D249" i="44"/>
  <c r="F249" i="36"/>
  <c r="G249" i="36" s="1"/>
  <c r="D249" i="36"/>
  <c r="N96" i="44"/>
  <c r="K97" i="36"/>
  <c r="L97" i="36" s="1"/>
  <c r="M97" i="36" s="1"/>
  <c r="E250" i="44"/>
  <c r="E250" i="36"/>
  <c r="F250" i="44" l="1"/>
  <c r="G250" i="44" s="1"/>
  <c r="D250" i="44"/>
  <c r="D250" i="36"/>
  <c r="F250" i="36"/>
  <c r="G250" i="36" s="1"/>
  <c r="Q96" i="44"/>
  <c r="J97" i="44"/>
  <c r="N97" i="36"/>
  <c r="E251" i="36"/>
  <c r="E251" i="44"/>
  <c r="D251" i="44" l="1"/>
  <c r="F251" i="44"/>
  <c r="G251" i="44" s="1"/>
  <c r="D251" i="36"/>
  <c r="F251" i="36"/>
  <c r="G251" i="36" s="1"/>
  <c r="K97" i="44"/>
  <c r="L97" i="44" s="1"/>
  <c r="Q97" i="36"/>
  <c r="J98" i="36"/>
  <c r="E252" i="36"/>
  <c r="E252" i="44"/>
  <c r="D252" i="44" l="1"/>
  <c r="F252" i="44"/>
  <c r="G252" i="44" s="1"/>
  <c r="D252" i="36"/>
  <c r="F252" i="36"/>
  <c r="G252" i="36" s="1"/>
  <c r="M97" i="44"/>
  <c r="N97" i="44" s="1"/>
  <c r="K98" i="36"/>
  <c r="L98" i="36" s="1"/>
  <c r="E253" i="44"/>
  <c r="E253" i="36"/>
  <c r="F253" i="44" l="1"/>
  <c r="G253" i="44" s="1"/>
  <c r="D253" i="44"/>
  <c r="D253" i="36"/>
  <c r="F253" i="36"/>
  <c r="G253" i="36" s="1"/>
  <c r="M98" i="36"/>
  <c r="N98" i="36" s="1"/>
  <c r="Q97" i="44"/>
  <c r="J98" i="44"/>
  <c r="E254" i="44"/>
  <c r="E254" i="36"/>
  <c r="F254" i="44" l="1"/>
  <c r="G254" i="44" s="1"/>
  <c r="D254" i="44"/>
  <c r="F254" i="36"/>
  <c r="G254" i="36" s="1"/>
  <c r="D254" i="36"/>
  <c r="Q98" i="36"/>
  <c r="J99" i="36"/>
  <c r="K99" i="36" s="1"/>
  <c r="K98" i="44"/>
  <c r="L98" i="44" s="1"/>
  <c r="E255" i="36"/>
  <c r="E255" i="44"/>
  <c r="D255" i="44" l="1"/>
  <c r="F255" i="44"/>
  <c r="G255" i="44" s="1"/>
  <c r="D255" i="36"/>
  <c r="F255" i="36"/>
  <c r="G255" i="36" s="1"/>
  <c r="M98" i="44"/>
  <c r="N98" i="44" s="1"/>
  <c r="Q98" i="44" s="1"/>
  <c r="L99" i="36"/>
  <c r="M99" i="36" s="1"/>
  <c r="N99" i="36" s="1"/>
  <c r="E256" i="36"/>
  <c r="E256" i="44"/>
  <c r="D256" i="44" l="1"/>
  <c r="F256" i="44"/>
  <c r="G256" i="44" s="1"/>
  <c r="J99" i="44"/>
  <c r="K99" i="44" s="1"/>
  <c r="L99" i="44" s="1"/>
  <c r="M99" i="44" s="1"/>
  <c r="D256" i="36"/>
  <c r="F256" i="36"/>
  <c r="G256" i="36" s="1"/>
  <c r="J100" i="36"/>
  <c r="K100" i="36" s="1"/>
  <c r="Q99" i="36"/>
  <c r="E257" i="36"/>
  <c r="E257" i="44"/>
  <c r="D257" i="44" l="1"/>
  <c r="F257" i="44"/>
  <c r="G257" i="44" s="1"/>
  <c r="D257" i="36"/>
  <c r="F257" i="36"/>
  <c r="G257" i="36" s="1"/>
  <c r="N99" i="44"/>
  <c r="L100" i="36"/>
  <c r="M100" i="36" s="1"/>
  <c r="N100" i="36" s="1"/>
  <c r="E258" i="44"/>
  <c r="E258" i="36"/>
  <c r="D258" i="44" l="1"/>
  <c r="F258" i="44"/>
  <c r="G258" i="44" s="1"/>
  <c r="D258" i="36"/>
  <c r="F258" i="36"/>
  <c r="G258" i="36" s="1"/>
  <c r="Q100" i="36"/>
  <c r="J101" i="36"/>
  <c r="Q99" i="44"/>
  <c r="J100" i="44"/>
  <c r="E259" i="36"/>
  <c r="E259" i="44"/>
  <c r="F259" i="44" l="1"/>
  <c r="G259" i="44" s="1"/>
  <c r="D259" i="44"/>
  <c r="F259" i="36"/>
  <c r="G259" i="36" s="1"/>
  <c r="D259" i="36"/>
  <c r="K101" i="36"/>
  <c r="L101" i="36" s="1"/>
  <c r="M101" i="36" s="1"/>
  <c r="K100" i="44"/>
  <c r="L100" i="44" s="1"/>
  <c r="M100" i="44" s="1"/>
  <c r="N100" i="44" s="1"/>
  <c r="E260" i="36"/>
  <c r="E260" i="44"/>
  <c r="D260" i="44" l="1"/>
  <c r="F260" i="44"/>
  <c r="G260" i="44" s="1"/>
  <c r="F260" i="36"/>
  <c r="G260" i="36" s="1"/>
  <c r="D260" i="36"/>
  <c r="Q100" i="44"/>
  <c r="J101" i="44"/>
  <c r="N101" i="36"/>
  <c r="E261" i="36"/>
  <c r="E261" i="44"/>
  <c r="F261" i="44" l="1"/>
  <c r="G261" i="44" s="1"/>
  <c r="D261" i="44"/>
  <c r="D261" i="36"/>
  <c r="F261" i="36"/>
  <c r="G261" i="36" s="1"/>
  <c r="Q101" i="36"/>
  <c r="J102" i="36"/>
  <c r="K101" i="44"/>
  <c r="L101" i="44" s="1"/>
  <c r="M101" i="44" s="1"/>
  <c r="N101" i="44" s="1"/>
  <c r="E262" i="36"/>
  <c r="E262" i="44"/>
  <c r="F262" i="44" l="1"/>
  <c r="G262" i="44" s="1"/>
  <c r="D262" i="44"/>
  <c r="F262" i="36"/>
  <c r="G262" i="36" s="1"/>
  <c r="D262" i="36"/>
  <c r="Q101" i="44"/>
  <c r="J102" i="44"/>
  <c r="K102" i="36"/>
  <c r="L102" i="36" s="1"/>
  <c r="E263" i="44"/>
  <c r="E263" i="36"/>
  <c r="F263" i="44" l="1"/>
  <c r="G263" i="44" s="1"/>
  <c r="D263" i="44"/>
  <c r="F263" i="36"/>
  <c r="G263" i="36" s="1"/>
  <c r="D263" i="36"/>
  <c r="M102" i="36"/>
  <c r="N102" i="36" s="1"/>
  <c r="K102" i="44"/>
  <c r="L102" i="44" s="1"/>
  <c r="M102" i="44" s="1"/>
  <c r="E264" i="44"/>
  <c r="E264" i="36"/>
  <c r="F264" i="44" l="1"/>
  <c r="G264" i="44" s="1"/>
  <c r="D264" i="44"/>
  <c r="D264" i="36"/>
  <c r="F264" i="36"/>
  <c r="G264" i="36" s="1"/>
  <c r="Q102" i="36"/>
  <c r="J103" i="36"/>
  <c r="N102" i="44"/>
  <c r="E265" i="44"/>
  <c r="E265" i="36"/>
  <c r="D265" i="44" l="1"/>
  <c r="F265" i="44"/>
  <c r="G265" i="44" s="1"/>
  <c r="D265" i="36"/>
  <c r="F265" i="36"/>
  <c r="G265" i="36" s="1"/>
  <c r="K103" i="36"/>
  <c r="L103" i="36" s="1"/>
  <c r="M103" i="36" s="1"/>
  <c r="Q102" i="44"/>
  <c r="J103" i="44"/>
  <c r="E266" i="44"/>
  <c r="E266" i="36"/>
  <c r="F266" i="44" l="1"/>
  <c r="G266" i="44" s="1"/>
  <c r="D266" i="44"/>
  <c r="D266" i="36"/>
  <c r="F266" i="36"/>
  <c r="G266" i="36" s="1"/>
  <c r="N103" i="36"/>
  <c r="Q103" i="36" s="1"/>
  <c r="K103" i="44"/>
  <c r="L103" i="44" s="1"/>
  <c r="E267" i="36"/>
  <c r="E267" i="44"/>
  <c r="F267" i="44" l="1"/>
  <c r="G267" i="44" s="1"/>
  <c r="D267" i="44"/>
  <c r="J104" i="36"/>
  <c r="K104" i="36" s="1"/>
  <c r="L104" i="36" s="1"/>
  <c r="D267" i="36"/>
  <c r="F267" i="36"/>
  <c r="G267" i="36" s="1"/>
  <c r="M103" i="44"/>
  <c r="N103" i="44" s="1"/>
  <c r="E268" i="36"/>
  <c r="E268" i="44"/>
  <c r="F268" i="44" l="1"/>
  <c r="G268" i="44" s="1"/>
  <c r="D268" i="44"/>
  <c r="F268" i="36"/>
  <c r="G268" i="36" s="1"/>
  <c r="D268" i="36"/>
  <c r="M104" i="36"/>
  <c r="N104" i="36" s="1"/>
  <c r="Q103" i="44"/>
  <c r="J104" i="44"/>
  <c r="E269" i="44"/>
  <c r="E269" i="36"/>
  <c r="D269" i="44" l="1"/>
  <c r="F269" i="44"/>
  <c r="G269" i="44" s="1"/>
  <c r="D269" i="36"/>
  <c r="F269" i="36"/>
  <c r="G269" i="36" s="1"/>
  <c r="Q104" i="36"/>
  <c r="J105" i="36"/>
  <c r="K104" i="44"/>
  <c r="L104" i="44" s="1"/>
  <c r="E270" i="44"/>
  <c r="E270" i="36"/>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36"/>
  <c r="E272" i="44"/>
  <c r="F272" i="44" l="1"/>
  <c r="G272" i="44" s="1"/>
  <c r="D272" i="44"/>
  <c r="F272" i="36"/>
  <c r="G272" i="36" s="1"/>
  <c r="D272" i="36"/>
  <c r="K105" i="44"/>
  <c r="L105" i="44" s="1"/>
  <c r="M105" i="44" s="1"/>
  <c r="K106" i="36"/>
  <c r="L106" i="36" s="1"/>
  <c r="M106" i="36" s="1"/>
  <c r="N106" i="36" s="1"/>
  <c r="E273" i="44"/>
  <c r="E273" i="36"/>
  <c r="D273" i="44" l="1"/>
  <c r="F273" i="44"/>
  <c r="G273" i="44" s="1"/>
  <c r="F273" i="36"/>
  <c r="G273" i="36" s="1"/>
  <c r="D273" i="36"/>
  <c r="Q106" i="36"/>
  <c r="J107" i="36"/>
  <c r="N105" i="44"/>
  <c r="E274" i="44"/>
  <c r="E274" i="36"/>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36"/>
  <c r="E276" i="44"/>
  <c r="D276" i="44" l="1"/>
  <c r="F276" i="44"/>
  <c r="G276" i="44" s="1"/>
  <c r="D276" i="36"/>
  <c r="F276" i="36"/>
  <c r="G276" i="36" s="1"/>
  <c r="Q107" i="36"/>
  <c r="J108" i="36"/>
  <c r="N106" i="44"/>
  <c r="E277" i="44"/>
  <c r="E277" i="36"/>
  <c r="D277" i="44" l="1"/>
  <c r="F277" i="44"/>
  <c r="G277" i="44" s="1"/>
  <c r="F277" i="36"/>
  <c r="G277" i="36" s="1"/>
  <c r="D277" i="36"/>
  <c r="Q106" i="44"/>
  <c r="J107" i="44"/>
  <c r="K108" i="36"/>
  <c r="L108" i="36" s="1"/>
  <c r="M108" i="36" s="1"/>
  <c r="E278" i="44"/>
  <c r="E278" i="36"/>
  <c r="F278" i="44" l="1"/>
  <c r="G278" i="44" s="1"/>
  <c r="D278" i="44"/>
  <c r="D278" i="36"/>
  <c r="F278" i="36"/>
  <c r="G278" i="36" s="1"/>
  <c r="K107" i="44"/>
  <c r="L107" i="44" s="1"/>
  <c r="N108" i="36"/>
  <c r="E279" i="36"/>
  <c r="E279" i="44"/>
  <c r="D279" i="44" l="1"/>
  <c r="F279" i="44"/>
  <c r="G279" i="44" s="1"/>
  <c r="D279" i="36"/>
  <c r="F279" i="36"/>
  <c r="G279" i="36" s="1"/>
  <c r="M107" i="44"/>
  <c r="N107" i="44" s="1"/>
  <c r="Q108" i="36"/>
  <c r="J109" i="36"/>
  <c r="E280" i="36"/>
  <c r="E280" i="44"/>
  <c r="D280" i="44" l="1"/>
  <c r="F280" i="44"/>
  <c r="G280" i="44" s="1"/>
  <c r="D280" i="36"/>
  <c r="F280" i="36"/>
  <c r="G280" i="36" s="1"/>
  <c r="Q107" i="44"/>
  <c r="J108" i="44"/>
  <c r="K109" i="36"/>
  <c r="E281" i="36"/>
  <c r="E281" i="44"/>
  <c r="D281" i="44" l="1"/>
  <c r="F281" i="44"/>
  <c r="G281" i="44" s="1"/>
  <c r="D281" i="36"/>
  <c r="F281" i="36"/>
  <c r="G281" i="36" s="1"/>
  <c r="L109" i="36"/>
  <c r="M109" i="36" s="1"/>
  <c r="N109" i="36" s="1"/>
  <c r="K108" i="44"/>
  <c r="L108" i="44" s="1"/>
  <c r="M108" i="44" s="1"/>
  <c r="E282" i="36"/>
  <c r="E282" i="44"/>
  <c r="D282" i="44" l="1"/>
  <c r="F282" i="44"/>
  <c r="G282" i="44" s="1"/>
  <c r="D282" i="36"/>
  <c r="F282" i="36"/>
  <c r="G282" i="36" s="1"/>
  <c r="Q109" i="36"/>
  <c r="J110" i="36"/>
  <c r="K110" i="36" s="1"/>
  <c r="L110" i="36" s="1"/>
  <c r="M110" i="36" s="1"/>
  <c r="N108" i="44"/>
  <c r="E283" i="36"/>
  <c r="E283" i="44"/>
  <c r="F283" i="44" l="1"/>
  <c r="G283" i="44" s="1"/>
  <c r="D283" i="44"/>
  <c r="D283" i="36"/>
  <c r="F283" i="36"/>
  <c r="G283" i="36" s="1"/>
  <c r="N110" i="36"/>
  <c r="Q108" i="44"/>
  <c r="J109" i="44"/>
  <c r="E284" i="44"/>
  <c r="E284" i="36"/>
  <c r="D284" i="44" l="1"/>
  <c r="F284" i="44"/>
  <c r="G284" i="44" s="1"/>
  <c r="D284" i="36"/>
  <c r="F284" i="36"/>
  <c r="G284" i="36" s="1"/>
  <c r="Q110" i="36"/>
  <c r="J111" i="36"/>
  <c r="K109" i="44"/>
  <c r="L109" i="44" s="1"/>
  <c r="M109" i="44" s="1"/>
  <c r="E285" i="36"/>
  <c r="E285" i="44"/>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44"/>
  <c r="E287" i="36"/>
  <c r="F287" i="44" l="1"/>
  <c r="G287" i="44" s="1"/>
  <c r="D287" i="44"/>
  <c r="D287" i="36"/>
  <c r="F287" i="36"/>
  <c r="G287" i="36" s="1"/>
  <c r="J112" i="36"/>
  <c r="K112" i="36" s="1"/>
  <c r="K110" i="44"/>
  <c r="E288" i="36"/>
  <c r="E288" i="44"/>
  <c r="F288" i="44" l="1"/>
  <c r="G288" i="44" s="1"/>
  <c r="D288" i="44"/>
  <c r="F288" i="36"/>
  <c r="G288" i="36" s="1"/>
  <c r="D288" i="36"/>
  <c r="L112" i="36"/>
  <c r="M112" i="36" s="1"/>
  <c r="L110" i="44"/>
  <c r="M110" i="44" s="1"/>
  <c r="E289" i="36"/>
  <c r="E289" i="44"/>
  <c r="F289" i="44" l="1"/>
  <c r="G289" i="44" s="1"/>
  <c r="D289" i="44"/>
  <c r="D289" i="36"/>
  <c r="F289" i="36"/>
  <c r="G289" i="36" s="1"/>
  <c r="N112" i="36"/>
  <c r="N110" i="44"/>
  <c r="E290" i="36"/>
  <c r="E290" i="44"/>
  <c r="D290" i="44" l="1"/>
  <c r="F290" i="44"/>
  <c r="G290" i="44" s="1"/>
  <c r="D290" i="36"/>
  <c r="F290" i="36"/>
  <c r="G290" i="36" s="1"/>
  <c r="Q110" i="44"/>
  <c r="J111" i="44"/>
  <c r="Q112" i="36"/>
  <c r="J113" i="36"/>
  <c r="E291" i="44"/>
  <c r="E291" i="36"/>
  <c r="D291" i="44" l="1"/>
  <c r="F291" i="44"/>
  <c r="G291" i="44" s="1"/>
  <c r="D291" i="36"/>
  <c r="F291" i="36"/>
  <c r="G291" i="36" s="1"/>
  <c r="K111" i="44"/>
  <c r="L111" i="44" s="1"/>
  <c r="M111" i="44" s="1"/>
  <c r="K113" i="36"/>
  <c r="L113" i="36" s="1"/>
  <c r="M113" i="36" s="1"/>
  <c r="N113" i="36" s="1"/>
  <c r="E292" i="44"/>
  <c r="E292" i="36"/>
  <c r="F292" i="44" l="1"/>
  <c r="G292" i="44" s="1"/>
  <c r="D292" i="44"/>
  <c r="D292" i="36"/>
  <c r="F292" i="36"/>
  <c r="G292" i="36" s="1"/>
  <c r="Q113" i="36"/>
  <c r="J114" i="36"/>
  <c r="N111" i="44"/>
  <c r="E293" i="36"/>
  <c r="E293" i="44"/>
  <c r="D293" i="44" l="1"/>
  <c r="F293" i="44"/>
  <c r="G293" i="44" s="1"/>
  <c r="F293" i="36"/>
  <c r="G293" i="36" s="1"/>
  <c r="D293" i="36"/>
  <c r="K114" i="36"/>
  <c r="L114" i="36" s="1"/>
  <c r="M114" i="36" s="1"/>
  <c r="Q111" i="44"/>
  <c r="J112" i="44"/>
  <c r="E294" i="44"/>
  <c r="E294" i="36"/>
  <c r="D294" i="44" l="1"/>
  <c r="F294" i="44"/>
  <c r="G294" i="44" s="1"/>
  <c r="F294" i="36"/>
  <c r="G294" i="36" s="1"/>
  <c r="D294" i="36"/>
  <c r="N114" i="36"/>
  <c r="K112" i="44"/>
  <c r="E295" i="44"/>
  <c r="E295" i="36"/>
  <c r="D295" i="44" l="1"/>
  <c r="F295" i="44"/>
  <c r="G295" i="44" s="1"/>
  <c r="D295" i="36"/>
  <c r="F295" i="36"/>
  <c r="G295" i="36" s="1"/>
  <c r="L112" i="44"/>
  <c r="M112" i="44" s="1"/>
  <c r="N112" i="44" s="1"/>
  <c r="Q114" i="36"/>
  <c r="J115" i="36"/>
  <c r="E296" i="44"/>
  <c r="E296" i="36"/>
  <c r="F296" i="44" l="1"/>
  <c r="G296" i="44" s="1"/>
  <c r="D296" i="44"/>
  <c r="F296" i="36"/>
  <c r="G296" i="36" s="1"/>
  <c r="D296" i="36"/>
  <c r="K115" i="36"/>
  <c r="L115" i="36" s="1"/>
  <c r="M115" i="36" s="1"/>
  <c r="Q112" i="44"/>
  <c r="J113" i="44"/>
  <c r="E297" i="36"/>
  <c r="E297" i="44"/>
  <c r="F297" i="44" l="1"/>
  <c r="G297" i="44" s="1"/>
  <c r="D297" i="44"/>
  <c r="D297" i="36"/>
  <c r="F297" i="36"/>
  <c r="G297" i="36" s="1"/>
  <c r="N115" i="36"/>
  <c r="K113" i="44"/>
  <c r="E298" i="36"/>
  <c r="E298" i="44"/>
  <c r="F298" i="44" l="1"/>
  <c r="G298" i="44" s="1"/>
  <c r="D298" i="44"/>
  <c r="D298" i="36"/>
  <c r="F298" i="36"/>
  <c r="G298" i="36" s="1"/>
  <c r="L113" i="44"/>
  <c r="M113" i="44" s="1"/>
  <c r="N113" i="44" s="1"/>
  <c r="Q115" i="36"/>
  <c r="J116" i="36"/>
  <c r="E299" i="36"/>
  <c r="E299" i="44"/>
  <c r="F299" i="44" l="1"/>
  <c r="G299" i="44" s="1"/>
  <c r="D299" i="44"/>
  <c r="D299" i="36"/>
  <c r="F299" i="36"/>
  <c r="G299" i="36" s="1"/>
  <c r="Q113" i="44"/>
  <c r="J114" i="44"/>
  <c r="K116" i="36"/>
  <c r="L116" i="36" s="1"/>
  <c r="E300" i="36"/>
  <c r="E300" i="44"/>
  <c r="F300" i="44" l="1"/>
  <c r="G300" i="44" s="1"/>
  <c r="D300" i="44"/>
  <c r="D300" i="36"/>
  <c r="F300" i="36"/>
  <c r="G300" i="36" s="1"/>
  <c r="M116" i="36"/>
  <c r="N116" i="36" s="1"/>
  <c r="K114" i="44"/>
  <c r="L114" i="44" s="1"/>
  <c r="M114" i="44" s="1"/>
  <c r="E301" i="36"/>
  <c r="E301" i="44"/>
  <c r="D301" i="44" l="1"/>
  <c r="F301" i="44"/>
  <c r="G301" i="44" s="1"/>
  <c r="F301" i="36"/>
  <c r="G301" i="36" s="1"/>
  <c r="D301" i="36"/>
  <c r="Q116" i="36"/>
  <c r="J117" i="36"/>
  <c r="N114" i="44"/>
  <c r="E302" i="36"/>
  <c r="E302" i="44"/>
  <c r="D302" i="44" l="1"/>
  <c r="F302" i="44"/>
  <c r="G302" i="44" s="1"/>
  <c r="F302" i="36"/>
  <c r="G302" i="36" s="1"/>
  <c r="D302" i="36"/>
  <c r="K117" i="36"/>
  <c r="L117" i="36" s="1"/>
  <c r="M117" i="36" s="1"/>
  <c r="Q114" i="44"/>
  <c r="J115" i="44"/>
  <c r="E303" i="44"/>
  <c r="E303" i="36"/>
  <c r="F303" i="44" l="1"/>
  <c r="G303" i="44" s="1"/>
  <c r="D303" i="44"/>
  <c r="F303" i="36"/>
  <c r="G303" i="36" s="1"/>
  <c r="D303" i="36"/>
  <c r="N117" i="36"/>
  <c r="K115" i="44"/>
  <c r="L115" i="44" s="1"/>
  <c r="E304" i="36"/>
  <c r="E304" i="44"/>
  <c r="D304" i="44" l="1"/>
  <c r="F304" i="44"/>
  <c r="G304" i="44" s="1"/>
  <c r="F304" i="36"/>
  <c r="G304" i="36" s="1"/>
  <c r="D304" i="36"/>
  <c r="Q117" i="36"/>
  <c r="J118" i="36"/>
  <c r="M115" i="44"/>
  <c r="N115" i="44" s="1"/>
  <c r="E305" i="44"/>
  <c r="E305" i="36"/>
  <c r="D305" i="44" l="1"/>
  <c r="F305" i="44"/>
  <c r="G305" i="44" s="1"/>
  <c r="D305" i="36"/>
  <c r="F305" i="36"/>
  <c r="G305" i="36" s="1"/>
  <c r="K118" i="36"/>
  <c r="L118" i="36" s="1"/>
  <c r="Q115" i="44"/>
  <c r="J116" i="44"/>
  <c r="E306" i="36"/>
  <c r="E306" i="44"/>
  <c r="F306" i="44" l="1"/>
  <c r="G306" i="44" s="1"/>
  <c r="D306" i="44"/>
  <c r="F306" i="36"/>
  <c r="G306" i="36" s="1"/>
  <c r="D306" i="36"/>
  <c r="M118" i="36"/>
  <c r="N118" i="36" s="1"/>
  <c r="K116" i="44"/>
  <c r="L116" i="44" s="1"/>
  <c r="M116" i="44" s="1"/>
  <c r="E307" i="36"/>
  <c r="E307" i="44"/>
  <c r="D307" i="44" l="1"/>
  <c r="F307" i="44"/>
  <c r="G307" i="44" s="1"/>
  <c r="D307" i="36"/>
  <c r="F307" i="36"/>
  <c r="G307" i="36" s="1"/>
  <c r="Q118" i="36"/>
  <c r="J119" i="36"/>
  <c r="K119" i="36" s="1"/>
  <c r="N116" i="44"/>
  <c r="E308" i="44"/>
  <c r="E308" i="36"/>
  <c r="D308" i="44" l="1"/>
  <c r="F308" i="44"/>
  <c r="G308" i="44" s="1"/>
  <c r="F308" i="36"/>
  <c r="G308" i="36" s="1"/>
  <c r="D308" i="36"/>
  <c r="L119" i="36"/>
  <c r="Q116" i="44"/>
  <c r="J117" i="44"/>
  <c r="E309" i="44"/>
  <c r="E309" i="36"/>
  <c r="F309" i="44" l="1"/>
  <c r="G309" i="44" s="1"/>
  <c r="D309" i="44"/>
  <c r="D309" i="36"/>
  <c r="F309" i="36"/>
  <c r="G309" i="36" s="1"/>
  <c r="M119" i="36"/>
  <c r="N119" i="36" s="1"/>
  <c r="K117" i="44"/>
  <c r="E310" i="44"/>
  <c r="E310" i="36"/>
  <c r="F310" i="44" l="1"/>
  <c r="G310" i="44" s="1"/>
  <c r="D310" i="44"/>
  <c r="F310" i="36"/>
  <c r="G310" i="36" s="1"/>
  <c r="D310" i="36"/>
  <c r="Q119" i="36"/>
  <c r="J120" i="36"/>
  <c r="L117" i="44"/>
  <c r="M117" i="44" s="1"/>
  <c r="E311" i="36"/>
  <c r="E311" i="44"/>
  <c r="F311" i="44" l="1"/>
  <c r="G311" i="44" s="1"/>
  <c r="D311" i="44"/>
  <c r="D311" i="36"/>
  <c r="F311" i="36"/>
  <c r="G311" i="36" s="1"/>
  <c r="K120" i="36"/>
  <c r="N117" i="44"/>
  <c r="E312" i="36"/>
  <c r="E312" i="44"/>
  <c r="F312" i="44" l="1"/>
  <c r="G312" i="44" s="1"/>
  <c r="D312" i="44"/>
  <c r="F312" i="36"/>
  <c r="G312" i="36" s="1"/>
  <c r="D312" i="36"/>
  <c r="L120" i="36"/>
  <c r="Q117" i="44"/>
  <c r="J118" i="44"/>
  <c r="E313" i="44"/>
  <c r="E313" i="36"/>
  <c r="D313" i="44" l="1"/>
  <c r="F313" i="44"/>
  <c r="G313" i="44" s="1"/>
  <c r="D313" i="36"/>
  <c r="F313" i="36"/>
  <c r="G313" i="36" s="1"/>
  <c r="M120" i="36"/>
  <c r="N120" i="36" s="1"/>
  <c r="K118" i="44"/>
  <c r="E314" i="36"/>
  <c r="E314" i="44"/>
  <c r="D314" i="44" l="1"/>
  <c r="F314" i="44"/>
  <c r="G314" i="44" s="1"/>
  <c r="D314" i="36"/>
  <c r="F314" i="36"/>
  <c r="G314" i="36" s="1"/>
  <c r="Q120" i="36"/>
  <c r="J121" i="36"/>
  <c r="L118" i="44"/>
  <c r="M118" i="44" s="1"/>
  <c r="E315" i="36"/>
  <c r="E315" i="44"/>
  <c r="F315" i="44" l="1"/>
  <c r="G315" i="44" s="1"/>
  <c r="D315" i="44"/>
  <c r="D315" i="36"/>
  <c r="F315" i="36"/>
  <c r="G315" i="36" s="1"/>
  <c r="N118" i="44"/>
  <c r="K121" i="36"/>
  <c r="L121" i="36" s="1"/>
  <c r="E316" i="36"/>
  <c r="E316" i="44"/>
  <c r="F316" i="44" l="1"/>
  <c r="G316" i="44" s="1"/>
  <c r="D316" i="44"/>
  <c r="J119" i="44"/>
  <c r="K119" i="44" s="1"/>
  <c r="L119" i="44" s="1"/>
  <c r="D316" i="36"/>
  <c r="F316" i="36"/>
  <c r="G316" i="36" s="1"/>
  <c r="Q118" i="44"/>
  <c r="M121" i="36"/>
  <c r="N121" i="36" s="1"/>
  <c r="E317" i="36"/>
  <c r="E317" i="44"/>
  <c r="F317" i="44" l="1"/>
  <c r="G317" i="44" s="1"/>
  <c r="D317" i="44"/>
  <c r="D317" i="36"/>
  <c r="F317" i="36"/>
  <c r="G317" i="36" s="1"/>
  <c r="Q121" i="36"/>
  <c r="J122" i="36"/>
  <c r="M119" i="44"/>
  <c r="N119" i="44" s="1"/>
  <c r="E318" i="36"/>
  <c r="E318" i="44"/>
  <c r="F318" i="44" l="1"/>
  <c r="G318" i="44" s="1"/>
  <c r="D318" i="44"/>
  <c r="D318" i="36"/>
  <c r="F318" i="36"/>
  <c r="G318" i="36" s="1"/>
  <c r="Q119" i="44"/>
  <c r="J120" i="44"/>
  <c r="K120" i="44" s="1"/>
  <c r="K122" i="36"/>
  <c r="L122" i="36" s="1"/>
  <c r="E319" i="44"/>
  <c r="E319" i="36"/>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44"/>
  <c r="E321" i="36"/>
  <c r="D321" i="44" l="1"/>
  <c r="F321" i="44"/>
  <c r="G321" i="44" s="1"/>
  <c r="D321" i="36"/>
  <c r="F321" i="36"/>
  <c r="G321" i="36" s="1"/>
  <c r="K123" i="36"/>
  <c r="L123" i="36" s="1"/>
  <c r="M123" i="36" s="1"/>
  <c r="N123" i="36" s="1"/>
  <c r="K121" i="44"/>
  <c r="E322" i="36"/>
  <c r="E322" i="44"/>
  <c r="F322" i="44" l="1"/>
  <c r="G322" i="44" s="1"/>
  <c r="D322" i="44"/>
  <c r="D322" i="36"/>
  <c r="F322" i="36"/>
  <c r="G322" i="36" s="1"/>
  <c r="J124" i="36"/>
  <c r="Q123" i="36"/>
  <c r="L121" i="44"/>
  <c r="M121" i="44" s="1"/>
  <c r="E323" i="44"/>
  <c r="E323" i="36"/>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44"/>
  <c r="E325" i="36"/>
  <c r="D325" i="44" l="1"/>
  <c r="F325" i="44"/>
  <c r="G325" i="44" s="1"/>
  <c r="D325" i="36"/>
  <c r="F325" i="36"/>
  <c r="G325" i="36" s="1"/>
  <c r="K125" i="36"/>
  <c r="L125" i="36" s="1"/>
  <c r="M125" i="36" s="1"/>
  <c r="K122" i="44"/>
  <c r="L122" i="44" s="1"/>
  <c r="M122" i="44" s="1"/>
  <c r="E326" i="44"/>
  <c r="E326" i="36"/>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36"/>
  <c r="E328" i="44"/>
  <c r="F328" i="44" l="1"/>
  <c r="G328" i="44" s="1"/>
  <c r="D328" i="44"/>
  <c r="F328" i="36"/>
  <c r="G328" i="36" s="1"/>
  <c r="D328" i="36"/>
  <c r="Q126" i="36"/>
  <c r="J127" i="36"/>
  <c r="K123" i="44"/>
  <c r="L123" i="44" s="1"/>
  <c r="M123" i="44" s="1"/>
  <c r="E329" i="36"/>
  <c r="E329" i="44"/>
  <c r="D329" i="44" l="1"/>
  <c r="F329" i="44"/>
  <c r="G329" i="44" s="1"/>
  <c r="F329" i="36"/>
  <c r="G329" i="36" s="1"/>
  <c r="D329" i="36"/>
  <c r="K127" i="36"/>
  <c r="L127" i="36" s="1"/>
  <c r="M127" i="36" s="1"/>
  <c r="N127" i="36" s="1"/>
  <c r="N123" i="44"/>
  <c r="E330" i="36"/>
  <c r="E330" i="44"/>
  <c r="D330" i="44" l="1"/>
  <c r="F330" i="44"/>
  <c r="G330" i="44" s="1"/>
  <c r="D330" i="36"/>
  <c r="F330" i="36"/>
  <c r="G330" i="36" s="1"/>
  <c r="Q127" i="36"/>
  <c r="J128" i="36"/>
  <c r="Q123" i="44"/>
  <c r="J124" i="44"/>
  <c r="E331" i="44"/>
  <c r="E331" i="36"/>
  <c r="D331" i="44" l="1"/>
  <c r="F331" i="44"/>
  <c r="G331" i="44" s="1"/>
  <c r="D331" i="36"/>
  <c r="F331" i="36"/>
  <c r="G331" i="36" s="1"/>
  <c r="K128" i="36"/>
  <c r="L128" i="36" s="1"/>
  <c r="K124" i="44"/>
  <c r="L124" i="44" s="1"/>
  <c r="M124" i="44" s="1"/>
  <c r="E332" i="36"/>
  <c r="E332" i="44"/>
  <c r="D332" i="44" l="1"/>
  <c r="F332" i="44"/>
  <c r="G332" i="44" s="1"/>
  <c r="F332" i="36"/>
  <c r="G332" i="36" s="1"/>
  <c r="D332" i="36"/>
  <c r="M128" i="36"/>
  <c r="N128" i="36" s="1"/>
  <c r="N124" i="44"/>
  <c r="E333" i="44"/>
  <c r="E333" i="36"/>
  <c r="D333" i="44" l="1"/>
  <c r="F333" i="44"/>
  <c r="G333" i="44" s="1"/>
  <c r="F333" i="36"/>
  <c r="G333" i="36" s="1"/>
  <c r="D333" i="36"/>
  <c r="J129" i="36"/>
  <c r="Q128" i="36"/>
  <c r="Q124" i="44"/>
  <c r="J125" i="44"/>
  <c r="E334" i="36"/>
  <c r="E334" i="44"/>
  <c r="F334" i="44" l="1"/>
  <c r="G334" i="44" s="1"/>
  <c r="D334" i="44"/>
  <c r="D334" i="36"/>
  <c r="F334" i="36"/>
  <c r="G334" i="36" s="1"/>
  <c r="K129" i="36"/>
  <c r="L129" i="36" s="1"/>
  <c r="M129" i="36" s="1"/>
  <c r="K125" i="44"/>
  <c r="L125" i="44" s="1"/>
  <c r="E335" i="36"/>
  <c r="E335" i="44"/>
  <c r="F335" i="44" l="1"/>
  <c r="G335" i="44" s="1"/>
  <c r="D335" i="44"/>
  <c r="F335" i="36"/>
  <c r="G335" i="36" s="1"/>
  <c r="D335" i="36"/>
  <c r="M125" i="44"/>
  <c r="N125" i="44" s="1"/>
  <c r="N129" i="36"/>
  <c r="E336" i="36"/>
  <c r="E336" i="44"/>
  <c r="F336" i="44" l="1"/>
  <c r="G336" i="44" s="1"/>
  <c r="D336" i="44"/>
  <c r="D336" i="36"/>
  <c r="F336" i="36"/>
  <c r="G336" i="36" s="1"/>
  <c r="J130" i="36"/>
  <c r="Q129" i="36"/>
  <c r="Q125" i="44"/>
  <c r="J126" i="44"/>
  <c r="E337" i="36"/>
  <c r="E337" i="44"/>
  <c r="D337" i="44" l="1"/>
  <c r="F337" i="44"/>
  <c r="G337" i="44" s="1"/>
  <c r="F337" i="36"/>
  <c r="G337" i="36" s="1"/>
  <c r="D337" i="36"/>
  <c r="K130" i="36"/>
  <c r="L130" i="36" s="1"/>
  <c r="M130" i="36" s="1"/>
  <c r="K126" i="44"/>
  <c r="L126" i="44" s="1"/>
  <c r="E338" i="36"/>
  <c r="E338" i="44"/>
  <c r="D338" i="44" l="1"/>
  <c r="F338" i="44"/>
  <c r="G338" i="44" s="1"/>
  <c r="F338" i="36"/>
  <c r="G338" i="36" s="1"/>
  <c r="D338" i="36"/>
  <c r="M126" i="44"/>
  <c r="N126" i="44" s="1"/>
  <c r="N130" i="36"/>
  <c r="E339" i="36"/>
  <c r="E339" i="44"/>
  <c r="D339" i="44" l="1"/>
  <c r="F339" i="44"/>
  <c r="G339" i="44" s="1"/>
  <c r="D339" i="36"/>
  <c r="F339" i="36"/>
  <c r="G339" i="36" s="1"/>
  <c r="Q126" i="44"/>
  <c r="J127" i="44"/>
  <c r="K127" i="44" s="1"/>
  <c r="Q130" i="36"/>
  <c r="J131" i="36"/>
  <c r="E340" i="44"/>
  <c r="E340" i="36"/>
  <c r="D340" i="44" l="1"/>
  <c r="F340" i="44"/>
  <c r="G340" i="44" s="1"/>
  <c r="F340" i="36"/>
  <c r="G340" i="36" s="1"/>
  <c r="D340" i="36"/>
  <c r="L127" i="44"/>
  <c r="M127" i="44" s="1"/>
  <c r="N127" i="44" s="1"/>
  <c r="J128" i="44" s="1"/>
  <c r="K131" i="36"/>
  <c r="L131" i="36" s="1"/>
  <c r="E341" i="36"/>
  <c r="E341" i="44"/>
  <c r="F341" i="44" l="1"/>
  <c r="G341" i="44" s="1"/>
  <c r="D341" i="44"/>
  <c r="D341" i="36"/>
  <c r="F341" i="36"/>
  <c r="G341" i="36" s="1"/>
  <c r="Q127" i="44"/>
  <c r="M131" i="36"/>
  <c r="N131" i="36" s="1"/>
  <c r="J132" i="36" s="1"/>
  <c r="K128" i="44"/>
  <c r="L128" i="44" s="1"/>
  <c r="E342" i="36"/>
  <c r="E342" i="44"/>
  <c r="D342" i="44" l="1"/>
  <c r="F342" i="44"/>
  <c r="G342" i="44" s="1"/>
  <c r="D342" i="36"/>
  <c r="F342" i="36"/>
  <c r="G342" i="36" s="1"/>
  <c r="Q131" i="36"/>
  <c r="K132" i="36"/>
  <c r="L132" i="36" s="1"/>
  <c r="M132" i="36" s="1"/>
  <c r="N132" i="36" s="1"/>
  <c r="M128" i="44"/>
  <c r="N128" i="44" s="1"/>
  <c r="E343" i="36"/>
  <c r="E343" i="44"/>
  <c r="D343" i="44" l="1"/>
  <c r="F343" i="44"/>
  <c r="G343" i="44" s="1"/>
  <c r="F343" i="36"/>
  <c r="G343" i="36" s="1"/>
  <c r="D343" i="36"/>
  <c r="J133" i="36"/>
  <c r="Q132" i="36"/>
  <c r="Q128" i="44"/>
  <c r="J129" i="44"/>
  <c r="E344" i="36"/>
  <c r="E344" i="44"/>
  <c r="D344" i="44" l="1"/>
  <c r="F344" i="44"/>
  <c r="G344" i="44" s="1"/>
  <c r="D344" i="36"/>
  <c r="F344" i="36"/>
  <c r="G344" i="36" s="1"/>
  <c r="K133" i="36"/>
  <c r="L133" i="36" s="1"/>
  <c r="K129" i="44"/>
  <c r="L129" i="44" s="1"/>
  <c r="M129" i="44" s="1"/>
  <c r="N129" i="44" s="1"/>
  <c r="E345" i="44"/>
  <c r="E345" i="36"/>
  <c r="D345" i="44" l="1"/>
  <c r="F345" i="44"/>
  <c r="G345" i="44" s="1"/>
  <c r="F345" i="36"/>
  <c r="G345" i="36" s="1"/>
  <c r="D345" i="36"/>
  <c r="M133" i="36"/>
  <c r="N133" i="36" s="1"/>
  <c r="Q129" i="44"/>
  <c r="J130" i="44"/>
  <c r="E346" i="44"/>
  <c r="E346" i="36"/>
  <c r="D346" i="44" l="1"/>
  <c r="F346" i="44"/>
  <c r="G346" i="44" s="1"/>
  <c r="F346" i="36"/>
  <c r="G346" i="36" s="1"/>
  <c r="D346" i="36"/>
  <c r="J134" i="36"/>
  <c r="Q133" i="36"/>
  <c r="K130" i="44"/>
  <c r="L130" i="44" s="1"/>
  <c r="M130" i="44" s="1"/>
  <c r="E347" i="44"/>
  <c r="E347" i="36"/>
  <c r="D347" i="44" l="1"/>
  <c r="F347" i="44"/>
  <c r="G347" i="44" s="1"/>
  <c r="F347" i="36"/>
  <c r="G347" i="36" s="1"/>
  <c r="D347" i="36"/>
  <c r="K134" i="36"/>
  <c r="L134" i="36" s="1"/>
  <c r="M134" i="36" s="1"/>
  <c r="N134" i="36" s="1"/>
  <c r="N130" i="44"/>
  <c r="E348" i="44"/>
  <c r="E348" i="36"/>
  <c r="D348" i="44" l="1"/>
  <c r="F348" i="44"/>
  <c r="G348" i="44" s="1"/>
  <c r="D348" i="36"/>
  <c r="F348" i="36"/>
  <c r="G348" i="36" s="1"/>
  <c r="J135" i="36"/>
  <c r="Q134" i="36"/>
  <c r="Q130" i="44"/>
  <c r="J131" i="44"/>
  <c r="E349" i="36"/>
  <c r="E349" i="44"/>
  <c r="D349" i="44" l="1"/>
  <c r="F349" i="44"/>
  <c r="G349" i="44" s="1"/>
  <c r="F349" i="36"/>
  <c r="G349" i="36" s="1"/>
  <c r="D349" i="36"/>
  <c r="K135" i="36"/>
  <c r="L135" i="36" s="1"/>
  <c r="M135" i="36" s="1"/>
  <c r="K131" i="44"/>
  <c r="L131" i="44" s="1"/>
  <c r="M131" i="44" s="1"/>
  <c r="E350" i="36"/>
  <c r="E350" i="44"/>
  <c r="D350" i="44" l="1"/>
  <c r="F350" i="44"/>
  <c r="G350" i="44" s="1"/>
  <c r="F350" i="36"/>
  <c r="G350" i="36" s="1"/>
  <c r="D350" i="36"/>
  <c r="N135" i="36"/>
  <c r="J136" i="36" s="1"/>
  <c r="N131" i="44"/>
  <c r="E351" i="44"/>
  <c r="E351" i="36"/>
  <c r="D351" i="44" l="1"/>
  <c r="F351" i="44"/>
  <c r="G351" i="44" s="1"/>
  <c r="F351" i="36"/>
  <c r="G351" i="36" s="1"/>
  <c r="D351" i="36"/>
  <c r="Q135" i="36"/>
  <c r="K136" i="36"/>
  <c r="Q131" i="44"/>
  <c r="J132" i="44"/>
  <c r="E352" i="44"/>
  <c r="E352" i="36"/>
  <c r="F352" i="44" l="1"/>
  <c r="G352" i="44" s="1"/>
  <c r="D352" i="44"/>
  <c r="D352" i="36"/>
  <c r="F352" i="36"/>
  <c r="G352" i="36" s="1"/>
  <c r="L136" i="36"/>
  <c r="M136" i="36" s="1"/>
  <c r="K132" i="44"/>
  <c r="L132" i="44" s="1"/>
  <c r="E353" i="44"/>
  <c r="E353" i="36"/>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44"/>
  <c r="E355" i="36"/>
  <c r="D355" i="44" l="1"/>
  <c r="F355" i="44"/>
  <c r="G355" i="44" s="1"/>
  <c r="D355" i="36"/>
  <c r="F355" i="36"/>
  <c r="G355" i="36" s="1"/>
  <c r="M133" i="44"/>
  <c r="N133" i="44" s="1"/>
  <c r="Q133" i="44" s="1"/>
  <c r="K137" i="36"/>
  <c r="L137" i="36" s="1"/>
  <c r="M137" i="36" s="1"/>
  <c r="E356" i="44"/>
  <c r="E356" i="36"/>
  <c r="F356" i="44" l="1"/>
  <c r="G356" i="44" s="1"/>
  <c r="D356" i="44"/>
  <c r="F356" i="36"/>
  <c r="G356" i="36" s="1"/>
  <c r="D356" i="36"/>
  <c r="J134" i="44"/>
  <c r="K134" i="44" s="1"/>
  <c r="N137" i="36"/>
  <c r="J138" i="36" s="1"/>
  <c r="E357" i="44"/>
  <c r="E357" i="36"/>
  <c r="F357" i="44" l="1"/>
  <c r="G357" i="44" s="1"/>
  <c r="D357" i="44"/>
  <c r="D357" i="36"/>
  <c r="F357" i="36"/>
  <c r="G357" i="36" s="1"/>
  <c r="Q137" i="36"/>
  <c r="L134" i="44"/>
  <c r="M134" i="44" s="1"/>
  <c r="N134" i="44" s="1"/>
  <c r="K138" i="36"/>
  <c r="E358" i="44"/>
  <c r="E358" i="36"/>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44"/>
  <c r="E361" i="36"/>
  <c r="D361" i="44" l="1"/>
  <c r="F361" i="44"/>
  <c r="G361" i="44" s="1"/>
  <c r="D361" i="36"/>
  <c r="F361" i="36"/>
  <c r="G361" i="36" s="1"/>
  <c r="K139" i="36"/>
  <c r="L139" i="36" s="1"/>
  <c r="M139" i="36" s="1"/>
  <c r="Q135" i="44"/>
  <c r="J136" i="44"/>
  <c r="E362" i="36"/>
  <c r="E362" i="44"/>
  <c r="D362" i="44" l="1"/>
  <c r="F362" i="44"/>
  <c r="G362" i="44" s="1"/>
  <c r="D362" i="36"/>
  <c r="F362" i="36"/>
  <c r="G362" i="36" s="1"/>
  <c r="N139" i="36"/>
  <c r="K136" i="44"/>
  <c r="L136" i="44" s="1"/>
  <c r="E363" i="36"/>
  <c r="E363" i="44"/>
  <c r="F363" i="44" l="1"/>
  <c r="G363" i="44" s="1"/>
  <c r="D363" i="44"/>
  <c r="D363" i="36"/>
  <c r="F363" i="36"/>
  <c r="G363" i="36" s="1"/>
  <c r="J140" i="36"/>
  <c r="Q139" i="36"/>
  <c r="M136" i="44"/>
  <c r="N136" i="44" s="1"/>
  <c r="E364" i="36"/>
  <c r="E364" i="44"/>
  <c r="D364" i="44" l="1"/>
  <c r="F364" i="44"/>
  <c r="G364" i="44" s="1"/>
  <c r="D364" i="36"/>
  <c r="F364" i="36"/>
  <c r="G364" i="36" s="1"/>
  <c r="K140" i="36"/>
  <c r="L140" i="36" s="1"/>
  <c r="Q136" i="44"/>
  <c r="J137" i="44"/>
  <c r="E365" i="44"/>
  <c r="E365" i="36"/>
  <c r="D365" i="44" l="1"/>
  <c r="F365" i="44"/>
  <c r="G365" i="44" s="1"/>
  <c r="D365" i="36"/>
  <c r="F365" i="36"/>
  <c r="G365" i="36" s="1"/>
  <c r="M140" i="36"/>
  <c r="N140" i="36" s="1"/>
  <c r="K137" i="44"/>
  <c r="L137" i="44" s="1"/>
  <c r="E366" i="44"/>
  <c r="E366" i="36"/>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36"/>
  <c r="E368" i="44"/>
  <c r="D368" i="44" l="1"/>
  <c r="F368" i="44"/>
  <c r="G368" i="44" s="1"/>
  <c r="D368" i="36"/>
  <c r="F368" i="36"/>
  <c r="G368" i="36" s="1"/>
  <c r="M141" i="36"/>
  <c r="N141" i="36" s="1"/>
  <c r="K138" i="44"/>
  <c r="L138" i="44" s="1"/>
  <c r="M138" i="44" s="1"/>
  <c r="N138" i="44" s="1"/>
  <c r="E369" i="36"/>
  <c r="E369" i="44"/>
  <c r="D369" i="44" l="1"/>
  <c r="F369" i="44"/>
  <c r="G369" i="44" s="1"/>
  <c r="D369" i="36"/>
  <c r="F369" i="36"/>
  <c r="G369" i="36" s="1"/>
  <c r="Q141" i="36"/>
  <c r="J142" i="36"/>
  <c r="Q138" i="44"/>
  <c r="J139" i="44"/>
  <c r="E370" i="36"/>
  <c r="E370" i="44"/>
  <c r="F370" i="44" l="1"/>
  <c r="G370" i="44" s="1"/>
  <c r="D370" i="44"/>
  <c r="F370" i="36"/>
  <c r="G370" i="36" s="1"/>
  <c r="D370" i="36"/>
  <c r="K142" i="36"/>
  <c r="L142" i="36" s="1"/>
  <c r="M142" i="36" s="1"/>
  <c r="N142" i="36" s="1"/>
  <c r="K139" i="44"/>
  <c r="E371" i="36"/>
  <c r="E371" i="44"/>
  <c r="F371" i="44" l="1"/>
  <c r="G371" i="44" s="1"/>
  <c r="D371" i="44"/>
  <c r="D371" i="36"/>
  <c r="F371" i="36"/>
  <c r="G371" i="36" s="1"/>
  <c r="Q142" i="36"/>
  <c r="J143" i="36"/>
  <c r="L139" i="44"/>
  <c r="M139" i="44" s="1"/>
  <c r="N139" i="44" s="1"/>
  <c r="E372" i="44"/>
  <c r="E372" i="36"/>
  <c r="D372" i="44" l="1"/>
  <c r="F372" i="44"/>
  <c r="G372" i="44" s="1"/>
  <c r="F372" i="36"/>
  <c r="G372" i="36" s="1"/>
  <c r="D372" i="36"/>
  <c r="K143" i="36"/>
  <c r="L143" i="36" s="1"/>
  <c r="M143" i="36" s="1"/>
  <c r="Q139" i="44"/>
  <c r="J140" i="44"/>
  <c r="E373" i="36"/>
  <c r="E373" i="44"/>
  <c r="D373" i="44" l="1"/>
  <c r="F373" i="44"/>
  <c r="G373" i="44" s="1"/>
  <c r="D373" i="36"/>
  <c r="F373" i="36"/>
  <c r="G373" i="36" s="1"/>
  <c r="N143" i="36"/>
  <c r="Q143" i="36" s="1"/>
  <c r="K140" i="44"/>
  <c r="L140" i="44" s="1"/>
  <c r="E374" i="44"/>
  <c r="E374" i="36"/>
  <c r="D374" i="44" l="1"/>
  <c r="F374" i="44"/>
  <c r="G374" i="44" s="1"/>
  <c r="F374" i="36"/>
  <c r="G374" i="36" s="1"/>
  <c r="D374" i="36"/>
  <c r="J144" i="36"/>
  <c r="K144" i="36" s="1"/>
  <c r="L144" i="36" s="1"/>
  <c r="M140" i="44"/>
  <c r="N140" i="44" s="1"/>
  <c r="E375" i="44"/>
  <c r="E375" i="36"/>
  <c r="D375" i="44" l="1"/>
  <c r="F375" i="44"/>
  <c r="G375" i="44" s="1"/>
  <c r="F375" i="36"/>
  <c r="G375" i="36" s="1"/>
  <c r="D375" i="36"/>
  <c r="M144" i="36"/>
  <c r="N144" i="36" s="1"/>
  <c r="Q140" i="44"/>
  <c r="J141" i="44"/>
  <c r="E376" i="44"/>
  <c r="E376" i="36"/>
  <c r="D376" i="44" l="1"/>
  <c r="F376" i="44"/>
  <c r="G376" i="44" s="1"/>
  <c r="F376" i="36"/>
  <c r="G376" i="36" s="1"/>
  <c r="D376" i="36"/>
  <c r="J145" i="36"/>
  <c r="Q144" i="36"/>
  <c r="K141" i="44"/>
  <c r="L141" i="44" s="1"/>
  <c r="M141" i="44" s="1"/>
  <c r="N141" i="44" s="1"/>
  <c r="E377" i="44"/>
  <c r="E377" i="36"/>
  <c r="F377" i="44" l="1"/>
  <c r="G377" i="44" s="1"/>
  <c r="D377" i="44"/>
  <c r="F377" i="36"/>
  <c r="G377" i="36" s="1"/>
  <c r="D377" i="36"/>
  <c r="K145" i="36"/>
  <c r="L145" i="36" s="1"/>
  <c r="Q141" i="44"/>
  <c r="J142" i="44"/>
  <c r="E378" i="36"/>
  <c r="E378" i="44"/>
  <c r="D378" i="44" l="1"/>
  <c r="F378" i="44"/>
  <c r="G378" i="44" s="1"/>
  <c r="D378" i="36"/>
  <c r="F378" i="36"/>
  <c r="G378" i="36" s="1"/>
  <c r="M145" i="36"/>
  <c r="N145" i="36" s="1"/>
  <c r="K142" i="44"/>
  <c r="L142" i="44" s="1"/>
  <c r="E379" i="36"/>
  <c r="E379" i="44"/>
  <c r="D379" i="44" l="1"/>
  <c r="F379" i="44"/>
  <c r="G379" i="44" s="1"/>
  <c r="F379" i="36"/>
  <c r="G379" i="36" s="1"/>
  <c r="D379" i="36"/>
  <c r="M142" i="44"/>
  <c r="N142" i="44" s="1"/>
  <c r="J146" i="36"/>
  <c r="Q145" i="36"/>
  <c r="E380" i="36"/>
  <c r="E380" i="44"/>
  <c r="F380" i="44" l="1"/>
  <c r="G380" i="44" s="1"/>
  <c r="D380" i="44"/>
  <c r="F380" i="36"/>
  <c r="G380" i="36" s="1"/>
  <c r="D380" i="36"/>
  <c r="K146" i="36"/>
  <c r="L146" i="36" s="1"/>
  <c r="M146" i="36" s="1"/>
  <c r="N146" i="36" s="1"/>
  <c r="Q142" i="44"/>
  <c r="J143" i="44"/>
  <c r="E381" i="44"/>
  <c r="E381" i="36"/>
  <c r="D381" i="44" l="1"/>
  <c r="F381" i="44"/>
  <c r="G381" i="44" s="1"/>
  <c r="F381" i="36"/>
  <c r="G381" i="36" s="1"/>
  <c r="D381" i="36"/>
  <c r="Q146" i="36"/>
  <c r="J147" i="36"/>
  <c r="K143" i="44"/>
  <c r="L143" i="44" s="1"/>
  <c r="E382" i="44"/>
  <c r="E382" i="36"/>
  <c r="D382" i="44" l="1"/>
  <c r="F382" i="44"/>
  <c r="G382" i="44" s="1"/>
  <c r="F382" i="36"/>
  <c r="G382" i="36" s="1"/>
  <c r="D382" i="36"/>
  <c r="K147" i="36"/>
  <c r="L147" i="36" s="1"/>
  <c r="M147" i="36" s="1"/>
  <c r="M143" i="44"/>
  <c r="N143" i="44" s="1"/>
  <c r="E383" i="44"/>
  <c r="E383" i="36"/>
  <c r="D383" i="44" l="1"/>
  <c r="F383" i="44"/>
  <c r="G383" i="44" s="1"/>
  <c r="D383" i="36"/>
  <c r="F383" i="36"/>
  <c r="G383" i="36" s="1"/>
  <c r="N147" i="36"/>
  <c r="Q143" i="44"/>
  <c r="J144" i="44"/>
  <c r="E384" i="36"/>
  <c r="E384" i="44"/>
  <c r="D384" i="44" l="1"/>
  <c r="F384" i="44"/>
  <c r="G384" i="44" s="1"/>
  <c r="D384" i="36"/>
  <c r="F384" i="36"/>
  <c r="G384" i="36" s="1"/>
  <c r="Q147" i="36"/>
  <c r="J148" i="36"/>
  <c r="K144" i="44"/>
  <c r="L144" i="44" s="1"/>
  <c r="E385" i="44"/>
  <c r="E385" i="36"/>
  <c r="D385" i="44" l="1"/>
  <c r="F385" i="44"/>
  <c r="G385" i="44" s="1"/>
  <c r="F385" i="36"/>
  <c r="G385" i="36" s="1"/>
  <c r="D385" i="36"/>
  <c r="K148" i="36"/>
  <c r="M144" i="44"/>
  <c r="N144" i="44" s="1"/>
  <c r="E386" i="44"/>
  <c r="E386" i="36"/>
  <c r="F386" i="44" l="1"/>
  <c r="G386" i="44" s="1"/>
  <c r="D386" i="44"/>
  <c r="D386" i="36"/>
  <c r="F386" i="36"/>
  <c r="G386" i="36" s="1"/>
  <c r="L148" i="36"/>
  <c r="Q144" i="44"/>
  <c r="J145" i="44"/>
  <c r="E387" i="36"/>
  <c r="E387" i="44"/>
  <c r="F387" i="44" l="1"/>
  <c r="G387" i="44" s="1"/>
  <c r="D387" i="44"/>
  <c r="D387" i="36"/>
  <c r="F387" i="36"/>
  <c r="G387" i="36" s="1"/>
  <c r="M148" i="36"/>
  <c r="N148" i="36" s="1"/>
  <c r="K145" i="44"/>
  <c r="E388" i="36"/>
  <c r="E388" i="44"/>
  <c r="D388" i="44" l="1"/>
  <c r="F388" i="44"/>
  <c r="G388" i="44" s="1"/>
  <c r="D388" i="36"/>
  <c r="F388" i="36"/>
  <c r="G388" i="36" s="1"/>
  <c r="J149" i="36"/>
  <c r="Q148" i="36"/>
  <c r="L145" i="44"/>
  <c r="M145" i="44" s="1"/>
  <c r="N145" i="44" s="1"/>
  <c r="E389" i="36"/>
  <c r="E389" i="44"/>
  <c r="D389" i="44" l="1"/>
  <c r="F389" i="44"/>
  <c r="G389" i="44" s="1"/>
  <c r="D389" i="36"/>
  <c r="F389" i="36"/>
  <c r="G389" i="36" s="1"/>
  <c r="K149" i="36"/>
  <c r="L149" i="36" s="1"/>
  <c r="Q145" i="44"/>
  <c r="J146" i="44"/>
  <c r="E390" i="44"/>
  <c r="E390" i="36"/>
  <c r="F390" i="44" l="1"/>
  <c r="G390" i="44" s="1"/>
  <c r="D390" i="44"/>
  <c r="F390" i="36"/>
  <c r="G390" i="36" s="1"/>
  <c r="D390" i="36"/>
  <c r="M149" i="36"/>
  <c r="N149" i="36" s="1"/>
  <c r="K146" i="44"/>
  <c r="L146" i="44" s="1"/>
  <c r="E391" i="36"/>
  <c r="E391" i="44"/>
  <c r="D391" i="44" l="1"/>
  <c r="F391" i="44"/>
  <c r="G391" i="44" s="1"/>
  <c r="D391" i="36"/>
  <c r="F391" i="36"/>
  <c r="G391" i="36" s="1"/>
  <c r="J150" i="36"/>
  <c r="Q149" i="36"/>
  <c r="M146" i="44"/>
  <c r="N146" i="44" s="1"/>
  <c r="E392" i="44"/>
  <c r="E392" i="36"/>
  <c r="D392" i="44" l="1"/>
  <c r="F392" i="44"/>
  <c r="G392" i="44" s="1"/>
  <c r="D392" i="36"/>
  <c r="F392" i="36"/>
  <c r="G392" i="36" s="1"/>
  <c r="K150" i="36"/>
  <c r="L150" i="36" s="1"/>
  <c r="M150" i="36" s="1"/>
  <c r="Q146" i="44"/>
  <c r="J147" i="44"/>
  <c r="E393" i="44"/>
  <c r="E393" i="36"/>
  <c r="D393" i="44" l="1"/>
  <c r="F393" i="44"/>
  <c r="G393" i="44" s="1"/>
  <c r="D393" i="36"/>
  <c r="F393" i="36"/>
  <c r="G393" i="36" s="1"/>
  <c r="N150" i="36"/>
  <c r="K147" i="44"/>
  <c r="L147" i="44" s="1"/>
  <c r="E394" i="36"/>
  <c r="E394" i="44"/>
  <c r="D394" i="44" l="1"/>
  <c r="F394" i="44"/>
  <c r="G394" i="44" s="1"/>
  <c r="D394" i="36"/>
  <c r="F394" i="36"/>
  <c r="G394" i="36" s="1"/>
  <c r="M147" i="44"/>
  <c r="N147" i="44" s="1"/>
  <c r="Q150" i="36"/>
  <c r="J151" i="36"/>
  <c r="E395" i="44"/>
  <c r="E395" i="36"/>
  <c r="D395" i="44" l="1"/>
  <c r="F395" i="44"/>
  <c r="G395" i="44" s="1"/>
  <c r="D395" i="36"/>
  <c r="F395" i="36"/>
  <c r="G395" i="36" s="1"/>
  <c r="Q147" i="44"/>
  <c r="J148" i="44"/>
  <c r="K148" i="44" s="1"/>
  <c r="L148" i="44" s="1"/>
  <c r="K151" i="36"/>
  <c r="E396" i="44"/>
  <c r="E396" i="36"/>
  <c r="D396" i="44" l="1"/>
  <c r="F396" i="44"/>
  <c r="G396" i="44" s="1"/>
  <c r="D396" i="36"/>
  <c r="F396" i="36"/>
  <c r="G396" i="36" s="1"/>
  <c r="L151" i="36"/>
  <c r="M148" i="44"/>
  <c r="N148" i="44" s="1"/>
  <c r="E397" i="44"/>
  <c r="E397" i="36"/>
  <c r="D397" i="44" l="1"/>
  <c r="F397" i="44"/>
  <c r="G397" i="44" s="1"/>
  <c r="F397" i="36"/>
  <c r="G397" i="36" s="1"/>
  <c r="D397" i="36"/>
  <c r="M151" i="36"/>
  <c r="N151" i="36" s="1"/>
  <c r="Q148" i="44"/>
  <c r="J149" i="44"/>
  <c r="E398" i="36"/>
  <c r="E398" i="44"/>
  <c r="D398" i="44" l="1"/>
  <c r="F398" i="44"/>
  <c r="G398" i="44" s="1"/>
  <c r="D398" i="36"/>
  <c r="F398" i="36"/>
  <c r="G398" i="36" s="1"/>
  <c r="Q151" i="36"/>
  <c r="J152" i="36"/>
  <c r="K149" i="44"/>
  <c r="L149" i="44" s="1"/>
  <c r="M149" i="44" s="1"/>
  <c r="E399" i="44"/>
  <c r="E399" i="36"/>
  <c r="D399" i="44" l="1"/>
  <c r="F399" i="44"/>
  <c r="G399" i="44" s="1"/>
  <c r="F399" i="36"/>
  <c r="G399" i="36" s="1"/>
  <c r="D399" i="36"/>
  <c r="K152" i="36"/>
  <c r="L152" i="36" s="1"/>
  <c r="M152" i="36" s="1"/>
  <c r="N152" i="36" s="1"/>
  <c r="N149" i="44"/>
  <c r="E400" i="36"/>
  <c r="E400" i="44"/>
  <c r="F400" i="44" l="1"/>
  <c r="G400" i="44" s="1"/>
  <c r="D400" i="44"/>
  <c r="D400" i="36"/>
  <c r="F400" i="36"/>
  <c r="G400" i="36" s="1"/>
  <c r="J153" i="36"/>
  <c r="Q152" i="36"/>
  <c r="Q149" i="44"/>
  <c r="J150" i="44"/>
  <c r="E401" i="36"/>
  <c r="E401" i="44"/>
  <c r="D401" i="44" l="1"/>
  <c r="F401" i="44"/>
  <c r="G401" i="44" s="1"/>
  <c r="D401" i="36"/>
  <c r="F401" i="36"/>
  <c r="G401" i="36" s="1"/>
  <c r="K153" i="36"/>
  <c r="L153" i="36" s="1"/>
  <c r="M153" i="36" s="1"/>
  <c r="N153" i="36" s="1"/>
  <c r="K150" i="44"/>
  <c r="L150" i="44" s="1"/>
  <c r="M150" i="44" s="1"/>
  <c r="E402" i="44"/>
  <c r="E402" i="36"/>
  <c r="F402" i="44" l="1"/>
  <c r="G402" i="44" s="1"/>
  <c r="D402" i="44"/>
  <c r="F402" i="36"/>
  <c r="G402" i="36" s="1"/>
  <c r="D402" i="36"/>
  <c r="Q153" i="36"/>
  <c r="J154" i="36"/>
  <c r="N150" i="44"/>
  <c r="E403" i="44"/>
  <c r="E403" i="36"/>
  <c r="D403" i="44" l="1"/>
  <c r="F403" i="44"/>
  <c r="G403" i="44" s="1"/>
  <c r="F403" i="36"/>
  <c r="G403" i="36" s="1"/>
  <c r="D403" i="36"/>
  <c r="K154" i="36"/>
  <c r="L154" i="36" s="1"/>
  <c r="M154" i="36" s="1"/>
  <c r="N154" i="36" s="1"/>
  <c r="Q150" i="44"/>
  <c r="J151" i="44"/>
  <c r="E404" i="36"/>
  <c r="E404" i="44"/>
  <c r="D404" i="44" l="1"/>
  <c r="F404" i="44"/>
  <c r="G404" i="44" s="1"/>
  <c r="D404" i="36"/>
  <c r="F404" i="36"/>
  <c r="G404" i="36" s="1"/>
  <c r="Q154" i="36"/>
  <c r="J155" i="36"/>
  <c r="K151" i="44"/>
  <c r="L151" i="44" s="1"/>
  <c r="M151" i="44" s="1"/>
  <c r="N151" i="44" s="1"/>
  <c r="E405" i="36"/>
  <c r="E405" i="44"/>
  <c r="D405" i="44" l="1"/>
  <c r="F405" i="44"/>
  <c r="G405" i="44" s="1"/>
  <c r="D405" i="36"/>
  <c r="F405" i="36"/>
  <c r="G405" i="36" s="1"/>
  <c r="K155" i="36"/>
  <c r="Q151" i="44"/>
  <c r="J152" i="44"/>
  <c r="E406" i="36"/>
  <c r="E406" i="44"/>
  <c r="D406" i="44" l="1"/>
  <c r="F406" i="44"/>
  <c r="G406" i="44" s="1"/>
  <c r="F406" i="36"/>
  <c r="G406" i="36" s="1"/>
  <c r="D406" i="36"/>
  <c r="L155" i="36"/>
  <c r="M155" i="36" s="1"/>
  <c r="K152" i="44"/>
  <c r="L152" i="44" s="1"/>
  <c r="M152" i="44" s="1"/>
  <c r="N152" i="44" s="1"/>
  <c r="E407" i="36"/>
  <c r="E407" i="44"/>
  <c r="F407" i="44" l="1"/>
  <c r="G407" i="44" s="1"/>
  <c r="D407" i="44"/>
  <c r="D407" i="36"/>
  <c r="F407" i="36"/>
  <c r="G407" i="36" s="1"/>
  <c r="N155" i="36"/>
  <c r="Q152" i="44"/>
  <c r="J153" i="44"/>
  <c r="E408" i="44"/>
  <c r="E408" i="36"/>
  <c r="D408" i="44" l="1"/>
  <c r="F408" i="44"/>
  <c r="G408" i="44" s="1"/>
  <c r="D408" i="36"/>
  <c r="F408" i="36"/>
  <c r="G408" i="36" s="1"/>
  <c r="J156" i="36"/>
  <c r="Q155" i="36"/>
  <c r="K153" i="44"/>
  <c r="L153" i="44" s="1"/>
  <c r="E409" i="44"/>
  <c r="E409" i="36"/>
  <c r="D409" i="44" l="1"/>
  <c r="F409" i="44"/>
  <c r="G409" i="44" s="1"/>
  <c r="D409" i="36"/>
  <c r="F409" i="36"/>
  <c r="G409" i="36" s="1"/>
  <c r="M153" i="44"/>
  <c r="N153" i="44" s="1"/>
  <c r="J154" i="44" s="1"/>
  <c r="K156" i="36"/>
  <c r="L156" i="36" s="1"/>
  <c r="M156" i="36" s="1"/>
  <c r="E410" i="44"/>
  <c r="E410" i="36"/>
  <c r="F410" i="44" l="1"/>
  <c r="G410" i="44" s="1"/>
  <c r="D410" i="44"/>
  <c r="D410" i="36"/>
  <c r="F410" i="36"/>
  <c r="G410" i="36" s="1"/>
  <c r="Q153" i="44"/>
  <c r="N156" i="36"/>
  <c r="K154" i="44"/>
  <c r="L154" i="44" s="1"/>
  <c r="E411" i="44"/>
  <c r="E411" i="36"/>
  <c r="F411" i="44" l="1"/>
  <c r="G411" i="44" s="1"/>
  <c r="D411" i="44"/>
  <c r="F411" i="36"/>
  <c r="G411" i="36" s="1"/>
  <c r="D411" i="36"/>
  <c r="M154" i="44"/>
  <c r="N154" i="44" s="1"/>
  <c r="Q156" i="36"/>
  <c r="J157" i="36"/>
  <c r="E412" i="44"/>
  <c r="E412" i="36"/>
  <c r="D412" i="44" l="1"/>
  <c r="F412" i="44"/>
  <c r="G412" i="44" s="1"/>
  <c r="F412" i="36"/>
  <c r="G412" i="36" s="1"/>
  <c r="D412" i="36"/>
  <c r="K157" i="36"/>
  <c r="L157" i="36" s="1"/>
  <c r="M157" i="36" s="1"/>
  <c r="N157" i="36" s="1"/>
  <c r="Q154" i="44"/>
  <c r="J155" i="44"/>
  <c r="E413" i="44"/>
  <c r="E413" i="36"/>
  <c r="D413" i="44" l="1"/>
  <c r="F413" i="44"/>
  <c r="G413" i="44" s="1"/>
  <c r="D413" i="36"/>
  <c r="F413" i="36"/>
  <c r="G413" i="36" s="1"/>
  <c r="Q157" i="36"/>
  <c r="J158" i="36"/>
  <c r="K155" i="44"/>
  <c r="L155" i="44" s="1"/>
  <c r="E414" i="44"/>
  <c r="E414" i="36"/>
  <c r="F414" i="44" l="1"/>
  <c r="G414" i="44" s="1"/>
  <c r="D414" i="44"/>
  <c r="F414" i="36"/>
  <c r="G414" i="36" s="1"/>
  <c r="D414" i="36"/>
  <c r="M155" i="44"/>
  <c r="N155" i="44" s="1"/>
  <c r="K158" i="36"/>
  <c r="L158" i="36" s="1"/>
  <c r="M158" i="36" s="1"/>
  <c r="N158" i="36" s="1"/>
  <c r="E415" i="36"/>
  <c r="E415" i="44"/>
  <c r="F415" i="44" l="1"/>
  <c r="G415" i="44" s="1"/>
  <c r="D415" i="44"/>
  <c r="F415" i="36"/>
  <c r="G415" i="36" s="1"/>
  <c r="D415" i="36"/>
  <c r="Q158" i="36"/>
  <c r="J159" i="36"/>
  <c r="Q155" i="44"/>
  <c r="J156" i="44"/>
  <c r="E416" i="44"/>
  <c r="E416" i="36"/>
  <c r="D416" i="44" l="1"/>
  <c r="F416" i="44"/>
  <c r="G416" i="44" s="1"/>
  <c r="D416" i="36"/>
  <c r="F416" i="36"/>
  <c r="G416" i="36" s="1"/>
  <c r="K159" i="36"/>
  <c r="L159" i="36" s="1"/>
  <c r="M159" i="36" s="1"/>
  <c r="K156" i="44"/>
  <c r="L156" i="44" s="1"/>
  <c r="M156" i="44" s="1"/>
  <c r="E417" i="36"/>
  <c r="E417" i="44"/>
  <c r="F417" i="44" l="1"/>
  <c r="G417" i="44" s="1"/>
  <c r="D417" i="44"/>
  <c r="F417" i="36"/>
  <c r="G417" i="36" s="1"/>
  <c r="D417" i="36"/>
  <c r="N159" i="36"/>
  <c r="Q159" i="36" s="1"/>
  <c r="N156" i="44"/>
  <c r="E418" i="36"/>
  <c r="E418" i="44"/>
  <c r="F418" i="44" l="1"/>
  <c r="G418" i="44" s="1"/>
  <c r="D418" i="44"/>
  <c r="D418" i="36"/>
  <c r="F418" i="36"/>
  <c r="G418" i="36" s="1"/>
  <c r="J160" i="36"/>
  <c r="K160" i="36" s="1"/>
  <c r="Q156" i="44"/>
  <c r="J157" i="44"/>
  <c r="E419" i="36"/>
  <c r="E419" i="44"/>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44"/>
  <c r="E421" i="36"/>
  <c r="D421" i="44" l="1"/>
  <c r="F421" i="44"/>
  <c r="G421" i="44" s="1"/>
  <c r="D421" i="36"/>
  <c r="F421" i="36"/>
  <c r="G421" i="36" s="1"/>
  <c r="J162" i="36"/>
  <c r="Q161" i="36"/>
  <c r="Q157" i="44"/>
  <c r="J158" i="44"/>
  <c r="E422" i="44"/>
  <c r="E422" i="36"/>
  <c r="D422" i="44" l="1"/>
  <c r="F422" i="44"/>
  <c r="G422" i="44" s="1"/>
  <c r="F422" i="36"/>
  <c r="G422" i="36" s="1"/>
  <c r="D422" i="36"/>
  <c r="K162" i="36"/>
  <c r="L162" i="36" s="1"/>
  <c r="M162" i="36" s="1"/>
  <c r="K158" i="44"/>
  <c r="L158" i="44" s="1"/>
  <c r="M158" i="44" s="1"/>
  <c r="E423" i="44"/>
  <c r="E423" i="36"/>
  <c r="D423" i="44" l="1"/>
  <c r="F423" i="44"/>
  <c r="G423" i="44" s="1"/>
  <c r="D423" i="36"/>
  <c r="F423" i="36"/>
  <c r="G423" i="36" s="1"/>
  <c r="N162" i="36"/>
  <c r="N158" i="44"/>
  <c r="E424" i="44"/>
  <c r="E424" i="36"/>
  <c r="D424" i="44" l="1"/>
  <c r="F424" i="44"/>
  <c r="G424" i="44" s="1"/>
  <c r="F424" i="36"/>
  <c r="G424" i="36" s="1"/>
  <c r="D424" i="36"/>
  <c r="Q162" i="36"/>
  <c r="J163" i="36"/>
  <c r="Q158" i="44"/>
  <c r="J159" i="44"/>
  <c r="E425" i="44"/>
  <c r="E425" i="36"/>
  <c r="D425" i="44" l="1"/>
  <c r="F425" i="44"/>
  <c r="G425" i="44" s="1"/>
  <c r="F425" i="36"/>
  <c r="G425" i="36" s="1"/>
  <c r="D425" i="36"/>
  <c r="K163" i="36"/>
  <c r="L163" i="36" s="1"/>
  <c r="M163" i="36" s="1"/>
  <c r="N163" i="36" s="1"/>
  <c r="K159" i="44"/>
  <c r="L159" i="44" s="1"/>
  <c r="E426" i="44"/>
  <c r="E426" i="36"/>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36"/>
  <c r="E428" i="44"/>
  <c r="D428" i="44" l="1"/>
  <c r="F428" i="44"/>
  <c r="G428" i="44" s="1"/>
  <c r="D428" i="36"/>
  <c r="F428" i="36"/>
  <c r="G428" i="36" s="1"/>
  <c r="Q164" i="36"/>
  <c r="J165" i="36"/>
  <c r="K160" i="44"/>
  <c r="L160" i="44" s="1"/>
  <c r="M160" i="44" s="1"/>
  <c r="E429" i="36"/>
  <c r="E429" i="44"/>
  <c r="F429" i="44" l="1"/>
  <c r="G429" i="44" s="1"/>
  <c r="D429" i="44"/>
  <c r="F429" i="36"/>
  <c r="G429" i="36" s="1"/>
  <c r="D429" i="36"/>
  <c r="K165" i="36"/>
  <c r="L165" i="36" s="1"/>
  <c r="M165" i="36" s="1"/>
  <c r="N160" i="44"/>
  <c r="E430" i="36"/>
  <c r="E430" i="44"/>
  <c r="D430" i="44" l="1"/>
  <c r="F430" i="44"/>
  <c r="G430" i="44" s="1"/>
  <c r="F430" i="36"/>
  <c r="G430" i="36" s="1"/>
  <c r="D430" i="36"/>
  <c r="N165" i="36"/>
  <c r="Q160" i="44"/>
  <c r="J161" i="44"/>
  <c r="E431" i="36"/>
  <c r="E431" i="44"/>
  <c r="D431" i="44" l="1"/>
  <c r="F431" i="44"/>
  <c r="G431" i="44" s="1"/>
  <c r="F431" i="36"/>
  <c r="G431" i="36" s="1"/>
  <c r="D431" i="36"/>
  <c r="Q165" i="36"/>
  <c r="J166" i="36"/>
  <c r="K161" i="44"/>
  <c r="E432" i="44"/>
  <c r="E432" i="36"/>
  <c r="D432" i="44" l="1"/>
  <c r="F432" i="44"/>
  <c r="G432" i="44" s="1"/>
  <c r="F432" i="36"/>
  <c r="G432" i="36" s="1"/>
  <c r="D432" i="36"/>
  <c r="K166" i="36"/>
  <c r="L166" i="36" s="1"/>
  <c r="M166" i="36" s="1"/>
  <c r="N166" i="36" s="1"/>
  <c r="L161" i="44"/>
  <c r="M161" i="44" s="1"/>
  <c r="E433" i="44"/>
  <c r="E433" i="36"/>
  <c r="F433" i="44" l="1"/>
  <c r="G433" i="44" s="1"/>
  <c r="D433" i="44"/>
  <c r="D433" i="36"/>
  <c r="F433" i="36"/>
  <c r="G433" i="36" s="1"/>
  <c r="Q166" i="36"/>
  <c r="J167" i="36"/>
  <c r="N161" i="44"/>
  <c r="E434" i="44"/>
  <c r="E434" i="36"/>
  <c r="F434" i="44" l="1"/>
  <c r="G434" i="44" s="1"/>
  <c r="D434" i="44"/>
  <c r="F434" i="36"/>
  <c r="G434" i="36" s="1"/>
  <c r="D434" i="36"/>
  <c r="K167" i="36"/>
  <c r="L167" i="36" s="1"/>
  <c r="M167" i="36" s="1"/>
  <c r="Q161" i="44"/>
  <c r="J162" i="44"/>
  <c r="E435" i="44"/>
  <c r="E435" i="36"/>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36"/>
  <c r="E437" i="44"/>
  <c r="D437" i="44" l="1"/>
  <c r="F437" i="44"/>
  <c r="G437" i="44" s="1"/>
  <c r="D437" i="36"/>
  <c r="F437" i="36"/>
  <c r="G437" i="36" s="1"/>
  <c r="M168" i="36"/>
  <c r="N168" i="36" s="1"/>
  <c r="Q162" i="44"/>
  <c r="J163" i="44"/>
  <c r="E438" i="44"/>
  <c r="E438" i="36"/>
  <c r="F438" i="44" l="1"/>
  <c r="G438" i="44" s="1"/>
  <c r="D438" i="44"/>
  <c r="F438" i="36"/>
  <c r="G438" i="36" s="1"/>
  <c r="D438" i="36"/>
  <c r="J169" i="36"/>
  <c r="K169" i="36" s="1"/>
  <c r="L169" i="36" s="1"/>
  <c r="Q168" i="36"/>
  <c r="K163" i="44"/>
  <c r="L163" i="44" s="1"/>
  <c r="E439" i="44"/>
  <c r="E439" i="36"/>
  <c r="D439" i="44" l="1"/>
  <c r="F439" i="44"/>
  <c r="G439" i="44" s="1"/>
  <c r="D439" i="36"/>
  <c r="F439" i="36"/>
  <c r="G439" i="36" s="1"/>
  <c r="M163" i="44"/>
  <c r="N163" i="44" s="1"/>
  <c r="M169" i="36"/>
  <c r="N169" i="36" s="1"/>
  <c r="E440" i="44"/>
  <c r="E440" i="36"/>
  <c r="D440" i="44" l="1"/>
  <c r="F440" i="44"/>
  <c r="G440" i="44" s="1"/>
  <c r="D440" i="36"/>
  <c r="F440" i="36"/>
  <c r="G440" i="36" s="1"/>
  <c r="Q163" i="44"/>
  <c r="J164" i="44"/>
  <c r="K164" i="44" s="1"/>
  <c r="Q169" i="36"/>
  <c r="J170" i="36"/>
  <c r="E441" i="44"/>
  <c r="E441" i="36"/>
  <c r="F441" i="44" l="1"/>
  <c r="G441" i="44" s="1"/>
  <c r="D441" i="44"/>
  <c r="F441" i="36"/>
  <c r="G441" i="36" s="1"/>
  <c r="D441" i="36"/>
  <c r="K170" i="36"/>
  <c r="L170" i="36" s="1"/>
  <c r="M170" i="36" s="1"/>
  <c r="L164" i="44"/>
  <c r="M164" i="44" s="1"/>
  <c r="N164" i="44" s="1"/>
  <c r="E442" i="36"/>
  <c r="E442" i="44"/>
  <c r="F442" i="44" l="1"/>
  <c r="G442" i="44" s="1"/>
  <c r="D442" i="44"/>
  <c r="F442" i="36"/>
  <c r="G442" i="36" s="1"/>
  <c r="D442" i="36"/>
  <c r="Q164" i="44"/>
  <c r="J165" i="44"/>
  <c r="N170" i="36"/>
  <c r="E443" i="36"/>
  <c r="E443" i="44"/>
  <c r="D443" i="44" l="1"/>
  <c r="F443" i="44"/>
  <c r="G443" i="44" s="1"/>
  <c r="D443" i="36"/>
  <c r="F443" i="36"/>
  <c r="G443" i="36" s="1"/>
  <c r="K165" i="44"/>
  <c r="L165" i="44" s="1"/>
  <c r="M165" i="44" s="1"/>
  <c r="Q170" i="36"/>
  <c r="J171" i="36"/>
  <c r="E444" i="44"/>
  <c r="E444" i="36"/>
  <c r="D444" i="44" l="1"/>
  <c r="F444" i="44"/>
  <c r="G444" i="44" s="1"/>
  <c r="D444" i="36"/>
  <c r="F444" i="36"/>
  <c r="G444" i="36" s="1"/>
  <c r="N165" i="44"/>
  <c r="K171" i="36"/>
  <c r="L171" i="36" s="1"/>
  <c r="M171" i="36" s="1"/>
  <c r="E445" i="44"/>
  <c r="E445" i="36"/>
  <c r="F445" i="44" l="1"/>
  <c r="G445" i="44" s="1"/>
  <c r="D445" i="44"/>
  <c r="D445" i="36"/>
  <c r="F445" i="36"/>
  <c r="G445" i="36" s="1"/>
  <c r="Q165" i="44"/>
  <c r="J166" i="44"/>
  <c r="N171" i="36"/>
  <c r="E446" i="44"/>
  <c r="E446" i="36"/>
  <c r="D446" i="44" l="1"/>
  <c r="F446" i="44"/>
  <c r="G446" i="44" s="1"/>
  <c r="F446" i="36"/>
  <c r="G446" i="36" s="1"/>
  <c r="D446" i="36"/>
  <c r="K166" i="44"/>
  <c r="L166" i="44" s="1"/>
  <c r="Q171" i="36"/>
  <c r="J172" i="36"/>
  <c r="E447" i="44"/>
  <c r="E447" i="36"/>
  <c r="D447" i="44" l="1"/>
  <c r="F447" i="44"/>
  <c r="G447" i="44" s="1"/>
  <c r="D447" i="36"/>
  <c r="F447" i="36"/>
  <c r="G447" i="36" s="1"/>
  <c r="M166" i="44"/>
  <c r="N166" i="44" s="1"/>
  <c r="K172" i="36"/>
  <c r="L172" i="36" s="1"/>
  <c r="M172" i="36" s="1"/>
  <c r="N172" i="36" s="1"/>
  <c r="E448" i="36"/>
  <c r="E448" i="44"/>
  <c r="F448" i="44" l="1"/>
  <c r="G448" i="44" s="1"/>
  <c r="D448" i="44"/>
  <c r="D448" i="36"/>
  <c r="F448" i="36"/>
  <c r="G448" i="36" s="1"/>
  <c r="J167" i="44"/>
  <c r="K167" i="44" s="1"/>
  <c r="L167" i="44" s="1"/>
  <c r="M167" i="44" s="1"/>
  <c r="Q166" i="44"/>
  <c r="Q172" i="36"/>
  <c r="J173" i="36"/>
  <c r="E449" i="36"/>
  <c r="E449" i="44"/>
  <c r="F449" i="44" l="1"/>
  <c r="G449" i="44" s="1"/>
  <c r="D449" i="44"/>
  <c r="F449" i="36"/>
  <c r="G449" i="36" s="1"/>
  <c r="D449" i="36"/>
  <c r="K173" i="36"/>
  <c r="L173" i="36" s="1"/>
  <c r="N167" i="44"/>
  <c r="E450" i="44"/>
  <c r="E450" i="36"/>
  <c r="D450" i="44" l="1"/>
  <c r="F450" i="44"/>
  <c r="G450" i="44" s="1"/>
  <c r="D450" i="36"/>
  <c r="F450" i="36"/>
  <c r="G450" i="36" s="1"/>
  <c r="M173" i="36"/>
  <c r="N173" i="36" s="1"/>
  <c r="Q167" i="44"/>
  <c r="J168" i="44"/>
  <c r="E451" i="44"/>
  <c r="E451" i="36"/>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44"/>
  <c r="E453" i="36"/>
  <c r="F453" i="44" l="1"/>
  <c r="G453" i="44" s="1"/>
  <c r="D453" i="44"/>
  <c r="D453" i="36"/>
  <c r="F453" i="36"/>
  <c r="G453" i="36" s="1"/>
  <c r="Q168" i="44"/>
  <c r="J169" i="44"/>
  <c r="K169" i="44" s="1"/>
  <c r="Q174" i="36"/>
  <c r="J175" i="36"/>
  <c r="E454" i="44"/>
  <c r="E454" i="36"/>
  <c r="D454" i="44" l="1"/>
  <c r="F454" i="44"/>
  <c r="G454" i="44" s="1"/>
  <c r="D454" i="36"/>
  <c r="F454" i="36"/>
  <c r="G454" i="36" s="1"/>
  <c r="K175" i="36"/>
  <c r="L175" i="36" s="1"/>
  <c r="L169" i="44"/>
  <c r="M169" i="44" s="1"/>
  <c r="E455" i="44"/>
  <c r="E455" i="36"/>
  <c r="F455" i="44" l="1"/>
  <c r="G455" i="44" s="1"/>
  <c r="D455" i="44"/>
  <c r="D455" i="36"/>
  <c r="F455" i="36"/>
  <c r="G455" i="36" s="1"/>
  <c r="N169" i="44"/>
  <c r="Q169" i="44" s="1"/>
  <c r="M175" i="36"/>
  <c r="N175" i="36" s="1"/>
  <c r="E456" i="44"/>
  <c r="E456" i="36"/>
  <c r="D456" i="44" l="1"/>
  <c r="F456" i="44"/>
  <c r="G456" i="44" s="1"/>
  <c r="D456" i="36"/>
  <c r="F456" i="36"/>
  <c r="G456" i="36" s="1"/>
  <c r="J170" i="44"/>
  <c r="K170" i="44" s="1"/>
  <c r="L170" i="44" s="1"/>
  <c r="Q175" i="36"/>
  <c r="J176" i="36"/>
  <c r="E457" i="44"/>
  <c r="E457" i="36"/>
  <c r="D457" i="44" l="1"/>
  <c r="F457" i="44"/>
  <c r="G457" i="44" s="1"/>
  <c r="F457" i="36"/>
  <c r="G457" i="36" s="1"/>
  <c r="D457" i="36"/>
  <c r="M170" i="44"/>
  <c r="N170" i="44" s="1"/>
  <c r="Q170" i="44" s="1"/>
  <c r="K176" i="36"/>
  <c r="L176" i="36" s="1"/>
  <c r="M176" i="36" s="1"/>
  <c r="E458" i="44"/>
  <c r="E458" i="36"/>
  <c r="D458" i="44" l="1"/>
  <c r="F458" i="44"/>
  <c r="G458" i="44" s="1"/>
  <c r="F458" i="36"/>
  <c r="G458" i="36" s="1"/>
  <c r="D458" i="36"/>
  <c r="J171" i="44"/>
  <c r="K171" i="44" s="1"/>
  <c r="N176" i="36"/>
  <c r="E459" i="36"/>
  <c r="E459" i="44"/>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44"/>
  <c r="E460" i="36"/>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36"/>
  <c r="E461" i="44"/>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44"/>
  <c r="E463" i="36"/>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36"/>
  <c r="E464" i="44"/>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44"/>
  <c r="E465" i="36"/>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R450" i="36" l="1"/>
  <c r="Q450" i="36"/>
  <c r="J451" i="36"/>
  <c r="K443" i="44"/>
  <c r="L443" i="44" s="1"/>
  <c r="M443" i="44" s="1"/>
  <c r="N443" i="44" s="1"/>
  <c r="K451" i="36" l="1"/>
  <c r="L451" i="36" s="1"/>
  <c r="P450" i="36"/>
  <c r="S450" i="36" s="1"/>
  <c r="T450" i="36" s="1"/>
  <c r="U450" i="36"/>
  <c r="Q443" i="44"/>
  <c r="J444" i="44"/>
  <c r="V450" i="36" l="1"/>
  <c r="R451" i="36"/>
  <c r="Y450" i="36"/>
  <c r="Z450" i="36" s="1"/>
  <c r="X451" i="36" s="1"/>
  <c r="AA451" i="36" s="1"/>
  <c r="M451" i="36"/>
  <c r="N451" i="36" s="1"/>
  <c r="K444" i="44"/>
  <c r="L444" i="44" s="1"/>
  <c r="Q451" i="36" l="1"/>
  <c r="J452" i="36"/>
  <c r="P451" i="36"/>
  <c r="U451" i="36"/>
  <c r="M444" i="44"/>
  <c r="N444" i="44" s="1"/>
  <c r="K452" i="36" l="1"/>
  <c r="L452" i="36" s="1"/>
  <c r="M452" i="36" s="1"/>
  <c r="N452" i="36" s="1"/>
  <c r="S451" i="36"/>
  <c r="T451" i="36" s="1"/>
  <c r="Q444" i="44"/>
  <c r="J445" i="44"/>
  <c r="Q452" i="36" l="1"/>
  <c r="J453" i="36"/>
  <c r="K453" i="36" s="1"/>
  <c r="V451" i="36"/>
  <c r="R452" i="36"/>
  <c r="Y451" i="36"/>
  <c r="Z451" i="36" s="1"/>
  <c r="X452" i="36" s="1"/>
  <c r="AA452" i="36" s="1"/>
  <c r="K445" i="44"/>
  <c r="L445" i="44" s="1"/>
  <c r="L453" i="36" l="1"/>
  <c r="M453" i="36" s="1"/>
  <c r="N453" i="36" s="1"/>
  <c r="M445" i="44"/>
  <c r="N445" i="44" s="1"/>
  <c r="U452" i="36"/>
  <c r="P452" i="36"/>
  <c r="S452" i="36" s="1"/>
  <c r="T452" i="36" s="1"/>
  <c r="Q445" i="44" l="1"/>
  <c r="J446" i="44"/>
  <c r="K446" i="44" s="1"/>
  <c r="L446" i="44" s="1"/>
  <c r="R453" i="36"/>
  <c r="U453" i="36" s="1"/>
  <c r="V452" i="36"/>
  <c r="Y452" i="36"/>
  <c r="Z452" i="36" s="1"/>
  <c r="X453" i="36" s="1"/>
  <c r="AA453" i="36" s="1"/>
  <c r="Q453" i="36"/>
  <c r="J454" i="36"/>
  <c r="P453" i="36" l="1"/>
  <c r="S453" i="36" s="1"/>
  <c r="T453" i="36" s="1"/>
  <c r="M446" i="44"/>
  <c r="N446" i="44" s="1"/>
  <c r="K454" i="36"/>
  <c r="L454" i="36" s="1"/>
  <c r="J447" i="44" l="1"/>
  <c r="K447" i="44" s="1"/>
  <c r="Q446" i="44"/>
  <c r="M454" i="36"/>
  <c r="N454" i="36" s="1"/>
  <c r="Q454" i="36" s="1"/>
  <c r="V453" i="36"/>
  <c r="R454" i="36"/>
  <c r="Y453" i="36"/>
  <c r="Z453" i="36" s="1"/>
  <c r="X454" i="36" s="1"/>
  <c r="J455" i="36" l="1"/>
  <c r="K455" i="36" s="1"/>
  <c r="AA454" i="36"/>
  <c r="L447" i="44"/>
  <c r="M447" i="44" s="1"/>
  <c r="U454" i="36"/>
  <c r="P454" i="36"/>
  <c r="L455" i="36" l="1"/>
  <c r="M455" i="36" s="1"/>
  <c r="N455" i="36" s="1"/>
  <c r="N447" i="44"/>
  <c r="S454" i="36"/>
  <c r="T454" i="36" s="1"/>
  <c r="Q455" i="36" l="1"/>
  <c r="J456" i="36"/>
  <c r="K456" i="36" s="1"/>
  <c r="L456" i="36" s="1"/>
  <c r="V454" i="36"/>
  <c r="R455" i="36"/>
  <c r="Y454" i="36"/>
  <c r="Z454" i="36" s="1"/>
  <c r="X455" i="36" s="1"/>
  <c r="Q447" i="44"/>
  <c r="J448" i="44"/>
  <c r="M456" i="36" l="1"/>
  <c r="N456" i="36" s="1"/>
  <c r="AA455" i="36"/>
  <c r="U455" i="36"/>
  <c r="P455" i="36"/>
  <c r="S455" i="36" s="1"/>
  <c r="T455" i="36" s="1"/>
  <c r="K448" i="44"/>
  <c r="Q456" i="36" l="1"/>
  <c r="J457" i="36"/>
  <c r="K457" i="36" s="1"/>
  <c r="L457" i="36" s="1"/>
  <c r="V455" i="36"/>
  <c r="R456" i="36"/>
  <c r="Y455" i="36"/>
  <c r="Z455" i="36" s="1"/>
  <c r="X456" i="36" s="1"/>
  <c r="L448" i="44"/>
  <c r="M457" i="36" l="1"/>
  <c r="N457" i="36" s="1"/>
  <c r="AA456" i="36"/>
  <c r="M448" i="44"/>
  <c r="N448" i="44" s="1"/>
  <c r="U456" i="36"/>
  <c r="P456" i="36"/>
  <c r="S456" i="36" s="1"/>
  <c r="T456" i="36" s="1"/>
  <c r="Q457" i="36" l="1"/>
  <c r="J458" i="36"/>
  <c r="K458" i="36" s="1"/>
  <c r="V456" i="36"/>
  <c r="R457" i="36"/>
  <c r="Q448" i="44"/>
  <c r="J449" i="44"/>
  <c r="Y456" i="36"/>
  <c r="Z456" i="36" s="1"/>
  <c r="X457" i="36" s="1"/>
  <c r="L458" i="36" l="1"/>
  <c r="M458" i="36" s="1"/>
  <c r="K449" i="44"/>
  <c r="L449" i="44" s="1"/>
  <c r="U457" i="36"/>
  <c r="P457" i="36"/>
  <c r="AA457" i="36"/>
  <c r="N458" i="36" l="1"/>
  <c r="M449" i="44"/>
  <c r="N449" i="44" s="1"/>
  <c r="S457" i="36"/>
  <c r="T457" i="36" s="1"/>
  <c r="V457" i="36" l="1"/>
  <c r="R458" i="36"/>
  <c r="Q458" i="36"/>
  <c r="J459" i="36"/>
  <c r="K459" i="36" s="1"/>
  <c r="M459" i="36" s="1"/>
  <c r="Q449" i="44"/>
  <c r="J450" i="44"/>
  <c r="Y457" i="36"/>
  <c r="Z457" i="36" s="1"/>
  <c r="X458" i="36" s="1"/>
  <c r="K450" i="44" l="1"/>
  <c r="L450" i="44" s="1"/>
  <c r="U458" i="36"/>
  <c r="P458" i="36"/>
  <c r="AA458" i="36"/>
  <c r="M450" i="44" l="1"/>
  <c r="N450" i="44" s="1"/>
  <c r="S458" i="36"/>
  <c r="T458" i="36" s="1"/>
  <c r="V458" i="36" s="1"/>
  <c r="R450" i="44"/>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 r="X450" i="44" l="1"/>
  <c r="X450" i="36"/>
  <c r="AA450" i="36"/>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R449" i="44" l="1"/>
  <c r="P449" i="44" l="1"/>
  <c r="U449" i="44"/>
  <c r="R449" i="36"/>
  <c r="U449" i="36" l="1"/>
  <c r="P449" i="36"/>
  <c r="S449" i="44"/>
  <c r="T449" i="44" s="1"/>
  <c r="V449" i="44" s="1"/>
  <c r="Y449" i="44" l="1"/>
  <c r="Z449" i="44" s="1"/>
  <c r="S449" i="36"/>
  <c r="T449" i="36" s="1"/>
  <c r="V449" i="36" s="1"/>
  <c r="Y449" i="36" l="1"/>
  <c r="Z449" i="36" s="1"/>
  <c r="X449" i="36" l="1"/>
  <c r="AA449" i="36"/>
  <c r="X449" i="44"/>
  <c r="AA449" i="44"/>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I4" i="60"/>
  <c r="J43" i="53"/>
  <c r="F14" i="19"/>
  <c r="H12" i="49"/>
  <c r="BV3" i="50"/>
  <c r="CU3" i="64"/>
  <c r="Y3" i="64"/>
  <c r="F33" i="23"/>
  <c r="S11" i="24" s="1"/>
  <c r="J14" i="16"/>
  <c r="K16" i="31" s="1"/>
  <c r="R25" i="11"/>
  <c r="W11" i="24" s="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F39" i="66" s="1"/>
  <c r="E39"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K26" i="31" s="1"/>
  <c r="J26" i="16"/>
  <c r="I24" i="13"/>
  <c r="J68" i="29"/>
  <c r="S11" i="44"/>
  <c r="T11" i="44" s="1"/>
  <c r="J28" i="15"/>
  <c r="L28" i="15" l="1"/>
  <c r="J17" i="29" s="1"/>
  <c r="I17" i="29"/>
  <c r="K28" i="15"/>
  <c r="K17" i="29" s="1"/>
  <c r="L29" i="27"/>
  <c r="R12" i="44"/>
  <c r="V11" i="44"/>
  <c r="J69" i="29"/>
  <c r="V11" i="36"/>
  <c r="R12" i="36"/>
  <c r="Y11" i="44"/>
  <c r="Z11" i="44" s="1"/>
  <c r="X12" i="44" s="1"/>
  <c r="Y11" i="36"/>
  <c r="Z11" i="36" s="1"/>
  <c r="X12" i="36" s="1"/>
  <c r="J29" i="15" l="1"/>
  <c r="L29" i="15" s="1"/>
  <c r="J18" i="29" s="1"/>
  <c r="P12" i="44"/>
  <c r="U12" i="44"/>
  <c r="AA12" i="44"/>
  <c r="P12" i="36"/>
  <c r="S12" i="36" s="1"/>
  <c r="T12" i="36" s="1"/>
  <c r="U12" i="36"/>
  <c r="AA12" i="36"/>
  <c r="K29" i="15"/>
  <c r="K18" i="29" s="1"/>
  <c r="E19" i="23"/>
  <c r="F19" i="23" l="1"/>
  <c r="I18" i="29"/>
  <c r="L30" i="15"/>
  <c r="J31" i="15" s="1"/>
  <c r="L31" i="15" s="1"/>
  <c r="R13" i="36"/>
  <c r="V12" i="36"/>
  <c r="F39" i="23"/>
  <c r="Y11" i="24" s="1"/>
  <c r="F23" i="23"/>
  <c r="F22" i="23"/>
  <c r="E39" i="23"/>
  <c r="E23" i="23"/>
  <c r="E22" i="23"/>
  <c r="Y12" i="36"/>
  <c r="Z12" i="36" s="1"/>
  <c r="X13" i="36" s="1"/>
  <c r="S12" i="44"/>
  <c r="T12" i="44" s="1"/>
  <c r="J19" i="29" l="1"/>
  <c r="F24" i="23"/>
  <c r="E24" i="23"/>
  <c r="J32" i="15"/>
  <c r="J20" i="29"/>
  <c r="R13" i="44"/>
  <c r="V12" i="44"/>
  <c r="I20" i="29"/>
  <c r="K31" i="15"/>
  <c r="K20" i="29" s="1"/>
  <c r="AA13" i="36"/>
  <c r="Y12" i="44"/>
  <c r="Z12" i="44" s="1"/>
  <c r="X13" i="44" s="1"/>
  <c r="U13" i="36"/>
  <c r="P13" i="36"/>
  <c r="S13" i="36" s="1"/>
  <c r="T13" i="36" s="1"/>
  <c r="V13" i="36" l="1"/>
  <c r="R14" i="36"/>
  <c r="P13" i="44"/>
  <c r="S13" i="44" s="1"/>
  <c r="T13" i="44" s="1"/>
  <c r="U13" i="44"/>
  <c r="K32" i="15"/>
  <c r="K21" i="29" s="1"/>
  <c r="G19" i="23"/>
  <c r="I21" i="29"/>
  <c r="F12" i="10"/>
  <c r="Y13" i="36"/>
  <c r="Z13" i="36" s="1"/>
  <c r="X14" i="36" s="1"/>
  <c r="AA13" i="44"/>
  <c r="L32" i="15"/>
  <c r="R14" i="44" l="1"/>
  <c r="V13" i="44"/>
  <c r="E22" i="20"/>
  <c r="M3" i="64"/>
  <c r="G3" i="50"/>
  <c r="D12" i="10"/>
  <c r="G22" i="23"/>
  <c r="G23" i="23"/>
  <c r="Y13" i="44"/>
  <c r="Z13" i="44" s="1"/>
  <c r="X14" i="44" s="1"/>
  <c r="AA14" i="36"/>
  <c r="J21" i="29"/>
  <c r="J33" i="15"/>
  <c r="U14" i="36"/>
  <c r="P14" i="36"/>
  <c r="S14" i="36" s="1"/>
  <c r="T14" i="36" s="1"/>
  <c r="V14" i="36" l="1"/>
  <c r="R15" i="36"/>
  <c r="AA14" i="44"/>
  <c r="Y14" i="36"/>
  <c r="Z14" i="36" s="1"/>
  <c r="X15" i="36" s="1"/>
  <c r="G24" i="23"/>
  <c r="E3" i="50"/>
  <c r="G12" i="1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E21" i="63" s="1"/>
  <c r="L35" i="15"/>
  <c r="H25" i="13"/>
  <c r="K35" i="15"/>
  <c r="K24" i="29" s="1"/>
  <c r="Y16" i="36"/>
  <c r="Z16" i="36" s="1"/>
  <c r="X17" i="36" s="1"/>
  <c r="AA16" i="44"/>
  <c r="P16" i="44"/>
  <c r="S16" i="44" s="1"/>
  <c r="T16" i="44" s="1"/>
  <c r="U16" i="44"/>
  <c r="D3" i="56" l="1" a="1"/>
  <c r="D10" i="56" s="1"/>
  <c r="AA17" i="36"/>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AA258" i="36" s="1"/>
  <c r="V265" i="44"/>
  <c r="R266" i="44"/>
  <c r="R258" i="36"/>
  <c r="V257" i="36"/>
  <c r="Y265" i="44"/>
  <c r="Z265" i="44" s="1"/>
  <c r="X266" i="44" s="1"/>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8" i="44" s="1"/>
  <c r="V443" i="36"/>
  <c r="R444" i="36"/>
  <c r="Y443" i="36"/>
  <c r="Z443" i="36" s="1"/>
  <c r="X444" i="36" s="1"/>
  <c r="AA444" i="36" l="1"/>
  <c r="P444" i="36"/>
  <c r="S444" i="36" s="1"/>
  <c r="T444" i="36" s="1"/>
  <c r="U444" i="36"/>
  <c r="Y448" i="44"/>
  <c r="Z448" i="44" s="1"/>
  <c r="V444" i="36" l="1"/>
  <c r="R445" i="36"/>
  <c r="Y444" i="36"/>
  <c r="Z444" i="36" s="1"/>
  <c r="X445" i="36" s="1"/>
  <c r="P445" i="36" l="1"/>
  <c r="S445" i="36" s="1"/>
  <c r="T445" i="36" s="1"/>
  <c r="U445" i="36"/>
  <c r="AA445" i="36"/>
  <c r="V445" i="36" l="1"/>
  <c r="R446" i="36"/>
  <c r="Y445" i="36"/>
  <c r="Z445" i="36" s="1"/>
  <c r="X446" i="36" s="1"/>
  <c r="AA446" i="36" l="1"/>
  <c r="P446" i="36"/>
  <c r="S446" i="36" s="1"/>
  <c r="T446" i="36" s="1"/>
  <c r="U446" i="36"/>
  <c r="V446" i="36" l="1"/>
  <c r="R447" i="36"/>
  <c r="Y446" i="36"/>
  <c r="Z446" i="36" s="1"/>
  <c r="X447" i="36" s="1"/>
  <c r="AA447" i="36" l="1"/>
  <c r="P447" i="36"/>
  <c r="S447" i="36" s="1"/>
  <c r="T447" i="36" s="1"/>
  <c r="U447" i="36"/>
  <c r="R448" i="36" l="1"/>
  <c r="V447" i="36"/>
  <c r="Y447" i="36"/>
  <c r="Z447" i="36" s="1"/>
  <c r="X448" i="36" s="1"/>
  <c r="AA448" i="36" l="1"/>
  <c r="U448" i="36"/>
  <c r="P448" i="36"/>
  <c r="S448" i="36" s="1"/>
  <c r="T448" i="36" s="1"/>
  <c r="V448" i="36" s="1"/>
  <c r="Y448" i="36" l="1"/>
  <c r="Z44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1"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3"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7"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9"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<sst xmlns="http://schemas.openxmlformats.org/spreadsheetml/2006/main" count="24781" uniqueCount="2112">
  <si>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</si>
  <si>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</si>
  <si>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</si>
  <si>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</si>
  <si>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</si>
  <si>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</si>
  <si>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</si>
  <si>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</si>
  <si>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</si>
  <si>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</si>
  <si>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</si>
  <si>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</si>
  <si>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</si>
  <si>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</si>
  <si>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</si>
  <si>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</si>
  <si>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</si>
  <si>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</si>
  <si>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</si>
  <si>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</si>
  <si>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</si>
  <si>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</si>
  <si>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</si>
  <si>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</si>
  <si>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</si>
  <si>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</si>
  <si>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</si>
  <si>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</si>
  <si>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</si>
  <si>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</si>
  <si>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</si>
  <si>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</si>
  <si>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</si>
  <si>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</si>
  <si>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</si>
  <si>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</si>
  <si>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</si>
  <si>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</si>
  <si>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</si>
  <si>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</si>
  <si>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</si>
  <si>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</si>
  <si>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</si>
  <si>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</si>
  <si>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</si>
  <si>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</si>
  <si>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</si>
  <si>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</si>
  <si>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</si>
  <si>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</si>
  <si>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</si>
  <si>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</si>
  <si>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</si>
  <si>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</si>
  <si>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</si>
  <si>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</si>
  <si>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</si>
  <si>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</si>
  <si>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</si>
  <si>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</si>
  <si>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</si>
  <si>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</si>
  <si>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</si>
  <si>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</si>
  <si>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</si>
  <si>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</si>
  <si>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</si>
  <si>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</si>
  <si>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</si>
  <si>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</si>
  <si>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</si>
  <si>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</si>
  <si>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</si>
  <si>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</si>
  <si>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</si>
  <si>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</si>
  <si>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</si>
  <si>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</si>
  <si>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</si>
  <si>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</si>
  <si>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</si>
  <si>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</si>
  <si>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</si>
  <si>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</si>
  <si>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</si>
  <si>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</si>
  <si>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</si>
  <si>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</si>
  <si>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</si>
  <si>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</si>
  <si>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</si>
  <si>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</si>
  <si>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</si>
  <si>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</si>
  <si>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</si>
  <si>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</si>
  <si>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</si>
  <si>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</si>
  <si>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</si>
  <si>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</si>
  <si>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</si>
  <si>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</si>
  <si>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</si>
  <si>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</si>
  <si>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</si>
  <si>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</si>
  <si>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</si>
  <si>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</si>
  <si>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</si>
  <si>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</si>
  <si>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</si>
  <si>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</si>
  <si>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</si>
  <si>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</si>
  <si>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</si>
  <si>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</si>
  <si>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</si>
  <si>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</si>
  <si>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</si>
  <si>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</si>
  <si>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</si>
  <si>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</si>
  <si>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</si>
  <si>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</si>
  <si>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</si>
  <si>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</si>
  <si>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</si>
  <si>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</si>
  <si>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</si>
  <si>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</si>
  <si>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</si>
  <si>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</si>
  <si>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</si>
  <si>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</si>
  <si>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</si>
  <si>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</si>
  <si>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</si>
  <si>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</si>
  <si>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</si>
  <si>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</si>
  <si>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</si>
  <si>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</si>
  <si>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</si>
  <si>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</si>
  <si>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</si>
  <si>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</si>
  <si>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</si>
  <si>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</si>
  <si>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</si>
  <si>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</si>
  <si>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</si>
  <si>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</si>
  <si>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</si>
  <si>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</si>
  <si>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</si>
  <si>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</si>
  <si>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</si>
  <si>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</si>
  <si>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</si>
  <si>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</si>
  <si>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</si>
  <si>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</si>
  <si>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</si>
  <si>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</si>
  <si>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</si>
  <si>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</si>
  <si>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</si>
  <si>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</si>
  <si>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</si>
  <si>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</si>
  <si>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</si>
  <si>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</si>
  <si>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</si>
  <si>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</si>
  <si>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</si>
  <si>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</si>
  <si>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</si>
  <si>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</si>
  <si>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</si>
  <si>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</si>
  <si>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</si>
  <si>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</si>
  <si>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</si>
  <si>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</si>
  <si>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</si>
  <si>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</si>
  <si>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</si>
  <si>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</si>
  <si>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</si>
  <si>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</si>
  <si>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</si>
  <si>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</si>
  <si>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</si>
  <si>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</si>
  <si>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</si>
  <si>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</si>
  <si>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</si>
  <si>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</si>
  <si>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</si>
  <si>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</si>
  <si>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</si>
  <si>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</si>
  <si>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</si>
  <si>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</si>
  <si>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</si>
  <si>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</si>
  <si>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</si>
  <si>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</si>
  <si>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</si>
  <si>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</si>
  <si>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</si>
  <si>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</si>
  <si>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</si>
  <si>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</si>
  <si>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</si>
  <si>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</si>
  <si>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</si>
  <si>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</si>
  <si>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</si>
  <si>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</si>
  <si>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</si>
  <si>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</si>
  <si>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</si>
  <si>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</si>
  <si>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</si>
  <si>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</si>
  <si>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</si>
  <si>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</si>
  <si>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</si>
  <si>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</si>
  <si>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</si>
  <si>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</si>
  <si>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</si>
  <si>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</si>
  <si>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</si>
  <si>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</si>
  <si>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</si>
  <si>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</si>
  <si>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</si>
  <si>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</si>
  <si>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</si>
  <si>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</si>
  <si>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</si>
  <si>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</si>
  <si>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</si>
  <si>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</si>
  <si>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</si>
  <si>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</si>
  <si>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</si>
  <si>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</si>
  <si>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</si>
  <si>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</si>
  <si>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</si>
  <si>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</si>
  <si>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</si>
  <si>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</si>
  <si>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</si>
  <si>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</si>
  <si>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</si>
  <si>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</si>
  <si>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</si>
  <si>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</si>
  <si>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</si>
  <si>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</si>
  <si>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</si>
  <si>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</si>
  <si>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</si>
  <si>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</si>
  <si>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</si>
  <si>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</si>
  <si>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</si>
  <si>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</si>
  <si>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</si>
  <si>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</si>
  <si>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</si>
  <si>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</si>
  <si>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</si>
  <si>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</si>
  <si>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</si>
  <si>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</si>
  <si>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</si>
  <si>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</si>
  <si>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</si>
  <si>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</si>
  <si>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</si>
  <si>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</si>
  <si>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</si>
  <si>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</si>
  <si>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</si>
  <si>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</si>
  <si>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</si>
  <si>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</si>
  <si>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</si>
  <si>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</si>
  <si>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</si>
  <si>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</si>
  <si>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</si>
  <si>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</si>
  <si>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</si>
  <si>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</si>
  <si>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</si>
  <si>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</si>
  <si>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</si>
  <si>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</si>
  <si>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</si>
  <si>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</si>
  <si>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</si>
  <si>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</si>
  <si>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</si>
  <si>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</si>
  <si>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</si>
  <si>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</si>
  <si>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</si>
  <si>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</si>
  <si>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</si>
  <si>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</si>
  <si>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</si>
  <si>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</si>
  <si>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</si>
  <si>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</si>
  <si>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</si>
  <si>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</si>
  <si>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</si>
  <si>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</si>
  <si>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</si>
  <si>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</si>
  <si>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</si>
  <si>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</si>
  <si>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</si>
  <si>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</si>
  <si>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</si>
  <si>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</si>
  <si>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</si>
  <si>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</si>
  <si>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</si>
  <si>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</si>
  <si>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</si>
  <si>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</si>
  <si>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</si>
  <si>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</si>
  <si>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</si>
  <si>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</si>
  <si>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</si>
  <si>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</si>
  <si>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</si>
  <si>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</si>
  <si>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</si>
  <si>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</si>
  <si>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</si>
  <si>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</si>
  <si>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</si>
  <si>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</si>
  <si>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</si>
  <si>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</si>
  <si>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</si>
  <si>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</si>
  <si>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</si>
  <si>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</si>
  <si>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</si>
  <si>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</si>
  <si>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</si>
  <si>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</si>
  <si>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</si>
  <si>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</si>
  <si>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</si>
  <si>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</si>
  <si>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</si>
  <si>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</si>
  <si>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</si>
  <si>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</si>
  <si>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</si>
  <si>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</si>
  <si>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</si>
  <si>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</si>
  <si>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</si>
  <si>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</si>
  <si>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</si>
  <si>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</si>
  <si>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</si>
  <si>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</si>
  <si>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</si>
  <si>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</si>
  <si>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</si>
  <si>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</si>
  <si>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</si>
  <si>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</si>
  <si>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</si>
  <si>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</si>
  <si>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</si>
  <si>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</si>
  <si>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</si>
  <si>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</si>
  <si>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</si>
  <si>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</si>
  <si>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</si>
  <si>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</si>
  <si>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</si>
  <si>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</si>
  <si>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</si>
  <si>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</si>
  <si>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</si>
  <si>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</si>
  <si>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</si>
  <si>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</si>
  <si>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</si>
  <si>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</si>
  <si>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</si>
  <si>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</si>
  <si>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</si>
  <si>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</si>
  <si>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</si>
  <si>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</si>
  <si>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</si>
  <si>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</si>
  <si>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</si>
  <si>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</si>
  <si>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</si>
  <si>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</si>
  <si>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</si>
  <si>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</si>
  <si>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</si>
  <si>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</si>
  <si>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</si>
  <si>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</si>
  <si>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</si>
  <si>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</si>
  <si>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</si>
  <si>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</si>
  <si>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</si>
  <si>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</si>
  <si>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</si>
  <si>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</si>
  <si>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</si>
  <si>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</si>
  <si>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</si>
  <si>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</si>
  <si>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</si>
  <si>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</si>
  <si>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</si>
  <si>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</si>
  <si>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</si>
  <si>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</si>
  <si>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</si>
  <si>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</si>
  <si>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</si>
  <si>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</si>
  <si>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</si>
  <si>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</si>
  <si>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</si>
  <si>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</si>
  <si>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</si>
  <si>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</si>
  <si>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</si>
  <si>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</si>
  <si>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</si>
  <si>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</si>
  <si>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</si>
  <si>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</si>
  <si>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</si>
  <si>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</si>
  <si>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</si>
  <si>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</si>
  <si>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</si>
  <si>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</si>
  <si>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</si>
  <si>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</si>
  <si>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</si>
  <si>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</si>
  <si>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</si>
  <si>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</si>
  <si>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</si>
  <si>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</si>
  <si>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</si>
  <si>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</si>
  <si>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</si>
  <si>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</si>
  <si>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</si>
  <si>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</si>
  <si>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</si>
  <si>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</si>
  <si>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</si>
  <si>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</si>
  <si>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</si>
  <si>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</si>
  <si>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</si>
  <si>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</si>
  <si>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</si>
  <si>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</si>
  <si>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</si>
  <si>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</si>
  <si>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</si>
  <si>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</si>
  <si>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</si>
  <si>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</si>
  <si>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</si>
  <si>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</si>
  <si>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</si>
  <si>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</si>
  <si>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</si>
  <si>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</si>
  <si>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</si>
  <si>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</si>
  <si>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</si>
  <si>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</si>
  <si>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</si>
  <si>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</si>
  <si>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</si>
  <si>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</si>
  <si>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</si>
  <si>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</si>
  <si>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</si>
  <si>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</si>
  <si>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</si>
  <si>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</si>
  <si>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</si>
  <si>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</si>
  <si>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</si>
  <si>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</si>
  <si>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</si>
  <si>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</si>
  <si>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</si>
  <si>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</si>
  <si>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</si>
  <si>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</si>
  <si>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</si>
  <si>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</si>
  <si>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</si>
  <si>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</si>
  <si>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</si>
  <si>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</si>
  <si>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</si>
  <si>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</si>
  <si>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</si>
  <si>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</si>
  <si>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</si>
  <si>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</si>
  <si>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</si>
  <si>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</si>
  <si>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</si>
  <si>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</si>
  <si>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</si>
  <si>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</si>
  <si>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</si>
  <si>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</si>
  <si>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</si>
  <si>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</si>
  <si>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</si>
  <si>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</si>
  <si>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</si>
  <si>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</si>
  <si>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</si>
  <si>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</si>
  <si>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</si>
  <si>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</si>
  <si>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</si>
  <si>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</si>
  <si>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</si>
  <si>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</si>
  <si>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</si>
  <si>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</si>
  <si>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</si>
  <si>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</si>
  <si>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</si>
  <si>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</si>
  <si>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</si>
  <si>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</si>
  <si>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</si>
  <si>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</si>
  <si>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</si>
  <si>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</si>
  <si>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</si>
  <si>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</si>
  <si>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</si>
  <si>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</si>
  <si>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</si>
  <si>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</si>
  <si>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</si>
  <si>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</si>
  <si>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</si>
  <si>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</si>
  <si>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</si>
  <si>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</si>
  <si>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</si>
  <si>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</si>
  <si>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</si>
  <si>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</si>
  <si>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</si>
  <si>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</si>
  <si>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</si>
  <si>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</si>
  <si>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</si>
  <si>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</si>
  <si>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</si>
  <si>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</si>
  <si>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</si>
  <si>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</si>
  <si>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</si>
  <si>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</si>
  <si>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</si>
  <si>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</si>
  <si>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</si>
  <si>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</si>
  <si>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</si>
  <si>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</si>
  <si>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</si>
  <si>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</si>
  <si>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</si>
  <si>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</si>
  <si>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</si>
  <si>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</si>
  <si>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</si>
  <si>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</si>
  <si>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</si>
  <si>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</si>
  <si>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</si>
  <si>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</si>
  <si>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</si>
  <si>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</si>
  <si>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</si>
  <si>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</si>
  <si>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</si>
  <si>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</si>
  <si>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</si>
  <si>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</si>
  <si>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</si>
  <si>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</si>
  <si>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</si>
  <si>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</si>
  <si>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</si>
  <si>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</si>
  <si>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</si>
  <si>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</si>
  <si>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</si>
  <si>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</si>
  <si>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</si>
  <si>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</si>
  <si>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</si>
  <si>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</si>
  <si>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</si>
  <si>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</si>
  <si>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</si>
  <si>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</si>
  <si>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</si>
  <si>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</si>
  <si>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</si>
  <si>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</si>
  <si>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</si>
  <si>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</si>
  <si>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</si>
  <si>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</si>
  <si>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</si>
  <si>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</si>
  <si>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</si>
  <si>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</si>
  <si>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</si>
  <si>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</si>
  <si>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</si>
  <si>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</si>
  <si>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</si>
  <si>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</si>
  <si>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</si>
  <si>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</si>
  <si>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</si>
  <si>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</si>
  <si>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</si>
  <si>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</si>
  <si>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</si>
  <si>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</si>
  <si>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</si>
  <si>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</si>
  <si>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</si>
  <si>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</si>
  <si>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</si>
  <si>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</si>
  <si>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</si>
  <si>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</si>
  <si>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</si>
  <si>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</si>
  <si>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</si>
  <si>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</si>
  <si>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</si>
  <si>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</si>
  <si>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</si>
  <si>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</si>
  <si>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</si>
  <si>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</si>
  <si>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</si>
  <si>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</si>
  <si>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</si>
  <si>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</si>
  <si>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</si>
  <si>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</si>
  <si>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</si>
  <si>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</si>
  <si>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</si>
  <si>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</si>
  <si>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</si>
  <si>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</si>
  <si>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</si>
  <si>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</si>
  <si>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</si>
  <si>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</si>
  <si>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</si>
  <si>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</si>
  <si>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</si>
  <si>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</si>
  <si>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</si>
  <si>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</si>
  <si>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</si>
  <si>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</si>
  <si>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</si>
  <si>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</si>
  <si>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</si>
  <si>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</si>
  <si>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</si>
  <si>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</si>
  <si>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</si>
  <si>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</si>
  <si>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</si>
  <si>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</si>
  <si>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</si>
  <si>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</si>
  <si>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</si>
  <si>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</si>
  <si>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</si>
  <si>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</si>
  <si>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</si>
  <si>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</si>
  <si>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</si>
  <si>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</si>
  <si>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</si>
  <si>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</si>
  <si>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</si>
  <si>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</si>
  <si>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</si>
  <si>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</si>
  <si>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</si>
  <si>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</si>
  <si>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</si>
  <si>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</si>
  <si>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</si>
  <si>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</si>
  <si>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</si>
  <si>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</si>
  <si>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</si>
  <si>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</si>
  <si>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</si>
  <si>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</si>
  <si>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</si>
  <si>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</si>
  <si>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</si>
  <si>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</si>
  <si>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</si>
  <si>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</si>
  <si>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</si>
  <si>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</si>
  <si>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</si>
  <si>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</si>
  <si>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</si>
  <si>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</si>
  <si>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</si>
  <si>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</si>
  <si>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</si>
  <si>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</si>
  <si>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</si>
  <si>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</si>
  <si>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</si>
  <si>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</si>
  <si>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</si>
  <si>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</si>
  <si>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</si>
  <si>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</si>
  <si>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</si>
  <si>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</si>
  <si>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</si>
  <si>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</si>
  <si>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</si>
  <si>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</si>
  <si>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</si>
  <si>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</si>
  <si>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</si>
  <si>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</si>
  <si>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</si>
  <si>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</si>
  <si>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</si>
  <si>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</si>
  <si>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</si>
  <si>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</si>
  <si>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</si>
  <si>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</si>
  <si>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</si>
  <si>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</si>
  <si>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</si>
  <si>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</si>
  <si>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</si>
  <si>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</si>
  <si>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</si>
  <si>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</si>
  <si>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</si>
  <si>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</si>
  <si>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</si>
  <si>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</si>
  <si>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</si>
  <si>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</si>
  <si>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</si>
  <si>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</si>
  <si>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</si>
  <si>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</si>
  <si>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</si>
  <si>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</si>
  <si>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</si>
  <si>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</si>
  <si>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</si>
  <si>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</si>
  <si>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</si>
  <si>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</si>
  <si>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</si>
  <si>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</si>
  <si>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</si>
  <si>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</si>
  <si>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</si>
  <si>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</si>
  <si>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</si>
  <si>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</si>
  <si>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</si>
  <si>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</si>
  <si>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</si>
  <si>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</si>
  <si>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</si>
  <si>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</si>
  <si>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</si>
  <si>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</si>
  <si>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</si>
  <si>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</si>
  <si>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</si>
  <si>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</si>
  <si>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</si>
  <si>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</si>
  <si>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</si>
  <si>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</si>
  <si>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</si>
  <si>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</si>
  <si>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</si>
  <si>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</si>
  <si>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</si>
  <si>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</si>
  <si>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</si>
  <si>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</si>
  <si>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</si>
  <si>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</si>
  <si>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</si>
  <si>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</si>
  <si>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</si>
  <si>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</si>
  <si>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</si>
  <si>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</si>
  <si>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</si>
  <si>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</si>
  <si>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</si>
  <si>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</si>
  <si>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</si>
  <si>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</si>
  <si>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</si>
  <si>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</si>
  <si>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</si>
  <si>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</si>
  <si>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</si>
  <si>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</si>
  <si>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</si>
  <si>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</si>
  <si>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</si>
  <si>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</si>
  <si>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</si>
  <si>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</si>
  <si>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</si>
  <si>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</si>
  <si>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</si>
  <si>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</si>
  <si>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</si>
  <si>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</si>
  <si>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</si>
  <si>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</si>
  <si>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</si>
  <si>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</si>
  <si>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</si>
  <si>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</si>
  <si>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</si>
  <si>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</si>
  <si>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</si>
  <si>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</si>
  <si>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</si>
  <si>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</si>
  <si>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</si>
  <si>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</si>
  <si>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</si>
  <si>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</si>
  <si>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</si>
  <si>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</si>
  <si>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</si>
  <si>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</si>
  <si>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</si>
  <si>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</si>
  <si>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</si>
  <si>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</si>
  <si>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</si>
  <si>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</si>
  <si>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</si>
  <si>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</si>
  <si>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</si>
  <si>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</si>
  <si>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</si>
  <si>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</si>
  <si>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</si>
  <si>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</si>
  <si>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</si>
  <si>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</si>
  <si>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</si>
  <si>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</si>
  <si>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</si>
  <si>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</si>
  <si>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</si>
  <si>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</si>
  <si>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</si>
  <si>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</si>
  <si>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</si>
  <si>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</si>
  <si>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</si>
  <si>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</si>
  <si>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</si>
  <si>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</si>
  <si>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</si>
  <si>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</si>
  <si>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</si>
  <si>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</si>
  <si>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</si>
  <si>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</si>
  <si>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</si>
  <si>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</si>
  <si>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</si>
  <si>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</si>
  <si>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</si>
  <si>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</si>
  <si>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</si>
  <si>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</si>
  <si>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</si>
  <si>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</si>
  <si>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</si>
  <si>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</si>
  <si>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</si>
  <si>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</si>
  <si>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</si>
  <si>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</si>
  <si>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</si>
  <si>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</si>
  <si>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</si>
  <si>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</si>
  <si>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</si>
  <si>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</si>
  <si>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</si>
  <si>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</si>
  <si>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</si>
  <si>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</si>
  <si>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</si>
  <si>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</si>
  <si>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</si>
  <si>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</si>
  <si>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</si>
  <si>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</si>
  <si>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</si>
  <si>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</si>
  <si>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</si>
  <si>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</si>
  <si>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</si>
  <si>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</si>
  <si>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</si>
  <si>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</si>
  <si>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</si>
  <si>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</si>
  <si>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</si>
  <si>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</si>
  <si>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</si>
  <si>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</si>
  <si>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</si>
  <si>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</si>
  <si>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</si>
  <si>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</si>
  <si>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</si>
  <si>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</si>
  <si>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</si>
  <si>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</si>
  <si>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</si>
  <si>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</si>
  <si>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</si>
  <si>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</si>
  <si>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</si>
  <si>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</si>
  <si>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</si>
  <si>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</si>
  <si>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</si>
  <si>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</si>
  <si>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</si>
  <si>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</si>
  <si>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</si>
  <si>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</si>
  <si>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</si>
  <si>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</si>
  <si>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</si>
  <si>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</si>
  <si>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</si>
  <si>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</si>
  <si>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</si>
  <si>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</si>
  <si>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</si>
  <si>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</si>
  <si>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</si>
  <si>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</si>
  <si>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</si>
  <si>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</si>
  <si>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</si>
  <si>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</si>
  <si>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</si>
  <si>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</si>
  <si>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</si>
  <si>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</si>
  <si>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</si>
  <si>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</si>
  <si>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</si>
  <si>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</si>
  <si>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</si>
  <si>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</si>
  <si>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</si>
  <si>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</si>
  <si>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</si>
  <si>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</si>
  <si>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</si>
  <si>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</si>
  <si>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</si>
  <si>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</si>
  <si>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</si>
  <si>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</si>
  <si>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</si>
  <si>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</si>
  <si>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</si>
  <si>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</si>
  <si>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</si>
  <si>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</si>
  <si>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</si>
  <si>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</si>
  <si>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</si>
  <si>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</si>
  <si>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</si>
  <si>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</si>
  <si>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</si>
  <si>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</si>
  <si>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</si>
  <si>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</si>
  <si>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</si>
  <si>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</si>
  <si>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</si>
  <si>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</si>
  <si>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</si>
  <si>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</si>
  <si>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</si>
  <si>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</si>
  <si>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</si>
  <si>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</si>
  <si>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</si>
  <si>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</si>
  <si>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</si>
  <si>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</si>
  <si>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</si>
  <si>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</si>
  <si>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</si>
  <si>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</si>
  <si>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</si>
  <si>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</si>
  <si>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</si>
  <si>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</si>
  <si>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</si>
  <si>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</si>
  <si>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</si>
  <si>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</si>
  <si>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</si>
  <si>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</si>
  <si>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</si>
  <si>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</si>
  <si>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</si>
  <si>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</si>
  <si>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</si>
  <si>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</si>
  <si>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</si>
  <si>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</si>
  <si>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</si>
  <si>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</si>
  <si>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</si>
  <si>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</si>
  <si>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</si>
  <si>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</si>
  <si>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</si>
  <si>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</si>
  <si>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</si>
  <si>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</si>
  <si>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</si>
  <si>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</si>
  <si>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</si>
  <si>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</si>
  <si>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</si>
  <si>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</si>
  <si>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</si>
  <si>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</si>
  <si>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</si>
  <si>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</si>
  <si>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</si>
  <si>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</si>
  <si>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</si>
  <si>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</si>
  <si>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</si>
  <si>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</si>
  <si>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</si>
  <si>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</si>
  <si>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</si>
  <si>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</si>
  <si>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</si>
  <si>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</si>
  <si>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</si>
  <si>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</si>
  <si>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</si>
  <si>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</si>
  <si>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</si>
  <si>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</si>
  <si>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</si>
  <si>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</si>
  <si>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</si>
  <si>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</si>
  <si>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</si>
  <si>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</si>
  <si>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</si>
  <si>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</si>
  <si>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</si>
  <si>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</si>
  <si>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</si>
  <si>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</si>
  <si>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</si>
  <si>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</si>
  <si>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</si>
  <si>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</si>
  <si>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</si>
  <si>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</si>
  <si>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</si>
  <si>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</si>
  <si>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</si>
  <si>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</si>
  <si>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</si>
  <si>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</si>
  <si>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</si>
  <si>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</si>
  <si>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</si>
  <si>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</si>
  <si>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</si>
  <si>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</si>
  <si>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</si>
  <si>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</si>
  <si>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</si>
  <si>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</si>
  <si>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</si>
  <si>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</si>
  <si>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</si>
  <si>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</si>
  <si>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</si>
  <si>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</si>
  <si>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</si>
  <si>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</si>
  <si>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</si>
  <si>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</si>
  <si>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</si>
  <si>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</si>
  <si>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</si>
  <si>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</si>
  <si>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</si>
  <si>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</si>
  <si>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</si>
  <si>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</si>
  <si>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</si>
  <si>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</si>
  <si>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</si>
  <si>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</si>
  <si>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</si>
  <si>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</si>
  <si>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</si>
  <si>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</si>
  <si>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</si>
  <si>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</si>
  <si>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</si>
  <si>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</si>
  <si>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</si>
  <si>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</si>
  <si>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</si>
  <si>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</si>
  <si>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</si>
  <si>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</si>
  <si>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</si>
  <si>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</si>
  <si>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</si>
  <si>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</si>
  <si>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</si>
  <si>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</si>
  <si>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</si>
  <si>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</si>
  <si>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</si>
  <si>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</si>
  <si>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</si>
  <si>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</si>
  <si>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</si>
  <si>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</si>
  <si>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</si>
  <si>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</si>
  <si>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</si>
  <si>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</si>
  <si>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</si>
  <si>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</si>
  <si>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</si>
  <si>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</si>
  <si>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</si>
  <si>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</si>
  <si>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</si>
  <si>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</si>
  <si>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</si>
  <si>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</si>
  <si>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</si>
  <si>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</si>
  <si>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</si>
  <si>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</si>
  <si>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</si>
  <si>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</si>
  <si>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</si>
  <si>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</si>
  <si>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</si>
  <si>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</si>
  <si>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</si>
  <si>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</si>
  <si>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</si>
  <si>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</si>
  <si>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</si>
  <si>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</si>
  <si>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</si>
  <si>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</si>
  <si>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</si>
  <si>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</si>
  <si>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</si>
  <si>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</si>
  <si>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</si>
  <si>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</si>
  <si>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</si>
  <si>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</si>
  <si>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</si>
  <si>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</si>
  <si>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</si>
  <si>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</si>
  <si>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</si>
  <si>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</si>
  <si>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</si>
  <si>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</si>
  <si>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</si>
  <si>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</si>
  <si>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</si>
  <si>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</si>
  <si>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</si>
  <si>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</si>
  <si>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</si>
  <si>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</si>
  <si>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</si>
  <si>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</si>
  <si>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</si>
  <si>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</si>
  <si>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</si>
  <si>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</si>
  <si>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</si>
  <si>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</si>
  <si>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</si>
  <si>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</si>
  <si>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</si>
  <si>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</si>
  <si>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</si>
  <si>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</si>
  <si>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</si>
  <si>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</si>
  <si>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</si>
  <si>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</si>
  <si>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</si>
  <si>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</si>
  <si>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</si>
  <si>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</si>
  <si>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</si>
  <si>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</si>
  <si>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</si>
  <si>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</si>
  <si>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</si>
  <si>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</si>
  <si>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</si>
  <si>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</si>
  <si>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</si>
  <si>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</si>
  <si>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</si>
  <si>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</si>
  <si>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</si>
  <si>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</si>
  <si>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</si>
  <si>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</si>
  <si>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</si>
  <si>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</si>
  <si>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</si>
  <si>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</si>
  <si>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</si>
  <si>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</si>
  <si>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</si>
  <si>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</si>
  <si>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</si>
  <si>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</si>
  <si>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</si>
  <si>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</si>
  <si>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</si>
  <si>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</si>
  <si>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</si>
  <si>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</si>
  <si>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</si>
  <si>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</si>
  <si>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</si>
  <si>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</si>
  <si>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</si>
  <si>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</si>
  <si>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</si>
  <si>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</si>
  <si>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</si>
  <si>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</si>
  <si>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</si>
  <si>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</si>
  <si>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</si>
  <si>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</si>
  <si>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</si>
  <si>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</si>
  <si>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</si>
  <si>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</si>
  <si>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</si>
  <si>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</si>
  <si>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</si>
  <si>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</si>
  <si>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</si>
  <si>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</si>
  <si>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</si>
  <si>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</si>
  <si>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</si>
  <si>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</si>
  <si>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</si>
  <si>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</si>
  <si>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</si>
  <si>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</si>
  <si>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</si>
  <si>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</si>
  <si>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</si>
  <si>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</si>
  <si>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</si>
  <si>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</si>
  <si>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</si>
  <si>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</si>
  <si>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</si>
  <si>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</si>
  <si>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</si>
  <si>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</si>
  <si>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</si>
  <si>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</si>
  <si>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</si>
  <si>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</si>
  <si>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</si>
  <si>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</si>
  <si>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</si>
  <si>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</si>
  <si>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</si>
  <si>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</si>
  <si>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</si>
  <si>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</si>
  <si>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</si>
  <si>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</si>
  <si>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</si>
  <si>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</si>
  <si>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</si>
  <si>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</si>
  <si>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</si>
  <si>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</si>
  <si>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</si>
  <si>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</si>
  <si>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</si>
  <si>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</si>
  <si>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</si>
  <si>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</si>
  <si>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</si>
  <si>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</si>
  <si>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</si>
  <si>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</si>
  <si>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</si>
  <si>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</si>
  <si>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</si>
  <si>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</si>
  <si>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</si>
  <si>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</si>
  <si>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</si>
  <si>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</si>
  <si>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</si>
  <si>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</si>
  <si>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</si>
  <si>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</si>
  <si>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</si>
  <si>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</si>
  <si>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</si>
  <si>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</si>
  <si>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</si>
  <si>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</si>
  <si>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</si>
  <si>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</si>
  <si>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</si>
  <si>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</si>
  <si>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</si>
  <si>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</si>
  <si>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</si>
  <si>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</si>
  <si>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</si>
  <si>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</si>
  <si>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</si>
  <si>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</si>
  <si>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</si>
  <si>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</si>
  <si>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</si>
  <si>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</si>
  <si>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</si>
  <si>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</si>
  <si>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</si>
  <si>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</si>
  <si>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</si>
  <si>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</si>
  <si>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</si>
  <si>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</si>
  <si>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</si>
  <si>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</si>
  <si>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</si>
  <si>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</si>
  <si>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</si>
  <si>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</si>
  <si>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</si>
  <si>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</si>
  <si>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</si>
  <si>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</si>
  <si>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</si>
  <si>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</si>
  <si>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</si>
  <si>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</si>
  <si>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</si>
  <si>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</si>
  <si>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</si>
  <si>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</si>
  <si>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</si>
  <si>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</si>
  <si>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</si>
  <si>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</si>
  <si>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</si>
  <si>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</si>
  <si>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</si>
  <si>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</si>
  <si>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</si>
  <si>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</si>
  <si>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</si>
  <si>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</si>
  <si>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</si>
  <si>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</si>
  <si>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</si>
  <si>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</si>
  <si>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</si>
  <si>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</si>
  <si>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</si>
  <si>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</si>
  <si>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</si>
  <si>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</si>
  <si>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</si>
  <si>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</si>
  <si>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</si>
  <si>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</si>
  <si>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</si>
  <si>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</si>
  <si>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</si>
  <si>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</si>
  <si>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</si>
  <si>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</si>
  <si>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</si>
  <si>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</si>
  <si>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</si>
  <si>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</si>
  <si>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</si>
  <si>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</si>
  <si>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</si>
  <si>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</si>
  <si>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</si>
  <si>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</si>
  <si>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</si>
  <si>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</si>
  <si>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</si>
  <si>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</si>
  <si>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</si>
  <si>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</si>
  <si>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</si>
  <si>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</si>
  <si>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</si>
  <si>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</si>
  <si>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</si>
  <si>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</si>
  <si>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</si>
  <si>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</si>
  <si>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</si>
  <si>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</si>
  <si>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</si>
  <si>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</si>
  <si>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</si>
  <si>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</si>
  <si>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</si>
  <si>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</si>
  <si>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</si>
  <si>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</si>
  <si>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</si>
  <si>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</si>
  <si>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</si>
  <si>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</si>
  <si>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</si>
  <si>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</si>
  <si>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</si>
  <si>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</si>
  <si>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</si>
  <si>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</si>
  <si>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</si>
  <si>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</si>
  <si>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</si>
  <si>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</si>
  <si>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</si>
  <si>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</si>
  <si>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</si>
  <si>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</si>
  <si>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</si>
  <si>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</si>
  <si>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</si>
  <si>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</si>
  <si>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</si>
  <si>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</si>
  <si>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</si>
  <si>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</si>
  <si>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</si>
  <si>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</si>
  <si>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</si>
  <si>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</si>
  <si>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</si>
  <si>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</si>
  <si>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</si>
  <si>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</si>
  <si>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</si>
  <si>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</si>
  <si>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</si>
  <si>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</si>
  <si>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</si>
  <si>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</si>
  <si>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</si>
  <si>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</si>
  <si>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</si>
  <si>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</si>
  <si>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</si>
  <si>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</si>
  <si>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</si>
  <si>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</si>
  <si>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</si>
  <si>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</si>
  <si>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</si>
  <si>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</si>
  <si>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</si>
  <si>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</si>
  <si>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</si>
  <si>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</si>
  <si>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</si>
  <si>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</si>
  <si>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</si>
  <si>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</si>
  <si>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</si>
  <si>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</si>
  <si>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</si>
  <si>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</si>
  <si>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</si>
  <si>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</si>
  <si>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</si>
  <si>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</si>
  <si>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</si>
  <si>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</si>
  <si>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</si>
  <si>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</si>
  <si>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</si>
  <si>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</si>
  <si>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</si>
  <si>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</si>
  <si>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</si>
  <si>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</si>
  <si>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</si>
  <si>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</si>
  <si>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</si>
  <si>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</si>
  <si>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</si>
  <si>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</si>
  <si>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</si>
  <si>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</si>
  <si>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</si>
  <si>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</si>
  <si>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</si>
  <si>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</si>
  <si>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</si>
  <si>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</si>
  <si>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</si>
  <si>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</si>
  <si>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</si>
  <si>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</si>
  <si>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</si>
  <si>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</si>
  <si>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</si>
  <si>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</si>
  <si>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</si>
  <si>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</si>
  <si>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</si>
  <si>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</si>
  <si>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</si>
  <si>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</si>
  <si>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</si>
  <si>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</si>
  <si>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</si>
  <si>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</si>
  <si>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</si>
  <si>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</si>
  <si>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</si>
  <si>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</si>
  <si>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</si>
  <si>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</si>
  <si>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</si>
  <si>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</si>
  <si>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</si>
  <si>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</si>
  <si>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</si>
  <si>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</si>
  <si>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</si>
  <si>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</si>
  <si>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</si>
  <si>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</si>
  <si>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</si>
  <si>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</si>
  <si>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</si>
  <si>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</si>
  <si>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</si>
  <si>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</si>
  <si>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</si>
  <si>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</si>
  <si>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</si>
  <si>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</si>
  <si>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</si>
  <si>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</si>
  <si>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</si>
  <si>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</si>
  <si>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</si>
  <si>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</si>
  <si>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</si>
  <si>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</si>
  <si>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</si>
  <si>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</si>
  <si>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</si>
  <si>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</si>
  <si>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</si>
  <si>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</si>
  <si>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</si>
  <si>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</si>
  <si>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</si>
  <si>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</si>
  <si>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</si>
  <si>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</si>
  <si>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</si>
  <si>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</si>
  <si>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</si>
  <si>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</si>
  <si>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</si>
  <si>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</si>
  <si>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</si>
  <si>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</si>
  <si>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</si>
  <si>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</si>
  <si>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</si>
  <si>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</si>
  <si>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</si>
  <si>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</si>
  <si>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</si>
  <si>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</si>
  <si>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</si>
  <si>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</si>
  <si>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</si>
  <si>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</si>
  <si>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</si>
  <si>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</si>
  <si>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</si>
  <si>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</si>
  <si>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</si>
  <si>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</si>
  <si>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</si>
  <si>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</si>
  <si>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</si>
  <si>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</si>
  <si>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</si>
  <si>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</si>
  <si>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</si>
  <si>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</si>
  <si>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</si>
  <si>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</si>
  <si>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</si>
  <si>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</si>
  <si>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</si>
  <si>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</si>
  <si>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</si>
  <si>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</si>
  <si>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</si>
  <si>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</si>
  <si>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</si>
  <si>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</si>
  <si>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</si>
  <si>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</si>
  <si>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</si>
  <si>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</si>
  <si>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</si>
  <si>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</si>
  <si>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</si>
  <si>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</si>
  <si>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</si>
  <si>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</si>
  <si>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</si>
  <si>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</si>
  <si>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</si>
  <si>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</si>
  <si>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</si>
  <si>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</si>
  <si>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</si>
  <si>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</si>
  <si>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</si>
  <si>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</si>
  <si>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</si>
  <si>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</si>
  <si>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</si>
  <si>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</si>
  <si>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</si>
  <si>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</si>
  <si>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</si>
  <si>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</si>
  <si>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</si>
  <si>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</si>
  <si>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</si>
  <si>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</si>
  <si>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</si>
  <si>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</si>
  <si>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</si>
  <si>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</si>
  <si>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</si>
  <si>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</si>
  <si>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</si>
  <si>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</si>
  <si>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</si>
  <si>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</si>
  <si>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</si>
  <si>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</si>
  <si>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</si>
  <si>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</si>
  <si>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</si>
  <si>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</si>
  <si>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</si>
  <si>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</si>
  <si>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</si>
  <si>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</si>
  <si>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</si>
  <si>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</si>
  <si>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</si>
  <si>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</si>
  <si>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</si>
  <si>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</si>
  <si>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</si>
  <si>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</si>
  <si>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</si>
  <si>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</si>
  <si>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</si>
  <si>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</si>
  <si>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</si>
  <si>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</si>
  <si>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</si>
  <si>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</si>
  <si>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</si>
  <si>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</si>
  <si>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</si>
  <si>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</si>
  <si>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</si>
  <si>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</si>
  <si>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</si>
  <si>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</si>
  <si>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</si>
  <si>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</si>
  <si>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</si>
  <si>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</si>
  <si>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</si>
  <si>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</si>
  <si>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</si>
  <si>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</si>
  <si>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</si>
  <si>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</si>
  <si>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</si>
  <si>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</si>
  <si>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</si>
  <si>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</si>
  <si>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</si>
  <si>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</si>
  <si>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</si>
  <si>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</si>
  <si>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</si>
  <si>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</si>
  <si>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</si>
  <si>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</si>
  <si>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</si>
  <si>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</si>
  <si>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</si>
  <si>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</si>
  <si>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</si>
  <si>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</si>
  <si>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</si>
  <si>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</si>
  <si>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</si>
  <si>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</si>
  <si>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</si>
  <si>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</si>
  <si>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</si>
  <si>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</si>
  <si>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</si>
  <si>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</si>
  <si>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</si>
  <si>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</si>
  <si>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</si>
  <si>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</si>
  <si>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</si>
  <si>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</si>
  <si>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</si>
  <si>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</si>
  <si>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</si>
  <si>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</si>
  <si>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</si>
  <si>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</si>
  <si>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</si>
  <si>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</si>
  <si>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</si>
  <si>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</si>
  <si>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</si>
  <si>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</si>
  <si>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</si>
  <si>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</si>
  <si>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</si>
  <si>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</si>
  <si>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</si>
  <si>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</si>
  <si>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</si>
  <si>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</si>
  <si>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</si>
  <si>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</si>
  <si>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</si>
  <si>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</si>
  <si>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</si>
  <si>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</si>
  <si>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</si>
  <si>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</si>
  <si>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</si>
  <si>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</si>
  <si>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</si>
  <si>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</si>
  <si>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</si>
  <si>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</si>
  <si>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</si>
  <si>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</si>
  <si>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</si>
  <si>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</si>
  <si>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</si>
  <si>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</si>
  <si>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</si>
  <si>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</si>
  <si>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</si>
  <si>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</si>
  <si>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</si>
  <si>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</si>
  <si>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</si>
  <si>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</si>
  <si>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</si>
  <si>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</si>
  <si>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</si>
  <si>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</si>
  <si>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</si>
  <si>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</si>
  <si>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</si>
  <si>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</si>
  <si>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</si>
  <si>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</si>
  <si>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</si>
  <si>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</si>
  <si>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</si>
  <si>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</si>
  <si>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</si>
  <si>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</si>
  <si>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</si>
  <si>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</si>
  <si>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</si>
  <si>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</si>
  <si>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</si>
  <si>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</si>
  <si>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</si>
  <si>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</si>
  <si>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</si>
  <si>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</si>
  <si>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</si>
  <si>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</si>
  <si>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</si>
  <si>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</si>
  <si>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</si>
  <si>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</si>
  <si>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</si>
  <si>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</si>
  <si>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</si>
  <si>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</si>
  <si>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</si>
  <si>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</si>
  <si>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</si>
  <si>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</si>
  <si>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</si>
  <si>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</si>
  <si>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</si>
  <si>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</si>
  <si>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</si>
  <si>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</si>
  <si>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</si>
  <si>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</si>
  <si>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</si>
  <si>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</si>
  <si>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</si>
  <si>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</si>
  <si>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</si>
  <si>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</si>
  <si>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</si>
  <si>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</si>
  <si>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</si>
  <si>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</si>
  <si>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</si>
  <si>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</si>
  <si>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</si>
  <si>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</si>
  <si>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</si>
  <si>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</si>
  <si>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</si>
  <si>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</si>
  <si>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</si>
  <si>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</si>
  <si>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</si>
  <si>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</si>
  <si>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</si>
  <si>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</si>
  <si>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</si>
  <si>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</si>
  <si>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</si>
  <si>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</si>
  <si>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</si>
  <si>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</si>
  <si>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</si>
  <si>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</si>
  <si>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</si>
  <si>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</si>
  <si>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</si>
  <si>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</si>
  <si>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</si>
  <si>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</si>
  <si>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</si>
  <si>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</si>
  <si>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</si>
  <si>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</si>
  <si>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</si>
  <si>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</si>
  <si>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</si>
  <si>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</si>
  <si>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</si>
  <si>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</si>
  <si>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</si>
  <si>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</si>
  <si>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</si>
  <si>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</si>
  <si>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</si>
  <si>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</si>
  <si>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</si>
  <si>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</si>
  <si>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</si>
  <si>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</si>
  <si>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</si>
  <si>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</si>
  <si>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</si>
  <si>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</si>
  <si>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</si>
  <si>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</si>
  <si>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</si>
  <si>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</si>
  <si>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</si>
  <si>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</si>
  <si>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</si>
  <si>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</si>
  <si>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</si>
  <si>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</si>
  <si>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</si>
  <si>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</si>
  <si>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</si>
  <si>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</si>
  <si>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</si>
  <si>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</si>
  <si>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</si>
  <si>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</si>
  <si>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</si>
  <si>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</si>
  <si>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</si>
  <si>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</si>
  <si>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</si>
  <si>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</si>
  <si>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</si>
  <si>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</si>
  <si>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</si>
  <si>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</si>
  <si>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</si>
  <si>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</si>
  <si>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</si>
  <si>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</si>
  <si>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</si>
  <si>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</si>
  <si>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</si>
  <si>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</si>
  <si>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</si>
  <si>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</si>
  <si>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</si>
  <si>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</si>
  <si>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</si>
  <si>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</si>
  <si>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</si>
  <si>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</si>
  <si>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</si>
  <si>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</si>
  <si>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</si>
  <si>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</si>
  <si>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</si>
  <si>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</si>
  <si>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</si>
  <si>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</si>
  <si>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</si>
  <si>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</si>
  <si>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</si>
  <si>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</si>
  <si>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</si>
  <si>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</si>
  <si>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</si>
  <si>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</si>
  <si>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</si>
  <si>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</si>
  <si>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</si>
  <si>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</si>
  <si>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</si>
  <si>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</si>
  <si>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</si>
  <si>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</si>
  <si>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</si>
  <si>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</si>
  <si>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</si>
  <si>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</si>
  <si>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</si>
  <si>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</si>
  <si>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</si>
  <si>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</si>
  <si>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</si>
  <si>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</si>
  <si>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</si>
  <si>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</si>
  <si>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</si>
  <si>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</si>
  <si>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</si>
  <si>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</si>
  <si>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</si>
  <si>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</si>
  <si>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</si>
  <si>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</si>
  <si>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</si>
  <si>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</si>
  <si>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</si>
  <si>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</si>
  <si>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</si>
  <si>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</si>
  <si>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</si>
  <si>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</si>
  <si>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</si>
  <si>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</si>
  <si>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</si>
  <si>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</si>
  <si>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</si>
  <si>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</si>
  <si>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</si>
  <si>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</si>
  <si>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</si>
  <si>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</si>
  <si>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</si>
  <si>
    <t>Annual fees - 30/06/2025 INV1310747886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</si>
</sst>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0.00\ &quot;€&quot;;[Red]\-#,##0.00\ &quot;€&quot;"/>
    <numFmt numFmtId="41" formatCode="_-* #,##0_-;\-* #,##0_-;_-* &quot;-&quot;_-;_-@_-"/>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 numFmtId="193" formatCode="_-* #,##0\ _D_M_-;\-* #,##0\ _D_M_-;_-* &quot;-&quot;\ _D_M_-;_-@_-"/>
    <numFmt numFmtId="194" formatCode="_-* #,##0.00\ _D_M_-;\-* #,##0.00\ _D_M_-;_-* &quot;-&quot;??\ _D_M_-;_-@_-"/>
    <numFmt numFmtId="195" formatCode="_-* #,##0\ &quot;DM&quot;_-;\-* #,##0\ &quot;DM&quot;_-;_-* &quot;-&quot;\ &quot;DM&quot;_-;_-@_-"/>
    <numFmt numFmtId="196" formatCode="_-* #,##0.00\ &quot;DM&quot;_-;\-* #,##0.00\ &quot;DM&quot;_-;_-* &quot;-&quot;??\ &quot;DM&quot;_-;_-@_-"/>
    <numFmt numFmtId="197"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89">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s>
  <cellStyleXfs count="29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85" fillId="50" borderId="37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193" fontId="6" fillId="0" borderId="0" applyFont="0" applyFill="0" applyBorder="0" applyAlignment="0" applyProtection="0"/>
    <xf numFmtId="194" fontId="6" fillId="0" borderId="0" applyFont="0" applyFill="0" applyBorder="0" applyAlignment="0" applyProtection="0"/>
    <xf numFmtId="195" fontId="6" fillId="0" borderId="0" applyFont="0" applyFill="0" applyBorder="0" applyAlignment="0" applyProtection="0"/>
    <xf numFmtId="196"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7"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229">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5" fontId="33"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7" fontId="37" fillId="9" borderId="44"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49" xfId="12" applyFont="1" applyFill="1" applyBorder="1" applyAlignment="1">
      <alignment horizontal="centerContinuous" vertical="center" wrapText="1"/>
    </xf>
    <xf numFmtId="167" fontId="40" fillId="10" borderId="52" xfId="12" applyFont="1" applyFill="1" applyBorder="1" applyAlignment="1">
      <alignment horizontal="centerContinuous" vertical="center" wrapText="1"/>
    </xf>
    <xf numFmtId="167" fontId="40" fillId="10" borderId="39" xfId="12" applyFont="1" applyFill="1" applyBorder="1" applyAlignment="1">
      <alignment horizontal="centerContinuous" vertical="center" wrapText="1"/>
    </xf>
    <xf numFmtId="167" fontId="40" fillId="10" borderId="50" xfId="12" applyFont="1" applyFill="1" applyBorder="1" applyAlignment="1">
      <alignment horizontal="centerContinuous" vertical="center" wrapText="1"/>
    </xf>
    <xf numFmtId="167" fontId="37" fillId="9" borderId="56" xfId="12" applyFont="1" applyFill="1" applyBorder="1" applyAlignment="1">
      <alignment horizontal="center" vertical="center" wrapText="1"/>
    </xf>
    <xf numFmtId="167"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7" fontId="40" fillId="10" borderId="52" xfId="12" applyFont="1" applyFill="1" applyBorder="1" applyAlignment="1">
      <alignment horizontal="center" vertical="center" wrapText="1"/>
    </xf>
    <xf numFmtId="167"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6" xfId="3" applyNumberFormat="1" applyFont="1" applyFill="1" applyBorder="1" applyAlignment="1">
      <alignment horizontal="right" vertical="center" wrapText="1"/>
    </xf>
    <xf numFmtId="168"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68" fontId="42" fillId="11" borderId="66" xfId="3" applyNumberFormat="1" applyFont="1" applyFill="1" applyBorder="1" applyAlignment="1">
      <alignment horizontal="right" vertical="center" wrapText="1"/>
    </xf>
    <xf numFmtId="168"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7" fontId="37" fillId="9" borderId="78" xfId="12" applyFont="1" applyFill="1" applyBorder="1" applyAlignment="1">
      <alignment horizontal="center" vertical="center" wrapText="1"/>
    </xf>
    <xf numFmtId="167" fontId="37" fillId="9" borderId="51" xfId="12" applyFont="1" applyFill="1" applyBorder="1" applyAlignment="1">
      <alignment horizontal="center" vertical="center" wrapText="1"/>
    </xf>
    <xf numFmtId="167" fontId="38" fillId="14" borderId="76" xfId="12" applyFont="1" applyFill="1" applyBorder="1" applyAlignment="1">
      <alignment horizontal="center" vertical="center" wrapText="1"/>
    </xf>
    <xf numFmtId="167" fontId="37" fillId="10" borderId="78" xfId="12" applyFont="1" applyFill="1" applyBorder="1" applyAlignment="1">
      <alignment horizontal="center" vertical="center" wrapText="1"/>
    </xf>
    <xf numFmtId="167" fontId="37" fillId="10" borderId="51" xfId="12" applyFont="1" applyFill="1" applyBorder="1" applyAlignment="1">
      <alignment horizontal="center" vertical="center" wrapText="1"/>
    </xf>
    <xf numFmtId="167" fontId="37" fillId="10" borderId="49" xfId="12" applyFont="1" applyFill="1" applyBorder="1" applyAlignment="1">
      <alignment horizontal="center" vertical="center" wrapText="1"/>
    </xf>
    <xf numFmtId="0" fontId="6" fillId="0" borderId="1" xfId="13" applyBorder="1"/>
    <xf numFmtId="167"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44" fontId="27" fillId="0" borderId="0" xfId="21" applyFont="1" applyAlignment="1">
      <alignment vertical="center"/>
    </xf>
    <xf numFmtId="44" fontId="47" fillId="0" borderId="0" xfId="21" applyFont="1" applyAlignment="1">
      <alignment vertical="center"/>
    </xf>
    <xf numFmtId="0" fontId="48" fillId="16" borderId="119" xfId="21" applyNumberFormat="1" applyFont="1" applyFill="1" applyBorder="1" applyAlignment="1">
      <alignment horizontal="left" vertical="center" indent="1"/>
    </xf>
    <xf numFmtId="44"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1" fontId="27" fillId="0" borderId="0" xfId="22" applyNumberFormat="1" applyFont="1" applyAlignment="1">
      <alignment vertical="center"/>
    </xf>
    <xf numFmtId="167" fontId="50" fillId="0" borderId="124" xfId="23" applyFont="1" applyFill="1" applyBorder="1" applyAlignment="1">
      <alignment horizontal="center" vertical="center"/>
    </xf>
    <xf numFmtId="167"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2"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2"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69" fontId="61" fillId="22" borderId="1" xfId="6" applyNumberFormat="1" applyFont="1" applyFill="1" applyBorder="1" applyAlignment="1">
      <alignment horizontal="right" vertical="center" indent="1"/>
    </xf>
    <xf numFmtId="169" fontId="61" fillId="11" borderId="1" xfId="6" applyNumberFormat="1" applyFont="1" applyFill="1" applyBorder="1" applyAlignment="1">
      <alignment horizontal="right" vertical="center" indent="1"/>
    </xf>
    <xf numFmtId="169"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69" fontId="65" fillId="4" borderId="149"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1"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69"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4" fontId="27" fillId="2" borderId="106" xfId="14" applyNumberFormat="1" applyFont="1" applyFill="1" applyBorder="1" applyAlignment="1">
      <alignment horizontal="left" vertical="center" indent="1"/>
    </xf>
    <xf numFmtId="169"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5"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69" fontId="27" fillId="25" borderId="160" xfId="14" applyNumberFormat="1" applyFont="1" applyFill="1" applyBorder="1" applyAlignment="1">
      <alignment horizontal="right" vertical="center" indent="2"/>
    </xf>
    <xf numFmtId="174" fontId="6" fillId="2" borderId="106" xfId="14" applyNumberFormat="1" applyFill="1" applyBorder="1" applyAlignment="1">
      <alignment horizontal="left" vertical="center" indent="4"/>
    </xf>
    <xf numFmtId="44"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69"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69"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6"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69"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69"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69"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69"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69"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69"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69"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69"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7" fontId="32" fillId="0" borderId="0" xfId="14" applyNumberFormat="1" applyFont="1" applyAlignment="1">
      <alignment vertical="center"/>
    </xf>
    <xf numFmtId="169" fontId="6" fillId="0" borderId="191" xfId="14" applyNumberFormat="1" applyBorder="1" applyAlignment="1">
      <alignment horizontal="right" vertical="center" indent="1"/>
    </xf>
    <xf numFmtId="0" fontId="32" fillId="0" borderId="192" xfId="14" applyFont="1" applyBorder="1" applyAlignment="1">
      <alignment vertical="center"/>
    </xf>
    <xf numFmtId="169"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69"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68" fontId="6" fillId="0" borderId="202" xfId="14" applyNumberFormat="1" applyBorder="1" applyAlignment="1">
      <alignment horizontal="right" vertical="center" indent="1"/>
    </xf>
    <xf numFmtId="0" fontId="23" fillId="2" borderId="9" xfId="14" applyFont="1" applyFill="1" applyBorder="1" applyAlignment="1">
      <alignment vertical="center"/>
    </xf>
    <xf numFmtId="167"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7"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78"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78"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79"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78"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79" fontId="95" fillId="0" borderId="156" xfId="26" applyNumberFormat="1" applyFont="1" applyFill="1" applyBorder="1" applyAlignment="1">
      <alignment horizontal="left" vertical="center"/>
    </xf>
    <xf numFmtId="179"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78"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79" fontId="95" fillId="0" borderId="0" xfId="26" applyNumberFormat="1" applyFont="1" applyFill="1" applyBorder="1" applyAlignment="1">
      <alignment horizontal="left" vertical="center" indent="1"/>
    </xf>
    <xf numFmtId="179" fontId="95" fillId="0" borderId="0" xfId="26" applyNumberFormat="1" applyFont="1" applyFill="1" applyBorder="1" applyAlignment="1">
      <alignment horizontal="center" vertical="center"/>
    </xf>
    <xf numFmtId="178" fontId="90" fillId="0" borderId="0" xfId="15" applyNumberFormat="1" applyFont="1" applyFill="1" applyBorder="1" applyAlignment="1">
      <alignment horizontal="center" vertical="center"/>
    </xf>
    <xf numFmtId="178"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78" fontId="94" fillId="0" borderId="0" xfId="26" applyNumberFormat="1" applyFont="1" applyFill="1" applyBorder="1" applyAlignment="1">
      <alignment horizontal="center" vertical="center"/>
    </xf>
    <xf numFmtId="178" fontId="90" fillId="0" borderId="0" xfId="26" applyNumberFormat="1" applyFont="1" applyFill="1" applyBorder="1" applyAlignment="1">
      <alignment horizontal="center" vertical="center"/>
    </xf>
    <xf numFmtId="178"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79"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3"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79"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3"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79" fontId="58" fillId="0" borderId="0" xfId="26" applyNumberFormat="1" applyFont="1" applyFill="1" applyBorder="1" applyAlignment="1">
      <alignment vertical="center"/>
    </xf>
    <xf numFmtId="173" fontId="40" fillId="0" borderId="222" xfId="15" applyNumberFormat="1" applyFont="1" applyFill="1" applyBorder="1" applyAlignment="1">
      <alignment horizontal="center" vertical="center"/>
    </xf>
    <xf numFmtId="173" fontId="40" fillId="0" borderId="221" xfId="15" applyNumberFormat="1" applyFont="1" applyFill="1" applyBorder="1" applyAlignment="1">
      <alignment horizontal="center" vertical="center"/>
    </xf>
    <xf numFmtId="173" fontId="40" fillId="0" borderId="224" xfId="15" applyNumberFormat="1" applyFont="1" applyFill="1" applyBorder="1" applyAlignment="1">
      <alignment horizontal="center" vertical="center"/>
    </xf>
    <xf numFmtId="173" fontId="40" fillId="0" borderId="0" xfId="15" applyNumberFormat="1" applyFont="1" applyFill="1" applyBorder="1" applyAlignment="1">
      <alignment horizontal="center" vertical="center"/>
    </xf>
    <xf numFmtId="173" fontId="40" fillId="0" borderId="207" xfId="15" applyNumberFormat="1" applyFont="1" applyFill="1" applyBorder="1" applyAlignment="1">
      <alignment horizontal="center" vertical="center"/>
    </xf>
    <xf numFmtId="179" fontId="40" fillId="0" borderId="225" xfId="26" applyNumberFormat="1" applyFont="1" applyFill="1" applyBorder="1" applyAlignment="1">
      <alignment horizontal="center" vertical="center"/>
    </xf>
    <xf numFmtId="173" fontId="40" fillId="0" borderId="226" xfId="15" applyNumberFormat="1" applyFont="1" applyFill="1" applyBorder="1" applyAlignment="1">
      <alignment horizontal="center" vertical="center"/>
    </xf>
    <xf numFmtId="173" fontId="40" fillId="0" borderId="228" xfId="15" applyNumberFormat="1" applyFont="1" applyFill="1" applyBorder="1" applyAlignment="1">
      <alignment horizontal="center" vertical="center"/>
    </xf>
    <xf numFmtId="173" fontId="40" fillId="0" borderId="0" xfId="15" applyNumberFormat="1" applyFont="1" applyFill="1" applyBorder="1" applyAlignment="1">
      <alignment horizontal="right" vertical="center"/>
    </xf>
    <xf numFmtId="173" fontId="40" fillId="0" borderId="207" xfId="15" applyNumberFormat="1" applyFont="1" applyFill="1" applyBorder="1" applyAlignment="1">
      <alignment horizontal="right" vertical="center"/>
    </xf>
    <xf numFmtId="179" fontId="40" fillId="0" borderId="221" xfId="26" applyNumberFormat="1" applyFont="1" applyFill="1" applyBorder="1" applyAlignment="1">
      <alignment horizontal="center" vertical="center"/>
    </xf>
    <xf numFmtId="0" fontId="6" fillId="0" borderId="208" xfId="31" applyBorder="1" applyAlignment="1">
      <alignment horizontal="left" indent="1"/>
    </xf>
    <xf numFmtId="179" fontId="40" fillId="0" borderId="209" xfId="26" applyNumberFormat="1" applyFont="1" applyFill="1" applyBorder="1" applyAlignment="1">
      <alignment horizontal="right" vertical="center"/>
    </xf>
    <xf numFmtId="173" fontId="40" fillId="0" borderId="209" xfId="15" applyNumberFormat="1" applyFont="1" applyFill="1" applyBorder="1" applyAlignment="1">
      <alignment horizontal="right" vertical="center"/>
    </xf>
    <xf numFmtId="173"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0"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1"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3" fontId="13" fillId="0" borderId="0" xfId="30" applyNumberFormat="1" applyFont="1" applyAlignment="1">
      <alignment horizontal="center" vertical="center"/>
    </xf>
    <xf numFmtId="183"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3" fontId="104"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6"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3" fontId="40" fillId="0" borderId="0" xfId="26" applyNumberFormat="1" applyFont="1" applyFill="1" applyBorder="1" applyAlignment="1">
      <alignment horizontal="center" vertical="center"/>
    </xf>
    <xf numFmtId="8" fontId="40" fillId="0" borderId="0" xfId="26" applyNumberFormat="1" applyFont="1" applyFill="1" applyBorder="1" applyAlignment="1">
      <alignment horizontal="center" vertical="center"/>
    </xf>
    <xf numFmtId="8"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8" fontId="40" fillId="0" borderId="209" xfId="26" applyNumberFormat="1" applyFont="1" applyFill="1" applyBorder="1" applyAlignment="1">
      <alignment horizontal="left" vertical="center"/>
    </xf>
    <xf numFmtId="8" fontId="40" fillId="0" borderId="209" xfId="26" applyNumberFormat="1" applyFont="1" applyFill="1" applyBorder="1" applyAlignment="1">
      <alignment vertical="center"/>
    </xf>
    <xf numFmtId="8"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78"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78"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78"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78"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78" fontId="40" fillId="0" borderId="213" xfId="26" applyNumberFormat="1" applyFont="1" applyFill="1" applyBorder="1" applyAlignment="1">
      <alignment horizontal="right" vertical="center"/>
    </xf>
    <xf numFmtId="178"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78"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7" fontId="40"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0" fillId="0" borderId="0" xfId="32" applyNumberFormat="1" applyFont="1" applyFill="1" applyBorder="1" applyAlignment="1">
      <alignment horizontal="right" vertical="center"/>
    </xf>
    <xf numFmtId="178" fontId="40" fillId="0" borderId="0" xfId="32" applyNumberFormat="1" applyFont="1" applyFill="1" applyBorder="1" applyAlignment="1">
      <alignment horizontal="right" vertical="center"/>
    </xf>
    <xf numFmtId="167"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78"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3" fillId="2" borderId="0" xfId="33" applyFont="1" applyFill="1"/>
    <xf numFmtId="185"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1"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6"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7"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2"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69"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78" fontId="40" fillId="2" borderId="213" xfId="26" applyNumberFormat="1" applyFont="1" applyFill="1" applyBorder="1" applyAlignment="1">
      <alignment horizontal="right" vertical="center"/>
    </xf>
    <xf numFmtId="0" fontId="58" fillId="0" borderId="0" xfId="30" applyFont="1" applyAlignment="1">
      <alignment vertical="center"/>
    </xf>
    <xf numFmtId="178"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78"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78"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7"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7" fontId="6" fillId="0" borderId="206" xfId="32" applyFont="1" applyFill="1" applyBorder="1" applyAlignment="1">
      <alignment horizontal="left" vertical="center" wrapText="1"/>
    </xf>
    <xf numFmtId="179"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78"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78"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78"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3"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78"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3"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78"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3"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3" fontId="40" fillId="0" borderId="236" xfId="15" applyNumberFormat="1" applyFont="1" applyBorder="1" applyAlignment="1">
      <alignment vertical="center"/>
    </xf>
    <xf numFmtId="173"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78"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78"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3"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7"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69"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69"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7" fontId="37" fillId="9" borderId="42" xfId="12" applyFont="1" applyFill="1" applyBorder="1" applyAlignment="1">
      <alignment horizontal="centerContinuous" vertical="center"/>
    </xf>
    <xf numFmtId="167" fontId="37" fillId="9" borderId="278" xfId="12" applyFont="1" applyFill="1" applyBorder="1" applyAlignment="1">
      <alignment horizontal="centerContinuous" vertical="center"/>
    </xf>
    <xf numFmtId="167" fontId="37" fillId="9" borderId="266" xfId="12" applyFont="1" applyFill="1" applyBorder="1" applyAlignment="1">
      <alignment horizontal="center" vertical="center" wrapText="1"/>
    </xf>
    <xf numFmtId="167" fontId="37" fillId="9" borderId="89" xfId="12" applyFont="1" applyFill="1" applyBorder="1" applyAlignment="1">
      <alignment horizontal="center" vertical="center" wrapText="1"/>
    </xf>
    <xf numFmtId="167" fontId="37" fillId="9" borderId="279" xfId="12" applyFont="1" applyFill="1" applyBorder="1" applyAlignment="1">
      <alignment horizontal="centerContinuous" vertical="center"/>
    </xf>
    <xf numFmtId="167"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7" fontId="6" fillId="12" borderId="278" xfId="12" applyFont="1" applyFill="1" applyBorder="1" applyAlignment="1">
      <alignment horizontal="centerContinuous" vertical="center"/>
    </xf>
    <xf numFmtId="167"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7" fontId="37" fillId="9" borderId="283" xfId="12" applyFont="1" applyFill="1" applyBorder="1" applyAlignment="1">
      <alignment horizontal="centerContinuous" vertical="center" wrapText="1"/>
    </xf>
    <xf numFmtId="167"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78"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78"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78"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78"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3"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1"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88"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69"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6" fillId="7" borderId="38" xfId="14" applyNumberFormat="1" applyFont="1" applyFill="1" applyBorder="1" applyAlignment="1">
      <alignment horizontal="center" vertical="center" wrapText="1"/>
    </xf>
    <xf numFmtId="178" fontId="4" fillId="0" borderId="241" xfId="26" applyNumberFormat="1" applyFont="1" applyBorder="1" applyAlignment="1">
      <alignment horizontal="center" vertical="center"/>
    </xf>
    <xf numFmtId="178"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3" fontId="43" fillId="0" borderId="341" xfId="1" applyNumberFormat="1" applyFont="1" applyFill="1" applyBorder="1" applyAlignment="1">
      <alignment horizontal="center" vertical="center" wrapText="1"/>
    </xf>
    <xf numFmtId="173"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0"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0"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7"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7"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7" fontId="148" fillId="7" borderId="354" xfId="42" applyFont="1" applyFill="1" applyBorder="1" applyAlignment="1">
      <alignment horizontal="center"/>
    </xf>
    <xf numFmtId="167"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3"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78" fontId="41" fillId="2" borderId="224" xfId="11" applyNumberFormat="1" applyFont="1" applyFill="1" applyBorder="1" applyAlignment="1">
      <alignment horizontal="center" vertical="center"/>
    </xf>
    <xf numFmtId="178"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7"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0"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0"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0" fillId="0" borderId="213" xfId="15" applyNumberFormat="1" applyFont="1" applyFill="1" applyBorder="1" applyAlignment="1">
      <alignment horizontal="center" vertical="center"/>
    </xf>
    <xf numFmtId="173" fontId="40" fillId="0" borderId="213" xfId="1" applyNumberFormat="1" applyFont="1" applyFill="1" applyBorder="1" applyAlignment="1">
      <alignment horizontal="center" vertical="center"/>
    </xf>
    <xf numFmtId="176" fontId="40" fillId="0" borderId="214" xfId="15" applyNumberFormat="1" applyFont="1" applyFill="1" applyBorder="1" applyAlignment="1">
      <alignment horizontal="center" vertical="center"/>
    </xf>
    <xf numFmtId="176"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69"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69"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69" fontId="27" fillId="20" borderId="160" xfId="14" applyNumberFormat="1" applyFont="1" applyFill="1" applyBorder="1" applyAlignment="1">
      <alignment horizontal="right" vertical="center" indent="2"/>
    </xf>
    <xf numFmtId="167"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0" fontId="149" fillId="0" borderId="37" xfId="40" applyNumberFormat="1" applyFont="1" applyBorder="1" applyAlignment="1">
      <alignment horizontal="centerContinuous" vertical="center"/>
    </xf>
    <xf numFmtId="190"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3" fontId="41" fillId="0" borderId="233" xfId="15" applyNumberFormat="1" applyFont="1" applyBorder="1" applyAlignment="1">
      <alignment horizontal="center" vertical="center"/>
    </xf>
    <xf numFmtId="167" fontId="125" fillId="2" borderId="0" xfId="6" applyNumberFormat="1" applyFont="1" applyFill="1"/>
    <xf numFmtId="192" fontId="40" fillId="0" borderId="269" xfId="0" applyNumberFormat="1" applyFont="1" applyBorder="1" applyAlignment="1">
      <alignment horizontal="center" vertical="center" wrapText="1"/>
    </xf>
    <xf numFmtId="191" fontId="0" fillId="0" borderId="0" xfId="0" applyNumberFormat="1"/>
    <xf numFmtId="0" fontId="5" fillId="0" borderId="0" xfId="0" applyFont="1"/>
    <xf numFmtId="4" fontId="37" fillId="2" borderId="0" xfId="6" applyNumberFormat="1" applyFont="1" applyFill="1"/>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3"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88"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69"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78"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3"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78"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78"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88"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78" fontId="90" fillId="0" borderId="0" xfId="28" applyNumberFormat="1" applyFont="1" applyAlignment="1">
      <alignment vertical="center"/>
    </xf>
    <xf numFmtId="176"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7"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7"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7"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68" fontId="37" fillId="0" borderId="0" xfId="3" applyNumberFormat="1" applyFont="1" applyAlignment="1">
      <alignment horizontal="right"/>
    </xf>
    <xf numFmtId="169" fontId="55" fillId="0" borderId="140" xfId="14" applyNumberFormat="1" applyFont="1" applyBorder="1" applyAlignment="1">
      <alignment horizontal="center" vertical="center"/>
    </xf>
    <xf numFmtId="176" fontId="40" fillId="2" borderId="213" xfId="15" applyNumberFormat="1" applyFont="1" applyFill="1" applyBorder="1" applyAlignment="1">
      <alignment horizontal="center" vertical="center"/>
    </xf>
    <xf numFmtId="176"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2" fillId="0" borderId="0" xfId="2" applyFont="1" applyAlignment="1">
      <alignment horizontal="right" vertical="center"/>
    </xf>
    <xf numFmtId="4" fontId="125" fillId="0" borderId="0" xfId="13" applyNumberFormat="1" applyFont="1"/>
    <xf numFmtId="0" fontId="125" fillId="0" borderId="0" xfId="13" applyFont="1"/>
    <xf numFmtId="4" fontId="27" fillId="7" borderId="170" xfId="3" applyNumberFormat="1" applyFont="1" applyFill="1" applyBorder="1" applyAlignment="1">
      <alignment horizontal="centerContinuous" vertical="center"/>
    </xf>
    <xf numFmtId="4" fontId="27" fillId="7" borderId="253" xfId="3" applyNumberFormat="1" applyFont="1" applyFill="1" applyBorder="1" applyAlignment="1">
      <alignment horizontal="centerContinuous" vertical="center"/>
    </xf>
    <xf numFmtId="0" fontId="6" fillId="0" borderId="37" xfId="3" applyBorder="1"/>
    <xf numFmtId="0" fontId="37" fillId="0" borderId="37" xfId="3" applyFont="1" applyBorder="1"/>
    <xf numFmtId="4" fontId="37" fillId="2" borderId="37" xfId="3" applyNumberFormat="1" applyFont="1" applyFill="1" applyBorder="1" applyAlignment="1">
      <alignment horizontal="right"/>
    </xf>
    <xf numFmtId="0" fontId="37" fillId="0" borderId="37" xfId="3" applyFont="1" applyBorder="1" applyAlignment="1">
      <alignment horizontal="right"/>
    </xf>
    <xf numFmtId="4" fontId="37" fillId="0" borderId="37" xfId="3" applyNumberFormat="1" applyFont="1" applyBorder="1" applyAlignment="1">
      <alignment horizontal="right"/>
    </xf>
    <xf numFmtId="168" fontId="37" fillId="0" borderId="37" xfId="3" applyNumberFormat="1" applyFont="1" applyBorder="1" applyAlignment="1">
      <alignment horizontal="right"/>
    </xf>
    <xf numFmtId="167" fontId="37" fillId="0" borderId="37" xfId="3" applyNumberFormat="1" applyFont="1" applyBorder="1" applyAlignment="1">
      <alignment horizontal="right"/>
    </xf>
    <xf numFmtId="167" fontId="37" fillId="0" borderId="37" xfId="3" applyNumberFormat="1" applyFont="1" applyBorder="1"/>
    <xf numFmtId="167" fontId="6" fillId="0" borderId="37" xfId="3" applyNumberFormat="1" applyBorder="1"/>
    <xf numFmtId="4" fontId="6" fillId="0" borderId="37" xfId="3" applyNumberFormat="1" applyBorder="1"/>
    <xf numFmtId="0" fontId="27" fillId="7" borderId="251" xfId="3" applyFont="1" applyFill="1" applyBorder="1" applyAlignment="1">
      <alignment horizontal="centerContinuous" vertical="center"/>
    </xf>
    <xf numFmtId="0" fontId="24" fillId="0" borderId="0" xfId="5" applyAlignment="1">
      <alignment horizontal="left" vertical="top" wrapText="1"/>
    </xf>
    <xf numFmtId="0" fontId="26" fillId="0" borderId="0" xfId="2" applyFont="1" applyAlignment="1">
      <alignment horizontal="left" vertical="top" wrapText="1"/>
    </xf>
    <xf numFmtId="0" fontId="26" fillId="0" borderId="0" xfId="2" applyFont="1" applyAlignment="1">
      <alignment vertical="center" wrapText="1"/>
    </xf>
    <xf numFmtId="0" fontId="9" fillId="0" borderId="0" xfId="2" applyFont="1" applyAlignment="1">
      <alignment horizontal="center"/>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28" fillId="2" borderId="0" xfId="6" applyFont="1" applyFill="1" applyAlignment="1">
      <alignment horizontal="center" vertical="center"/>
    </xf>
    <xf numFmtId="165" fontId="32" fillId="0" borderId="12" xfId="9" applyNumberFormat="1" applyFont="1" applyBorder="1" applyAlignment="1" applyProtection="1">
      <alignment horizontal="left"/>
      <protection locked="0"/>
    </xf>
    <xf numFmtId="165" fontId="32" fillId="0" borderId="13" xfId="9" applyNumberFormat="1" applyFont="1" applyBorder="1" applyAlignment="1" applyProtection="1">
      <alignment horizontal="left"/>
      <protection locked="0"/>
    </xf>
    <xf numFmtId="165" fontId="32" fillId="0" borderId="14" xfId="9" applyNumberFormat="1" applyFont="1" applyBorder="1" applyAlignment="1" applyProtection="1">
      <alignment horizontal="left"/>
      <protection locked="0"/>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167" fontId="40" fillId="10" borderId="47" xfId="12" applyFont="1" applyFill="1" applyBorder="1" applyAlignment="1">
      <alignment horizontal="center" vertical="center" wrapText="1"/>
    </xf>
    <xf numFmtId="167" fontId="40" fillId="10" borderId="57" xfId="12" applyFont="1" applyFill="1" applyBorder="1" applyAlignment="1">
      <alignment horizontal="center" vertical="center" wrapText="1"/>
    </xf>
    <xf numFmtId="167" fontId="40" fillId="10" borderId="48" xfId="12" applyFont="1" applyFill="1" applyBorder="1" applyAlignment="1">
      <alignment horizontal="center" vertical="center" wrapText="1"/>
    </xf>
    <xf numFmtId="167" fontId="40" fillId="10" borderId="58" xfId="12" applyFont="1" applyFill="1" applyBorder="1" applyAlignment="1">
      <alignment horizontal="center" vertical="center" wrapText="1"/>
    </xf>
    <xf numFmtId="167" fontId="40" fillId="10" borderId="43" xfId="12" applyFont="1" applyFill="1" applyBorder="1" applyAlignment="1">
      <alignment horizontal="center" vertical="center" wrapText="1"/>
    </xf>
    <xf numFmtId="167" fontId="40" fillId="10" borderId="55" xfId="12" applyFont="1" applyFill="1" applyBorder="1" applyAlignment="1">
      <alignment horizontal="center"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51" xfId="12" applyFont="1" applyFill="1" applyBorder="1" applyAlignment="1">
      <alignment horizontal="center" vertical="center" wrapText="1"/>
    </xf>
    <xf numFmtId="167" fontId="37" fillId="9" borderId="43" xfId="12" applyFont="1" applyFill="1" applyBorder="1" applyAlignment="1">
      <alignment horizontal="center" vertical="center" wrapText="1"/>
    </xf>
    <xf numFmtId="167" fontId="37" fillId="9" borderId="55" xfId="12" applyFont="1" applyFill="1" applyBorder="1" applyAlignment="1">
      <alignment horizontal="center" vertical="center" wrapText="1"/>
    </xf>
    <xf numFmtId="167" fontId="37" fillId="9" borderId="47" xfId="12" applyFont="1" applyFill="1" applyBorder="1" applyAlignment="1">
      <alignment horizontal="center" vertical="center" wrapText="1"/>
    </xf>
    <xf numFmtId="167" fontId="37" fillId="9" borderId="57" xfId="12" applyFont="1" applyFill="1" applyBorder="1" applyAlignment="1">
      <alignment horizontal="center" vertical="center" wrapText="1"/>
    </xf>
    <xf numFmtId="167" fontId="37" fillId="9" borderId="48" xfId="12" applyFont="1" applyFill="1" applyBorder="1" applyAlignment="1">
      <alignment horizontal="center" vertical="center" wrapText="1"/>
    </xf>
    <xf numFmtId="167" fontId="37" fillId="9" borderId="58" xfId="12" applyFont="1" applyFill="1" applyBorder="1" applyAlignment="1">
      <alignment horizontal="center" vertical="center" wrapText="1"/>
    </xf>
    <xf numFmtId="167" fontId="40" fillId="10" borderId="42" xfId="12" applyFont="1" applyFill="1" applyBorder="1" applyAlignment="1">
      <alignment horizontal="center" vertical="center" wrapText="1"/>
    </xf>
    <xf numFmtId="167" fontId="40" fillId="10" borderId="54" xfId="12" applyFont="1" applyFill="1" applyBorder="1" applyAlignment="1">
      <alignment horizontal="center" vertical="center" wrapText="1"/>
    </xf>
    <xf numFmtId="167" fontId="38" fillId="9" borderId="48" xfId="12" applyFont="1" applyFill="1" applyBorder="1" applyAlignment="1">
      <alignment horizontal="center" vertical="center" wrapText="1"/>
    </xf>
    <xf numFmtId="167" fontId="37" fillId="9" borderId="44" xfId="12" applyFont="1" applyFill="1" applyBorder="1" applyAlignment="1">
      <alignment horizontal="center" vertical="center" wrapText="1"/>
    </xf>
    <xf numFmtId="167" fontId="37" fillId="9" borderId="45"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6" fillId="0" borderId="41" xfId="12" applyFont="1" applyBorder="1" applyAlignment="1">
      <alignment horizontal="center" vertical="center" wrapText="1"/>
    </xf>
    <xf numFmtId="167" fontId="6" fillId="0" borderId="53" xfId="12" applyFont="1" applyBorder="1" applyAlignment="1">
      <alignment horizontal="center" vertical="center" wrapText="1"/>
    </xf>
    <xf numFmtId="167" fontId="37" fillId="9" borderId="42" xfId="12" applyFont="1" applyFill="1" applyBorder="1" applyAlignment="1">
      <alignment horizontal="center" vertical="center" wrapText="1"/>
    </xf>
    <xf numFmtId="167" fontId="37" fillId="9" borderId="54" xfId="12" applyFont="1" applyFill="1" applyBorder="1" applyAlignment="1">
      <alignment horizontal="center"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0" fillId="0" borderId="0" xfId="6" applyFont="1" applyAlignment="1">
      <alignment horizontal="left" vertical="center" indent="1"/>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69" fontId="43" fillId="0" borderId="162" xfId="14" applyNumberFormat="1" applyFont="1" applyBorder="1" applyAlignment="1">
      <alignment horizontal="center" vertical="center" wrapText="1"/>
    </xf>
    <xf numFmtId="169"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0" fontId="2" fillId="41"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2" borderId="367" xfId="0"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7"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xf>
    <xf numFmtId="0" fontId="6" fillId="0" borderId="213" xfId="31" applyBorder="1" applyAlignment="1">
      <alignment horizontal="left" vertical="center" wrapText="1" indent="1"/>
    </xf>
    <xf numFmtId="0" fontId="6" fillId="0" borderId="209" xfId="31" applyBorder="1" applyAlignment="1">
      <alignment horizontal="left" vertical="center" wrapText="1" indent="1"/>
    </xf>
    <xf numFmtId="0" fontId="40" fillId="0" borderId="0" xfId="28" applyFont="1" applyAlignment="1">
      <alignment horizontal="left" vertical="center" indent="1"/>
    </xf>
    <xf numFmtId="0" fontId="6" fillId="0" borderId="213" xfId="31" applyBorder="1" applyAlignment="1">
      <alignment horizontal="left" vertical="center" indent="1"/>
    </xf>
    <xf numFmtId="14" fontId="141" fillId="0" borderId="0" xfId="26" applyNumberFormat="1" applyFont="1" applyFill="1" applyBorder="1" applyAlignment="1">
      <alignment horizontal="left" vertical="center" indent="1"/>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3" fontId="40" fillId="0" borderId="221" xfId="15" applyNumberFormat="1" applyFont="1" applyFill="1" applyBorder="1" applyAlignment="1">
      <alignment horizontal="center" vertical="center"/>
    </xf>
    <xf numFmtId="173" fontId="40" fillId="0" borderId="223" xfId="15" applyNumberFormat="1" applyFont="1" applyFill="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71" fillId="2" borderId="0" xfId="30" applyFont="1" applyFill="1" applyAlignment="1">
      <alignment horizontal="left" vertical="center" wrapText="1"/>
    </xf>
    <xf numFmtId="0" fontId="6" fillId="0" borderId="213" xfId="32" applyNumberFormat="1" applyFont="1" applyFill="1" applyBorder="1" applyAlignment="1">
      <alignment horizontal="left" vertical="center" wrapText="1" indent="1"/>
    </xf>
    <xf numFmtId="0" fontId="6" fillId="0" borderId="214" xfId="32" applyNumberFormat="1" applyFont="1" applyFill="1" applyBorder="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 fontId="6" fillId="0" borderId="262" xfId="40" applyNumberFormat="1" applyBorder="1" applyAlignment="1">
      <alignment horizontal="center" vertical="center" wrapText="1"/>
    </xf>
    <xf numFmtId="14" fontId="6" fillId="0" borderId="254" xfId="40" applyNumberFormat="1" applyBorder="1" applyAlignment="1">
      <alignment horizontal="center" vertical="center" wrapText="1"/>
    </xf>
    <xf numFmtId="14" fontId="6" fillId="0" borderId="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256" xfId="40" applyNumberFormat="1" applyBorder="1" applyAlignment="1">
      <alignment horizontal="center" vertical="center" wrapText="1"/>
    </xf>
    <xf numFmtId="4" fontId="6" fillId="0" borderId="55" xfId="40" applyNumberFormat="1" applyBorder="1" applyAlignment="1">
      <alignment horizontal="center" vertical="center" wrapText="1"/>
    </xf>
    <xf numFmtId="4" fontId="6" fillId="0" borderId="263"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14" fontId="6" fillId="0" borderId="278"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0" fontId="6" fillId="0" borderId="281" xfId="40" applyNumberFormat="1" applyBorder="1" applyAlignment="1">
      <alignment horizontal="center" vertical="center" wrapText="1"/>
    </xf>
    <xf numFmtId="190" fontId="6" fillId="0" borderId="58" xfId="40" applyNumberFormat="1" applyBorder="1" applyAlignment="1">
      <alignment horizontal="center" vertical="center" wrapText="1"/>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4">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90" xr:uid="{9E4D868A-1DBD-4AD8-A1A0-8C9346A4BA99}"/>
    <cellStyle name="Comma 54" xfId="292" xr:uid="{F14674EA-0AB1-41C6-95B7-A0510E6FD674}"/>
    <cellStyle name="Comma 55" xfId="293"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0]_0306 repg Germany" xfId="197" xr:uid="{9BE5B161-3DA0-406E-9997-0FEBB30B692A}"/>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Milliers_0306 repg Germany" xfId="198" xr:uid="{F07B160A-FC38-4BC1-B678-99F9856834DA}"/>
    <cellStyle name="Monétaire [0]_0306 repg Germany" xfId="199" xr:uid="{BF2C897E-78CA-4FB0-BBFC-4865C5C9B572}"/>
    <cellStyle name="Monétaire_0306 repg Germany" xfId="200" xr:uid="{7054A6F0-EF05-46B4-9D9B-F7099973EADD}"/>
    <cellStyle name="Neutral 2" xfId="201" xr:uid="{61431A27-7654-4FC5-AF01-EE774A5ED5E9}"/>
    <cellStyle name="Neutral 3" xfId="202" xr:uid="{56199079-BFB4-4140-9AC9-7FAE19A240F1}"/>
    <cellStyle name="Neutre" xfId="203"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1" xfId="289"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8" xr:uid="{6E606AE8-8D30-4953-94F0-EAE8BB16F5CC}"/>
    <cellStyle name="Normal 2 5" xfId="204" xr:uid="{41D7D001-BEA5-4E2A-B574-B5F258328605}"/>
    <cellStyle name="Normal 2_Historical_Data_2011_09_investors" xfId="205" xr:uid="{F4BAD13E-CE97-4C7F-83C5-CBE95E675388}"/>
    <cellStyle name="Normal 25 2" xfId="16" xr:uid="{410BF2F1-3FE0-45DD-A273-589D958EC7C9}"/>
    <cellStyle name="Normal 3" xfId="2" xr:uid="{A44BC3D8-9664-418C-AA8A-2D9C5E645CE4}"/>
    <cellStyle name="Normal 3 2" xfId="206" xr:uid="{883CCF90-DD07-44C1-BBB3-BFE2BE46A882}"/>
    <cellStyle name="Normal 3 2 2" xfId="207" xr:uid="{E1B6B2CC-B6FE-4FD6-A165-AF2549257BBB}"/>
    <cellStyle name="Normal 3 2 3" xfId="208" xr:uid="{D73CDA9C-EB4A-49E1-82B1-C91A6E1E9B8B}"/>
    <cellStyle name="Normal 3 3" xfId="209" xr:uid="{D3474D20-BC06-4802-8F6E-178D1257EBEC}"/>
    <cellStyle name="Normal 3 3 2" xfId="210" xr:uid="{B8E4C0FC-22A3-4755-BA41-5148D80A55CD}"/>
    <cellStyle name="Normal 3 4" xfId="211" xr:uid="{CBBDA699-5DE9-4C66-849E-C167EED0FA97}"/>
    <cellStyle name="Normal 3 5" xfId="27" xr:uid="{E9A9B5E6-4601-4E67-83E2-9546C4B446EF}"/>
    <cellStyle name="Normal 3 6" xfId="17" xr:uid="{08E10E6B-796C-40E0-87B3-638CD5B3160D}"/>
    <cellStyle name="Normal 3 6 2" xfId="212" xr:uid="{5F7EC870-607A-46BD-AA1A-439B8AEF1C10}"/>
    <cellStyle name="Normal 3 7" xfId="4" xr:uid="{A6676AB0-9552-46C7-8A1E-B801663F86C5}"/>
    <cellStyle name="Normal 3 8" xfId="50" xr:uid="{579F97E2-21BA-4A71-A169-D591E1A5A984}"/>
    <cellStyle name="Normal 4" xfId="213" xr:uid="{5741EC88-AA3F-47E0-A5B5-FD9EF6EF8CEF}"/>
    <cellStyle name="Normal 4 2" xfId="35" xr:uid="{82EF75E5-1D9D-4618-9EE3-C67EF48DB87C}"/>
    <cellStyle name="Normal 4 2 2" xfId="215" xr:uid="{9723B784-81B3-4DEF-8E82-4C1E46B3F86E}"/>
    <cellStyle name="Normal 4 2 2 2" xfId="216" xr:uid="{76C4D2E5-9313-4279-BC4D-003C17597600}"/>
    <cellStyle name="Normal 4 2 3" xfId="214" xr:uid="{1629A381-A0DD-4754-9494-38983D7FEB0A}"/>
    <cellStyle name="Normal 4 3" xfId="217" xr:uid="{82AA1A79-2735-4861-9F0B-410735D09C73}"/>
    <cellStyle name="Normal 4 3 2" xfId="218" xr:uid="{54D55A3B-8650-4ED9-9B48-B115C1B67D0A}"/>
    <cellStyle name="Normal 4 4" xfId="219" xr:uid="{0BC4D9A5-D91F-4C3F-B9F8-A3F95714AA93}"/>
    <cellStyle name="Normal 4 4 2" xfId="220" xr:uid="{93B59B21-D6DF-4794-8441-42E364B0C3FD}"/>
    <cellStyle name="Normal 5" xfId="28" xr:uid="{DD519CE7-0D48-43CC-9BC1-3684BD629D38}"/>
    <cellStyle name="Normal 5 2" xfId="222" xr:uid="{98E39F24-6CED-4E6E-A8CF-15E41DFBD109}"/>
    <cellStyle name="Normal 5 3" xfId="221"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23" xr:uid="{CF9C04B2-EE0A-4404-8007-162B208FDFAF}"/>
    <cellStyle name="Normal 8" xfId="224" xr:uid="{D307BEA4-CBCB-4549-8D44-AAB2040A2395}"/>
    <cellStyle name="Normal 9" xfId="225"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6" xr:uid="{862D9BB5-A9B6-4195-9380-73EC3DCB2D66}"/>
    <cellStyle name="Note 2" xfId="227" xr:uid="{E83E1628-7ED0-4DD6-887A-70BC35564F8D}"/>
    <cellStyle name="Note 2 2" xfId="228" xr:uid="{F514407F-6B7F-4239-9FFC-EA577FEB28D8}"/>
    <cellStyle name="Note 3" xfId="229" xr:uid="{0F744E0B-7D60-467A-8987-1B5137CA9AFB}"/>
    <cellStyle name="Note 3 2" xfId="230" xr:uid="{C6E7D039-24EC-4E31-8DD7-A62A5642187B}"/>
    <cellStyle name="Note 4" xfId="231" xr:uid="{8D973819-E83E-4C12-BEB5-FFC94DAD773B}"/>
    <cellStyle name="Note 4 2" xfId="232" xr:uid="{5F6245A4-3F11-434E-9159-37C63774F4F6}"/>
    <cellStyle name="Note 5" xfId="233" xr:uid="{DD891760-EED1-494B-A3F9-35C2DBE5C2A3}"/>
    <cellStyle name="Output 2" xfId="234" xr:uid="{49530DE1-015C-46D1-B309-BA5066919C46}"/>
    <cellStyle name="Per cent 2" xfId="291" xr:uid="{DF8D26FB-66A7-43CC-8DDA-FDA3E5E209B2}"/>
    <cellStyle name="Percent" xfId="1" builtinId="5"/>
    <cellStyle name="Percent 10" xfId="235" xr:uid="{26C46D1F-B71B-45C4-B5A6-A17D94BA363C}"/>
    <cellStyle name="Percent 2" xfId="15" xr:uid="{0D33ED19-0CDF-4428-9D1D-5AD4C003E954}"/>
    <cellStyle name="Percent 2 2" xfId="237" xr:uid="{A6D007B0-5191-411F-9F4E-F1AC82F5F90F}"/>
    <cellStyle name="Percent 2 2 2" xfId="238" xr:uid="{7DDB104D-7F82-4F45-9328-70D266FEF21A}"/>
    <cellStyle name="Percent 2 3" xfId="239" xr:uid="{336208D1-B684-4E90-A0E1-CCF414D33F8E}"/>
    <cellStyle name="Percent 2 4" xfId="236" xr:uid="{A2782D3A-F337-449B-AE45-97E066E7F32E}"/>
    <cellStyle name="Percent 3" xfId="240" xr:uid="{1E859223-5215-44B9-B792-A5FF66F84879}"/>
    <cellStyle name="Percent 3 2" xfId="241" xr:uid="{8E63A41B-C721-4A02-A0BD-3464BA8AA836}"/>
    <cellStyle name="Percent 3 2 2" xfId="242" xr:uid="{83454822-A032-4258-990A-064579E6AFFD}"/>
    <cellStyle name="Percent 3 3" xfId="243" xr:uid="{E83FA9AF-9CD2-4D6E-8D27-64D6CF92715A}"/>
    <cellStyle name="Percent 3 3 2" xfId="244" xr:uid="{246BB8D7-8E6D-47A0-9F1A-33E955265326}"/>
    <cellStyle name="Percent 3 4" xfId="245" xr:uid="{B0502615-CF93-4E5E-8C57-3BDFC69C70D9}"/>
    <cellStyle name="Percent 4" xfId="246" xr:uid="{1E24F534-E6E4-4847-A2C3-A5DCC5AFD784}"/>
    <cellStyle name="Percent 4 2" xfId="247" xr:uid="{396FE207-83B2-4129-9CE3-9C1DFDD8035D}"/>
    <cellStyle name="Percent 4 2 2" xfId="248" xr:uid="{FEE91D6E-ED56-4272-8BB6-2593FA8AD283}"/>
    <cellStyle name="Percent 4 3" xfId="249" xr:uid="{3588FC73-35B5-43AA-84AA-C4742F33FB1E}"/>
    <cellStyle name="Percent 5" xfId="250" xr:uid="{38E374B6-5697-4BAD-8695-A4562FCB5439}"/>
    <cellStyle name="Percent 5 2" xfId="251" xr:uid="{E6A437E6-F1BE-4E8A-99FB-84073C918D96}"/>
    <cellStyle name="Percent 6" xfId="252" xr:uid="{2648E739-76C9-464A-A85C-D3820086D2DD}"/>
    <cellStyle name="Percent 7" xfId="253" xr:uid="{63766F0D-0B5D-4D8B-BE81-E94F7456081E}"/>
    <cellStyle name="Percent 8" xfId="254" xr:uid="{B360BF87-4CA1-4C5F-B0D2-3F71C581234E}"/>
    <cellStyle name="Percent 9" xfId="255" xr:uid="{9C83B87A-E8AE-4BFC-91D9-B151392F6DD3}"/>
    <cellStyle name="Percent 9 2" xfId="256" xr:uid="{5720A2E8-B579-4431-BBFC-02DD1A55709D}"/>
    <cellStyle name="Percent 9 2 2" xfId="257" xr:uid="{D70FC622-16ED-4D67-949F-567EA40CE8CE}"/>
    <cellStyle name="Percent 9 3" xfId="258" xr:uid="{7C99AA39-80EA-4C11-A0C6-331E29314D28}"/>
    <cellStyle name="Percent 9 3 2" xfId="259" xr:uid="{93EF9572-1689-49E7-9DE3-F6B358488846}"/>
    <cellStyle name="Pourcentage 10" xfId="43" xr:uid="{388F0C5F-1A7E-4B9B-B413-BAF99819BEE6}"/>
    <cellStyle name="Pourcentage 3 2" xfId="36" xr:uid="{1CEB5302-CF23-473A-AED5-F2F8052DCAC9}"/>
    <cellStyle name="Prozent 2" xfId="260" xr:uid="{FF293B3D-49A4-4E97-A346-D97411A886FC}"/>
    <cellStyle name="Prozent 2 2" xfId="261" xr:uid="{C5CF1E18-9FED-48B4-8ABD-EFC1E6E44B7A}"/>
    <cellStyle name="Prozent 2 2 2" xfId="262" xr:uid="{7426BA95-2F15-4DD5-87FA-9DF88B647CBC}"/>
    <cellStyle name="Prozent 2 3" xfId="263" xr:uid="{05C49F34-3627-4F0E-9695-EB3095AEB514}"/>
    <cellStyle name="Prozent 2 3 2" xfId="264" xr:uid="{9E2F5706-ED2F-426C-9D72-2CEFB715DBBB}"/>
    <cellStyle name="Prozent 3" xfId="265" xr:uid="{AB479742-56A8-4AFC-8450-D4ECBCE76729}"/>
    <cellStyle name="Prozent 3 2" xfId="266" xr:uid="{278B4769-E5E1-4736-8223-1C8217C97199}"/>
    <cellStyle name="Satisfaisant" xfId="267" xr:uid="{5D9B0279-685B-496D-AAD6-3BA022042F22}"/>
    <cellStyle name="Sortie" xfId="268" xr:uid="{7BC96EC3-E688-4319-8303-B6D7E2617C49}"/>
    <cellStyle name="Standard 2" xfId="269" xr:uid="{17B6E868-0E77-48BD-979D-FEB01FE16362}"/>
    <cellStyle name="Standard 2 2" xfId="270" xr:uid="{2E4ACF58-3604-4AF4-A76A-D273C22912FB}"/>
    <cellStyle name="Standard 2 2 2" xfId="271" xr:uid="{BA8DC04D-F03E-4BCA-83BE-4A7860FC7B87}"/>
    <cellStyle name="Standard 2 3" xfId="272" xr:uid="{198ECF30-17D1-4163-94C3-1DEEFC683F4A}"/>
    <cellStyle name="Standard 2 3 2" xfId="273" xr:uid="{AD2E2985-67A2-4410-94F3-42C4531DA9E3}"/>
    <cellStyle name="Standard 3" xfId="274" xr:uid="{A41BCECB-4040-4BB1-BE19-8CC2D98E96E4}"/>
    <cellStyle name="Standard 3 2" xfId="275" xr:uid="{99914471-1BC4-46EF-89C6-CCAD31AF2B80}"/>
    <cellStyle name="Standard_Data requests format" xfId="276" xr:uid="{3D2065BC-646D-41F2-86F6-55702767E5D0}"/>
    <cellStyle name="Style 1" xfId="46" xr:uid="{0B98F1C6-1FE4-40AF-AE82-3076CF8DBA87}"/>
    <cellStyle name="Texte explicatif" xfId="277" xr:uid="{4A16E9BA-E60C-4FF2-B7A3-8434D621A009}"/>
    <cellStyle name="Title 2" xfId="278" xr:uid="{F6CB4DA4-9519-41D9-8C59-06357C54A5E6}"/>
    <cellStyle name="Titre" xfId="279" xr:uid="{2D8E678E-01F4-4342-8E3A-D51A1E7B7E35}"/>
    <cellStyle name="Titre 1" xfId="280" xr:uid="{E4E7E7E5-4CA7-436F-B589-71DE420A9D68}"/>
    <cellStyle name="Titre 2" xfId="281" xr:uid="{642EE67B-9848-4DD6-8031-3AA7607AA79A}"/>
    <cellStyle name="Titre 3" xfId="282" xr:uid="{A1A04847-FB8B-4D20-90E9-5766C49CB1AE}"/>
    <cellStyle name="Titre 4" xfId="283" xr:uid="{F22BE2E9-F5E0-4315-B6C9-1C9325A8189F}"/>
    <cellStyle name="Total 2" xfId="284" xr:uid="{5524EA65-A75D-4A72-B917-0A277C61D0DA}"/>
    <cellStyle name="Valuta (0)_Cartel1" xfId="285" xr:uid="{B07159D7-F465-44FD-98B5-DCB87C6E0B98}"/>
    <cellStyle name="Vérification" xfId="286" xr:uid="{74881EEA-22A9-47BE-8D8D-D1F203328E35}"/>
    <cellStyle name="Warning Text 2" xfId="287"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5.7775936864330642E-3</c:v>
                </c:pt>
                <c:pt idx="1">
                  <c:v>5.5407770707396144E-2</c:v>
                </c:pt>
                <c:pt idx="2">
                  <c:v>0.19796664742346748</c:v>
                </c:pt>
                <c:pt idx="3">
                  <c:v>0.12246011108275141</c:v>
                </c:pt>
                <c:pt idx="4">
                  <c:v>0.108927587752895</c:v>
                </c:pt>
                <c:pt idx="5">
                  <c:v>9.3176830356645812E-2</c:v>
                </c:pt>
                <c:pt idx="6">
                  <c:v>6.262733732312209E-2</c:v>
                </c:pt>
                <c:pt idx="7">
                  <c:v>4.5838199025822909E-2</c:v>
                </c:pt>
                <c:pt idx="8">
                  <c:v>3.116088533395393E-2</c:v>
                </c:pt>
                <c:pt idx="9">
                  <c:v>2.5943924735026762E-2</c:v>
                </c:pt>
                <c:pt idx="10">
                  <c:v>2.7554069082889071E-2</c:v>
                </c:pt>
                <c:pt idx="11">
                  <c:v>2.7234294547487128E-2</c:v>
                </c:pt>
                <c:pt idx="12">
                  <c:v>3.0713206215683967E-2</c:v>
                </c:pt>
                <c:pt idx="13">
                  <c:v>2.2909644475375138E-2</c:v>
                </c:pt>
                <c:pt idx="14">
                  <c:v>1.8632734200060005E-2</c:v>
                </c:pt>
                <c:pt idx="15">
                  <c:v>1.5754095320397933E-2</c:v>
                </c:pt>
                <c:pt idx="16">
                  <c:v>1.3617459390250769E-2</c:v>
                </c:pt>
                <c:pt idx="17">
                  <c:v>1.0126257913014212E-2</c:v>
                </c:pt>
                <c:pt idx="18">
                  <c:v>8.8311085879256308E-3</c:v>
                </c:pt>
                <c:pt idx="19">
                  <c:v>6.9020124710162051E-3</c:v>
                </c:pt>
                <c:pt idx="20">
                  <c:v>7.7967986062813582E-3</c:v>
                </c:pt>
                <c:pt idx="21">
                  <c:v>4.6322762947436941E-3</c:v>
                </c:pt>
                <c:pt idx="22">
                  <c:v>5.0333360000685452E-3</c:v>
                </c:pt>
                <c:pt idx="23">
                  <c:v>3.8733712255339336E-3</c:v>
                </c:pt>
                <c:pt idx="24">
                  <c:v>4.3336100379838521E-3</c:v>
                </c:pt>
                <c:pt idx="25">
                  <c:v>3.3790155237875745E-3</c:v>
                </c:pt>
                <c:pt idx="26">
                  <c:v>4.7102452247336614E-3</c:v>
                </c:pt>
                <c:pt idx="27">
                  <c:v>2.8075820024865547E-3</c:v>
                </c:pt>
                <c:pt idx="28">
                  <c:v>2.1495874630737817E-3</c:v>
                </c:pt>
                <c:pt idx="29">
                  <c:v>2.1313080386030246E-3</c:v>
                </c:pt>
                <c:pt idx="30">
                  <c:v>2.7591099951089541E-2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65368969.219999999</c:v>
                      </c:pt>
                      <c:pt idx="1">
                        <c:v>626895738</c:v>
                      </c:pt>
                      <c:pt idx="2">
                        <c:v>2239838310.6100001</c:v>
                      </c:pt>
                      <c:pt idx="3">
                        <c:v>1385540705.4400001</c:v>
                      </c:pt>
                      <c:pt idx="4">
                        <c:v>1232430751.8800001</c:v>
                      </c:pt>
                      <c:pt idx="5">
                        <c:v>1054223208.86</c:v>
                      </c:pt>
                      <c:pt idx="6">
                        <c:v>708579506.97000003</c:v>
                      </c:pt>
                      <c:pt idx="7">
                        <c:v>518623493.42000002</c:v>
                      </c:pt>
                      <c:pt idx="8">
                        <c:v>352561129.22000003</c:v>
                      </c:pt>
                      <c:pt idx="9">
                        <c:v>293535286.39999998</c:v>
                      </c:pt>
                      <c:pt idx="10">
                        <c:v>311752814.67000002</c:v>
                      </c:pt>
                      <c:pt idx="11">
                        <c:v>308134815.05000001</c:v>
                      </c:pt>
                      <c:pt idx="12">
                        <c:v>347495988.94</c:v>
                      </c:pt>
                      <c:pt idx="13">
                        <c:v>259204770.33000001</c:v>
                      </c:pt>
                      <c:pt idx="14">
                        <c:v>210814864.19999999</c:v>
                      </c:pt>
                      <c:pt idx="15">
                        <c:v>178245309.03</c:v>
                      </c:pt>
                      <c:pt idx="16">
                        <c:v>154070938.88</c:v>
                      </c:pt>
                      <c:pt idx="17">
                        <c:v>114570715.38</c:v>
                      </c:pt>
                      <c:pt idx="18">
                        <c:v>99917110.269999996</c:v>
                      </c:pt>
                      <c:pt idx="19">
                        <c:v>78090891.340000004</c:v>
                      </c:pt>
                      <c:pt idx="20">
                        <c:v>88214699.019999996</c:v>
                      </c:pt>
                      <c:pt idx="21">
                        <c:v>52410595.649999999</c:v>
                      </c:pt>
                      <c:pt idx="22">
                        <c:v>56948273.609999999</c:v>
                      </c:pt>
                      <c:pt idx="23">
                        <c:v>43824176.32</c:v>
                      </c:pt>
                      <c:pt idx="24">
                        <c:v>49031419.75</c:v>
                      </c:pt>
                      <c:pt idx="25">
                        <c:v>38230926.880000003</c:v>
                      </c:pt>
                      <c:pt idx="26">
                        <c:v>53292753.32</c:v>
                      </c:pt>
                      <c:pt idx="27">
                        <c:v>31765601.989999998</c:v>
                      </c:pt>
                      <c:pt idx="28">
                        <c:v>24320906.649999999</c:v>
                      </c:pt>
                      <c:pt idx="29">
                        <c:v>24114089.210000001</c:v>
                      </c:pt>
                      <c:pt idx="30">
                        <c:v>312171790.07999998</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0.17799793951736084</c:v>
                </c:pt>
                <c:pt idx="1">
                  <c:v>0.12490695547616003</c:v>
                </c:pt>
                <c:pt idx="2">
                  <c:v>0.69709510500647909</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2.2128388772388232E-4</c:v>
                </c:pt>
                <c:pt idx="1">
                  <c:v>2.1027685463281305E-4</c:v>
                </c:pt>
                <c:pt idx="2">
                  <c:v>2.0769665656530429E-4</c:v>
                </c:pt>
                <c:pt idx="3">
                  <c:v>2.0296116376132092E-4</c:v>
                </c:pt>
                <c:pt idx="4">
                  <c:v>2.0181019980920661E-4</c:v>
                </c:pt>
                <c:pt idx="5">
                  <c:v>1.9373399521416403E-4</c:v>
                </c:pt>
                <c:pt idx="6">
                  <c:v>1.9090476540934725E-4</c:v>
                </c:pt>
                <c:pt idx="7">
                  <c:v>1.8582576065218762E-4</c:v>
                </c:pt>
                <c:pt idx="8">
                  <c:v>1.8555664975883124E-4</c:v>
                </c:pt>
                <c:pt idx="9">
                  <c:v>1.8124606470509933E-4</c:v>
                </c:pt>
                <c:pt idx="10">
                  <c:v>1.8087316672409079E-4</c:v>
                </c:pt>
                <c:pt idx="11">
                  <c:v>1.8012159219343905E-4</c:v>
                </c:pt>
                <c:pt idx="12">
                  <c:v>1.7904255100404282E-4</c:v>
                </c:pt>
                <c:pt idx="13">
                  <c:v>1.7903088957324341E-4</c:v>
                </c:pt>
                <c:pt idx="14">
                  <c:v>1.7593407438890683E-4</c:v>
                </c:pt>
                <c:pt idx="15">
                  <c:v>1.7549558461598641E-4</c:v>
                </c:pt>
                <c:pt idx="16">
                  <c:v>1.7504001545176934E-4</c:v>
                </c:pt>
                <c:pt idx="17">
                  <c:v>1.743129039407982E-4</c:v>
                </c:pt>
                <c:pt idx="18">
                  <c:v>1.728665197266292E-4</c:v>
                </c:pt>
                <c:pt idx="19">
                  <c:v>1.7134433179304663E-4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0.83957043772711804</c:v>
                </c:pt>
                <c:pt idx="1">
                  <c:v>0.1020567145343288</c:v>
                </c:pt>
                <c:pt idx="2">
                  <c:v>0</c:v>
                </c:pt>
                <c:pt idx="3" formatCode="General">
                  <c:v>5.8372847738553231E-2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3.8077411623157233E-3</c:v>
                </c:pt>
                <c:pt idx="1">
                  <c:v>1.4681172370405853E-2</c:v>
                </c:pt>
                <c:pt idx="2">
                  <c:v>3.1445084344007015E-2</c:v>
                </c:pt>
                <c:pt idx="3">
                  <c:v>5.6409729636808105E-2</c:v>
                </c:pt>
                <c:pt idx="4">
                  <c:v>8.6247221339442098E-2</c:v>
                </c:pt>
                <c:pt idx="5">
                  <c:v>0.11159862989272884</c:v>
                </c:pt>
                <c:pt idx="6">
                  <c:v>0.13776280403944574</c:v>
                </c:pt>
                <c:pt idx="7">
                  <c:v>0.16220625350142204</c:v>
                </c:pt>
                <c:pt idx="8">
                  <c:v>0.18244362990364002</c:v>
                </c:pt>
                <c:pt idx="9">
                  <c:v>0.16684711743325176</c:v>
                </c:pt>
                <c:pt idx="10">
                  <c:v>4.6550616376532912E-2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1384385.89</c:v>
                      </c:pt>
                      <c:pt idx="1">
                        <c:v>12275101.43</c:v>
                      </c:pt>
                      <c:pt idx="2">
                        <c:v>48932376.939999998</c:v>
                      </c:pt>
                      <c:pt idx="3">
                        <c:v>125801574.04000001</c:v>
                      </c:pt>
                      <c:pt idx="4">
                        <c:v>198810864.36000001</c:v>
                      </c:pt>
                      <c:pt idx="5">
                        <c:v>363994523.36000001</c:v>
                      </c:pt>
                      <c:pt idx="6">
                        <c:v>558494188.90999997</c:v>
                      </c:pt>
                      <c:pt idx="7">
                        <c:v>839265444.12</c:v>
                      </c:pt>
                      <c:pt idx="8">
                        <c:v>1342039634.28</c:v>
                      </c:pt>
                      <c:pt idx="9">
                        <c:v>2543539232.4899998</c:v>
                      </c:pt>
                      <c:pt idx="10">
                        <c:v>4406420003.0299997</c:v>
                      </c:pt>
                      <c:pt idx="11">
                        <c:v>873263221.74000001</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5.0199213057622654E-3</c:v>
                </c:pt>
                <c:pt idx="1">
                  <c:v>1.5433697584310759E-2</c:v>
                </c:pt>
                <c:pt idx="2">
                  <c:v>3.9100357414097855E-2</c:v>
                </c:pt>
                <c:pt idx="3">
                  <c:v>9.3849992704502186E-2</c:v>
                </c:pt>
                <c:pt idx="4">
                  <c:v>0.18644731306391196</c:v>
                </c:pt>
                <c:pt idx="5">
                  <c:v>0.35352685317782845</c:v>
                </c:pt>
                <c:pt idx="6">
                  <c:v>0.15447612537028541</c:v>
                </c:pt>
                <c:pt idx="7">
                  <c:v>7.7332979392413709E-2</c:v>
                </c:pt>
                <c:pt idx="8">
                  <c:v>4.2198161773070897E-2</c:v>
                </c:pt>
                <c:pt idx="9">
                  <c:v>1.9846394400389399E-2</c:v>
                </c:pt>
                <c:pt idx="10">
                  <c:v>1.2768203813427234E-2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0.10628210333033446</c:v>
                </c:pt>
                <c:pt idx="1">
                  <c:v>0.89371789666966561</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0.83957043772711804</c:v>
                </c:pt>
                <c:pt idx="1">
                  <c:v>0.1020567145343288</c:v>
                </c:pt>
                <c:pt idx="2">
                  <c:v>0</c:v>
                </c:pt>
                <c:pt idx="3" formatCode="General">
                  <c:v>5.8372847738553231E-2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3.6826527465762746E-2</c:v>
                </c:pt>
                <c:pt idx="1">
                  <c:v>0.12959652962691609</c:v>
                </c:pt>
                <c:pt idx="2">
                  <c:v>0.20323485396880397</c:v>
                </c:pt>
                <c:pt idx="3">
                  <c:v>0.1216118102248103</c:v>
                </c:pt>
                <c:pt idx="4">
                  <c:v>0.10050515239608811</c:v>
                </c:pt>
                <c:pt idx="5">
                  <c:v>7.3284462397788602E-2</c:v>
                </c:pt>
                <c:pt idx="6">
                  <c:v>4.7480858134057342E-2</c:v>
                </c:pt>
                <c:pt idx="7">
                  <c:v>3.2449970310226492E-2</c:v>
                </c:pt>
                <c:pt idx="8">
                  <c:v>2.3196542837086023E-2</c:v>
                </c:pt>
                <c:pt idx="9">
                  <c:v>3.2928137577322755E-2</c:v>
                </c:pt>
                <c:pt idx="10">
                  <c:v>3.3796134781026541E-2</c:v>
                </c:pt>
                <c:pt idx="11">
                  <c:v>2.6939266064077726E-2</c:v>
                </c:pt>
                <c:pt idx="12">
                  <c:v>2.3149400457492565E-2</c:v>
                </c:pt>
                <c:pt idx="13">
                  <c:v>1.6754612633931267E-2</c:v>
                </c:pt>
                <c:pt idx="14">
                  <c:v>1.227956305419157E-2</c:v>
                </c:pt>
                <c:pt idx="15">
                  <c:v>1.0815269735361396E-2</c:v>
                </c:pt>
                <c:pt idx="16">
                  <c:v>8.0847156329500753E-3</c:v>
                </c:pt>
                <c:pt idx="17">
                  <c:v>8.5796761991649498E-3</c:v>
                </c:pt>
                <c:pt idx="18">
                  <c:v>5.6971218363459147E-3</c:v>
                </c:pt>
                <c:pt idx="19">
                  <c:v>6.8883490481309257E-3</c:v>
                </c:pt>
                <c:pt idx="20">
                  <c:v>4.1587992190541398E-3</c:v>
                </c:pt>
                <c:pt idx="21">
                  <c:v>3.7991633102607749E-3</c:v>
                </c:pt>
                <c:pt idx="22">
                  <c:v>3.7841170744870589E-3</c:v>
                </c:pt>
                <c:pt idx="23">
                  <c:v>2.8021366755438342E-3</c:v>
                </c:pt>
                <c:pt idx="24">
                  <c:v>2.2662154803640387E-3</c:v>
                </c:pt>
                <c:pt idx="25">
                  <c:v>4.1625322822210755E-3</c:v>
                </c:pt>
                <c:pt idx="26">
                  <c:v>2.6854799854874279E-3</c:v>
                </c:pt>
                <c:pt idx="27">
                  <c:v>2.9193101029197808E-3</c:v>
                </c:pt>
                <c:pt idx="28">
                  <c:v>2.3912335267840582E-3</c:v>
                </c:pt>
                <c:pt idx="29">
                  <c:v>2.7422094673929696E-3</c:v>
                </c:pt>
                <c:pt idx="30">
                  <c:v>1.418984849394932E-2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416663453.86000001</c:v>
                      </c:pt>
                      <c:pt idx="1">
                        <c:v>1466283718.79</c:v>
                      </c:pt>
                      <c:pt idx="2">
                        <c:v>2299443961.3699999</c:v>
                      </c:pt>
                      <c:pt idx="3">
                        <c:v>1375942842.4400001</c:v>
                      </c:pt>
                      <c:pt idx="4">
                        <c:v>1137137460.6800001</c:v>
                      </c:pt>
                      <c:pt idx="5">
                        <c:v>829156570.5</c:v>
                      </c:pt>
                      <c:pt idx="6">
                        <c:v>537208900.86000001</c:v>
                      </c:pt>
                      <c:pt idx="7">
                        <c:v>367146120.94999999</c:v>
                      </c:pt>
                      <c:pt idx="8">
                        <c:v>262450801.66999999</c:v>
                      </c:pt>
                      <c:pt idx="9">
                        <c:v>372556210.87</c:v>
                      </c:pt>
                      <c:pt idx="10">
                        <c:v>382376922.67000002</c:v>
                      </c:pt>
                      <c:pt idx="11">
                        <c:v>304796797.72000003</c:v>
                      </c:pt>
                      <c:pt idx="12">
                        <c:v>261917422.38999999</c:v>
                      </c:pt>
                      <c:pt idx="13">
                        <c:v>189565382.58000001</c:v>
                      </c:pt>
                      <c:pt idx="14">
                        <c:v>138933684.66</c:v>
                      </c:pt>
                      <c:pt idx="15">
                        <c:v>122366347.09999999</c:v>
                      </c:pt>
                      <c:pt idx="16">
                        <c:v>91472255.760000005</c:v>
                      </c:pt>
                      <c:pt idx="17">
                        <c:v>97072348.769999996</c:v>
                      </c:pt>
                      <c:pt idx="18">
                        <c:v>64458492.960000001</c:v>
                      </c:pt>
                      <c:pt idx="19">
                        <c:v>77936300.359999999</c:v>
                      </c:pt>
                      <c:pt idx="20">
                        <c:v>47053571.590000004</c:v>
                      </c:pt>
                      <c:pt idx="21">
                        <c:v>42984571.600000001</c:v>
                      </c:pt>
                      <c:pt idx="22">
                        <c:v>42814335.170000002</c:v>
                      </c:pt>
                      <c:pt idx="23">
                        <c:v>31703992.359999999</c:v>
                      </c:pt>
                      <c:pt idx="24">
                        <c:v>25640461.760000002</c:v>
                      </c:pt>
                      <c:pt idx="25">
                        <c:v>47095808.289999999</c:v>
                      </c:pt>
                      <c:pt idx="26">
                        <c:v>30384112.84</c:v>
                      </c:pt>
                      <c:pt idx="27">
                        <c:v>33029718.359999999</c:v>
                      </c:pt>
                      <c:pt idx="28">
                        <c:v>27054943.510000002</c:v>
                      </c:pt>
                      <c:pt idx="29">
                        <c:v>31025962.710000001</c:v>
                      </c:pt>
                      <c:pt idx="30">
                        <c:v>160547075.44</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1.2235804347368931E-4</c:v>
                </c:pt>
                <c:pt idx="1">
                  <c:v>1.0849268294809663E-3</c:v>
                </c:pt>
                <c:pt idx="2">
                  <c:v>4.3248562038547449E-3</c:v>
                </c:pt>
                <c:pt idx="3">
                  <c:v>1.1118890026714203E-2</c:v>
                </c:pt>
                <c:pt idx="4">
                  <c:v>1.7571768507697396E-2</c:v>
                </c:pt>
                <c:pt idx="5">
                  <c:v>3.2171418413884371E-2</c:v>
                </c:pt>
                <c:pt idx="6">
                  <c:v>4.9362144428135295E-2</c:v>
                </c:pt>
                <c:pt idx="7">
                  <c:v>7.4177928595906245E-2</c:v>
                </c:pt>
                <c:pt idx="8">
                  <c:v>0.11861529729593411</c:v>
                </c:pt>
                <c:pt idx="9">
                  <c:v>0.22480905521656663</c:v>
                </c:pt>
                <c:pt idx="10">
                  <c:v>0.38945855645356142</c:v>
                </c:pt>
                <c:pt idx="11">
                  <c:v>7.7182799984791023E-2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1384385.89</c:v>
                      </c:pt>
                      <c:pt idx="1">
                        <c:v>12275101.43</c:v>
                      </c:pt>
                      <c:pt idx="2">
                        <c:v>48932376.939999998</c:v>
                      </c:pt>
                      <c:pt idx="3">
                        <c:v>125801574.04000001</c:v>
                      </c:pt>
                      <c:pt idx="4">
                        <c:v>198810864.36000001</c:v>
                      </c:pt>
                      <c:pt idx="5">
                        <c:v>363994523.36000001</c:v>
                      </c:pt>
                      <c:pt idx="6">
                        <c:v>558494188.90999997</c:v>
                      </c:pt>
                      <c:pt idx="7">
                        <c:v>839265444.12</c:v>
                      </c:pt>
                      <c:pt idx="8">
                        <c:v>1342039634.28</c:v>
                      </c:pt>
                      <c:pt idx="9">
                        <c:v>2543539232.4899998</c:v>
                      </c:pt>
                      <c:pt idx="10">
                        <c:v>4406420003.0299997</c:v>
                      </c:pt>
                      <c:pt idx="11">
                        <c:v>873263221.74000001</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7.8588983308587915E-5</c:v>
                </c:pt>
                <c:pt idx="1">
                  <c:v>1.5128437724424085E-4</c:v>
                </c:pt>
                <c:pt idx="2">
                  <c:v>2.7267335617203633E-4</c:v>
                </c:pt>
                <c:pt idx="3">
                  <c:v>1.2071615909314915E-3</c:v>
                </c:pt>
                <c:pt idx="4">
                  <c:v>1.051146299192464E-3</c:v>
                </c:pt>
                <c:pt idx="5">
                  <c:v>1.5036400522626238E-3</c:v>
                </c:pt>
                <c:pt idx="6">
                  <c:v>1.3977435191658281E-2</c:v>
                </c:pt>
                <c:pt idx="7">
                  <c:v>3.3821380376047676E-3</c:v>
                </c:pt>
                <c:pt idx="8">
                  <c:v>1.5603890528790663E-2</c:v>
                </c:pt>
                <c:pt idx="9">
                  <c:v>7.1309943437325614E-3</c:v>
                </c:pt>
                <c:pt idx="10">
                  <c:v>1.003482004989548E-2</c:v>
                </c:pt>
                <c:pt idx="11">
                  <c:v>7.6635887009890824E-2</c:v>
                </c:pt>
                <c:pt idx="12">
                  <c:v>1.4143905017978025E-2</c:v>
                </c:pt>
                <c:pt idx="13">
                  <c:v>3.0649550711817859E-2</c:v>
                </c:pt>
                <c:pt idx="14">
                  <c:v>2.1722635536496029E-2</c:v>
                </c:pt>
                <c:pt idx="15">
                  <c:v>1.9362666137754937E-2</c:v>
                </c:pt>
                <c:pt idx="16">
                  <c:v>0.24966528133064347</c:v>
                </c:pt>
                <c:pt idx="17">
                  <c:v>2.7460285865984684E-2</c:v>
                </c:pt>
                <c:pt idx="18">
                  <c:v>4.3177930384654298E-2</c:v>
                </c:pt>
                <c:pt idx="19">
                  <c:v>1.892872158469918E-2</c:v>
                </c:pt>
                <c:pt idx="20">
                  <c:v>1.4390515540331198E-2</c:v>
                </c:pt>
                <c:pt idx="21">
                  <c:v>0.37701983854270527</c:v>
                </c:pt>
                <c:pt idx="22">
                  <c:v>1.6107085924756594E-2</c:v>
                </c:pt>
                <c:pt idx="23">
                  <c:v>3.1099122954753745E-2</c:v>
                </c:pt>
                <c:pt idx="24">
                  <c:v>2.653004060313702E-3</c:v>
                </c:pt>
                <c:pt idx="25">
                  <c:v>2.8706397011419687E-4</c:v>
                </c:pt>
                <c:pt idx="26">
                  <c:v>2.302732616312786E-3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889173.09</c:v>
                      </c:pt>
                      <c:pt idx="1">
                        <c:v>1711664.81</c:v>
                      </c:pt>
                      <c:pt idx="2">
                        <c:v>3085086.49</c:v>
                      </c:pt>
                      <c:pt idx="3">
                        <c:v>13658092.48</c:v>
                      </c:pt>
                      <c:pt idx="4">
                        <c:v>11892901.060000001</c:v>
                      </c:pt>
                      <c:pt idx="5">
                        <c:v>17012515.18</c:v>
                      </c:pt>
                      <c:pt idx="6">
                        <c:v>158143784.49000001</c:v>
                      </c:pt>
                      <c:pt idx="7">
                        <c:v>38266255.689999998</c:v>
                      </c:pt>
                      <c:pt idx="8">
                        <c:v>176545858.88999999</c:v>
                      </c:pt>
                      <c:pt idx="9">
                        <c:v>80681642.75</c:v>
                      </c:pt>
                      <c:pt idx="10">
                        <c:v>113536167.23</c:v>
                      </c:pt>
                      <c:pt idx="11">
                        <c:v>867075327.72000003</c:v>
                      </c:pt>
                      <c:pt idx="12">
                        <c:v>160027260.81999999</c:v>
                      </c:pt>
                      <c:pt idx="13">
                        <c:v>346775776.52999997</c:v>
                      </c:pt>
                      <c:pt idx="14">
                        <c:v>245774689.40000001</c:v>
                      </c:pt>
                      <c:pt idx="15">
                        <c:v>219073475.13</c:v>
                      </c:pt>
                      <c:pt idx="16">
                        <c:v>2824768056.8000002</c:v>
                      </c:pt>
                      <c:pt idx="17">
                        <c:v>310691730.67000002</c:v>
                      </c:pt>
                      <c:pt idx="18">
                        <c:v>488524627.29000002</c:v>
                      </c:pt>
                      <c:pt idx="19">
                        <c:v>214163730.75</c:v>
                      </c:pt>
                      <c:pt idx="20">
                        <c:v>162817466.66</c:v>
                      </c:pt>
                      <c:pt idx="21">
                        <c:v>4265685605.2199998</c:v>
                      </c:pt>
                      <c:pt idx="22">
                        <c:v>182239122.58000001</c:v>
                      </c:pt>
                      <c:pt idx="23">
                        <c:v>351862336.04000002</c:v>
                      </c:pt>
                      <c:pt idx="24">
                        <c:v>30016673.059999999</c:v>
                      </c:pt>
                      <c:pt idx="25">
                        <c:v>3247905.07</c:v>
                      </c:pt>
                      <c:pt idx="26">
                        <c:v>26053624.690000001</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6.7676731293705484E-4</c:v>
                </c:pt>
                <c:pt idx="1">
                  <c:v>2.3499547477544556E-3</c:v>
                </c:pt>
                <c:pt idx="2">
                  <c:v>4.4642146884228901E-3</c:v>
                </c:pt>
                <c:pt idx="3">
                  <c:v>7.0432999483861442E-3</c:v>
                </c:pt>
                <c:pt idx="4">
                  <c:v>1.072393345679238E-2</c:v>
                </c:pt>
                <c:pt idx="5">
                  <c:v>1.488700146571004E-2</c:v>
                </c:pt>
                <c:pt idx="6">
                  <c:v>1.7922878027989784E-2</c:v>
                </c:pt>
                <c:pt idx="7">
                  <c:v>2.2508100365492719E-2</c:v>
                </c:pt>
                <c:pt idx="8">
                  <c:v>2.8021072015735771E-2</c:v>
                </c:pt>
                <c:pt idx="9">
                  <c:v>3.3870136633496736E-2</c:v>
                </c:pt>
                <c:pt idx="10">
                  <c:v>3.6321531183035875E-2</c:v>
                </c:pt>
                <c:pt idx="11">
                  <c:v>4.1834253332220732E-2</c:v>
                </c:pt>
                <c:pt idx="12">
                  <c:v>4.2805074067143317E-2</c:v>
                </c:pt>
                <c:pt idx="13">
                  <c:v>5.117078353044914E-2</c:v>
                </c:pt>
                <c:pt idx="14">
                  <c:v>5.6292608549758857E-2</c:v>
                </c:pt>
                <c:pt idx="15">
                  <c:v>5.956664926907896E-2</c:v>
                </c:pt>
                <c:pt idx="16">
                  <c:v>6.3222649405813347E-2</c:v>
                </c:pt>
                <c:pt idx="17">
                  <c:v>5.5876197566878172E-2</c:v>
                </c:pt>
                <c:pt idx="18">
                  <c:v>6.5166829437627638E-2</c:v>
                </c:pt>
                <c:pt idx="19">
                  <c:v>5.9521401468957791E-2</c:v>
                </c:pt>
                <c:pt idx="20">
                  <c:v>6.4492646113562757E-2</c:v>
                </c:pt>
                <c:pt idx="21">
                  <c:v>9.4306633362769218E-2</c:v>
                </c:pt>
                <c:pt idx="22">
                  <c:v>5.4030613058724752E-2</c:v>
                </c:pt>
                <c:pt idx="23">
                  <c:v>5.0711522738531044E-2</c:v>
                </c:pt>
                <c:pt idx="24">
                  <c:v>6.2059768300467215E-2</c:v>
                </c:pt>
                <c:pt idx="25">
                  <c:v>1.5347995226321152E-4</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7657094.6399999997</c:v>
                      </c:pt>
                      <c:pt idx="1">
                        <c:v>26587906.300000001</c:v>
                      </c:pt>
                      <c:pt idx="2">
                        <c:v>50509109.57</c:v>
                      </c:pt>
                      <c:pt idx="3">
                        <c:v>79689449.019999996</c:v>
                      </c:pt>
                      <c:pt idx="4">
                        <c:v>121332948.3</c:v>
                      </c:pt>
                      <c:pt idx="5">
                        <c:v>168434817.91999999</c:v>
                      </c:pt>
                      <c:pt idx="6">
                        <c:v>202783394.91</c:v>
                      </c:pt>
                      <c:pt idx="7">
                        <c:v>254661611.71000001</c:v>
                      </c:pt>
                      <c:pt idx="8">
                        <c:v>317036588.85000002</c:v>
                      </c:pt>
                      <c:pt idx="9">
                        <c:v>383214195.94999999</c:v>
                      </c:pt>
                      <c:pt idx="10">
                        <c:v>410949814.54000002</c:v>
                      </c:pt>
                      <c:pt idx="11">
                        <c:v>473321968.76999998</c:v>
                      </c:pt>
                      <c:pt idx="12">
                        <c:v>484306048.68000001</c:v>
                      </c:pt>
                      <c:pt idx="13">
                        <c:v>578957530.61000001</c:v>
                      </c:pt>
                      <c:pt idx="14">
                        <c:v>636906988.5</c:v>
                      </c:pt>
                      <c:pt idx="15">
                        <c:v>673950207.28999996</c:v>
                      </c:pt>
                      <c:pt idx="16">
                        <c:v>715314999.16999996</c:v>
                      </c:pt>
                      <c:pt idx="17">
                        <c:v>632195622.79999995</c:v>
                      </c:pt>
                      <c:pt idx="18">
                        <c:v>737311880.84000003</c:v>
                      </c:pt>
                      <c:pt idx="19">
                        <c:v>673438263.70000005</c:v>
                      </c:pt>
                      <c:pt idx="20">
                        <c:v>729684022.01999998</c:v>
                      </c:pt>
                      <c:pt idx="21">
                        <c:v>1067006049.25</c:v>
                      </c:pt>
                      <c:pt idx="22">
                        <c:v>611314272.63</c:v>
                      </c:pt>
                      <c:pt idx="23">
                        <c:v>573761352.72000003</c:v>
                      </c:pt>
                      <c:pt idx="24">
                        <c:v>702157905.87</c:v>
                      </c:pt>
                      <c:pt idx="25">
                        <c:v>1736506.03</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7.9914411430918285E-3</c:v>
                </c:pt>
                <c:pt idx="1">
                  <c:v>7.0144015529078141E-3</c:v>
                </c:pt>
                <c:pt idx="2">
                  <c:v>8.2874954010959574E-3</c:v>
                </c:pt>
                <c:pt idx="3">
                  <c:v>8.6292260640887675E-3</c:v>
                </c:pt>
                <c:pt idx="4">
                  <c:v>1.2127850498976226E-2</c:v>
                </c:pt>
                <c:pt idx="5">
                  <c:v>2.8370921343164126E-2</c:v>
                </c:pt>
                <c:pt idx="6">
                  <c:v>3.0652970389720282E-2</c:v>
                </c:pt>
                <c:pt idx="7">
                  <c:v>5.1161944086357276E-2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0.24649921256790119</c:v>
                </c:pt>
                <c:pt idx="1">
                  <c:v>0.33783413227618925</c:v>
                </c:pt>
                <c:pt idx="2">
                  <c:v>0.14512351905623561</c:v>
                </c:pt>
                <c:pt idx="3">
                  <c:v>5.7704566898862011E-2</c:v>
                </c:pt>
                <c:pt idx="4">
                  <c:v>7.6057530494676992E-2</c:v>
                </c:pt>
                <c:pt idx="5">
                  <c:v>6.7618099536702544E-2</c:v>
                </c:pt>
                <c:pt idx="6">
                  <c:v>4.8188955665317008E-2</c:v>
                </c:pt>
                <c:pt idx="7">
                  <c:v>1.6558121367912591E-2</c:v>
                </c:pt>
                <c:pt idx="8">
                  <c:v>4.3770914398002896E-3</c:v>
                </c:pt>
                <c:pt idx="9">
                  <c:v>3.8770696402689919E-5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0.37773803001720124</c:v>
                </c:pt>
                <c:pt idx="1">
                  <c:v>2.9938077899881191E-2</c:v>
                </c:pt>
                <c:pt idx="2">
                  <c:v>0.11815170108472835</c:v>
                </c:pt>
                <c:pt idx="3">
                  <c:v>4.3467240318587778E-2</c:v>
                </c:pt>
                <c:pt idx="4">
                  <c:v>1.2739589377412628E-2</c:v>
                </c:pt>
                <c:pt idx="5">
                  <c:v>3.2263420015350916E-2</c:v>
                </c:pt>
                <c:pt idx="6">
                  <c:v>2.5448121808531093E-2</c:v>
                </c:pt>
                <c:pt idx="7">
                  <c:v>7.1721539940962559E-2</c:v>
                </c:pt>
                <c:pt idx="8">
                  <c:v>9.5968853709801377E-2</c:v>
                </c:pt>
                <c:pt idx="9">
                  <c:v>0.10837846607790026</c:v>
                </c:pt>
                <c:pt idx="10">
                  <c:v>7.9090787588839834E-3</c:v>
                </c:pt>
                <c:pt idx="11">
                  <c:v>1.4878144952833001E-2</c:v>
                </c:pt>
                <c:pt idx="12">
                  <c:v>6.1397736037925782E-2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90416927.609999999</c:v>
                      </c:pt>
                      <c:pt idx="1">
                        <c:v>79362486.200000003</c:v>
                      </c:pt>
                      <c:pt idx="2">
                        <c:v>93766550.780000001</c:v>
                      </c:pt>
                      <c:pt idx="3">
                        <c:v>97632966.870000005</c:v>
                      </c:pt>
                      <c:pt idx="4">
                        <c:v>137217175.34999999</c:v>
                      </c:pt>
                      <c:pt idx="5">
                        <c:v>320994861.30000001</c:v>
                      </c:pt>
                      <c:pt idx="6">
                        <c:v>346814467.51999998</c:v>
                      </c:pt>
                      <c:pt idx="7">
                        <c:v>578857519.19000006</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1742067</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1263650</xdr:colOff>
      <xdr:row>6</xdr:row>
      <xdr:rowOff>104829</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1035178</xdr:colOff>
      <xdr:row>5</xdr:row>
      <xdr:rowOff>67468</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87892</xdr:colOff>
      <xdr:row>4</xdr:row>
      <xdr:rowOff>103239</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2506663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1234067</xdr:colOff>
      <xdr:row>4</xdr:row>
      <xdr:rowOff>14340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283805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930061</xdr:colOff>
      <xdr:row>4</xdr:row>
      <xdr:rowOff>131020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20.xml"/><Relationship Id="rId5" Type="http://schemas.openxmlformats.org/officeDocument/2006/relationships/printerSettings" Target="../printerSettings/printerSettings18.bin"/><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zoomScale="85" zoomScaleNormal="85" workbookViewId="0"/>
  </sheetViews>
  <sheetFormatPr defaultRowHeight="15"/>
  <cols>
    <col min="2" max="2" width="11.5703125" customWidth="1"/>
    <col min="3" max="3" width="9.7109375" customWidth="1"/>
    <col min="4" max="4" width="18" bestFit="1" customWidth="1"/>
    <col min="5" max="5" width="17.42578125" customWidth="1"/>
    <col min="6" max="6" width="16.85546875" customWidth="1"/>
    <col min="7" max="7" width="5.28515625" customWidth="1"/>
    <col min="8" max="9" width="14" bestFit="1" customWidth="1"/>
    <col min="11" max="11" width="6.5703125" customWidth="1"/>
    <col min="12" max="12" width="5" customWidth="1"/>
    <col min="13" max="13" width="10.42578125" customWidth="1"/>
    <col min="18" max="18" width="17.5703125" customWidth="1"/>
    <col min="20" max="20" width="9.7109375" bestFit="1" customWidth="1"/>
  </cols>
  <sheetData>
    <row r="2" spans="2:13" ht="15.75" thickBot="1">
      <c r="K2" s="1238"/>
    </row>
    <row r="3" spans="2:13">
      <c r="B3" s="1786" t="s">
        <v>2022</v>
      </c>
      <c r="C3" s="1787" t="s">
        <v>2023</v>
      </c>
      <c r="D3" s="1788" t="s">
        <v>2024</v>
      </c>
      <c r="E3" s="1786" t="s">
        <v>2025</v>
      </c>
      <c r="F3" s="1787" t="s">
        <v>2026</v>
      </c>
      <c r="G3" s="1787"/>
    </row>
    <row r="4" spans="2:13">
      <c r="B4" s="1789"/>
      <c r="C4" s="1790"/>
      <c r="E4" s="1789"/>
      <c r="F4" s="1790"/>
      <c r="G4" s="1790"/>
      <c r="K4">
        <f>MONTH(B5)</f>
        <v>1</v>
      </c>
    </row>
    <row r="5" spans="2:13">
      <c r="B5" s="1796">
        <f>'00 - Cover'!F20</f>
        <v>46049</v>
      </c>
      <c r="C5" s="1790">
        <v>653000</v>
      </c>
      <c r="D5" s="1238" t="str">
        <f t="shared" ref="D5:D36" si="0">"Flux de "&amp;_xlfn.SINGLE( _xlfn.XLOOKUP($K$4,L:L,M:M,FALSE))</f>
        <v>Flux de Janvier</v>
      </c>
      <c r="E5" s="1797">
        <v>0</v>
      </c>
      <c r="F5" s="1791"/>
      <c r="G5" s="1791" t="s">
        <v>2027</v>
      </c>
      <c r="H5" s="1803"/>
      <c r="I5" s="1803"/>
      <c r="L5">
        <v>1</v>
      </c>
      <c r="M5" s="1214" t="s">
        <v>2028</v>
      </c>
    </row>
    <row r="6" spans="2:13">
      <c r="B6" s="1796">
        <f t="shared" ref="B6:B36" si="1">+B5</f>
        <v>46049</v>
      </c>
      <c r="C6" s="1790">
        <v>512000</v>
      </c>
      <c r="D6" s="1238" t="str">
        <f t="shared" si="0"/>
        <v>Flux de Janvier</v>
      </c>
      <c r="E6" s="1797"/>
      <c r="F6" s="1791">
        <f>E5</f>
        <v>0</v>
      </c>
      <c r="G6" s="1791" t="s">
        <v>2027</v>
      </c>
      <c r="H6" s="1803"/>
      <c r="I6" s="1803"/>
      <c r="L6">
        <v>2</v>
      </c>
      <c r="M6" s="1214" t="s">
        <v>2029</v>
      </c>
    </row>
    <row r="7" spans="2:13">
      <c r="B7" s="1796">
        <f t="shared" si="1"/>
        <v>46049</v>
      </c>
      <c r="C7" s="1790">
        <v>653000</v>
      </c>
      <c r="D7" s="1238" t="str">
        <f t="shared" si="0"/>
        <v>Flux de Janvier</v>
      </c>
      <c r="E7" s="1797">
        <f>ROUNDDOWN('14 - Fees'!J40+'14 - Fees'!J41,2)</f>
        <v>480</v>
      </c>
      <c r="F7" s="1791"/>
      <c r="G7" s="1791" t="s">
        <v>2027</v>
      </c>
      <c r="H7" s="1803"/>
      <c r="I7" s="1803"/>
      <c r="L7">
        <v>3</v>
      </c>
      <c r="M7" s="1214" t="s">
        <v>2030</v>
      </c>
    </row>
    <row r="8" spans="2:13">
      <c r="B8" s="1796">
        <f t="shared" si="1"/>
        <v>46049</v>
      </c>
      <c r="C8" s="1790">
        <v>512000</v>
      </c>
      <c r="D8" s="1238" t="str">
        <f t="shared" si="0"/>
        <v>Flux de Janvier</v>
      </c>
      <c r="E8" s="1797"/>
      <c r="F8" s="1791">
        <f>E7</f>
        <v>480</v>
      </c>
      <c r="G8" s="1791" t="s">
        <v>2027</v>
      </c>
      <c r="H8" s="1803"/>
      <c r="I8" s="1803"/>
      <c r="L8">
        <v>4</v>
      </c>
      <c r="M8" s="1214" t="s">
        <v>2031</v>
      </c>
    </row>
    <row r="9" spans="2:13">
      <c r="B9" s="1796">
        <f t="shared" si="1"/>
        <v>46049</v>
      </c>
      <c r="C9" s="1790">
        <v>653000</v>
      </c>
      <c r="D9" s="1238" t="str">
        <f t="shared" si="0"/>
        <v>Flux de Janvier</v>
      </c>
      <c r="E9" s="1797">
        <f>ROUNDDOWN('14 - Fees'!J36,2)</f>
        <v>1050</v>
      </c>
      <c r="F9" s="1791"/>
      <c r="G9" s="1791" t="s">
        <v>2027</v>
      </c>
      <c r="H9" s="1803"/>
      <c r="I9" s="1803"/>
      <c r="L9">
        <v>5</v>
      </c>
      <c r="M9" s="1214" t="s">
        <v>2032</v>
      </c>
    </row>
    <row r="10" spans="2:13">
      <c r="B10" s="1796">
        <f t="shared" si="1"/>
        <v>46049</v>
      </c>
      <c r="C10" s="1790">
        <v>512000</v>
      </c>
      <c r="D10" s="1238" t="str">
        <f t="shared" si="0"/>
        <v>Flux de Janvier</v>
      </c>
      <c r="E10" s="1797"/>
      <c r="F10" s="1791">
        <f>E9</f>
        <v>1050</v>
      </c>
      <c r="G10" s="1791" t="s">
        <v>2027</v>
      </c>
      <c r="H10" s="1803"/>
      <c r="I10" s="1803"/>
      <c r="L10">
        <v>6</v>
      </c>
      <c r="M10" s="1214" t="s">
        <v>2033</v>
      </c>
    </row>
    <row r="11" spans="2:13">
      <c r="B11" s="1796">
        <f t="shared" si="1"/>
        <v>46049</v>
      </c>
      <c r="C11" s="1790">
        <v>653000</v>
      </c>
      <c r="D11" s="1238" t="str">
        <f t="shared" si="0"/>
        <v>Flux de Janvier</v>
      </c>
      <c r="E11" s="1797">
        <f>ROUNDDOWN('14 - Fees'!J18,2)</f>
        <v>5416.67</v>
      </c>
      <c r="F11" s="1791"/>
      <c r="G11" s="1791" t="s">
        <v>2027</v>
      </c>
      <c r="H11" s="1803"/>
      <c r="I11" s="1803"/>
      <c r="L11">
        <v>7</v>
      </c>
      <c r="M11" s="1214" t="s">
        <v>2034</v>
      </c>
    </row>
    <row r="12" spans="2:13">
      <c r="B12" s="1796">
        <f t="shared" si="1"/>
        <v>46049</v>
      </c>
      <c r="C12" s="1790">
        <v>512000</v>
      </c>
      <c r="D12" s="1238" t="str">
        <f t="shared" si="0"/>
        <v>Flux de Janvier</v>
      </c>
      <c r="E12" s="1797"/>
      <c r="F12" s="1791">
        <f>E11</f>
        <v>5416.67</v>
      </c>
      <c r="G12" s="1791" t="s">
        <v>2027</v>
      </c>
      <c r="H12" s="1803"/>
      <c r="I12" s="1803"/>
      <c r="L12">
        <v>8</v>
      </c>
      <c r="M12" s="1214" t="s">
        <v>2035</v>
      </c>
    </row>
    <row r="13" spans="2:13">
      <c r="B13" s="1796">
        <f t="shared" si="1"/>
        <v>46049</v>
      </c>
      <c r="C13" s="1790">
        <v>653000</v>
      </c>
      <c r="D13" s="1238" t="str">
        <f t="shared" si="0"/>
        <v>Flux de Janvier</v>
      </c>
      <c r="E13" s="1797">
        <f>ROUNDDOWN('14 - Fees'!J34,2)</f>
        <v>12500</v>
      </c>
      <c r="F13" s="1791"/>
      <c r="G13" s="1791" t="s">
        <v>2027</v>
      </c>
      <c r="H13" s="1803"/>
      <c r="I13" s="1803"/>
      <c r="L13">
        <v>9</v>
      </c>
      <c r="M13" s="1214" t="s">
        <v>2036</v>
      </c>
    </row>
    <row r="14" spans="2:13">
      <c r="B14" s="1796">
        <f t="shared" si="1"/>
        <v>46049</v>
      </c>
      <c r="C14" s="1790">
        <v>512000</v>
      </c>
      <c r="D14" s="1238" t="str">
        <f t="shared" si="0"/>
        <v>Flux de Janvier</v>
      </c>
      <c r="E14" s="1797"/>
      <c r="F14" s="1791">
        <f>E13</f>
        <v>12500</v>
      </c>
      <c r="G14" s="1791" t="s">
        <v>2027</v>
      </c>
      <c r="H14" s="1803"/>
      <c r="I14" s="1803"/>
      <c r="L14">
        <v>10</v>
      </c>
      <c r="M14" s="1214" t="s">
        <v>2037</v>
      </c>
    </row>
    <row r="15" spans="2:13">
      <c r="B15" s="1796">
        <f t="shared" si="1"/>
        <v>46049</v>
      </c>
      <c r="C15" s="1807" t="s">
        <v>2043</v>
      </c>
      <c r="D15" s="1238" t="str">
        <f t="shared" si="0"/>
        <v>Flux de Janvier</v>
      </c>
      <c r="E15" s="1797">
        <f>ROUNDDOWN('14 - Fees'!J54,2)</f>
        <v>18720.95</v>
      </c>
      <c r="F15" s="1791"/>
      <c r="G15" s="1791" t="s">
        <v>2027</v>
      </c>
      <c r="H15" s="1803"/>
      <c r="I15" s="1803"/>
      <c r="L15">
        <v>11</v>
      </c>
      <c r="M15" s="1214" t="s">
        <v>2038</v>
      </c>
    </row>
    <row r="16" spans="2:13">
      <c r="B16" s="1796">
        <f t="shared" si="1"/>
        <v>46049</v>
      </c>
      <c r="C16" s="1790">
        <v>512000</v>
      </c>
      <c r="D16" s="1238" t="str">
        <f t="shared" si="0"/>
        <v>Flux de Janvier</v>
      </c>
      <c r="E16" s="1797"/>
      <c r="F16" s="1791">
        <f>E15</f>
        <v>18720.95</v>
      </c>
      <c r="G16" s="1791" t="s">
        <v>2027</v>
      </c>
      <c r="H16" s="1803"/>
      <c r="I16" s="1803"/>
      <c r="L16">
        <v>12</v>
      </c>
      <c r="M16" s="1214" t="s">
        <v>2039</v>
      </c>
    </row>
    <row r="17" spans="2:18">
      <c r="B17" s="1796">
        <f t="shared" si="1"/>
        <v>46049</v>
      </c>
      <c r="C17" s="1807" t="s">
        <v>2043</v>
      </c>
      <c r="D17" s="1238" t="str">
        <f t="shared" si="0"/>
        <v>Flux de Janvier</v>
      </c>
      <c r="E17" s="1797">
        <f>ROUNDDOWN('14 - Fees'!J53,2)</f>
        <v>2377195.84</v>
      </c>
      <c r="F17" s="1791"/>
      <c r="G17" s="1791" t="s">
        <v>2027</v>
      </c>
      <c r="H17" s="1803"/>
      <c r="I17" s="1803"/>
    </row>
    <row r="18" spans="2:18">
      <c r="B18" s="1796">
        <f t="shared" si="1"/>
        <v>46049</v>
      </c>
      <c r="C18" s="1790">
        <v>512000</v>
      </c>
      <c r="D18" s="1238" t="str">
        <f t="shared" si="0"/>
        <v>Flux de Janvier</v>
      </c>
      <c r="E18" s="1797"/>
      <c r="F18" s="1791">
        <f>E17</f>
        <v>2377195.84</v>
      </c>
      <c r="G18" s="1791" t="s">
        <v>2027</v>
      </c>
      <c r="H18" s="1803"/>
      <c r="I18" s="1803"/>
    </row>
    <row r="19" spans="2:18">
      <c r="B19" s="1796">
        <f t="shared" si="1"/>
        <v>46049</v>
      </c>
      <c r="C19" s="1807" t="s">
        <v>2046</v>
      </c>
      <c r="D19" s="1238" t="str">
        <f t="shared" si="0"/>
        <v>Flux de Janvier</v>
      </c>
      <c r="E19" s="1797">
        <f>ROUNDDOWN('12 - Notes Interest'!AC17,2)</f>
        <v>679942.56</v>
      </c>
      <c r="F19" s="1791"/>
      <c r="G19" s="1791" t="s">
        <v>2027</v>
      </c>
      <c r="H19" s="1803"/>
      <c r="I19" s="1803"/>
    </row>
    <row r="20" spans="2:18">
      <c r="B20" s="1796">
        <f t="shared" si="1"/>
        <v>46049</v>
      </c>
      <c r="C20" s="1790">
        <v>512000</v>
      </c>
      <c r="D20" s="1238" t="str">
        <f t="shared" si="0"/>
        <v>Flux de Janvier</v>
      </c>
      <c r="E20" s="1797"/>
      <c r="F20" s="1791">
        <f>E19</f>
        <v>679942.56</v>
      </c>
      <c r="G20" s="1791" t="s">
        <v>2027</v>
      </c>
      <c r="H20" s="1803"/>
      <c r="I20" s="1803"/>
    </row>
    <row r="21" spans="2:18">
      <c r="B21" s="1796">
        <f t="shared" si="1"/>
        <v>46049</v>
      </c>
      <c r="C21" s="1807" t="s">
        <v>2044</v>
      </c>
      <c r="D21" s="1238" t="str">
        <f t="shared" si="0"/>
        <v>Flux de Janvier</v>
      </c>
      <c r="E21" s="1797">
        <v>0</v>
      </c>
      <c r="F21" s="1791"/>
      <c r="G21" s="1791" t="s">
        <v>2027</v>
      </c>
      <c r="H21" s="1803"/>
      <c r="I21" s="1803"/>
    </row>
    <row r="22" spans="2:18">
      <c r="B22" s="1796">
        <f t="shared" si="1"/>
        <v>46049</v>
      </c>
      <c r="C22" s="1790">
        <v>512000</v>
      </c>
      <c r="D22" s="1238" t="str">
        <f t="shared" si="0"/>
        <v>Flux de Janvier</v>
      </c>
      <c r="E22" s="1797"/>
      <c r="F22" s="1791">
        <v>0</v>
      </c>
      <c r="G22" s="1791" t="s">
        <v>2027</v>
      </c>
      <c r="H22" s="1803"/>
      <c r="I22" s="1803"/>
    </row>
    <row r="23" spans="2:18">
      <c r="B23" s="1796">
        <f t="shared" si="1"/>
        <v>46049</v>
      </c>
      <c r="C23" s="1807" t="s">
        <v>2047</v>
      </c>
      <c r="D23" s="1238" t="str">
        <f t="shared" si="0"/>
        <v>Flux de Janvier</v>
      </c>
      <c r="E23" s="1797">
        <f>ROUNDDOWN('11 - Notes Follow-up'!V25,2)</f>
        <v>4815993.5999999996</v>
      </c>
      <c r="F23" s="1791"/>
      <c r="G23" s="1791" t="s">
        <v>2027</v>
      </c>
      <c r="H23" s="1803"/>
      <c r="I23" s="1803"/>
    </row>
    <row r="24" spans="2:18">
      <c r="B24" s="1796">
        <f t="shared" si="1"/>
        <v>46049</v>
      </c>
      <c r="C24" s="1790">
        <v>512000</v>
      </c>
      <c r="D24" s="1238" t="str">
        <f t="shared" si="0"/>
        <v>Flux de Janvier</v>
      </c>
      <c r="E24" s="1797"/>
      <c r="F24" s="1791">
        <f>E23</f>
        <v>4815993.5999999996</v>
      </c>
      <c r="G24" s="1791" t="s">
        <v>2027</v>
      </c>
      <c r="H24" s="1803"/>
      <c r="I24" s="1803"/>
    </row>
    <row r="25" spans="2:18">
      <c r="B25" s="1796">
        <f t="shared" si="1"/>
        <v>46049</v>
      </c>
      <c r="C25" s="1807" t="s">
        <v>2045</v>
      </c>
      <c r="D25" s="1238" t="str">
        <f t="shared" si="0"/>
        <v>Flux de Janvier</v>
      </c>
      <c r="E25" s="1797">
        <f>ROUNDDOWN('12 - Notes Interest'!K17,2)</f>
        <v>3277958.44</v>
      </c>
      <c r="F25" s="1791"/>
      <c r="G25" s="1791" t="s">
        <v>2027</v>
      </c>
      <c r="H25" s="1803"/>
      <c r="I25" s="1803"/>
    </row>
    <row r="26" spans="2:18">
      <c r="B26" s="1796">
        <f t="shared" si="1"/>
        <v>46049</v>
      </c>
      <c r="C26" s="1790">
        <v>512000</v>
      </c>
      <c r="D26" s="1238" t="str">
        <f t="shared" si="0"/>
        <v>Flux de Janvier</v>
      </c>
      <c r="E26" s="1797"/>
      <c r="F26" s="1791">
        <f>E25</f>
        <v>3277958.44</v>
      </c>
      <c r="G26" s="1791" t="s">
        <v>2027</v>
      </c>
      <c r="H26" s="1803"/>
      <c r="I26" s="1803"/>
    </row>
    <row r="27" spans="2:18">
      <c r="B27" s="1796">
        <f t="shared" si="1"/>
        <v>46049</v>
      </c>
      <c r="C27" s="1790">
        <v>161100</v>
      </c>
      <c r="D27" s="1238" t="str">
        <f t="shared" si="0"/>
        <v>Flux de Janvier</v>
      </c>
      <c r="E27" s="1797">
        <f>ROUNDDOWN('11 - Notes Follow-up'!F25,2)</f>
        <v>58047925.640000001</v>
      </c>
      <c r="F27" s="1791"/>
      <c r="G27" s="1791" t="s">
        <v>2027</v>
      </c>
      <c r="H27" s="1803"/>
      <c r="I27" s="1803"/>
    </row>
    <row r="28" spans="2:18" ht="15.75" thickBot="1">
      <c r="B28" s="1796">
        <f t="shared" si="1"/>
        <v>46049</v>
      </c>
      <c r="C28" s="1790">
        <v>512000</v>
      </c>
      <c r="D28" s="1238" t="str">
        <f t="shared" si="0"/>
        <v>Flux de Janvier</v>
      </c>
      <c r="E28" s="1797"/>
      <c r="F28" s="1791">
        <f>E27</f>
        <v>58047925.640000001</v>
      </c>
      <c r="G28" s="1791" t="s">
        <v>2027</v>
      </c>
      <c r="H28" s="1803"/>
      <c r="I28" s="1803"/>
    </row>
    <row r="29" spans="2:18">
      <c r="B29" s="1798">
        <f t="shared" si="1"/>
        <v>46049</v>
      </c>
      <c r="C29" s="1808">
        <v>512100</v>
      </c>
      <c r="D29" s="1794" t="str">
        <f t="shared" si="0"/>
        <v>Flux de Janvier</v>
      </c>
      <c r="E29" s="1799"/>
      <c r="F29" s="1795">
        <f>ROUNDDOWN(-'10 - Reserve calculation'!K12,2)</f>
        <v>460000</v>
      </c>
      <c r="G29" s="1795" t="s">
        <v>2040</v>
      </c>
      <c r="H29" s="1803"/>
      <c r="I29" s="1803"/>
    </row>
    <row r="30" spans="2:18" ht="15.75" thickBot="1">
      <c r="B30" s="1800">
        <f t="shared" si="1"/>
        <v>46049</v>
      </c>
      <c r="C30" s="1809">
        <v>450000</v>
      </c>
      <c r="D30" s="1792" t="str">
        <f t="shared" si="0"/>
        <v>Flux de Janvier</v>
      </c>
      <c r="E30" s="1801">
        <f>F29</f>
        <v>460000</v>
      </c>
      <c r="F30" s="1793"/>
      <c r="G30" s="1793" t="s">
        <v>2040</v>
      </c>
      <c r="H30" s="1803"/>
      <c r="I30" s="1803"/>
    </row>
    <row r="31" spans="2:18">
      <c r="B31" s="1798">
        <f t="shared" si="1"/>
        <v>46049</v>
      </c>
      <c r="C31" s="1810" t="s">
        <v>2042</v>
      </c>
      <c r="D31" s="1794" t="str">
        <f t="shared" si="0"/>
        <v>Flux de Janvier</v>
      </c>
      <c r="E31" s="1795">
        <f>ROUNDDOWN('03 - Monthly Collection'!Q13+'03 - Monthly Collection'!AJ13,2)*0</f>
        <v>0</v>
      </c>
      <c r="F31" s="1804"/>
      <c r="G31" s="1795" t="s">
        <v>2041</v>
      </c>
      <c r="H31" s="1803"/>
      <c r="I31" s="1803"/>
    </row>
    <row r="32" spans="2:18">
      <c r="B32" s="1796">
        <f t="shared" si="1"/>
        <v>46049</v>
      </c>
      <c r="C32" s="1807" t="s">
        <v>2048</v>
      </c>
      <c r="D32" s="1238" t="str">
        <f t="shared" si="0"/>
        <v>Flux de Janvier</v>
      </c>
      <c r="E32" s="1791"/>
      <c r="F32" s="1239">
        <f>E31</f>
        <v>0</v>
      </c>
      <c r="G32" s="1791" t="s">
        <v>2041</v>
      </c>
      <c r="H32" s="1803"/>
      <c r="I32" s="1803"/>
      <c r="R32" s="1239"/>
    </row>
    <row r="33" spans="2:20">
      <c r="B33" s="1796">
        <f t="shared" si="1"/>
        <v>46049</v>
      </c>
      <c r="C33" s="1807" t="s">
        <v>2042</v>
      </c>
      <c r="D33" s="1238" t="str">
        <f t="shared" si="0"/>
        <v>Flux de Janvier</v>
      </c>
      <c r="E33" s="1791">
        <f>F34+F36-E35</f>
        <v>0</v>
      </c>
      <c r="F33" s="1239"/>
      <c r="G33" s="1791" t="s">
        <v>2041</v>
      </c>
      <c r="H33" s="1803"/>
      <c r="I33" s="1803"/>
      <c r="T33" s="1239"/>
    </row>
    <row r="34" spans="2:20">
      <c r="B34" s="1796">
        <f t="shared" si="1"/>
        <v>46049</v>
      </c>
      <c r="C34" s="1807" t="s">
        <v>2049</v>
      </c>
      <c r="D34" s="1238" t="str">
        <f t="shared" si="0"/>
        <v>Flux de Janvier</v>
      </c>
      <c r="E34" s="1791"/>
      <c r="F34" s="1239">
        <f>('02 - Monthly Asset Follow up'!BL18-'02 - Monthly Asset Follow up'!BL17+'02 - Monthly Asset Follow up'!CP18-'02 - Monthly Asset Follow up'!CP17)*0</f>
        <v>0</v>
      </c>
      <c r="G34" s="1791" t="s">
        <v>2041</v>
      </c>
      <c r="H34" s="1803"/>
      <c r="I34" s="1803"/>
    </row>
    <row r="35" spans="2:20">
      <c r="B35" s="1796">
        <f t="shared" si="1"/>
        <v>46049</v>
      </c>
      <c r="C35" s="1807" t="s">
        <v>2050</v>
      </c>
      <c r="D35" s="1238" t="str">
        <f t="shared" si="0"/>
        <v>Flux de Janvier</v>
      </c>
      <c r="E35" s="1791">
        <f>('02 - Monthly Asset Follow up'!AQ17-'02 - Monthly Asset Follow up'!AQ18)*0</f>
        <v>0</v>
      </c>
      <c r="F35" s="1239"/>
      <c r="G35" s="1791" t="s">
        <v>2041</v>
      </c>
      <c r="H35" s="1803"/>
      <c r="I35" s="1803"/>
      <c r="R35" s="1239"/>
    </row>
    <row r="36" spans="2:20" ht="15.75" thickBot="1">
      <c r="B36" s="1800">
        <f t="shared" si="1"/>
        <v>46049</v>
      </c>
      <c r="C36" s="1811" t="s">
        <v>2051</v>
      </c>
      <c r="D36" s="1792" t="str">
        <f t="shared" si="0"/>
        <v>Flux de Janvier</v>
      </c>
      <c r="E36" s="1793"/>
      <c r="F36" s="1805">
        <f>('02 - Monthly Asset Follow up'!E17+'02 - Monthly Asset Follow up'!F17+'02 - Monthly Asset Follow up'!K17+'02 - Monthly Asset Follow up'!M17)*0</f>
        <v>0</v>
      </c>
      <c r="G36" s="1793" t="s">
        <v>2041</v>
      </c>
      <c r="H36" s="1803"/>
      <c r="I36" s="1803"/>
    </row>
    <row r="39" spans="2:20">
      <c r="E39" s="1806">
        <f>SUM(E5:E35)</f>
        <v>69697183.700000003</v>
      </c>
      <c r="F39" s="1806">
        <f>SUM(F5:F36)</f>
        <v>69697183.700000003</v>
      </c>
      <c r="H39" s="1806"/>
      <c r="I39" s="1806"/>
    </row>
    <row r="56" hidden="1"/>
    <row r="57" hidden="1"/>
    <row r="58" hidden="1"/>
    <row r="59" hidden="1"/>
    <row r="60" hidden="1"/>
    <row r="68" spans="3:3">
      <c r="C68" s="1802"/>
    </row>
    <row r="69" spans="3:3">
      <c r="C69" s="1802"/>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45" customHeight="1">
      <c r="A3" s="35"/>
      <c r="B3" s="37"/>
      <c r="C3" s="37"/>
      <c r="D3" s="37"/>
      <c r="E3" s="249"/>
      <c r="F3" s="256"/>
      <c r="G3" s="1213" t="s">
        <v>99</v>
      </c>
      <c r="H3" s="1213">
        <f>'00 - Cover'!$F$17</f>
        <v>46022</v>
      </c>
      <c r="I3" s="39"/>
      <c r="J3" s="39"/>
      <c r="K3" s="39"/>
    </row>
    <row r="4" spans="1:12" ht="14.45" customHeight="1">
      <c r="A4" s="35"/>
      <c r="B4" s="37"/>
      <c r="C4" s="37"/>
      <c r="D4" s="37"/>
      <c r="E4" s="249"/>
      <c r="F4" s="256"/>
      <c r="G4" s="1213" t="s">
        <v>4</v>
      </c>
      <c r="H4" s="1213">
        <f>'00 - Cover'!$F$19</f>
        <v>46042</v>
      </c>
      <c r="I4" s="39"/>
      <c r="J4" s="39"/>
      <c r="K4" s="39"/>
    </row>
    <row r="5" spans="1:12" ht="14.45" customHeight="1">
      <c r="A5" s="35"/>
      <c r="B5" s="37"/>
      <c r="C5" s="37"/>
      <c r="D5" s="37"/>
      <c r="E5" s="249"/>
      <c r="F5" s="256"/>
      <c r="G5" s="1213" t="s">
        <v>5</v>
      </c>
      <c r="H5" s="1213">
        <f>'00 - Cover'!$F$20</f>
        <v>46049</v>
      </c>
      <c r="I5" s="39"/>
      <c r="J5" s="39"/>
      <c r="K5" s="39"/>
    </row>
    <row r="6" spans="1:12" ht="14.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75">
      <c r="B9" s="1765" t="s">
        <v>2003</v>
      </c>
      <c r="C9" s="44"/>
      <c r="D9" s="45"/>
      <c r="E9" s="45"/>
      <c r="F9" s="45"/>
      <c r="G9" s="45"/>
      <c r="H9" s="45"/>
      <c r="I9" s="45"/>
      <c r="J9" s="37"/>
      <c r="K9" s="37"/>
      <c r="L9" s="37"/>
    </row>
    <row r="10" spans="1:12" ht="15.7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75" thickTop="1">
      <c r="A12" s="234"/>
      <c r="B12" s="261">
        <f>'02 - Monthly Asset Follow up'!B17</f>
        <v>46022</v>
      </c>
      <c r="C12" s="262">
        <f>IF($B12=0,"",'02 - Monthly Asset Follow up'!D17)</f>
        <v>0</v>
      </c>
      <c r="D12" s="263">
        <f>IF($B12=0,"",IF(D13="",C12,C12+D13))</f>
        <v>12428694752.200001</v>
      </c>
      <c r="E12" s="495">
        <f>'02 - Monthly Asset Follow up'!K17</f>
        <v>998490.2</v>
      </c>
      <c r="F12" s="263">
        <f>IF($B12=0,"",IF(F13="",E12,E12+F13))</f>
        <v>6916094.0900000008</v>
      </c>
      <c r="G12" s="262">
        <f>IF($B12=0,"",'03 - Monthly Collection'!AM13)</f>
        <v>10317.209999999999</v>
      </c>
      <c r="H12" s="264">
        <f>IF($B12=0,"",IF(H13="",G12,G12+H13))</f>
        <v>533885.36</v>
      </c>
    </row>
    <row r="13" spans="1:12">
      <c r="A13" s="234"/>
      <c r="B13" s="254">
        <f>IF('Historical DATA'!C4="","",'Historical DATA'!C4)</f>
        <v>45991</v>
      </c>
      <c r="C13" s="255">
        <f>IF('Historical DATA'!D4="","",'Historical DATA'!D4)</f>
        <v>0</v>
      </c>
      <c r="D13" s="265">
        <f>IF('Historical DATA'!E4="","",'Historical DATA'!E4)</f>
        <v>12428694752.200001</v>
      </c>
      <c r="E13" s="496">
        <f>IF('Historical DATA'!F4="","",'Historical DATA'!F4)</f>
        <v>563823.34</v>
      </c>
      <c r="F13" s="265">
        <f>IF('Historical DATA'!G4="","",'Historical DATA'!G4)</f>
        <v>5917603.8900000006</v>
      </c>
      <c r="G13" s="255">
        <f>IF('Historical DATA'!H4="","",'Historical DATA'!H4)</f>
        <v>311624.19</v>
      </c>
      <c r="H13" s="266">
        <f>IF('Historical DATA'!I4="","",'Historical DATA'!I4)</f>
        <v>523568.14999999997</v>
      </c>
    </row>
    <row r="14" spans="1:12">
      <c r="A14" s="234"/>
      <c r="B14" s="254">
        <f>IF('Historical DATA'!C5="","",'Historical DATA'!C5)</f>
        <v>45961</v>
      </c>
      <c r="C14" s="255">
        <f>IF('Historical DATA'!D5="","",'Historical DATA'!D5)</f>
        <v>0</v>
      </c>
      <c r="D14" s="265">
        <f>IF('Historical DATA'!E5="","",'Historical DATA'!E5)</f>
        <v>12428694752.200001</v>
      </c>
      <c r="E14" s="496">
        <f>IF('Historical DATA'!F5="","",'Historical DATA'!F5)</f>
        <v>229091.41</v>
      </c>
      <c r="F14" s="265">
        <f>IF('Historical DATA'!G5="","",'Historical DATA'!G5)</f>
        <v>5353780.5500000007</v>
      </c>
      <c r="G14" s="255">
        <f>IF('Historical DATA'!H5="","",'Historical DATA'!H5)</f>
        <v>1137.19</v>
      </c>
      <c r="H14" s="266">
        <f>IF('Historical DATA'!I5="","",'Historical DATA'!I5)</f>
        <v>211943.95999999996</v>
      </c>
    </row>
    <row r="15" spans="1:12">
      <c r="B15" s="254">
        <f>IF('Historical DATA'!C6="","",'Historical DATA'!C6)</f>
        <v>45930</v>
      </c>
      <c r="C15" s="255">
        <f>IF('Historical DATA'!D6="","",'Historical DATA'!D6)</f>
        <v>4246326267.73</v>
      </c>
      <c r="D15" s="265">
        <f>IF('Historical DATA'!E6="","",'Historical DATA'!E6)</f>
        <v>12428694752.200001</v>
      </c>
      <c r="E15" s="496">
        <f>IF('Historical DATA'!F6="","",'Historical DATA'!F6)</f>
        <v>414679.66</v>
      </c>
      <c r="F15" s="265">
        <f>IF('Historical DATA'!G6="","",'Historical DATA'!G6)</f>
        <v>5124689.1400000006</v>
      </c>
      <c r="G15" s="255">
        <f>IF('Historical DATA'!H6="","",'Historical DATA'!H6)</f>
        <v>1788.58</v>
      </c>
      <c r="H15" s="266">
        <f>IF('Historical DATA'!I6="","",'Historical DATA'!I6)</f>
        <v>210806.76999999996</v>
      </c>
    </row>
    <row r="16" spans="1:12">
      <c r="B16" s="254">
        <f>IF('Historical DATA'!C7="","",'Historical DATA'!C7)</f>
        <v>45900</v>
      </c>
      <c r="C16" s="255">
        <f>IF('Historical DATA'!D7="","",'Historical DATA'!D7)</f>
        <v>0</v>
      </c>
      <c r="D16" s="265">
        <f>IF('Historical DATA'!E7="","",'Historical DATA'!E7)</f>
        <v>8182368484.4700003</v>
      </c>
      <c r="E16" s="496">
        <f>IF('Historical DATA'!F7="","",'Historical DATA'!F7)</f>
        <v>325275.99</v>
      </c>
      <c r="F16" s="265">
        <f>IF('Historical DATA'!G7="","",'Historical DATA'!G7)</f>
        <v>4710009.4800000004</v>
      </c>
      <c r="G16" s="255">
        <f>IF('Historical DATA'!H7="","",'Historical DATA'!H7)</f>
        <v>2472.34</v>
      </c>
      <c r="H16" s="266">
        <f>IF('Historical DATA'!I7="","",'Historical DATA'!I7)</f>
        <v>209018.18999999997</v>
      </c>
    </row>
    <row r="17" spans="2:8">
      <c r="B17" s="254">
        <f>IF('Historical DATA'!C8="","",'Historical DATA'!C8)</f>
        <v>45869</v>
      </c>
      <c r="C17" s="255">
        <f>IF('Historical DATA'!D8="","",'Historical DATA'!D8)</f>
        <v>0</v>
      </c>
      <c r="D17" s="265">
        <f>IF('Historical DATA'!E8="","",'Historical DATA'!E8)</f>
        <v>8182368484.4700003</v>
      </c>
      <c r="E17" s="496">
        <f>IF('Historical DATA'!F8="","",'Historical DATA'!F8)</f>
        <v>619098.98</v>
      </c>
      <c r="F17" s="265">
        <f>IF('Historical DATA'!G8="","",'Historical DATA'!G8)</f>
        <v>4384733.49</v>
      </c>
      <c r="G17" s="255">
        <f>IF('Historical DATA'!H8="","",'Historical DATA'!H8)</f>
        <v>5836.2100000000009</v>
      </c>
      <c r="H17" s="266">
        <f>IF('Historical DATA'!I8="","",'Historical DATA'!I8)</f>
        <v>206545.84999999998</v>
      </c>
    </row>
    <row r="18" spans="2:8">
      <c r="B18" s="254">
        <f>IF('Historical DATA'!C9="","",'Historical DATA'!C9)</f>
        <v>45838</v>
      </c>
      <c r="C18" s="255">
        <f>IF('Historical DATA'!D9="","",'Historical DATA'!D9)</f>
        <v>0</v>
      </c>
      <c r="D18" s="265">
        <f>IF('Historical DATA'!E9="","",'Historical DATA'!E9)</f>
        <v>8182368484.4700003</v>
      </c>
      <c r="E18" s="496">
        <f>IF('Historical DATA'!F9="","",'Historical DATA'!F9)</f>
        <v>183346.71</v>
      </c>
      <c r="F18" s="265">
        <f>IF('Historical DATA'!G9="","",'Historical DATA'!G9)</f>
        <v>3765634.51</v>
      </c>
      <c r="G18" s="255">
        <f>IF('Historical DATA'!H9="","",'Historical DATA'!H9)</f>
        <v>8765.27</v>
      </c>
      <c r="H18" s="266">
        <f>IF('Historical DATA'!I9="","",'Historical DATA'!I9)</f>
        <v>200709.63999999998</v>
      </c>
    </row>
    <row r="19" spans="2:8">
      <c r="B19" s="254">
        <f>IF('Historical DATA'!C10="","",'Historical DATA'!C10)</f>
        <v>45808</v>
      </c>
      <c r="C19" s="255">
        <f>IF('Historical DATA'!D10="","",'Historical DATA'!D10)</f>
        <v>0</v>
      </c>
      <c r="D19" s="265">
        <f>IF('Historical DATA'!E10="","",'Historical DATA'!E10)</f>
        <v>8182368484.4700003</v>
      </c>
      <c r="E19" s="496">
        <f>IF('Historical DATA'!F10="","",'Historical DATA'!F10)</f>
        <v>723701.24</v>
      </c>
      <c r="F19" s="265">
        <f>IF('Historical DATA'!G10="","",'Historical DATA'!G10)</f>
        <v>3582287.8</v>
      </c>
      <c r="G19" s="255">
        <f>IF('Historical DATA'!H10="","",'Historical DATA'!H10)</f>
        <v>14058.619999999999</v>
      </c>
      <c r="H19" s="266">
        <f>IF('Historical DATA'!I10="","",'Historical DATA'!I10)</f>
        <v>191944.37</v>
      </c>
    </row>
    <row r="20" spans="2:8">
      <c r="B20" s="254">
        <f>IF('Historical DATA'!C11="","",'Historical DATA'!C11)</f>
        <v>45777</v>
      </c>
      <c r="C20" s="255">
        <f>IF('Historical DATA'!D11="","",'Historical DATA'!D11)</f>
        <v>0</v>
      </c>
      <c r="D20" s="265">
        <f>IF('Historical DATA'!E11="","",'Historical DATA'!E11)</f>
        <v>8182368484.4700003</v>
      </c>
      <c r="E20" s="496">
        <f>IF('Historical DATA'!F11="","",'Historical DATA'!F11)</f>
        <v>1236920.96</v>
      </c>
      <c r="F20" s="265">
        <f>IF('Historical DATA'!G11="","",'Historical DATA'!G11)</f>
        <v>2858586.56</v>
      </c>
      <c r="G20" s="255">
        <f>IF('Historical DATA'!H11="","",'Historical DATA'!H11)</f>
        <v>5807.5</v>
      </c>
      <c r="H20" s="266">
        <f>IF('Historical DATA'!I11="","",'Historical DATA'!I11)</f>
        <v>177885.75</v>
      </c>
    </row>
    <row r="21" spans="2:8">
      <c r="B21" s="254">
        <f>IF('Historical DATA'!C12="","",'Historical DATA'!C12)</f>
        <v>45747</v>
      </c>
      <c r="C21" s="255">
        <f>IF('Historical DATA'!D12="","",'Historical DATA'!D12)</f>
        <v>0</v>
      </c>
      <c r="D21" s="265">
        <f>IF('Historical DATA'!E12="","",'Historical DATA'!E12)</f>
        <v>8182368484.4700003</v>
      </c>
      <c r="E21" s="496">
        <f>IF('Historical DATA'!F12="","",'Historical DATA'!F12)</f>
        <v>394532.89</v>
      </c>
      <c r="F21" s="265">
        <f>IF('Historical DATA'!G12="","",'Historical DATA'!G12)</f>
        <v>1621665.6</v>
      </c>
      <c r="G21" s="255">
        <f>IF('Historical DATA'!H12="","",'Historical DATA'!H12)</f>
        <v>115581.97</v>
      </c>
      <c r="H21" s="266">
        <f>IF('Historical DATA'!I12="","",'Historical DATA'!I12)</f>
        <v>172078.25</v>
      </c>
    </row>
    <row r="22" spans="2:8">
      <c r="B22" s="254">
        <f>IF('Historical DATA'!C13="","",'Historical DATA'!C13)</f>
        <v>45716</v>
      </c>
      <c r="C22" s="255">
        <f>IF('Historical DATA'!D13="","",'Historical DATA'!D13)</f>
        <v>0</v>
      </c>
      <c r="D22" s="265">
        <f>IF('Historical DATA'!E13="","",'Historical DATA'!E13)</f>
        <v>8182368484.4700003</v>
      </c>
      <c r="E22" s="496">
        <f>IF('Historical DATA'!F13="","",'Historical DATA'!F13)</f>
        <v>208258.58</v>
      </c>
      <c r="F22" s="265">
        <f>IF('Historical DATA'!G13="","",'Historical DATA'!G13)</f>
        <v>1227132.71</v>
      </c>
      <c r="G22" s="255">
        <f>IF('Historical DATA'!H13="","",'Historical DATA'!H13)</f>
        <v>3590.35</v>
      </c>
      <c r="H22" s="266">
        <f>IF('Historical DATA'!I13="","",'Historical DATA'!I13)</f>
        <v>56496.279999999992</v>
      </c>
    </row>
    <row r="23" spans="2:8">
      <c r="B23" s="254">
        <f>IF('Historical DATA'!C14="","",'Historical DATA'!C14)</f>
        <v>45688</v>
      </c>
      <c r="C23" s="255">
        <f>IF('Historical DATA'!D14="","",'Historical DATA'!D14)</f>
        <v>0</v>
      </c>
      <c r="D23" s="265">
        <f>IF('Historical DATA'!E14="","",'Historical DATA'!E14)</f>
        <v>8182368484.4700003</v>
      </c>
      <c r="E23" s="496">
        <f>IF('Historical DATA'!F14="","",'Historical DATA'!F14)</f>
        <v>411919.03</v>
      </c>
      <c r="F23" s="265">
        <f>IF('Historical DATA'!G14="","",'Historical DATA'!G14)</f>
        <v>1018874.13</v>
      </c>
      <c r="G23" s="255">
        <f>IF('Historical DATA'!H14="","",'Historical DATA'!H14)</f>
        <v>1637.84</v>
      </c>
      <c r="H23" s="266">
        <f>IF('Historical DATA'!I14="","",'Historical DATA'!I14)</f>
        <v>52905.929999999993</v>
      </c>
    </row>
    <row r="24" spans="2:8">
      <c r="B24" s="254">
        <f>IF('Historical DATA'!C15="","",'Historical DATA'!C15)</f>
        <v>45657</v>
      </c>
      <c r="C24" s="255">
        <f>IF('Historical DATA'!D15="","",'Historical DATA'!D15)</f>
        <v>0</v>
      </c>
      <c r="D24" s="265">
        <f>IF('Historical DATA'!E15="","",'Historical DATA'!E15)</f>
        <v>8182368484.4700003</v>
      </c>
      <c r="E24" s="496">
        <f>IF('Historical DATA'!F15="","",'Historical DATA'!F15)</f>
        <v>282412.90999999997</v>
      </c>
      <c r="F24" s="265">
        <f>IF('Historical DATA'!G15="","",'Historical DATA'!G15)</f>
        <v>606955.1</v>
      </c>
      <c r="G24" s="255">
        <f>IF('Historical DATA'!H15="","",'Historical DATA'!H15)</f>
        <v>50914.85</v>
      </c>
      <c r="H24" s="266">
        <f>IF('Historical DATA'!I15="","",'Historical DATA'!I15)</f>
        <v>51268.09</v>
      </c>
    </row>
    <row r="25" spans="2:8">
      <c r="B25" s="254">
        <f>IF('Historical DATA'!C16="","",'Historical DATA'!C16)</f>
        <v>45626</v>
      </c>
      <c r="C25" s="255">
        <f>IF('Historical DATA'!D16="","",'Historical DATA'!D16)</f>
        <v>0</v>
      </c>
      <c r="D25" s="265">
        <f>IF('Historical DATA'!E16="","",'Historical DATA'!E16)</f>
        <v>8182368484.4700003</v>
      </c>
      <c r="E25" s="496">
        <f>IF('Historical DATA'!F16="","",'Historical DATA'!F16)</f>
        <v>259157.33</v>
      </c>
      <c r="F25" s="265">
        <f>IF('Historical DATA'!G16="","",'Historical DATA'!G16)</f>
        <v>324542.19</v>
      </c>
      <c r="G25" s="255">
        <f>IF('Historical DATA'!H16="","",'Historical DATA'!H16)</f>
        <v>-558.57000000000005</v>
      </c>
      <c r="H25" s="266">
        <f>IF('Historical DATA'!I16="","",'Historical DATA'!I16)</f>
        <v>353.2399999999999</v>
      </c>
    </row>
    <row r="26" spans="2:8">
      <c r="B26" s="254">
        <f>IF('Historical DATA'!C17="","",'Historical DATA'!C17)</f>
        <v>45596</v>
      </c>
      <c r="C26" s="255">
        <f>IF('Historical DATA'!D17="","",'Historical DATA'!D17)</f>
        <v>0</v>
      </c>
      <c r="D26" s="265">
        <f>IF('Historical DATA'!E17="","",'Historical DATA'!E17)</f>
        <v>8182368484.4700003</v>
      </c>
      <c r="E26" s="496">
        <f>IF('Historical DATA'!F17="","",'Historical DATA'!F17)</f>
        <v>65384.86</v>
      </c>
      <c r="F26" s="265">
        <f>IF('Historical DATA'!G17="","",'Historical DATA'!G17)</f>
        <v>65384.86</v>
      </c>
      <c r="G26" s="255">
        <f>IF('Historical DATA'!H17="","",'Historical DATA'!H17)</f>
        <v>911.81</v>
      </c>
      <c r="H26" s="266">
        <f>IF('Historical DATA'!I17="","",'Historical DATA'!I17)</f>
        <v>911.81</v>
      </c>
    </row>
    <row r="27" spans="2:8">
      <c r="B27" s="254">
        <f>IF('Historical DATA'!C18="","",'Historical DATA'!C18)</f>
        <v>45565</v>
      </c>
      <c r="C27" s="255">
        <f>IF('Historical DATA'!D18="","",'Historical DATA'!D18)</f>
        <v>8182368484.4700003</v>
      </c>
      <c r="D27" s="265">
        <f>IF('Historical DATA'!E18="","",'Historical DATA'!E18)</f>
        <v>8182368484.4700003</v>
      </c>
      <c r="E27" s="496">
        <f>IF('Historical DATA'!F18="","",'Historical DATA'!F18)</f>
        <v>0</v>
      </c>
      <c r="F27" s="265">
        <f>IF('Historical DATA'!G18="","",'Historical DATA'!G18)</f>
        <v>0</v>
      </c>
      <c r="G27" s="255">
        <f>IF('Historical DATA'!H18="","",'Historical DATA'!H18)</f>
        <v>0</v>
      </c>
      <c r="H27" s="266">
        <f>IF('Historical DATA'!I18="","",'Historical DATA'!I18)</f>
        <v>0</v>
      </c>
    </row>
    <row r="28" spans="2:8">
      <c r="B28" s="254" t="str">
        <f>IF('Historical DATA'!C19="","",'Historical DATA'!C19)</f>
        <v/>
      </c>
      <c r="C28" s="255" t="str">
        <f>IF('Historical DATA'!D19="","",'Historical DATA'!D19)</f>
        <v/>
      </c>
      <c r="D28" s="265" t="str">
        <f>IF('Historical DATA'!E19="","",'Historical DATA'!E19)</f>
        <v/>
      </c>
      <c r="E28" s="496" t="str">
        <f>IF('Historical DATA'!F19="","",'Historical DATA'!F19)</f>
        <v/>
      </c>
      <c r="F28" s="265" t="str">
        <f>IF('Historical DATA'!G19="","",'Historical DATA'!G19)</f>
        <v/>
      </c>
      <c r="G28" s="255" t="str">
        <f>IF('Historical DATA'!H19="","",'Historical DATA'!H19)</f>
        <v/>
      </c>
      <c r="H28" s="266" t="str">
        <f>IF('Historical DATA'!I19="","",'Historical DATA'!I19)</f>
        <v/>
      </c>
    </row>
    <row r="29" spans="2:8">
      <c r="B29" s="254" t="str">
        <f>IF('Historical DATA'!C20="","",'Historical DATA'!C20)</f>
        <v/>
      </c>
      <c r="C29" s="255" t="str">
        <f>IF('Historical DATA'!D20="","",'Historical DATA'!D20)</f>
        <v/>
      </c>
      <c r="D29" s="265" t="str">
        <f>IF('Historical DATA'!E20="","",'Historical DATA'!E20)</f>
        <v/>
      </c>
      <c r="E29" s="496" t="str">
        <f>IF('Historical DATA'!F20="","",'Historical DATA'!F20)</f>
        <v/>
      </c>
      <c r="F29" s="265" t="str">
        <f>IF('Historical DATA'!G20="","",'Historical DATA'!G20)</f>
        <v/>
      </c>
      <c r="G29" s="255" t="str">
        <f>IF('Historical DATA'!H20="","",'Historical DATA'!H20)</f>
        <v/>
      </c>
      <c r="H29" s="266" t="str">
        <f>IF('Historical DATA'!I20="","",'Historical DATA'!I20)</f>
        <v/>
      </c>
    </row>
    <row r="30" spans="2:8">
      <c r="B30" s="254" t="str">
        <f>IF('Historical DATA'!C21="","",'Historical DATA'!C21)</f>
        <v/>
      </c>
      <c r="C30" s="255" t="str">
        <f>IF('Historical DATA'!D21="","",'Historical DATA'!D21)</f>
        <v/>
      </c>
      <c r="D30" s="265" t="str">
        <f>IF('Historical DATA'!E21="","",'Historical DATA'!E21)</f>
        <v/>
      </c>
      <c r="E30" s="496" t="str">
        <f>IF('Historical DATA'!F21="","",'Historical DATA'!F21)</f>
        <v/>
      </c>
      <c r="F30" s="265" t="str">
        <f>IF('Historical DATA'!G21="","",'Historical DATA'!G21)</f>
        <v/>
      </c>
      <c r="G30" s="255" t="str">
        <f>IF('Historical DATA'!H21="","",'Historical DATA'!H21)</f>
        <v/>
      </c>
      <c r="H30" s="266" t="str">
        <f>IF('Historical DATA'!I21="","",'Historical DATA'!I21)</f>
        <v/>
      </c>
    </row>
    <row r="31" spans="2:8">
      <c r="B31" s="254" t="str">
        <f>IF('Historical DATA'!C22="","",'Historical DATA'!C22)</f>
        <v/>
      </c>
      <c r="C31" s="255" t="str">
        <f>IF('Historical DATA'!D22="","",'Historical DATA'!D22)</f>
        <v/>
      </c>
      <c r="D31" s="265" t="str">
        <f>IF('Historical DATA'!E22="","",'Historical DATA'!E22)</f>
        <v/>
      </c>
      <c r="E31" s="496" t="str">
        <f>IF('Historical DATA'!F22="","",'Historical DATA'!F22)</f>
        <v/>
      </c>
      <c r="F31" s="265" t="str">
        <f>IF('Historical DATA'!G22="","",'Historical DATA'!G22)</f>
        <v/>
      </c>
      <c r="G31" s="255" t="str">
        <f>IF('Historical DATA'!H22="","",'Historical DATA'!H22)</f>
        <v/>
      </c>
      <c r="H31" s="266" t="str">
        <f>IF('Historical DATA'!I22="","",'Historical DATA'!I22)</f>
        <v/>
      </c>
    </row>
    <row r="32" spans="2:8">
      <c r="B32" s="254" t="str">
        <f>IF('Historical DATA'!C23="","",'Historical DATA'!C23)</f>
        <v/>
      </c>
      <c r="C32" s="255" t="str">
        <f>IF('Historical DATA'!D23="","",'Historical DATA'!D23)</f>
        <v/>
      </c>
      <c r="D32" s="265" t="str">
        <f>IF('Historical DATA'!E23="","",'Historical DATA'!E23)</f>
        <v/>
      </c>
      <c r="E32" s="496" t="str">
        <f>IF('Historical DATA'!F23="","",'Historical DATA'!F23)</f>
        <v/>
      </c>
      <c r="F32" s="265" t="str">
        <f>IF('Historical DATA'!G23="","",'Historical DATA'!G23)</f>
        <v/>
      </c>
      <c r="G32" s="255" t="str">
        <f>IF('Historical DATA'!H23="","",'Historical DATA'!H23)</f>
        <v/>
      </c>
      <c r="H32" s="266" t="str">
        <f>IF('Historical DATA'!I23="","",'Historical DATA'!I23)</f>
        <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13" t="s">
        <v>99</v>
      </c>
      <c r="G3" s="1213">
        <f>'00 - Cover'!$F$17</f>
        <v>46022</v>
      </c>
    </row>
    <row r="4" spans="1:11" ht="14.45" customHeight="1">
      <c r="A4" s="35"/>
      <c r="B4" s="37"/>
      <c r="C4" s="37"/>
      <c r="D4" s="37"/>
      <c r="E4" s="37"/>
      <c r="F4" s="1213" t="s">
        <v>4</v>
      </c>
      <c r="G4" s="1213">
        <f>'00 - Cover'!$F$19</f>
        <v>46042</v>
      </c>
    </row>
    <row r="5" spans="1:11" ht="14.45" customHeight="1">
      <c r="A5" s="35"/>
      <c r="B5" s="37"/>
      <c r="C5" s="37"/>
      <c r="D5" s="37"/>
      <c r="E5" s="37"/>
      <c r="F5" s="1213" t="s">
        <v>5</v>
      </c>
      <c r="G5" s="1213">
        <f>'00 - Cover'!$F$20</f>
        <v>46049</v>
      </c>
    </row>
    <row r="6" spans="1:11" ht="14.45" customHeight="1">
      <c r="A6" s="35"/>
      <c r="B6" s="37"/>
      <c r="C6" s="37"/>
      <c r="D6" s="37"/>
      <c r="E6" s="37"/>
      <c r="F6" s="37"/>
      <c r="G6" s="37"/>
    </row>
    <row r="7" spans="1:11">
      <c r="A7" s="35"/>
      <c r="B7" s="37"/>
      <c r="C7" s="37"/>
      <c r="D7" s="37"/>
      <c r="E7" s="37"/>
      <c r="F7" s="37"/>
      <c r="G7" s="37"/>
    </row>
    <row r="8" spans="1:11">
      <c r="A8" s="229"/>
    </row>
    <row r="9" spans="1:11" ht="15.75">
      <c r="B9" s="1947" t="s">
        <v>2004</v>
      </c>
      <c r="C9" s="1948"/>
      <c r="D9" s="1948"/>
      <c r="E9" s="1948"/>
      <c r="F9" s="1948"/>
      <c r="G9" s="1948"/>
    </row>
    <row r="10" spans="1:11" ht="15.7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46042</v>
      </c>
      <c r="C12" s="271">
        <f>'11bis - Notes Calculation'!F17</f>
        <v>96320114.010000229</v>
      </c>
      <c r="D12" s="272">
        <f>E12-F12</f>
        <v>103874945.77000016</v>
      </c>
      <c r="E12" s="274">
        <f>'15 - Priority of Payments'!J21</f>
        <v>112142835.83000016</v>
      </c>
      <c r="F12" s="274">
        <f>'15 - Priority of Payments'!J28+'15 - Priority of Payments'!J29+'15 - Priority of Payments'!J30+'15 - Priority of Payments'!J32</f>
        <v>8267890.0599999996</v>
      </c>
      <c r="G12" s="273">
        <f>MAX(C12-D12,0)</f>
        <v>0</v>
      </c>
    </row>
    <row r="13" spans="1:11">
      <c r="A13" s="234"/>
      <c r="B13" s="275">
        <f>IF('Historical DATA'!A4="","",'Historical DATA'!A4)</f>
        <v>46009</v>
      </c>
      <c r="C13" s="276">
        <f>IF('Historical DATA'!J4="","",'Historical DATA'!J4)</f>
        <v>90682449.090000153</v>
      </c>
      <c r="D13" s="277">
        <f>IF('Historical DATA'!K4="","",'Historical DATA'!K4)</f>
        <v>98195782.409999922</v>
      </c>
      <c r="E13" s="279">
        <f>IF('Historical DATA'!L4="","",'Historical DATA'!L4)</f>
        <v>107147331.03999992</v>
      </c>
      <c r="F13" s="279">
        <f>IF('Historical DATA'!M4="","",'Historical DATA'!M4)</f>
        <v>8951548.629999999</v>
      </c>
      <c r="G13" s="278">
        <f>IF('Historical DATA'!N4="","",'Historical DATA'!N4)</f>
        <v>0</v>
      </c>
    </row>
    <row r="14" spans="1:11">
      <c r="A14" s="234"/>
      <c r="B14" s="275">
        <f>IF('Historical DATA'!A5="","",'Historical DATA'!A5)</f>
        <v>45981</v>
      </c>
      <c r="C14" s="276">
        <f>IF('Historical DATA'!J5="","",'Historical DATA'!J5)</f>
        <v>112862034.32999992</v>
      </c>
      <c r="D14" s="277">
        <f>IF('Historical DATA'!K5="","",'Historical DATA'!K5)</f>
        <v>115311123.14000005</v>
      </c>
      <c r="E14" s="279">
        <f>IF('Historical DATA'!L5="","",'Historical DATA'!L5)</f>
        <v>124168301.46000004</v>
      </c>
      <c r="F14" s="279">
        <f>IF('Historical DATA'!M5="","",'Historical DATA'!M5)</f>
        <v>8857178.3200000003</v>
      </c>
      <c r="G14" s="278">
        <f>IF('Historical DATA'!N5="","",'Historical DATA'!N5)</f>
        <v>0</v>
      </c>
      <c r="H14" s="42"/>
    </row>
    <row r="15" spans="1:11">
      <c r="B15" s="275">
        <f>IF('Historical DATA'!A6="","",'Historical DATA'!A6)</f>
        <v>45950</v>
      </c>
      <c r="C15" s="276">
        <f>IF('Historical DATA'!J6="","",'Historical DATA'!J6)</f>
        <v>63104060.460000038</v>
      </c>
      <c r="D15" s="277">
        <f>IF('Historical DATA'!K6="","",'Historical DATA'!K6)</f>
        <v>67730339.120000198</v>
      </c>
      <c r="E15" s="279">
        <f>IF('Historical DATA'!L6="","",'Historical DATA'!L6)</f>
        <v>72988065.030000195</v>
      </c>
      <c r="F15" s="279">
        <f>IF('Historical DATA'!M6="","",'Historical DATA'!M6)</f>
        <v>5257725.91</v>
      </c>
      <c r="G15" s="278">
        <f>IF('Historical DATA'!N6="","",'Historical DATA'!N6)</f>
        <v>0</v>
      </c>
      <c r="K15" s="42"/>
    </row>
    <row r="16" spans="1:11">
      <c r="B16" s="275">
        <f>IF('Historical DATA'!A7="","",'Historical DATA'!A7)</f>
        <v>45922</v>
      </c>
      <c r="C16" s="276">
        <f>IF('Historical DATA'!J7="","",'Historical DATA'!J7)</f>
        <v>70631418.550000191</v>
      </c>
      <c r="D16" s="277">
        <f>IF('Historical DATA'!K7="","",'Historical DATA'!K7)</f>
        <v>74442484.812001273</v>
      </c>
      <c r="E16" s="279">
        <f>IF('Historical DATA'!L7="","",'Historical DATA'!L7)</f>
        <v>80412846.232001275</v>
      </c>
      <c r="F16" s="279">
        <f>IF('Historical DATA'!M7="","",'Historical DATA'!M7)</f>
        <v>5970361.4199999999</v>
      </c>
      <c r="G16" s="278">
        <f>IF('Historical DATA'!N7="","",'Historical DATA'!N7)</f>
        <v>0</v>
      </c>
    </row>
    <row r="17" spans="2:7">
      <c r="B17" s="275">
        <f>IF('Historical DATA'!A8="","",'Historical DATA'!A8)</f>
        <v>45889</v>
      </c>
      <c r="C17" s="276">
        <f>IF('Historical DATA'!J8="","",'Historical DATA'!J8)</f>
        <v>68603195.680001259</v>
      </c>
      <c r="D17" s="277">
        <f>IF('Historical DATA'!K8="","",'Historical DATA'!K8)</f>
        <v>72278019.03320092</v>
      </c>
      <c r="E17" s="279">
        <f>IF('Historical DATA'!L8="","",'Historical DATA'!L8)</f>
        <v>77901731.713200912</v>
      </c>
      <c r="F17" s="279">
        <f>IF('Historical DATA'!M8="","",'Historical DATA'!M8)</f>
        <v>5623712.6799999997</v>
      </c>
      <c r="G17" s="278">
        <f>IF('Historical DATA'!N8="","",'Historical DATA'!N8)</f>
        <v>0</v>
      </c>
    </row>
    <row r="18" spans="2:7">
      <c r="B18" s="275">
        <f>IF('Historical DATA'!A9="","",'Historical DATA'!A9)</f>
        <v>45859</v>
      </c>
      <c r="C18" s="276">
        <f>IF('Historical DATA'!J9="","",'Historical DATA'!J9)</f>
        <v>65171391.290000916</v>
      </c>
      <c r="D18" s="277">
        <f>IF('Historical DATA'!K9="","",'Historical DATA'!K9)</f>
        <v>69614156.09000136</v>
      </c>
      <c r="E18" s="279">
        <f>IF('Historical DATA'!L9="","",'Historical DATA'!L9)</f>
        <v>75484341.880001366</v>
      </c>
      <c r="F18" s="279">
        <f>IF('Historical DATA'!M9="","",'Historical DATA'!M9)</f>
        <v>5870185.79</v>
      </c>
      <c r="G18" s="278">
        <f>IF('Historical DATA'!N9="","",'Historical DATA'!N9)</f>
        <v>0</v>
      </c>
    </row>
    <row r="19" spans="2:7">
      <c r="B19" s="275">
        <f>IF('Historical DATA'!A10="","",'Historical DATA'!A10)</f>
        <v>45828</v>
      </c>
      <c r="C19" s="276">
        <f>IF('Historical DATA'!J10="","",'Historical DATA'!J10)</f>
        <v>65698922.560001373</v>
      </c>
      <c r="D19" s="277">
        <f>IF('Historical DATA'!K10="","",'Historical DATA'!K10)</f>
        <v>70141364.45310156</v>
      </c>
      <c r="E19" s="279">
        <f>IF('Historical DATA'!L10="","",'Historical DATA'!L10)</f>
        <v>75995489.383101568</v>
      </c>
      <c r="F19" s="279">
        <f>IF('Historical DATA'!M10="","",'Historical DATA'!M10)</f>
        <v>5854124.9300000006</v>
      </c>
      <c r="G19" s="278">
        <f>IF('Historical DATA'!N10="","",'Historical DATA'!N10)</f>
        <v>0</v>
      </c>
    </row>
    <row r="20" spans="2:7">
      <c r="B20" s="275">
        <f>IF('Historical DATA'!A11="","",'Historical DATA'!A11)</f>
        <v>45797</v>
      </c>
      <c r="C20" s="276">
        <f>IF('Historical DATA'!J11="","",'Historical DATA'!J11)</f>
        <v>61710577.110001564</v>
      </c>
      <c r="D20" s="277">
        <f>IF('Historical DATA'!K11="","",'Historical DATA'!K11)</f>
        <v>64956218.0900013</v>
      </c>
      <c r="E20" s="279">
        <f>IF('Historical DATA'!L11="","",'Historical DATA'!L11)</f>
        <v>70575142.360001296</v>
      </c>
      <c r="F20" s="279">
        <f>IF('Historical DATA'!M11="","",'Historical DATA'!M11)</f>
        <v>5618924.2699999996</v>
      </c>
      <c r="G20" s="278">
        <f>IF('Historical DATA'!N11="","",'Historical DATA'!N11)</f>
        <v>0</v>
      </c>
    </row>
    <row r="21" spans="2:7">
      <c r="B21" s="275">
        <f>IF('Historical DATA'!A12="","",'Historical DATA'!A12)</f>
        <v>45764</v>
      </c>
      <c r="C21" s="276">
        <f>IF('Historical DATA'!J12="","",'Historical DATA'!J12)</f>
        <v>59257102.390001297</v>
      </c>
      <c r="D21" s="277">
        <f>IF('Historical DATA'!K12="","",'Historical DATA'!K12)</f>
        <v>63181777.970000699</v>
      </c>
      <c r="E21" s="279">
        <f>IF('Historical DATA'!L12="","",'Historical DATA'!L12)</f>
        <v>69263377.490000695</v>
      </c>
      <c r="F21" s="279">
        <f>IF('Historical DATA'!M12="","",'Historical DATA'!M12)</f>
        <v>6081599.5199999996</v>
      </c>
      <c r="G21" s="278">
        <f>IF('Historical DATA'!N12="","",'Historical DATA'!N12)</f>
        <v>0</v>
      </c>
    </row>
    <row r="22" spans="2:7">
      <c r="B22" s="275">
        <f>IF('Historical DATA'!A13="","",'Historical DATA'!A13)</f>
        <v>45736</v>
      </c>
      <c r="C22" s="276">
        <f>IF('Historical DATA'!J13="","",'Historical DATA'!J13)</f>
        <v>60257729.780000687</v>
      </c>
      <c r="D22" s="277">
        <f>IF('Historical DATA'!K13="","",'Historical DATA'!K13)</f>
        <v>64963948.510000482</v>
      </c>
      <c r="E22" s="279">
        <f>IF('Historical DATA'!L13="","",'Historical DATA'!L13)</f>
        <v>70534542.850000486</v>
      </c>
      <c r="F22" s="279">
        <f>IF('Historical DATA'!M13="","",'Historical DATA'!M13)</f>
        <v>5570594.3399999999</v>
      </c>
      <c r="G22" s="278">
        <f>IF('Historical DATA'!N13="","",'Historical DATA'!N13)</f>
        <v>0</v>
      </c>
    </row>
    <row r="23" spans="2:7">
      <c r="B23" s="275">
        <f>IF('Historical DATA'!A14="","",'Historical DATA'!A14)</f>
        <v>45708</v>
      </c>
      <c r="C23" s="276">
        <f>IF('Historical DATA'!J14="","",'Historical DATA'!J14)</f>
        <v>60134211.480000496</v>
      </c>
      <c r="D23" s="277">
        <f>IF('Historical DATA'!K14="","",'Historical DATA'!K14)</f>
        <v>64375085.400000304</v>
      </c>
      <c r="E23" s="279">
        <f>IF('Historical DATA'!L14="","",'Historical DATA'!L14)</f>
        <v>70408226.130000308</v>
      </c>
      <c r="F23" s="279">
        <f>IF('Historical DATA'!M14="","",'Historical DATA'!M14)</f>
        <v>6033140.7300000004</v>
      </c>
      <c r="G23" s="278">
        <f>IF('Historical DATA'!N14="","",'Historical DATA'!N14)</f>
        <v>0</v>
      </c>
    </row>
    <row r="24" spans="2:7">
      <c r="B24" s="275">
        <f>IF('Historical DATA'!A15="","",'Historical DATA'!A15)</f>
        <v>45677</v>
      </c>
      <c r="C24" s="276">
        <f>IF('Historical DATA'!J15="","",'Historical DATA'!J15)</f>
        <v>120447192.68000031</v>
      </c>
      <c r="D24" s="277">
        <f>IF('Historical DATA'!K15="","",'Historical DATA'!K15)</f>
        <v>124639603.96999994</v>
      </c>
      <c r="E24" s="279">
        <f>IF('Historical DATA'!L15="","",'Historical DATA'!L15)</f>
        <v>130762231.67999993</v>
      </c>
      <c r="F24" s="279">
        <f>IF('Historical DATA'!M15="","",'Historical DATA'!M15)</f>
        <v>6122627.71</v>
      </c>
      <c r="G24" s="278">
        <f>IF('Historical DATA'!N15="","",'Historical DATA'!N15)</f>
        <v>0</v>
      </c>
    </row>
    <row r="25" spans="2:7">
      <c r="B25" s="275">
        <f>IF('Historical DATA'!A16="","",'Historical DATA'!A16)</f>
        <v>45644</v>
      </c>
      <c r="C25" s="276">
        <f>IF('Historical DATA'!J16="","",'Historical DATA'!J16)</f>
        <v>58121049.329999924</v>
      </c>
      <c r="D25" s="277">
        <f>IF('Historical DATA'!K16="","",'Historical DATA'!K16)</f>
        <v>62148473.950000137</v>
      </c>
      <c r="E25" s="279">
        <f>IF('Historical DATA'!L16="","",'Historical DATA'!L16)</f>
        <v>68164591.890000135</v>
      </c>
      <c r="F25" s="279">
        <f>IF('Historical DATA'!M16="","",'Historical DATA'!M16)</f>
        <v>6016117.9400000004</v>
      </c>
      <c r="G25" s="278">
        <f>IF('Historical DATA'!N16="","",'Historical DATA'!N16)</f>
        <v>0</v>
      </c>
    </row>
    <row r="26" spans="2:7">
      <c r="B26" s="275">
        <f>IF('Historical DATA'!A17="","",'Historical DATA'!A17)</f>
        <v>45616</v>
      </c>
      <c r="C26" s="276">
        <f>IF('Historical DATA'!J17="","",'Historical DATA'!J17)</f>
        <v>61601068.340000153</v>
      </c>
      <c r="D26" s="277">
        <f>IF('Historical DATA'!K17="","",'Historical DATA'!K17)</f>
        <v>65347050.329999737</v>
      </c>
      <c r="E26" s="279">
        <f>IF('Historical DATA'!L17="","",'Historical DATA'!L17)</f>
        <v>72163327.339999735</v>
      </c>
      <c r="F26" s="279">
        <f>IF('Historical DATA'!M17="","",'Historical DATA'!M17)</f>
        <v>6816277.0100000007</v>
      </c>
      <c r="G26" s="278">
        <f>IF('Historical DATA'!N17="","",'Historical DATA'!N17)</f>
        <v>0</v>
      </c>
    </row>
    <row r="27" spans="2:7">
      <c r="B27" s="275">
        <f>IF('Historical DATA'!A18="","",'Historical DATA'!A18)</f>
        <v>45588</v>
      </c>
      <c r="C27" s="276">
        <f>IF('Historical DATA'!J18="","",'Historical DATA'!J18)</f>
        <v>0</v>
      </c>
      <c r="D27" s="277">
        <f>IF('Historical DATA'!K18="","",'Historical DATA'!K18)</f>
        <v>0</v>
      </c>
      <c r="E27" s="279">
        <f>IF('Historical DATA'!L18="","",'Historical DATA'!L18)</f>
        <v>0</v>
      </c>
      <c r="F27" s="279">
        <f>IF('Historical DATA'!M18="","",'Historical DATA'!M18)</f>
        <v>0</v>
      </c>
      <c r="G27" s="278">
        <f>IF('Historical DATA'!N18="","",'Historical DATA'!N18)</f>
        <v>0</v>
      </c>
    </row>
    <row r="28" spans="2:7">
      <c r="B28" s="275" t="str">
        <f>IF('Historical DATA'!A19="","",'Historical DATA'!A19)</f>
        <v/>
      </c>
      <c r="C28" s="276" t="str">
        <f>IF('Historical DATA'!J19="","",'Historical DATA'!J19)</f>
        <v/>
      </c>
      <c r="D28" s="277" t="str">
        <f>IF('Historical DATA'!K19="","",'Historical DATA'!K19)</f>
        <v/>
      </c>
      <c r="E28" s="279" t="str">
        <f>IF('Historical DATA'!L19="","",'Historical DATA'!L19)</f>
        <v/>
      </c>
      <c r="F28" s="279" t="str">
        <f>IF('Historical DATA'!M19="","",'Historical DATA'!M19)</f>
        <v/>
      </c>
      <c r="G28" s="278" t="str">
        <f>IF('Historical DATA'!N19="","",'Historical DATA'!N19)</f>
        <v/>
      </c>
    </row>
    <row r="29" spans="2:7">
      <c r="B29" s="275" t="str">
        <f>IF('Historical DATA'!A20="","",'Historical DATA'!A20)</f>
        <v/>
      </c>
      <c r="C29" s="276" t="str">
        <f>IF('Historical DATA'!J20="","",'Historical DATA'!J20)</f>
        <v/>
      </c>
      <c r="D29" s="277" t="str">
        <f>IF('Historical DATA'!K20="","",'Historical DATA'!K20)</f>
        <v/>
      </c>
      <c r="E29" s="279" t="str">
        <f>IF('Historical DATA'!L20="","",'Historical DATA'!L20)</f>
        <v/>
      </c>
      <c r="F29" s="279" t="str">
        <f>IF('Historical DATA'!M20="","",'Historical DATA'!M20)</f>
        <v/>
      </c>
      <c r="G29" s="278" t="str">
        <f>IF('Historical DATA'!N20="","",'Historical DATA'!N20)</f>
        <v/>
      </c>
    </row>
    <row r="30" spans="2:7">
      <c r="B30" s="275" t="str">
        <f>IF('Historical DATA'!A21="","",'Historical DATA'!A21)</f>
        <v/>
      </c>
      <c r="C30" s="276" t="str">
        <f>IF('Historical DATA'!J21="","",'Historical DATA'!J21)</f>
        <v/>
      </c>
      <c r="D30" s="277" t="str">
        <f>IF('Historical DATA'!K21="","",'Historical DATA'!K21)</f>
        <v/>
      </c>
      <c r="E30" s="279" t="str">
        <f>IF('Historical DATA'!L21="","",'Historical DATA'!L21)</f>
        <v/>
      </c>
      <c r="F30" s="279" t="str">
        <f>IF('Historical DATA'!M21="","",'Historical DATA'!M21)</f>
        <v/>
      </c>
      <c r="G30" s="278" t="str">
        <f>IF('Historical DATA'!N21="","",'Historical DATA'!N21)</f>
        <v/>
      </c>
    </row>
    <row r="31" spans="2:7">
      <c r="B31" s="275" t="str">
        <f>IF('Historical DATA'!A22="","",'Historical DATA'!A22)</f>
        <v/>
      </c>
      <c r="C31" s="276" t="str">
        <f>IF('Historical DATA'!J22="","",'Historical DATA'!J22)</f>
        <v/>
      </c>
      <c r="D31" s="277" t="str">
        <f>IF('Historical DATA'!K22="","",'Historical DATA'!K22)</f>
        <v/>
      </c>
      <c r="E31" s="279" t="str">
        <f>IF('Historical DATA'!L22="","",'Historical DATA'!L22)</f>
        <v/>
      </c>
      <c r="F31" s="279" t="str">
        <f>IF('Historical DATA'!M22="","",'Historical DATA'!M22)</f>
        <v/>
      </c>
      <c r="G31" s="278" t="str">
        <f>IF('Historical DATA'!N22="","",'Historical DATA'!N22)</f>
        <v/>
      </c>
    </row>
    <row r="32" spans="2:7">
      <c r="B32" s="275" t="str">
        <f>IF('Historical DATA'!A23="","",'Historical DATA'!A23)</f>
        <v/>
      </c>
      <c r="C32" s="276" t="str">
        <f>IF('Historical DATA'!J23="","",'Historical DATA'!J23)</f>
        <v/>
      </c>
      <c r="D32" s="277" t="str">
        <f>IF('Historical DATA'!K23="","",'Historical DATA'!K23)</f>
        <v/>
      </c>
      <c r="E32" s="279" t="str">
        <f>IF('Historical DATA'!L23="","",'Historical DATA'!L23)</f>
        <v/>
      </c>
      <c r="F32" s="279" t="str">
        <f>IF('Historical DATA'!M23="","",'Historical DATA'!M23)</f>
        <v/>
      </c>
      <c r="G32" s="278" t="str">
        <f>IF('Historical DATA'!N23="","",'Historical DATA'!N23)</f>
        <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heetViews>
  <sheetFormatPr defaultColWidth="10.85546875" defaultRowHeight="15"/>
  <cols>
    <col min="1" max="1" width="4.42578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45" customHeight="1">
      <c r="A3" s="35"/>
      <c r="B3" s="37"/>
      <c r="C3" s="1369"/>
      <c r="D3" s="1369"/>
      <c r="E3" s="1493"/>
      <c r="F3" s="1369"/>
      <c r="G3" s="1514"/>
      <c r="H3" s="1369"/>
      <c r="I3" s="1369"/>
      <c r="J3" s="1213" t="s">
        <v>99</v>
      </c>
      <c r="K3" s="1213">
        <f>'00 - Cover'!$F$17</f>
        <v>46022</v>
      </c>
      <c r="M3" s="37"/>
      <c r="N3" s="39"/>
      <c r="O3" s="39"/>
    </row>
    <row r="4" spans="1:15" ht="14.45" hidden="1" customHeight="1">
      <c r="A4" s="35"/>
      <c r="B4" s="37"/>
      <c r="C4" s="1369"/>
      <c r="D4" s="1369"/>
      <c r="E4" s="1493"/>
      <c r="F4" s="1369"/>
      <c r="G4" s="1514"/>
      <c r="H4" s="1369"/>
      <c r="I4" s="1369"/>
      <c r="J4" s="1213" t="s">
        <v>4</v>
      </c>
      <c r="K4" s="1213">
        <f>'00 - Cover'!$F$19</f>
        <v>46042</v>
      </c>
      <c r="M4" s="37"/>
      <c r="N4" s="39"/>
      <c r="O4" s="39"/>
    </row>
    <row r="5" spans="1:15" ht="14.45" hidden="1" customHeight="1">
      <c r="A5" s="35"/>
      <c r="B5" s="37"/>
      <c r="C5" s="1369"/>
      <c r="D5" s="1369"/>
      <c r="E5" s="1493"/>
      <c r="F5" s="1369"/>
      <c r="G5" s="1514"/>
      <c r="H5" s="1369"/>
      <c r="I5" s="1369"/>
      <c r="J5" s="1213" t="s">
        <v>5</v>
      </c>
      <c r="K5" s="1213">
        <f>'00 - Cover'!$F$20</f>
        <v>46049</v>
      </c>
      <c r="M5" s="37"/>
      <c r="N5" s="39"/>
      <c r="O5" s="39"/>
    </row>
    <row r="6" spans="1:15" ht="14.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5" t="s">
        <v>2005</v>
      </c>
      <c r="C9" s="1367"/>
      <c r="D9" s="1368"/>
      <c r="E9" s="1495"/>
      <c r="F9" s="1368"/>
      <c r="G9" s="1516"/>
      <c r="H9" s="1368"/>
      <c r="I9" s="1368"/>
      <c r="J9" s="1368"/>
      <c r="K9" s="233"/>
    </row>
    <row r="10" spans="1:15" ht="15.75" thickBot="1"/>
    <row r="11" spans="1:15" ht="48.75"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46049</v>
      </c>
      <c r="C12" s="1359">
        <f>'11 - Notes Follow-up'!G25+'11 - Notes Follow-up'!O25</f>
        <v>10748510121.440001</v>
      </c>
      <c r="D12" s="1358">
        <v>5.0000000000000001E-3</v>
      </c>
      <c r="E12" s="1519">
        <v>500000</v>
      </c>
      <c r="F12" s="1359" t="str">
        <f>'00 - Cover'!F32</f>
        <v>Yes</v>
      </c>
      <c r="G12" s="1521" t="str">
        <f>'00 - Cover'!F33</f>
        <v>No</v>
      </c>
      <c r="H12" s="1839">
        <f>IF(F12="Yes",ROUNDUP(MAX(C12*D12,E12),-4),0)</f>
        <v>53750000</v>
      </c>
      <c r="I12" s="1359">
        <f>H13</f>
        <v>54210000</v>
      </c>
      <c r="J12" s="1388">
        <f>'13 - Issuer Account'!I35</f>
        <v>54210000</v>
      </c>
      <c r="K12" s="1475">
        <f>H12-J12</f>
        <v>-460000</v>
      </c>
    </row>
    <row r="13" spans="1:15">
      <c r="A13" s="234"/>
      <c r="B13" s="1476">
        <f>IF('Historical DATA'!B4="","",'Historical DATA'!B4)</f>
        <v>46020</v>
      </c>
      <c r="C13" s="1466">
        <f>IF('Historical DATA'!CU4="","",'Historical DATA'!CU4)</f>
        <v>10840013622.68</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54210000</v>
      </c>
      <c r="I13" s="1468">
        <f>IF('Historical DATA'!DA4="","",'Historical DATA'!DA4)</f>
        <v>54640000</v>
      </c>
      <c r="J13" s="1469">
        <f>IF('Historical DATA'!DB4="","",'Historical DATA'!DB4)</f>
        <v>54640000</v>
      </c>
      <c r="K13" s="1477">
        <f>IF('Historical DATA'!DC4="","",'Historical DATA'!DC4)</f>
        <v>-430000</v>
      </c>
    </row>
    <row r="14" spans="1:15">
      <c r="A14" s="234"/>
      <c r="B14" s="1476">
        <f>IF('Historical DATA'!B5="","",'Historical DATA'!B5)</f>
        <v>45988</v>
      </c>
      <c r="C14" s="1466">
        <f>IF('Historical DATA'!CU5="","",'Historical DATA'!CU5)</f>
        <v>10926161354.6</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54640000</v>
      </c>
      <c r="I14" s="1468">
        <f>IF('Historical DATA'!DA5="","",'Historical DATA'!DA5)</f>
        <v>55170000</v>
      </c>
      <c r="J14" s="1469">
        <f>IF('Historical DATA'!DB5="","",'Historical DATA'!DB5)</f>
        <v>55170000</v>
      </c>
      <c r="K14" s="1477">
        <f>IF('Historical DATA'!DC5="","",'Historical DATA'!DC5)</f>
        <v>-530000</v>
      </c>
    </row>
    <row r="15" spans="1:15">
      <c r="B15" s="1476">
        <f>IF('Historical DATA'!B6="","",'Historical DATA'!B6)</f>
        <v>45957</v>
      </c>
      <c r="C15" s="1466">
        <f>IF('Historical DATA'!CU6="","",'Historical DATA'!CU6)</f>
        <v>11033283884.280001</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55170000</v>
      </c>
      <c r="I15" s="1468">
        <f>IF('Historical DATA'!DA6="","",'Historical DATA'!DA6)</f>
        <v>35631660.869999997</v>
      </c>
      <c r="J15" s="1469">
        <f>IF('Historical DATA'!DB6="","",'Historical DATA'!DB6)</f>
        <v>35631660.869999997</v>
      </c>
      <c r="K15" s="1477">
        <f>IF('Historical DATA'!DC6="","",'Historical DATA'!DC6)</f>
        <v>19538339.130000003</v>
      </c>
    </row>
    <row r="16" spans="1:15">
      <c r="B16" s="1476">
        <f>IF('Historical DATA'!B7="","",'Historical DATA'!B7)</f>
        <v>45929</v>
      </c>
      <c r="C16" s="1466">
        <f>IF('Historical DATA'!CU7="","",'Historical DATA'!CU7)</f>
        <v>7126332174.3600006</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35631660.869999997</v>
      </c>
      <c r="I16" s="1468">
        <f>IF('Historical DATA'!DA7="","",'Historical DATA'!DA7)</f>
        <v>35957525.079999998</v>
      </c>
      <c r="J16" s="1469">
        <f>IF('Historical DATA'!DB7="","",'Historical DATA'!DB7)</f>
        <v>35957525.079999998</v>
      </c>
      <c r="K16" s="1477">
        <f>IF('Historical DATA'!DC7="","",'Historical DATA'!DC7)</f>
        <v>-325864.21000000089</v>
      </c>
    </row>
    <row r="17" spans="2:11">
      <c r="B17" s="1476">
        <f>IF('Historical DATA'!B8="","",'Historical DATA'!B8)</f>
        <v>45896</v>
      </c>
      <c r="C17" s="1466">
        <f>IF('Historical DATA'!CU8="","",'Historical DATA'!CU8)</f>
        <v>7191505015.1200008</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35957525.079999998</v>
      </c>
      <c r="I17" s="1468">
        <f>IF('Historical DATA'!DA8="","",'Historical DATA'!DA8)</f>
        <v>36267088.880000003</v>
      </c>
      <c r="J17" s="1469">
        <f>IF('Historical DATA'!DB8="","",'Historical DATA'!DB8)</f>
        <v>36267088.880000003</v>
      </c>
      <c r="K17" s="1477">
        <f>IF('Historical DATA'!DC8="","",'Historical DATA'!DC8)</f>
        <v>-309563.80000000447</v>
      </c>
    </row>
    <row r="18" spans="2:11">
      <c r="B18" s="1476">
        <f>IF('Historical DATA'!B9="","",'Historical DATA'!B9)</f>
        <v>45866</v>
      </c>
      <c r="C18" s="1466">
        <f>IF('Historical DATA'!CU9="","",'Historical DATA'!CU9)</f>
        <v>7253417775.8000011</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36267088.880000003</v>
      </c>
      <c r="I18" s="1468">
        <f>IF('Historical DATA'!DA9="","",'Historical DATA'!DA9)</f>
        <v>36579155.649999999</v>
      </c>
      <c r="J18" s="1469">
        <f>IF('Historical DATA'!DB9="","",'Historical DATA'!DB9)</f>
        <v>36579155.649999999</v>
      </c>
      <c r="K18" s="1477">
        <f>IF('Historical DATA'!DC9="","",'Historical DATA'!DC9)</f>
        <v>-312066.76999999583</v>
      </c>
    </row>
    <row r="19" spans="2:11">
      <c r="B19" s="1476">
        <f>IF('Historical DATA'!B10="","",'Historical DATA'!B10)</f>
        <v>45835</v>
      </c>
      <c r="C19" s="1466">
        <f>IF('Historical DATA'!CU10="","",'Historical DATA'!CU10)</f>
        <v>7315831130.5600014</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36579155.649999999</v>
      </c>
      <c r="I19" s="1468">
        <f>IF('Historical DATA'!DA10="","",'Historical DATA'!DA10)</f>
        <v>36872279.140000001</v>
      </c>
      <c r="J19" s="1469">
        <f>IF('Historical DATA'!DB10="","",'Historical DATA'!DB10)</f>
        <v>36872279.140000001</v>
      </c>
      <c r="K19" s="1477">
        <f>IF('Historical DATA'!DC10="","",'Historical DATA'!DC10)</f>
        <v>-293123.49000000209</v>
      </c>
    </row>
    <row r="20" spans="2:11">
      <c r="B20" s="1476">
        <f>IF('Historical DATA'!B11="","",'Historical DATA'!B11)</f>
        <v>45804</v>
      </c>
      <c r="C20" s="1466">
        <f>IF('Historical DATA'!CU11="","",'Historical DATA'!CU11)</f>
        <v>7374455827.6400013</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36872279.140000001</v>
      </c>
      <c r="I20" s="1468">
        <f>IF('Historical DATA'!DA11="","",'Historical DATA'!DA11)</f>
        <v>37153746.710000001</v>
      </c>
      <c r="J20" s="1469">
        <f>IF('Historical DATA'!DB11="","",'Historical DATA'!DB11)</f>
        <v>37153746.710000001</v>
      </c>
      <c r="K20" s="1477">
        <f>IF('Historical DATA'!DC11="","",'Historical DATA'!DC11)</f>
        <v>-281467.5700000003</v>
      </c>
    </row>
    <row r="21" spans="2:11">
      <c r="B21" s="1476">
        <f>IF('Historical DATA'!B12="","",'Historical DATA'!B12)</f>
        <v>45775</v>
      </c>
      <c r="C21" s="1466">
        <f>IF('Historical DATA'!CU12="","",'Historical DATA'!CU12)</f>
        <v>7430749342.0400009</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37153746.710000001</v>
      </c>
      <c r="I21" s="1468">
        <f>IF('Historical DATA'!DA12="","",'Historical DATA'!DA12)</f>
        <v>37439967.590000004</v>
      </c>
      <c r="J21" s="1469">
        <f>IF('Historical DATA'!DB12="","",'Historical DATA'!DB12)</f>
        <v>37439967.590000004</v>
      </c>
      <c r="K21" s="1477">
        <f>IF('Historical DATA'!DC12="","",'Historical DATA'!DC12)</f>
        <v>-286220.88000000268</v>
      </c>
    </row>
    <row r="22" spans="2:11">
      <c r="B22" s="1476">
        <f>IF('Historical DATA'!B13="","",'Historical DATA'!B13)</f>
        <v>45743</v>
      </c>
      <c r="C22" s="1466">
        <f>IF('Historical DATA'!CU13="","",'Historical DATA'!CU13)</f>
        <v>7487993518.8000011</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37439967.590000004</v>
      </c>
      <c r="I22" s="1468">
        <f>IF('Historical DATA'!DA13="","",'Historical DATA'!DA13)</f>
        <v>37725601.600000001</v>
      </c>
      <c r="J22" s="1469">
        <f>IF('Historical DATA'!DB13="","",'Historical DATA'!DB13)</f>
        <v>37725601.600000001</v>
      </c>
      <c r="K22" s="1477">
        <f>IF('Historical DATA'!DC13="","",'Historical DATA'!DC13)</f>
        <v>-285634.00999999791</v>
      </c>
    </row>
    <row r="23" spans="2:11">
      <c r="B23" s="1476">
        <f>IF('Historical DATA'!B14="","",'Historical DATA'!B14)</f>
        <v>45715</v>
      </c>
      <c r="C23" s="1466">
        <f>IF('Historical DATA'!CU14="","",'Historical DATA'!CU14)</f>
        <v>7545120320.2400007</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37725601.600000001</v>
      </c>
      <c r="I23" s="1468">
        <f>IF('Historical DATA'!DA14="","",'Historical DATA'!DA14)</f>
        <v>38297724.670000002</v>
      </c>
      <c r="J23" s="1469">
        <f>IF('Historical DATA'!DB14="","",'Historical DATA'!DB14)</f>
        <v>38297724.670000002</v>
      </c>
      <c r="K23" s="1477">
        <f>IF('Historical DATA'!DC14="","",'Historical DATA'!DC14)</f>
        <v>-572123.0700000003</v>
      </c>
    </row>
    <row r="24" spans="2:11">
      <c r="B24" s="1476">
        <f>IF('Historical DATA'!B15="","",'Historical DATA'!B15)</f>
        <v>45684</v>
      </c>
      <c r="C24" s="1466">
        <f>IF('Historical DATA'!CU15="","",'Historical DATA'!CU15)</f>
        <v>7659544933.5200005</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38297724.670000002</v>
      </c>
      <c r="I24" s="1468">
        <f>IF('Historical DATA'!DA15="","",'Historical DATA'!DA15)</f>
        <v>38573797.640000001</v>
      </c>
      <c r="J24" s="1469">
        <f>IF('Historical DATA'!DB15="","",'Historical DATA'!DB15)</f>
        <v>38573797.640000001</v>
      </c>
      <c r="K24" s="1477">
        <f>IF('Historical DATA'!DC15="","",'Historical DATA'!DC15)</f>
        <v>-276072.96999999881</v>
      </c>
    </row>
    <row r="25" spans="2:11">
      <c r="B25" s="1476">
        <f>IF('Historical DATA'!B16="","",'Historical DATA'!B16)</f>
        <v>45653</v>
      </c>
      <c r="C25" s="1466">
        <f>IF('Historical DATA'!CU16="","",'Historical DATA'!CU16)</f>
        <v>7714759527.7600002</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38573797.640000001</v>
      </c>
      <c r="I25" s="1468">
        <f>IF('Historical DATA'!DA16="","",'Historical DATA'!DA16)</f>
        <v>38866000</v>
      </c>
      <c r="J25" s="1469">
        <f>IF('Historical DATA'!DB16="","",'Historical DATA'!DB16)</f>
        <v>38866000</v>
      </c>
      <c r="K25" s="1477">
        <f>IF('Historical DATA'!DC16="","",'Historical DATA'!DC16)</f>
        <v>-292202.3599999994</v>
      </c>
    </row>
    <row r="26" spans="2:11">
      <c r="B26" s="1476">
        <f>IF('Historical DATA'!B17="","",'Historical DATA'!B17)</f>
        <v>45623</v>
      </c>
      <c r="C26" s="1466">
        <f>IF('Historical DATA'!CU17="","",'Historical DATA'!CU17)</f>
        <v>7773200000</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38866000</v>
      </c>
      <c r="I26" s="1468">
        <f>IF('Historical DATA'!DA17="","",'Historical DATA'!DA17)</f>
        <v>38866000</v>
      </c>
      <c r="J26" s="1469">
        <f>IF('Historical DATA'!DB17="","",'Historical DATA'!DB17)</f>
        <v>38866000</v>
      </c>
      <c r="K26" s="1477">
        <f>IF('Historical DATA'!DC17="","",'Historical DATA'!DC17)</f>
        <v>0</v>
      </c>
    </row>
    <row r="27" spans="2:11">
      <c r="B27" s="1476">
        <f>IF('Historical DATA'!B18="","",'Historical DATA'!B18)</f>
        <v>45588</v>
      </c>
      <c r="C27" s="1466">
        <f>IF('Historical DATA'!CU18="","",'Historical DATA'!CU18)</f>
        <v>7773200000</v>
      </c>
      <c r="D27" s="1467">
        <f>IF('Historical DATA'!CV18="","",'Historical DATA'!CV18)</f>
        <v>5.0000000000000001E-3</v>
      </c>
      <c r="E27" s="1520">
        <f>IF('Historical DATA'!CW18="","",'Historical DATA'!CW18)</f>
        <v>500000</v>
      </c>
      <c r="F27" s="1468" t="str">
        <f>IF('Historical DATA'!CX18="","",'Historical DATA'!CX18)</f>
        <v>Yes</v>
      </c>
      <c r="G27" s="1518" t="str">
        <f>IF('Historical DATA'!CY18="","",'Historical DATA'!CY18)</f>
        <v>No</v>
      </c>
      <c r="H27" s="1468">
        <f>IF('Historical DATA'!CZ18="","",'Historical DATA'!CZ18)</f>
        <v>38866000</v>
      </c>
      <c r="I27" s="1468">
        <f>IF('Historical DATA'!DA18="","",'Historical DATA'!DA18)</f>
        <v>0</v>
      </c>
      <c r="J27" s="1469">
        <f>IF('Historical DATA'!DB18="","",'Historical DATA'!DB18)</f>
        <v>0</v>
      </c>
      <c r="K27" s="1477">
        <f>IF('Historical DATA'!DC18="","",'Historical DATA'!DC18)</f>
        <v>38866000</v>
      </c>
    </row>
    <row r="28" spans="2:11">
      <c r="B28" s="1476" t="str">
        <f>IF('Historical DATA'!B19="","",'Historical DATA'!B19)</f>
        <v/>
      </c>
      <c r="C28" s="1466" t="str">
        <f>IF('Historical DATA'!CU19="","",'Historical DATA'!CU19)</f>
        <v/>
      </c>
      <c r="D28" s="1467" t="str">
        <f>IF('Historical DATA'!CV19="","",'Historical DATA'!CV19)</f>
        <v/>
      </c>
      <c r="E28" s="1520" t="str">
        <f>IF('Historical DATA'!CW19="","",'Historical DATA'!CW19)</f>
        <v/>
      </c>
      <c r="F28" s="1468" t="str">
        <f>IF('Historical DATA'!CX19="","",'Historical DATA'!CX19)</f>
        <v/>
      </c>
      <c r="G28" s="1518" t="str">
        <f>IF('Historical DATA'!CY19="","",'Historical DATA'!CY19)</f>
        <v/>
      </c>
      <c r="H28" s="1468" t="str">
        <f>IF('Historical DATA'!CZ19="","",'Historical DATA'!CZ19)</f>
        <v/>
      </c>
      <c r="I28" s="1468" t="str">
        <f>IF('Historical DATA'!DA19="","",'Historical DATA'!DA19)</f>
        <v/>
      </c>
      <c r="J28" s="1469" t="str">
        <f>IF('Historical DATA'!DB19="","",'Historical DATA'!DB19)</f>
        <v/>
      </c>
      <c r="K28" s="1477" t="str">
        <f>IF('Historical DATA'!DC19="","",'Historical DATA'!DC19)</f>
        <v/>
      </c>
    </row>
    <row r="29" spans="2:11">
      <c r="B29" s="1476" t="str">
        <f>IF('Historical DATA'!B20="","",'Historical DATA'!B20)</f>
        <v/>
      </c>
      <c r="C29" s="1466" t="str">
        <f>IF('Historical DATA'!CU20="","",'Historical DATA'!CU20)</f>
        <v/>
      </c>
      <c r="D29" s="1467" t="str">
        <f>IF('Historical DATA'!CV20="","",'Historical DATA'!CV20)</f>
        <v/>
      </c>
      <c r="E29" s="1520" t="str">
        <f>IF('Historical DATA'!CW20="","",'Historical DATA'!CW20)</f>
        <v/>
      </c>
      <c r="F29" s="1468" t="str">
        <f>IF('Historical DATA'!CX20="","",'Historical DATA'!CX20)</f>
        <v/>
      </c>
      <c r="G29" s="1518" t="str">
        <f>IF('Historical DATA'!CY20="","",'Historical DATA'!CY20)</f>
        <v/>
      </c>
      <c r="H29" s="1468" t="str">
        <f>IF('Historical DATA'!CZ20="","",'Historical DATA'!CZ20)</f>
        <v/>
      </c>
      <c r="I29" s="1468" t="str">
        <f>IF('Historical DATA'!DA20="","",'Historical DATA'!DA20)</f>
        <v/>
      </c>
      <c r="J29" s="1469" t="str">
        <f>IF('Historical DATA'!DB20="","",'Historical DATA'!DB20)</f>
        <v/>
      </c>
      <c r="K29" s="1477" t="str">
        <f>IF('Historical DATA'!DC20="","",'Historical DATA'!DC20)</f>
        <v/>
      </c>
    </row>
    <row r="30" spans="2:11">
      <c r="B30" s="1476" t="str">
        <f>IF('Historical DATA'!B21="","",'Historical DATA'!B21)</f>
        <v/>
      </c>
      <c r="C30" s="1466" t="str">
        <f>IF('Historical DATA'!CU21="","",'Historical DATA'!CU21)</f>
        <v/>
      </c>
      <c r="D30" s="1467" t="str">
        <f>IF('Historical DATA'!CV21="","",'Historical DATA'!CV21)</f>
        <v/>
      </c>
      <c r="E30" s="1520" t="str">
        <f>IF('Historical DATA'!CW21="","",'Historical DATA'!CW21)</f>
        <v/>
      </c>
      <c r="F30" s="1468" t="str">
        <f>IF('Historical DATA'!CX21="","",'Historical DATA'!CX21)</f>
        <v/>
      </c>
      <c r="G30" s="1518" t="str">
        <f>IF('Historical DATA'!CY21="","",'Historical DATA'!CY21)</f>
        <v/>
      </c>
      <c r="H30" s="1468" t="str">
        <f>IF('Historical DATA'!CZ21="","",'Historical DATA'!CZ21)</f>
        <v/>
      </c>
      <c r="I30" s="1468" t="str">
        <f>IF('Historical DATA'!DA21="","",'Historical DATA'!DA21)</f>
        <v/>
      </c>
      <c r="J30" s="1469" t="str">
        <f>IF('Historical DATA'!DB21="","",'Historical DATA'!DB21)</f>
        <v/>
      </c>
      <c r="K30" s="1477" t="str">
        <f>IF('Historical DATA'!DC21="","",'Historical DATA'!DC21)</f>
        <v/>
      </c>
    </row>
    <row r="31" spans="2:11">
      <c r="B31" s="1476" t="str">
        <f>IF('Historical DATA'!B22="","",'Historical DATA'!B22)</f>
        <v/>
      </c>
      <c r="C31" s="1466" t="str">
        <f>IF('Historical DATA'!CU22="","",'Historical DATA'!CU22)</f>
        <v/>
      </c>
      <c r="D31" s="1467" t="str">
        <f>IF('Historical DATA'!CV22="","",'Historical DATA'!CV22)</f>
        <v/>
      </c>
      <c r="E31" s="1520" t="str">
        <f>IF('Historical DATA'!CW22="","",'Historical DATA'!CW22)</f>
        <v/>
      </c>
      <c r="F31" s="1468" t="str">
        <f>IF('Historical DATA'!CX22="","",'Historical DATA'!CX22)</f>
        <v/>
      </c>
      <c r="G31" s="1518" t="str">
        <f>IF('Historical DATA'!CY22="","",'Historical DATA'!CY22)</f>
        <v/>
      </c>
      <c r="H31" s="1468" t="str">
        <f>IF('Historical DATA'!CZ22="","",'Historical DATA'!CZ22)</f>
        <v/>
      </c>
      <c r="I31" s="1468" t="str">
        <f>IF('Historical DATA'!DA22="","",'Historical DATA'!DA22)</f>
        <v/>
      </c>
      <c r="J31" s="1469" t="str">
        <f>IF('Historical DATA'!DB22="","",'Historical DATA'!DB22)</f>
        <v/>
      </c>
      <c r="K31" s="1477" t="str">
        <f>IF('Historical DATA'!DC22="","",'Historical DATA'!DC22)</f>
        <v/>
      </c>
    </row>
    <row r="32" spans="2:11">
      <c r="B32" s="1476" t="str">
        <f>IF('Historical DATA'!B23="","",'Historical DATA'!B23)</f>
        <v/>
      </c>
      <c r="C32" s="1466" t="str">
        <f>IF('Historical DATA'!CU23="","",'Historical DATA'!CU23)</f>
        <v/>
      </c>
      <c r="D32" s="1467" t="str">
        <f>IF('Historical DATA'!CV23="","",'Historical DATA'!CV23)</f>
        <v/>
      </c>
      <c r="E32" s="1520" t="str">
        <f>IF('Historical DATA'!CW23="","",'Historical DATA'!CW23)</f>
        <v/>
      </c>
      <c r="F32" s="1468" t="str">
        <f>IF('Historical DATA'!CX23="","",'Historical DATA'!CX23)</f>
        <v/>
      </c>
      <c r="G32" s="1518" t="str">
        <f>IF('Historical DATA'!CY23="","",'Historical DATA'!CY23)</f>
        <v/>
      </c>
      <c r="H32" s="1468" t="str">
        <f>IF('Historical DATA'!CZ23="","",'Historical DATA'!CZ23)</f>
        <v/>
      </c>
      <c r="I32" s="1468" t="str">
        <f>IF('Historical DATA'!DA23="","",'Historical DATA'!DA23)</f>
        <v/>
      </c>
      <c r="J32" s="1469" t="str">
        <f>IF('Historical DATA'!DB23="","",'Historical DATA'!DB23)</f>
        <v/>
      </c>
      <c r="K32" s="1477" t="str">
        <f>IF('Historical DATA'!DC23="","",'Historical DATA'!DC23)</f>
        <v/>
      </c>
    </row>
    <row r="33" spans="2:11">
      <c r="B33" s="1476" t="str">
        <f>IF('Historical DATA'!B24="","",'Historical DATA'!B24)</f>
        <v/>
      </c>
      <c r="C33" s="1466" t="str">
        <f>IF('Historical DATA'!CU24="","",'Historical DATA'!CU24)</f>
        <v/>
      </c>
      <c r="D33" s="1467" t="str">
        <f>IF('Historical DATA'!CV24="","",'Historical DATA'!CV24)</f>
        <v/>
      </c>
      <c r="E33" s="1520" t="str">
        <f>IF('Historical DATA'!CW24="","",'Historical DATA'!CW24)</f>
        <v/>
      </c>
      <c r="F33" s="1468" t="str">
        <f>IF('Historical DATA'!CX24="","",'Historical DATA'!CX24)</f>
        <v/>
      </c>
      <c r="G33" s="1518" t="str">
        <f>IF('Historical DATA'!CY24="","",'Historical DATA'!CY24)</f>
        <v/>
      </c>
      <c r="H33" s="1468" t="str">
        <f>IF('Historical DATA'!CZ24="","",'Historical DATA'!CZ24)</f>
        <v/>
      </c>
      <c r="I33" s="1468" t="str">
        <f>IF('Historical DATA'!DA24="","",'Historical DATA'!DA24)</f>
        <v/>
      </c>
      <c r="J33" s="1469" t="str">
        <f>IF('Historical DATA'!DB24="","",'Historical DATA'!DB24)</f>
        <v/>
      </c>
      <c r="K33" s="1477" t="str">
        <f>IF('Historical DATA'!DC24="","",'Historical DATA'!DC24)</f>
        <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zoomScale="85" zoomScaleNormal="85" workbookViewId="0"/>
  </sheetViews>
  <sheetFormatPr defaultColWidth="11.42578125" defaultRowHeight="12.75"/>
  <cols>
    <col min="1" max="1" width="1.85546875" style="280" customWidth="1"/>
    <col min="2" max="2" width="15.85546875" style="317" customWidth="1"/>
    <col min="3" max="3" width="2.85546875" style="280" customWidth="1"/>
    <col min="4" max="4" width="31.28515625" style="280" bestFit="1" customWidth="1"/>
    <col min="5" max="5" width="22.140625" style="280" customWidth="1"/>
    <col min="6" max="6" width="21.28515625" style="280" bestFit="1" customWidth="1"/>
    <col min="7" max="7" width="26.140625" style="280" bestFit="1" customWidth="1"/>
    <col min="8" max="8" width="21.42578125" style="318" customWidth="1"/>
    <col min="9" max="9" width="21.42578125" style="291" customWidth="1"/>
    <col min="10" max="10" width="18.85546875" style="280" customWidth="1"/>
    <col min="11" max="11" width="2.85546875" style="280" customWidth="1"/>
    <col min="12" max="12" width="31.28515625" style="280" bestFit="1" customWidth="1"/>
    <col min="13" max="13" width="20.140625" style="280" bestFit="1" customWidth="1"/>
    <col min="14" max="18" width="18.85546875" style="280" customWidth="1"/>
    <col min="19" max="19" width="2.85546875" style="280" customWidth="1"/>
    <col min="20" max="20" width="31.85546875" style="280" bestFit="1" customWidth="1"/>
    <col min="21" max="21" width="24.42578125" style="280" bestFit="1" customWidth="1"/>
    <col min="22" max="22" width="18.85546875" style="280" customWidth="1"/>
    <col min="23" max="23" width="24.5703125" style="280" bestFit="1" customWidth="1"/>
    <col min="24" max="24" width="21.85546875" style="318" customWidth="1"/>
    <col min="25" max="25" width="18.85546875" style="291" customWidth="1"/>
    <col min="26" max="26" width="2.85546875" style="280" customWidth="1"/>
    <col min="27" max="27" width="25.5703125" style="280" bestFit="1" customWidth="1"/>
    <col min="28" max="32" width="21.140625" style="280" customWidth="1"/>
    <col min="33" max="16384" width="11.42578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46022</v>
      </c>
    </row>
    <row r="5" spans="2:53" ht="16.5" customHeight="1">
      <c r="B5" s="280"/>
      <c r="H5" s="280"/>
      <c r="X5" s="280"/>
      <c r="AE5" s="1213" t="s">
        <v>4</v>
      </c>
      <c r="AF5" s="1213">
        <f>'00 - Cover'!F19</f>
        <v>46042</v>
      </c>
    </row>
    <row r="6" spans="2:53" ht="16.5" customHeight="1">
      <c r="B6" s="280"/>
      <c r="H6" s="280"/>
      <c r="X6" s="280"/>
      <c r="AE6" s="1213" t="s">
        <v>5</v>
      </c>
      <c r="AF6" s="1213">
        <f>'00 - Cover'!F20</f>
        <v>46049</v>
      </c>
    </row>
    <row r="7" spans="2:53" ht="11.25" customHeight="1">
      <c r="B7" s="280"/>
      <c r="H7" s="280"/>
      <c r="X7" s="280"/>
    </row>
    <row r="8" spans="2:53" ht="11.25" customHeight="1">
      <c r="B8" s="280"/>
      <c r="H8" s="280"/>
      <c r="X8" s="280"/>
    </row>
    <row r="9" spans="2:53" ht="14.25" customHeight="1">
      <c r="B9" s="280"/>
      <c r="H9" s="280"/>
      <c r="X9" s="280"/>
    </row>
    <row r="10" spans="2:53" ht="15.75">
      <c r="B10" s="1953" t="s">
        <v>2006</v>
      </c>
      <c r="C10" s="1954"/>
      <c r="D10" s="1954"/>
      <c r="E10" s="1954"/>
      <c r="F10" s="1954"/>
      <c r="G10" s="1954"/>
      <c r="H10" s="1954"/>
      <c r="I10" s="1954"/>
      <c r="J10" s="1954"/>
      <c r="K10" s="1954"/>
      <c r="L10" s="1954"/>
      <c r="M10" s="1954"/>
      <c r="N10" s="1954"/>
      <c r="O10" s="1954"/>
      <c r="P10" s="1954"/>
      <c r="Q10" s="1954"/>
      <c r="R10" s="1954"/>
      <c r="S10" s="1954"/>
      <c r="T10" s="1954"/>
      <c r="U10" s="1954"/>
      <c r="V10" s="1954"/>
      <c r="W10" s="1954"/>
      <c r="X10" s="1954"/>
      <c r="Y10" s="1954"/>
      <c r="Z10" s="1954"/>
      <c r="AA10" s="1954"/>
      <c r="AB10" s="1954"/>
      <c r="AC10" s="1954"/>
      <c r="AD10" s="1954"/>
      <c r="AE10" s="1954"/>
      <c r="AF10" s="1954"/>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0.63437901833373012</v>
      </c>
      <c r="F19" s="281"/>
      <c r="G19" s="292"/>
      <c r="H19" s="281"/>
      <c r="I19" s="292"/>
      <c r="J19" s="281"/>
      <c r="K19" s="281"/>
      <c r="L19" s="290" t="s">
        <v>2054</v>
      </c>
      <c r="M19" s="294">
        <f>1-E19</f>
        <v>0.36562098166626988</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55" t="s">
        <v>5</v>
      </c>
      <c r="C22" s="297"/>
      <c r="D22" s="1958" t="s">
        <v>118</v>
      </c>
      <c r="E22" s="1959"/>
      <c r="F22" s="1959"/>
      <c r="G22" s="1959"/>
      <c r="H22" s="1959"/>
      <c r="I22" s="1959"/>
      <c r="J22" s="1960"/>
      <c r="K22" s="297"/>
      <c r="L22" s="1958" t="s">
        <v>2053</v>
      </c>
      <c r="M22" s="1959"/>
      <c r="N22" s="1959"/>
      <c r="O22" s="1959"/>
      <c r="P22" s="1959"/>
      <c r="Q22" s="1959"/>
      <c r="R22" s="1960"/>
      <c r="S22" s="297"/>
      <c r="T22" s="1961" t="s">
        <v>119</v>
      </c>
      <c r="U22" s="1962"/>
      <c r="V22" s="1962"/>
      <c r="W22" s="1962"/>
      <c r="X22" s="1962"/>
      <c r="Y22" s="1963"/>
      <c r="Z22" s="297"/>
      <c r="AA22" s="1958" t="s">
        <v>130</v>
      </c>
      <c r="AB22" s="1959"/>
      <c r="AC22" s="1959"/>
      <c r="AD22" s="1959"/>
      <c r="AE22" s="1959"/>
      <c r="AF22" s="1960"/>
    </row>
    <row r="23" spans="1:32" ht="25.5" customHeight="1" thickBot="1">
      <c r="B23" s="1956"/>
      <c r="C23" s="298"/>
      <c r="D23" s="1949" t="s">
        <v>131</v>
      </c>
      <c r="E23" s="1949" t="s">
        <v>132</v>
      </c>
      <c r="F23" s="1949" t="s">
        <v>1048</v>
      </c>
      <c r="G23" s="1949" t="s">
        <v>134</v>
      </c>
      <c r="H23" s="1949" t="s">
        <v>135</v>
      </c>
      <c r="I23" s="1964" t="s">
        <v>136</v>
      </c>
      <c r="J23" s="1966" t="s">
        <v>137</v>
      </c>
      <c r="K23" s="298"/>
      <c r="L23" s="1949" t="s">
        <v>131</v>
      </c>
      <c r="M23" s="1949" t="s">
        <v>132</v>
      </c>
      <c r="N23" s="1949" t="s">
        <v>1048</v>
      </c>
      <c r="O23" s="1949" t="s">
        <v>134</v>
      </c>
      <c r="P23" s="1949" t="s">
        <v>135</v>
      </c>
      <c r="Q23" s="1964" t="s">
        <v>136</v>
      </c>
      <c r="R23" s="1966" t="s">
        <v>137</v>
      </c>
      <c r="S23" s="298"/>
      <c r="T23" s="1968" t="s">
        <v>131</v>
      </c>
      <c r="U23" s="1949" t="s">
        <v>132</v>
      </c>
      <c r="V23" s="1949" t="s">
        <v>133</v>
      </c>
      <c r="W23" s="1949" t="s">
        <v>134</v>
      </c>
      <c r="X23" s="1949" t="s">
        <v>138</v>
      </c>
      <c r="Y23" s="1951" t="s">
        <v>137</v>
      </c>
      <c r="Z23" s="298"/>
      <c r="AA23" s="1949" t="s">
        <v>139</v>
      </c>
      <c r="AB23" s="1949" t="s">
        <v>132</v>
      </c>
      <c r="AC23" s="1949" t="s">
        <v>133</v>
      </c>
      <c r="AD23" s="1949" t="s">
        <v>140</v>
      </c>
      <c r="AE23" s="1949" t="s">
        <v>141</v>
      </c>
      <c r="AF23" s="1949" t="s">
        <v>142</v>
      </c>
    </row>
    <row r="24" spans="1:32" ht="25.5" customHeight="1" thickTop="1">
      <c r="B24" s="1957"/>
      <c r="C24" s="298"/>
      <c r="D24" s="1950"/>
      <c r="E24" s="1950"/>
      <c r="F24" s="1950"/>
      <c r="G24" s="1950"/>
      <c r="H24" s="1950"/>
      <c r="I24" s="1965"/>
      <c r="J24" s="1967"/>
      <c r="K24" s="298"/>
      <c r="L24" s="1950"/>
      <c r="M24" s="1950"/>
      <c r="N24" s="1950"/>
      <c r="O24" s="1950"/>
      <c r="P24" s="1950"/>
      <c r="Q24" s="1965"/>
      <c r="R24" s="1967"/>
      <c r="S24" s="298"/>
      <c r="T24" s="1969"/>
      <c r="U24" s="1950"/>
      <c r="V24" s="1950"/>
      <c r="W24" s="1950"/>
      <c r="X24" s="1950"/>
      <c r="Y24" s="1952"/>
      <c r="Z24" s="298"/>
      <c r="AA24" s="1950"/>
      <c r="AB24" s="1950"/>
      <c r="AC24" s="1950"/>
      <c r="AD24" s="1950"/>
      <c r="AE24" s="1950"/>
      <c r="AF24" s="1950"/>
    </row>
    <row r="25" spans="1:32" s="302" customFormat="1" ht="12">
      <c r="A25" s="299">
        <v>22</v>
      </c>
      <c r="B25" s="300">
        <f>'00 - Cover'!F20</f>
        <v>46049</v>
      </c>
      <c r="C25" s="301"/>
      <c r="D25" s="1410">
        <f>G26</f>
        <v>6876677200.6800003</v>
      </c>
      <c r="E25" s="1384">
        <v>0</v>
      </c>
      <c r="F25" s="1410">
        <f>IF('00 - Cover'!F30="Yes",0,'11bis - Notes Calculation'!AD17)</f>
        <v>58047925.640000001</v>
      </c>
      <c r="G25" s="1384">
        <f>D25+E25-F25</f>
        <v>6818629275.04</v>
      </c>
      <c r="H25" s="1522">
        <v>77732</v>
      </c>
      <c r="I25" s="1412">
        <f>F25/H25</f>
        <v>746.77</v>
      </c>
      <c r="J25" s="1411">
        <f>G25/H25</f>
        <v>87719.72</v>
      </c>
      <c r="K25" s="301"/>
      <c r="L25" s="1410">
        <f>O26</f>
        <v>3963336422</v>
      </c>
      <c r="M25" s="1384">
        <v>0</v>
      </c>
      <c r="N25" s="1410">
        <f>IF('00 - Cover'!F30="Yes",0,'11bis - Notes Calculation'!AH17)</f>
        <v>33455575.600000001</v>
      </c>
      <c r="O25" s="1384">
        <f>L25+M25-N25</f>
        <v>3929880846.4000001</v>
      </c>
      <c r="P25" s="1522">
        <v>40340</v>
      </c>
      <c r="Q25" s="1412">
        <f>N25/P25</f>
        <v>829.34</v>
      </c>
      <c r="R25" s="1411">
        <f>O25/P25</f>
        <v>97418.96</v>
      </c>
      <c r="S25" s="301"/>
      <c r="T25" s="1413">
        <f>W26</f>
        <v>570527041.92000008</v>
      </c>
      <c r="U25" s="1384">
        <v>0</v>
      </c>
      <c r="V25" s="1384">
        <f>+'11bis - Notes Calculation'!AM17-'11bis - Notes Calculation'!AR17</f>
        <v>4815993.6000000006</v>
      </c>
      <c r="W25" s="1384">
        <f>T25+U25-V25</f>
        <v>565711048.32000005</v>
      </c>
      <c r="X25" s="1386">
        <v>5808</v>
      </c>
      <c r="Y25" s="1414">
        <f>W25/X25</f>
        <v>97402.040000000008</v>
      </c>
      <c r="Z25" s="298"/>
      <c r="AA25" s="1410">
        <f>AD26</f>
        <v>300</v>
      </c>
      <c r="AB25" s="1384">
        <v>0</v>
      </c>
      <c r="AC25" s="1384">
        <v>0</v>
      </c>
      <c r="AD25" s="1384">
        <f>AA25+AB25-AC25</f>
        <v>300</v>
      </c>
      <c r="AE25" s="1386">
        <v>2</v>
      </c>
      <c r="AF25" s="1411">
        <f>AD25/AE25</f>
        <v>150</v>
      </c>
    </row>
    <row r="26" spans="1:32" s="311" customFormat="1">
      <c r="A26" s="303">
        <f>A25-1</f>
        <v>21</v>
      </c>
      <c r="B26" s="137">
        <f>IF('Historical DATA'!B4="","",'Historical DATA'!B4)</f>
        <v>46020</v>
      </c>
      <c r="C26" s="304"/>
      <c r="D26" s="316">
        <f>IF('Historical DATA'!O4="","",'Historical DATA'!O4)</f>
        <v>6931327460.6000004</v>
      </c>
      <c r="E26" s="307">
        <f>IF('Historical DATA'!P4="","",'Historical DATA'!P4)</f>
        <v>0</v>
      </c>
      <c r="F26" s="307">
        <f>IF('Historical DATA'!Q4="","",'Historical DATA'!Q4)</f>
        <v>54650259.919999994</v>
      </c>
      <c r="G26" s="308">
        <f>IF('Historical DATA'!R4="","",'Historical DATA'!R4)</f>
        <v>6876677200.6800003</v>
      </c>
      <c r="H26" s="309">
        <f>IF('Historical DATA'!S4="","",'Historical DATA'!S4)</f>
        <v>77732</v>
      </c>
      <c r="I26" s="1487">
        <f>IF('Historical DATA'!T4="","",'Historical DATA'!T4)</f>
        <v>703.06</v>
      </c>
      <c r="J26" s="310">
        <f>IF('Historical DATA'!U4="","",'Historical DATA'!U4)</f>
        <v>88466.49</v>
      </c>
      <c r="K26" s="305"/>
      <c r="L26" s="316">
        <f>IF('Historical DATA'!V4="","",'Historical DATA'!V4)</f>
        <v>3994833894</v>
      </c>
      <c r="M26" s="316">
        <f>IF('Historical DATA'!W4="","",'Historical DATA'!W4)</f>
        <v>0</v>
      </c>
      <c r="N26" s="316">
        <f>IF('Historical DATA'!X4="","",'Historical DATA'!X4)</f>
        <v>31497472</v>
      </c>
      <c r="O26" s="308">
        <f>IF('Historical DATA'!Y4="","",'Historical DATA'!Y4)</f>
        <v>3963336422</v>
      </c>
      <c r="P26" s="1851">
        <f>IF('Historical DATA'!Z4="","",'Historical DATA'!Z4)</f>
        <v>40340</v>
      </c>
      <c r="Q26" s="316">
        <f>IF('Historical DATA'!AA4="","",'Historical DATA'!AA4)</f>
        <v>780.8</v>
      </c>
      <c r="R26" s="316">
        <f>IF('Historical DATA'!AB4="","",'Historical DATA'!AB4)</f>
        <v>98248.3</v>
      </c>
      <c r="S26" s="305"/>
      <c r="T26" s="1415">
        <f>IF('Historical DATA'!AC4="","",'Historical DATA'!AC4)</f>
        <v>575061115.20000005</v>
      </c>
      <c r="U26" s="307">
        <f>IF('Historical DATA'!AD4="","",'Historical DATA'!AD4)</f>
        <v>0</v>
      </c>
      <c r="V26" s="307">
        <f>IF('Historical DATA'!AE4="","",'Historical DATA'!AE4)</f>
        <v>4534073.28</v>
      </c>
      <c r="W26" s="308">
        <f>IF('Historical DATA'!AF4="","",'Historical DATA'!AF4)</f>
        <v>570527041.92000008</v>
      </c>
      <c r="X26" s="309">
        <f>IF('Historical DATA'!AG4="","",'Historical DATA'!AG4)</f>
        <v>5808</v>
      </c>
      <c r="Y26" s="1484">
        <f>IF('Historical DATA'!AH4="","",'Historical DATA'!AH4)</f>
        <v>98231.24000000002</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c r="A27" s="312">
        <f>A26-1</f>
        <v>20</v>
      </c>
      <c r="B27" s="137">
        <f>IF('Historical DATA'!B5="","",'Historical DATA'!B5)</f>
        <v>45988</v>
      </c>
      <c r="C27" s="313"/>
      <c r="D27" s="316">
        <f>IF('Historical DATA'!O5="","",'Historical DATA'!O5)</f>
        <v>6999283884.2800007</v>
      </c>
      <c r="E27" s="307">
        <f>IF('Historical DATA'!P5="","",'Historical DATA'!P5)</f>
        <v>0</v>
      </c>
      <c r="F27" s="307">
        <f>IF('Historical DATA'!Q5="","",'Historical DATA'!Q5)</f>
        <v>67956423.680000007</v>
      </c>
      <c r="G27" s="308">
        <f>IF('Historical DATA'!R5="","",'Historical DATA'!R5)</f>
        <v>6931327460.6000004</v>
      </c>
      <c r="H27" s="309">
        <f>IF('Historical DATA'!S5="","",'Historical DATA'!S5)</f>
        <v>77732</v>
      </c>
      <c r="I27" s="1487">
        <f>IF('Historical DATA'!T5="","",'Historical DATA'!T5)</f>
        <v>874.24000000000012</v>
      </c>
      <c r="J27" s="310">
        <f>IF('Historical DATA'!U5="","",'Historical DATA'!U5)</f>
        <v>89169.55</v>
      </c>
      <c r="K27" s="305"/>
      <c r="L27" s="316">
        <f>IF('Historical DATA'!V5="","",'Historical DATA'!V5)</f>
        <v>4034000000</v>
      </c>
      <c r="M27" s="316">
        <f>IF('Historical DATA'!W5="","",'Historical DATA'!W5)</f>
        <v>0</v>
      </c>
      <c r="N27" s="316">
        <f>IF('Historical DATA'!X5="","",'Historical DATA'!X5)</f>
        <v>39166106</v>
      </c>
      <c r="O27" s="308">
        <f>IF('Historical DATA'!Y5="","",'Historical DATA'!Y5)</f>
        <v>3994833894</v>
      </c>
      <c r="P27" s="316">
        <f>IF('Historical DATA'!Z5="","",'Historical DATA'!Z5)</f>
        <v>40340</v>
      </c>
      <c r="Q27" s="316">
        <f>IF('Historical DATA'!AA5="","",'Historical DATA'!AA5)</f>
        <v>970.9</v>
      </c>
      <c r="R27" s="316">
        <f>IF('Historical DATA'!AB5="","",'Historical DATA'!AB5)</f>
        <v>99029.1</v>
      </c>
      <c r="S27" s="305"/>
      <c r="T27" s="1415">
        <f>IF('Historical DATA'!AC5="","",'Historical DATA'!AC5)</f>
        <v>580800000</v>
      </c>
      <c r="U27" s="307">
        <f>IF('Historical DATA'!AD5="","",'Historical DATA'!AD5)</f>
        <v>0</v>
      </c>
      <c r="V27" s="307">
        <f>IF('Historical DATA'!AE5="","",'Historical DATA'!AE5)</f>
        <v>5738884.7999999998</v>
      </c>
      <c r="W27" s="308">
        <f>IF('Historical DATA'!AF5="","",'Historical DATA'!AF5)</f>
        <v>575061115.20000005</v>
      </c>
      <c r="X27" s="309">
        <f>IF('Historical DATA'!AG5="","",'Historical DATA'!AG5)</f>
        <v>5808</v>
      </c>
      <c r="Y27" s="1484">
        <f>IF('Historical DATA'!AH5="","",'Historical DATA'!AH5)</f>
        <v>99011.900000000009</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c r="A28" s="312">
        <f t="shared" ref="A28:A91" si="0">A27-1</f>
        <v>19</v>
      </c>
      <c r="B28" s="137">
        <f>IF('Historical DATA'!B6="","",'Historical DATA'!B6)</f>
        <v>45957</v>
      </c>
      <c r="C28" s="313"/>
      <c r="D28" s="316">
        <f>IF('Historical DATA'!O6="","",'Historical DATA'!O6)</f>
        <v>7059232357.3200006</v>
      </c>
      <c r="E28" s="307">
        <f>IF('Historical DATA'!P6="","",'Historical DATA'!P6)</f>
        <v>0</v>
      </c>
      <c r="F28" s="307">
        <f>IF('Historical DATA'!Q6="","",'Historical DATA'!Q6)</f>
        <v>59948473.039999999</v>
      </c>
      <c r="G28" s="308">
        <f>IF('Historical DATA'!R6="","",'Historical DATA'!R6)</f>
        <v>6999283884.2800007</v>
      </c>
      <c r="H28" s="309">
        <f>IF('Historical DATA'!S6="","",'Historical DATA'!S6)</f>
        <v>77732</v>
      </c>
      <c r="I28" s="1487">
        <f>IF('Historical DATA'!T6="","",'Historical DATA'!T6)</f>
        <v>771.22</v>
      </c>
      <c r="J28" s="310">
        <f>IF('Historical DATA'!U6="","",'Historical DATA'!U6)</f>
        <v>90043.790000000008</v>
      </c>
      <c r="K28" s="305"/>
      <c r="L28" s="316">
        <f>IF('Historical DATA'!V6="","",'Historical DATA'!V6)</f>
        <v>0</v>
      </c>
      <c r="M28" s="316">
        <f>IF('Historical DATA'!W6="","",'Historical DATA'!W6)</f>
        <v>4034000000</v>
      </c>
      <c r="N28" s="316">
        <f>IF('Historical DATA'!X6="","",'Historical DATA'!X6)</f>
        <v>0</v>
      </c>
      <c r="O28" s="308">
        <f>IF('Historical DATA'!Y6="","",'Historical DATA'!Y6)</f>
        <v>4034000000</v>
      </c>
      <c r="P28" s="316">
        <f>IF('Historical DATA'!Z6="","",'Historical DATA'!Z6)</f>
        <v>40340</v>
      </c>
      <c r="Q28" s="316">
        <f>IF('Historical DATA'!AA6="","",'Historical DATA'!AA6)</f>
        <v>0</v>
      </c>
      <c r="R28" s="316">
        <f>IF('Historical DATA'!AB6="","",'Historical DATA'!AB6)</f>
        <v>100000</v>
      </c>
      <c r="S28" s="305"/>
      <c r="T28" s="1415">
        <f>IF('Historical DATA'!AC6="","",'Historical DATA'!AC6)</f>
        <v>371538582.36000001</v>
      </c>
      <c r="U28" s="307">
        <f>IF('Historical DATA'!AD6="","",'Historical DATA'!AD6)</f>
        <v>580800000</v>
      </c>
      <c r="V28" s="307">
        <f>IF('Historical DATA'!AE6="","",'Historical DATA'!AE6)</f>
        <v>371538582.36000001</v>
      </c>
      <c r="W28" s="308">
        <f>IF('Historical DATA'!AF6="","",'Historical DATA'!AF6)</f>
        <v>580800000</v>
      </c>
      <c r="X28" s="309">
        <f>IF('Historical DATA'!AG6="","",'Historical DATA'!AG6)</f>
        <v>5808</v>
      </c>
      <c r="Y28" s="1484">
        <f>IF('Historical DATA'!AH6="","",'Historical DATA'!AH6)</f>
        <v>100000</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c r="A29" s="312">
        <f t="shared" si="0"/>
        <v>18</v>
      </c>
      <c r="B29" s="137">
        <f>IF('Historical DATA'!B7="","",'Historical DATA'!B7)</f>
        <v>45929</v>
      </c>
      <c r="C29" s="313"/>
      <c r="D29" s="316">
        <f>IF('Historical DATA'!O7="","",'Historical DATA'!O7)</f>
        <v>7126332174.3600006</v>
      </c>
      <c r="E29" s="307">
        <f>IF('Historical DATA'!P7="","",'Historical DATA'!P7)</f>
        <v>0</v>
      </c>
      <c r="F29" s="307">
        <f>IF('Historical DATA'!Q7="","",'Historical DATA'!Q7)</f>
        <v>67099817.039999999</v>
      </c>
      <c r="G29" s="308">
        <f>IF('Historical DATA'!R7="","",'Historical DATA'!R7)</f>
        <v>7059232357.3200006</v>
      </c>
      <c r="H29" s="309">
        <f>IF('Historical DATA'!S7="","",'Historical DATA'!S7)</f>
        <v>77732</v>
      </c>
      <c r="I29" s="1487">
        <f>IF('Historical DATA'!T7="","",'Historical DATA'!T7)</f>
        <v>863.22</v>
      </c>
      <c r="J29" s="310">
        <f>IF('Historical DATA'!U7="","",'Historical DATA'!U7)</f>
        <v>90815.010000000009</v>
      </c>
      <c r="K29" s="305"/>
      <c r="L29" s="316" t="str">
        <f>IF('Historical DATA'!V7="","",'Historical DATA'!V7)</f>
        <v/>
      </c>
      <c r="M29" s="316" t="str">
        <f>IF('Historical DATA'!W7="","",'Historical DATA'!W7)</f>
        <v/>
      </c>
      <c r="N29" s="316" t="str">
        <f>IF('Historical DATA'!X7="","",'Historical DATA'!X7)</f>
        <v/>
      </c>
      <c r="O29" s="308" t="str">
        <f>IF('Historical DATA'!Y7="","",'Historical DATA'!Y7)</f>
        <v/>
      </c>
      <c r="P29" s="316" t="str">
        <f>IF('Historical DATA'!Z7="","",'Historical DATA'!Z7)</f>
        <v/>
      </c>
      <c r="Q29" s="316" t="str">
        <f>IF('Historical DATA'!AA7="","",'Historical DATA'!AA7)</f>
        <v/>
      </c>
      <c r="R29" s="316" t="str">
        <f>IF('Historical DATA'!AB7="","",'Historical DATA'!AB7)</f>
        <v/>
      </c>
      <c r="S29" s="305"/>
      <c r="T29" s="1415">
        <f>IF('Historical DATA'!AC7="","",'Historical DATA'!AC7)</f>
        <v>375070142.04000002</v>
      </c>
      <c r="U29" s="307">
        <f>IF('Historical DATA'!AD7="","",'Historical DATA'!AD7)</f>
        <v>0</v>
      </c>
      <c r="V29" s="307">
        <f>IF('Historical DATA'!AE7="","",'Historical DATA'!AE7)</f>
        <v>3531559.6799999997</v>
      </c>
      <c r="W29" s="308">
        <f>IF('Historical DATA'!AF7="","",'Historical DATA'!AF7)</f>
        <v>371538582.36000001</v>
      </c>
      <c r="X29" s="309">
        <f>IF('Historical DATA'!AG7="","",'Historical DATA'!AG7)</f>
        <v>4092</v>
      </c>
      <c r="Y29" s="1484">
        <f>IF('Historical DATA'!AH7="","",'Historical DATA'!AH7)</f>
        <v>90796.33</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c r="A30" s="312">
        <f t="shared" si="0"/>
        <v>17</v>
      </c>
      <c r="B30" s="137">
        <f>IF('Historical DATA'!B8="","",'Historical DATA'!B8)</f>
        <v>45896</v>
      </c>
      <c r="C30" s="304"/>
      <c r="D30" s="316">
        <f>IF('Historical DATA'!O8="","",'Historical DATA'!O8)</f>
        <v>7191505015.1200008</v>
      </c>
      <c r="E30" s="307">
        <f>IF('Historical DATA'!P8="","",'Historical DATA'!P8)</f>
        <v>0</v>
      </c>
      <c r="F30" s="307">
        <f>IF('Historical DATA'!Q8="","",'Historical DATA'!Q8)</f>
        <v>65172840.759999998</v>
      </c>
      <c r="G30" s="308">
        <f>IF('Historical DATA'!R8="","",'Historical DATA'!R8)</f>
        <v>7126332174.3600006</v>
      </c>
      <c r="H30" s="309">
        <f>IF('Historical DATA'!S8="","",'Historical DATA'!S8)</f>
        <v>77732</v>
      </c>
      <c r="I30" s="1487">
        <f>IF('Historical DATA'!T8="","",'Historical DATA'!T8)</f>
        <v>838.43</v>
      </c>
      <c r="J30" s="310">
        <f>IF('Historical DATA'!U8="","",'Historical DATA'!U8)</f>
        <v>91678.23000000001</v>
      </c>
      <c r="K30" s="305"/>
      <c r="L30" s="316" t="str">
        <f>IF('Historical DATA'!V8="","",'Historical DATA'!V8)</f>
        <v/>
      </c>
      <c r="M30" s="316" t="str">
        <f>IF('Historical DATA'!W8="","",'Historical DATA'!W8)</f>
        <v/>
      </c>
      <c r="N30" s="316" t="str">
        <f>IF('Historical DATA'!X8="","",'Historical DATA'!X8)</f>
        <v/>
      </c>
      <c r="O30" s="308" t="str">
        <f>IF('Historical DATA'!Y8="","",'Historical DATA'!Y8)</f>
        <v/>
      </c>
      <c r="P30" s="316" t="str">
        <f>IF('Historical DATA'!Z8="","",'Historical DATA'!Z8)</f>
        <v/>
      </c>
      <c r="Q30" s="316" t="str">
        <f>IF('Historical DATA'!AA8="","",'Historical DATA'!AA8)</f>
        <v/>
      </c>
      <c r="R30" s="316" t="str">
        <f>IF('Historical DATA'!AB8="","",'Historical DATA'!AB8)</f>
        <v/>
      </c>
      <c r="S30" s="305"/>
      <c r="T30" s="1415">
        <f>IF('Historical DATA'!AC8="","",'Historical DATA'!AC8)</f>
        <v>378500261.04000002</v>
      </c>
      <c r="U30" s="307">
        <f>IF('Historical DATA'!AD8="","",'Historical DATA'!AD8)</f>
        <v>0</v>
      </c>
      <c r="V30" s="307">
        <f>IF('Historical DATA'!AE8="","",'Historical DATA'!AE8)</f>
        <v>3430119</v>
      </c>
      <c r="W30" s="308">
        <f>IF('Historical DATA'!AF8="","",'Historical DATA'!AF8)</f>
        <v>375070142.04000002</v>
      </c>
      <c r="X30" s="309">
        <f>IF('Historical DATA'!AG8="","",'Historical DATA'!AG8)</f>
        <v>4092</v>
      </c>
      <c r="Y30" s="1484">
        <f>IF('Historical DATA'!AH8="","",'Historical DATA'!AH8)</f>
        <v>91659.37000000001</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c r="A31" s="312">
        <f t="shared" si="0"/>
        <v>16</v>
      </c>
      <c r="B31" s="137">
        <f>IF('Historical DATA'!B9="","",'Historical DATA'!B9)</f>
        <v>45866</v>
      </c>
      <c r="C31" s="304"/>
      <c r="D31" s="316">
        <f>IF('Historical DATA'!O9="","",'Historical DATA'!O9)</f>
        <v>7253417775.8000011</v>
      </c>
      <c r="E31" s="307">
        <f>IF('Historical DATA'!P9="","",'Historical DATA'!P9)</f>
        <v>0</v>
      </c>
      <c r="F31" s="307">
        <f>IF('Historical DATA'!Q9="","",'Historical DATA'!Q9)</f>
        <v>61912760.68</v>
      </c>
      <c r="G31" s="308">
        <f>IF('Historical DATA'!R9="","",'Historical DATA'!R9)</f>
        <v>7191505015.1200008</v>
      </c>
      <c r="H31" s="309">
        <f>IF('Historical DATA'!S9="","",'Historical DATA'!S9)</f>
        <v>77732</v>
      </c>
      <c r="I31" s="1487">
        <f>IF('Historical DATA'!T9="","",'Historical DATA'!T9)</f>
        <v>796.49</v>
      </c>
      <c r="J31" s="310">
        <f>IF('Historical DATA'!U9="","",'Historical DATA'!U9)</f>
        <v>92516.660000000018</v>
      </c>
      <c r="K31" s="305"/>
      <c r="L31" s="316" t="str">
        <f>IF('Historical DATA'!V9="","",'Historical DATA'!V9)</f>
        <v/>
      </c>
      <c r="M31" s="316" t="str">
        <f>IF('Historical DATA'!W9="","",'Historical DATA'!W9)</f>
        <v/>
      </c>
      <c r="N31" s="316" t="str">
        <f>IF('Historical DATA'!X9="","",'Historical DATA'!X9)</f>
        <v/>
      </c>
      <c r="O31" s="308" t="str">
        <f>IF('Historical DATA'!Y9="","",'Historical DATA'!Y9)</f>
        <v/>
      </c>
      <c r="P31" s="316" t="str">
        <f>IF('Historical DATA'!Z9="","",'Historical DATA'!Z9)</f>
        <v/>
      </c>
      <c r="Q31" s="316" t="str">
        <f>IF('Historical DATA'!AA9="","",'Historical DATA'!AA9)</f>
        <v/>
      </c>
      <c r="R31" s="316" t="str">
        <f>IF('Historical DATA'!AB9="","",'Historical DATA'!AB9)</f>
        <v/>
      </c>
      <c r="S31" s="305"/>
      <c r="T31" s="1415">
        <f>IF('Historical DATA'!AC9="","",'Historical DATA'!AC9)</f>
        <v>381758802.48000002</v>
      </c>
      <c r="U31" s="307">
        <f>IF('Historical DATA'!AD9="","",'Historical DATA'!AD9)</f>
        <v>0</v>
      </c>
      <c r="V31" s="307">
        <f>IF('Historical DATA'!AE9="","",'Historical DATA'!AE9)</f>
        <v>3258541.4400000004</v>
      </c>
      <c r="W31" s="308">
        <f>IF('Historical DATA'!AF9="","",'Historical DATA'!AF9)</f>
        <v>378500261.04000002</v>
      </c>
      <c r="X31" s="309">
        <f>IF('Historical DATA'!AG9="","",'Historical DATA'!AG9)</f>
        <v>4092</v>
      </c>
      <c r="Y31" s="1484">
        <f>IF('Historical DATA'!AH9="","",'Historical DATA'!AH9)</f>
        <v>92497.62000000001</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c r="A32" s="312">
        <f t="shared" si="0"/>
        <v>15</v>
      </c>
      <c r="B32" s="137">
        <f>IF('Historical DATA'!B10="","",'Historical DATA'!B10)</f>
        <v>45835</v>
      </c>
      <c r="C32" s="304"/>
      <c r="D32" s="316">
        <f>IF('Historical DATA'!O10="","",'Historical DATA'!O10)</f>
        <v>7315831130.5600014</v>
      </c>
      <c r="E32" s="307">
        <f>IF('Historical DATA'!P10="","",'Historical DATA'!P10)</f>
        <v>0</v>
      </c>
      <c r="F32" s="307">
        <f>IF('Historical DATA'!Q10="","",'Historical DATA'!Q10)</f>
        <v>62413354.759999998</v>
      </c>
      <c r="G32" s="308">
        <f>IF('Historical DATA'!R10="","",'Historical DATA'!R10)</f>
        <v>7253417775.8000011</v>
      </c>
      <c r="H32" s="309">
        <f>IF('Historical DATA'!S10="","",'Historical DATA'!S10)</f>
        <v>77732</v>
      </c>
      <c r="I32" s="1487">
        <f>IF('Historical DATA'!T10="","",'Historical DATA'!T10)</f>
        <v>802.93</v>
      </c>
      <c r="J32" s="310">
        <f>IF('Historical DATA'!U10="","",'Historical DATA'!U10)</f>
        <v>93313.150000000009</v>
      </c>
      <c r="K32" s="305"/>
      <c r="L32" s="316" t="str">
        <f>IF('Historical DATA'!V10="","",'Historical DATA'!V10)</f>
        <v/>
      </c>
      <c r="M32" s="316" t="str">
        <f>IF('Historical DATA'!W10="","",'Historical DATA'!W10)</f>
        <v/>
      </c>
      <c r="N32" s="316" t="str">
        <f>IF('Historical DATA'!X10="","",'Historical DATA'!X10)</f>
        <v/>
      </c>
      <c r="O32" s="308" t="str">
        <f>IF('Historical DATA'!Y10="","",'Historical DATA'!Y10)</f>
        <v/>
      </c>
      <c r="P32" s="316" t="str">
        <f>IF('Historical DATA'!Z10="","",'Historical DATA'!Z10)</f>
        <v/>
      </c>
      <c r="Q32" s="316" t="str">
        <f>IF('Historical DATA'!AA10="","",'Historical DATA'!AA10)</f>
        <v/>
      </c>
      <c r="R32" s="316" t="str">
        <f>IF('Historical DATA'!AB10="","",'Historical DATA'!AB10)</f>
        <v/>
      </c>
      <c r="S32" s="305"/>
      <c r="T32" s="1415">
        <f>IF('Historical DATA'!AC10="","",'Historical DATA'!AC10)</f>
        <v>385043737.31999999</v>
      </c>
      <c r="U32" s="307">
        <f>IF('Historical DATA'!AD10="","",'Historical DATA'!AD10)</f>
        <v>0</v>
      </c>
      <c r="V32" s="307">
        <f>IF('Historical DATA'!AE10="","",'Historical DATA'!AE10)</f>
        <v>3284934.84</v>
      </c>
      <c r="W32" s="308">
        <f>IF('Historical DATA'!AF10="","",'Historical DATA'!AF10)</f>
        <v>381758802.48000002</v>
      </c>
      <c r="X32" s="309">
        <f>IF('Historical DATA'!AG10="","",'Historical DATA'!AG10)</f>
        <v>4092</v>
      </c>
      <c r="Y32" s="1484">
        <f>IF('Historical DATA'!AH10="","",'Historical DATA'!AH10)</f>
        <v>93293.94</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c r="A33" s="312">
        <f t="shared" si="0"/>
        <v>14</v>
      </c>
      <c r="B33" s="137">
        <f>IF('Historical DATA'!B11="","",'Historical DATA'!B11)</f>
        <v>45804</v>
      </c>
      <c r="C33" s="314"/>
      <c r="D33" s="316">
        <f>IF('Historical DATA'!O11="","",'Historical DATA'!O11)</f>
        <v>7374455827.6400013</v>
      </c>
      <c r="E33" s="307">
        <f>IF('Historical DATA'!P11="","",'Historical DATA'!P11)</f>
        <v>0</v>
      </c>
      <c r="F33" s="307">
        <f>IF('Historical DATA'!Q11="","",'Historical DATA'!Q11)</f>
        <v>58624697.080000006</v>
      </c>
      <c r="G33" s="308">
        <f>IF('Historical DATA'!R11="","",'Historical DATA'!R11)</f>
        <v>7315831130.5600014</v>
      </c>
      <c r="H33" s="309">
        <f>IF('Historical DATA'!S11="","",'Historical DATA'!S11)</f>
        <v>77732</v>
      </c>
      <c r="I33" s="1487">
        <f>IF('Historical DATA'!T11="","",'Historical DATA'!T11)</f>
        <v>754.19</v>
      </c>
      <c r="J33" s="310">
        <f>IF('Historical DATA'!U11="","",'Historical DATA'!U11)</f>
        <v>94116.080000000016</v>
      </c>
      <c r="K33" s="315"/>
      <c r="L33" s="316" t="str">
        <f>IF('Historical DATA'!V11="","",'Historical DATA'!V11)</f>
        <v/>
      </c>
      <c r="M33" s="316" t="str">
        <f>IF('Historical DATA'!W11="","",'Historical DATA'!W11)</f>
        <v/>
      </c>
      <c r="N33" s="316" t="str">
        <f>IF('Historical DATA'!X11="","",'Historical DATA'!X11)</f>
        <v/>
      </c>
      <c r="O33" s="308" t="str">
        <f>IF('Historical DATA'!Y11="","",'Historical DATA'!Y11)</f>
        <v/>
      </c>
      <c r="P33" s="316" t="str">
        <f>IF('Historical DATA'!Z11="","",'Historical DATA'!Z11)</f>
        <v/>
      </c>
      <c r="Q33" s="316" t="str">
        <f>IF('Historical DATA'!AA11="","",'Historical DATA'!AA11)</f>
        <v/>
      </c>
      <c r="R33" s="316" t="str">
        <f>IF('Historical DATA'!AB11="","",'Historical DATA'!AB11)</f>
        <v/>
      </c>
      <c r="S33" s="315"/>
      <c r="T33" s="1415">
        <f>IF('Historical DATA'!AC11="","",'Historical DATA'!AC11)</f>
        <v>388129228.07999998</v>
      </c>
      <c r="U33" s="307">
        <f>IF('Historical DATA'!AD11="","",'Historical DATA'!AD11)</f>
        <v>0</v>
      </c>
      <c r="V33" s="307">
        <f>IF('Historical DATA'!AE11="","",'Historical DATA'!AE11)</f>
        <v>3085490.76</v>
      </c>
      <c r="W33" s="308">
        <f>IF('Historical DATA'!AF11="","",'Historical DATA'!AF11)</f>
        <v>385043737.31999999</v>
      </c>
      <c r="X33" s="309">
        <f>IF('Historical DATA'!AG11="","",'Historical DATA'!AG11)</f>
        <v>4092</v>
      </c>
      <c r="Y33" s="1484">
        <f>IF('Historical DATA'!AH11="","",'Historical DATA'!AH11)</f>
        <v>94096.709999999992</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c r="A34" s="312">
        <f t="shared" si="0"/>
        <v>13</v>
      </c>
      <c r="B34" s="137">
        <f>IF('Historical DATA'!B12="","",'Historical DATA'!B12)</f>
        <v>45775</v>
      </c>
      <c r="C34" s="314"/>
      <c r="D34" s="316">
        <f>IF('Historical DATA'!O12="","",'Historical DATA'!O12)</f>
        <v>7430749342.0400009</v>
      </c>
      <c r="E34" s="307">
        <f>IF('Historical DATA'!P12="","",'Historical DATA'!P12)</f>
        <v>0</v>
      </c>
      <c r="F34" s="307">
        <f>IF('Historical DATA'!Q12="","",'Historical DATA'!Q12)</f>
        <v>56293514.400000006</v>
      </c>
      <c r="G34" s="308">
        <f>IF('Historical DATA'!R12="","",'Historical DATA'!R12)</f>
        <v>7374455827.6400013</v>
      </c>
      <c r="H34" s="309">
        <f>IF('Historical DATA'!S12="","",'Historical DATA'!S12)</f>
        <v>77732</v>
      </c>
      <c r="I34" s="1487">
        <f>IF('Historical DATA'!T12="","",'Historical DATA'!T12)</f>
        <v>724.2</v>
      </c>
      <c r="J34" s="310">
        <f>IF('Historical DATA'!U12="","",'Historical DATA'!U12)</f>
        <v>94870.270000000019</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5">
        <f>IF('Historical DATA'!AC12="","",'Historical DATA'!AC12)</f>
        <v>391092040.68000001</v>
      </c>
      <c r="U34" s="307">
        <f>IF('Historical DATA'!AD12="","",'Historical DATA'!AD12)</f>
        <v>0</v>
      </c>
      <c r="V34" s="307">
        <f>IF('Historical DATA'!AE12="","",'Historical DATA'!AE12)</f>
        <v>2962812.5999999996</v>
      </c>
      <c r="W34" s="308">
        <f>IF('Historical DATA'!AF12="","",'Historical DATA'!AF12)</f>
        <v>388129228.07999998</v>
      </c>
      <c r="X34" s="309">
        <f>IF('Historical DATA'!AG12="","",'Historical DATA'!AG12)</f>
        <v>4092</v>
      </c>
      <c r="Y34" s="1484">
        <f>IF('Historical DATA'!AH12="","",'Historical DATA'!AH12)</f>
        <v>94850.739999999991</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c r="A35" s="312">
        <f t="shared" si="0"/>
        <v>12</v>
      </c>
      <c r="B35" s="137">
        <f>IF('Historical DATA'!B13="","",'Historical DATA'!B13)</f>
        <v>45743</v>
      </c>
      <c r="C35" s="314"/>
      <c r="D35" s="316">
        <f>IF('Historical DATA'!O13="","",'Historical DATA'!O13)</f>
        <v>7487993518.8000011</v>
      </c>
      <c r="E35" s="307">
        <f>IF('Historical DATA'!P13="","",'Historical DATA'!P13)</f>
        <v>0</v>
      </c>
      <c r="F35" s="307">
        <f>IF('Historical DATA'!Q13="","",'Historical DATA'!Q13)</f>
        <v>57244176.759999998</v>
      </c>
      <c r="G35" s="308">
        <f>IF('Historical DATA'!R13="","",'Historical DATA'!R13)</f>
        <v>7430749342.0400009</v>
      </c>
      <c r="H35" s="309">
        <f>IF('Historical DATA'!S13="","",'Historical DATA'!S13)</f>
        <v>77732</v>
      </c>
      <c r="I35" s="1487">
        <f>IF('Historical DATA'!T13="","",'Historical DATA'!T13)</f>
        <v>736.43</v>
      </c>
      <c r="J35" s="310">
        <f>IF('Historical DATA'!U13="","",'Historical DATA'!U13)</f>
        <v>95594.470000000016</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394104898.44</v>
      </c>
      <c r="U35" s="307">
        <f>IF('Historical DATA'!AD13="","",'Historical DATA'!AD13)</f>
        <v>0</v>
      </c>
      <c r="V35" s="307">
        <f>IF('Historical DATA'!AE13="","",'Historical DATA'!AE13)</f>
        <v>3012857.76</v>
      </c>
      <c r="W35" s="308">
        <f>IF('Historical DATA'!AF13="","",'Historical DATA'!AF13)</f>
        <v>391092040.68000001</v>
      </c>
      <c r="X35" s="309">
        <f>IF('Historical DATA'!AG13="","",'Historical DATA'!AG13)</f>
        <v>4092</v>
      </c>
      <c r="Y35" s="1484">
        <f>IF('Historical DATA'!AH13="","",'Historical DATA'!AH13)</f>
        <v>95574.790000000008</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c r="A36" s="312">
        <f t="shared" si="0"/>
        <v>11</v>
      </c>
      <c r="B36" s="137">
        <f>IF('Historical DATA'!B14="","",'Historical DATA'!B14)</f>
        <v>45715</v>
      </c>
      <c r="C36" s="314"/>
      <c r="D36" s="316">
        <f>IF('Historical DATA'!O14="","",'Historical DATA'!O14)</f>
        <v>7545120320.2400007</v>
      </c>
      <c r="E36" s="307">
        <f>IF('Historical DATA'!P14="","",'Historical DATA'!P14)</f>
        <v>0</v>
      </c>
      <c r="F36" s="307">
        <f>IF('Historical DATA'!Q14="","",'Historical DATA'!Q14)</f>
        <v>57126801.439999998</v>
      </c>
      <c r="G36" s="308">
        <f>IF('Historical DATA'!R14="","",'Historical DATA'!R14)</f>
        <v>7487993518.8000011</v>
      </c>
      <c r="H36" s="309">
        <f>IF('Historical DATA'!S14="","",'Historical DATA'!S14)</f>
        <v>77732</v>
      </c>
      <c r="I36" s="1487">
        <f>IF('Historical DATA'!T14="","",'Historical DATA'!T14)</f>
        <v>734.92</v>
      </c>
      <c r="J36" s="310">
        <f>IF('Historical DATA'!U14="","",'Historical DATA'!U14)</f>
        <v>96330.900000000009</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397111618.19999999</v>
      </c>
      <c r="U36" s="307">
        <f>IF('Historical DATA'!AD14="","",'Historical DATA'!AD14)</f>
        <v>0</v>
      </c>
      <c r="V36" s="307">
        <f>IF('Historical DATA'!AE14="","",'Historical DATA'!AE14)</f>
        <v>3006719.76</v>
      </c>
      <c r="W36" s="308">
        <f>IF('Historical DATA'!AF14="","",'Historical DATA'!AF14)</f>
        <v>394104898.44</v>
      </c>
      <c r="X36" s="309">
        <f>IF('Historical DATA'!AG14="","",'Historical DATA'!AG14)</f>
        <v>4092</v>
      </c>
      <c r="Y36" s="1484">
        <f>IF('Historical DATA'!AH14="","",'Historical DATA'!AH14)</f>
        <v>96311.069999999992</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c r="A37" s="312">
        <f t="shared" si="0"/>
        <v>10</v>
      </c>
      <c r="B37" s="137">
        <f>IF('Historical DATA'!B15="","",'Historical DATA'!B15)</f>
        <v>45684</v>
      </c>
      <c r="C37" s="314"/>
      <c r="D37" s="316">
        <f>IF('Historical DATA'!O15="","",'Historical DATA'!O15)</f>
        <v>7659544933.5200005</v>
      </c>
      <c r="E37" s="307">
        <f>IF('Historical DATA'!P15="","",'Historical DATA'!P15)</f>
        <v>0</v>
      </c>
      <c r="F37" s="307">
        <f>IF('Historical DATA'!Q15="","",'Historical DATA'!Q15)</f>
        <v>114424613.28</v>
      </c>
      <c r="G37" s="308">
        <f>IF('Historical DATA'!R15="","",'Historical DATA'!R15)</f>
        <v>7545120320.2400007</v>
      </c>
      <c r="H37" s="309">
        <f>IF('Historical DATA'!S15="","",'Historical DATA'!S15)</f>
        <v>77732</v>
      </c>
      <c r="I37" s="1487">
        <f>IF('Historical DATA'!T15="","",'Historical DATA'!T15)</f>
        <v>1472.04</v>
      </c>
      <c r="J37" s="310">
        <f>IF('Historical DATA'!U15="","",'Historical DATA'!U15)</f>
        <v>97065.82</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403133937.36000001</v>
      </c>
      <c r="U37" s="307">
        <f>IF('Historical DATA'!AD15="","",'Historical DATA'!AD15)</f>
        <v>0</v>
      </c>
      <c r="V37" s="307">
        <f>IF('Historical DATA'!AE15="","",'Historical DATA'!AE15)</f>
        <v>6022319.1600000001</v>
      </c>
      <c r="W37" s="308">
        <f>IF('Historical DATA'!AF15="","",'Historical DATA'!AF15)</f>
        <v>397111618.19999999</v>
      </c>
      <c r="X37" s="309">
        <f>IF('Historical DATA'!AG15="","",'Historical DATA'!AG15)</f>
        <v>4092</v>
      </c>
      <c r="Y37" s="1484">
        <f>IF('Historical DATA'!AH15="","",'Historical DATA'!AH15)</f>
        <v>97045.849999999991</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c r="A38" s="312">
        <f t="shared" si="0"/>
        <v>9</v>
      </c>
      <c r="B38" s="137">
        <f>IF('Historical DATA'!B16="","",'Historical DATA'!B16)</f>
        <v>45653</v>
      </c>
      <c r="C38" s="314"/>
      <c r="D38" s="316">
        <f>IF('Historical DATA'!O16="","",'Historical DATA'!O16)</f>
        <v>7714759527.7600002</v>
      </c>
      <c r="E38" s="307">
        <f>IF('Historical DATA'!P16="","",'Historical DATA'!P16)</f>
        <v>0</v>
      </c>
      <c r="F38" s="307">
        <f>IF('Historical DATA'!Q16="","",'Historical DATA'!Q16)</f>
        <v>55214594.240000002</v>
      </c>
      <c r="G38" s="308">
        <f>IF('Historical DATA'!R16="","",'Historical DATA'!R16)</f>
        <v>7659544933.5200005</v>
      </c>
      <c r="H38" s="309">
        <f>IF('Historical DATA'!S16="","",'Historical DATA'!S16)</f>
        <v>77732</v>
      </c>
      <c r="I38" s="1487">
        <f>IF('Historical DATA'!T16="","",'Historical DATA'!T16)</f>
        <v>710.32</v>
      </c>
      <c r="J38" s="310">
        <f>IF('Historical DATA'!U16="","",'Historical DATA'!U16)</f>
        <v>98537.86</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406039953</v>
      </c>
      <c r="U38" s="307">
        <f>IF('Historical DATA'!AD16="","",'Historical DATA'!AD16)</f>
        <v>0</v>
      </c>
      <c r="V38" s="307">
        <f>IF('Historical DATA'!AE16="","",'Historical DATA'!AE16)</f>
        <v>2906015.6399999997</v>
      </c>
      <c r="W38" s="308">
        <f>IF('Historical DATA'!AF16="","",'Historical DATA'!AF16)</f>
        <v>403133937.36000001</v>
      </c>
      <c r="X38" s="309">
        <f>IF('Historical DATA'!AG16="","",'Historical DATA'!AG16)</f>
        <v>4092</v>
      </c>
      <c r="Y38" s="1484">
        <f>IF('Historical DATA'!AH16="","",'Historical DATA'!AH16)</f>
        <v>98517.58</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c r="A39" s="312">
        <f t="shared" si="0"/>
        <v>8</v>
      </c>
      <c r="B39" s="137">
        <f>IF('Historical DATA'!B17="","",'Historical DATA'!B17)</f>
        <v>45623</v>
      </c>
      <c r="C39" s="314"/>
      <c r="D39" s="316">
        <f>IF('Historical DATA'!O17="","",'Historical DATA'!O17)</f>
        <v>7773200000</v>
      </c>
      <c r="E39" s="307">
        <f>IF('Historical DATA'!P17="","",'Historical DATA'!P17)</f>
        <v>0</v>
      </c>
      <c r="F39" s="307">
        <f>IF('Historical DATA'!Q17="","",'Historical DATA'!Q17)</f>
        <v>58440472.240000002</v>
      </c>
      <c r="G39" s="308">
        <f>IF('Historical DATA'!R17="","",'Historical DATA'!R17)</f>
        <v>7714759527.7600002</v>
      </c>
      <c r="H39" s="309">
        <f>IF('Historical DATA'!S17="","",'Historical DATA'!S17)</f>
        <v>77732</v>
      </c>
      <c r="I39" s="1487">
        <f>IF('Historical DATA'!T17="","",'Historical DATA'!T17)</f>
        <v>751.82</v>
      </c>
      <c r="J39" s="310">
        <f>IF('Historical DATA'!U17="","",'Historical DATA'!U17)</f>
        <v>99248.180000000008</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409200000</v>
      </c>
      <c r="U39" s="307">
        <f>IF('Historical DATA'!AD17="","",'Historical DATA'!AD17)</f>
        <v>0</v>
      </c>
      <c r="V39" s="307">
        <f>IF('Historical DATA'!AE17="","",'Historical DATA'!AE17)</f>
        <v>3160047</v>
      </c>
      <c r="W39" s="308">
        <f>IF('Historical DATA'!AF17="","",'Historical DATA'!AF17)</f>
        <v>406039953</v>
      </c>
      <c r="X39" s="309">
        <f>IF('Historical DATA'!AG17="","",'Historical DATA'!AG17)</f>
        <v>4092</v>
      </c>
      <c r="Y39" s="1484">
        <f>IF('Historical DATA'!AH17="","",'Historical DATA'!AH17)</f>
        <v>99227.75</v>
      </c>
      <c r="Z39" s="315"/>
      <c r="AA39" s="306">
        <f>IF('Historical DATA'!AI17="","",'Historical DATA'!AI17)</f>
        <v>300</v>
      </c>
      <c r="AB39" s="307">
        <f>IF('Historical DATA'!AJ17="","",'Historical DATA'!AJ17)</f>
        <v>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c r="A40" s="312">
        <f t="shared" si="0"/>
        <v>7</v>
      </c>
      <c r="B40" s="137">
        <f>IF('Historical DATA'!B18="","",'Historical DATA'!B18)</f>
        <v>45588</v>
      </c>
      <c r="C40" s="314"/>
      <c r="D40" s="316">
        <f>IF('Historical DATA'!O18="","",'Historical DATA'!O18)</f>
        <v>0</v>
      </c>
      <c r="E40" s="307">
        <f>IF('Historical DATA'!P18="","",'Historical DATA'!P18)</f>
        <v>7773200000</v>
      </c>
      <c r="F40" s="307">
        <f>IF('Historical DATA'!Q18="","",'Historical DATA'!Q18)</f>
        <v>0</v>
      </c>
      <c r="G40" s="308">
        <f>IF('Historical DATA'!R18="","",'Historical DATA'!R18)</f>
        <v>7773200000</v>
      </c>
      <c r="H40" s="309">
        <f>IF('Historical DATA'!S18="","",'Historical DATA'!S18)</f>
        <v>77732</v>
      </c>
      <c r="I40" s="1487">
        <f>IF('Historical DATA'!T18="","",'Historical DATA'!T18)</f>
        <v>0</v>
      </c>
      <c r="J40" s="310">
        <f>IF('Historical DATA'!U18="","",'Historical DATA'!U18)</f>
        <v>100000</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f>IF('Historical DATA'!AC18="","",'Historical DATA'!AC18)</f>
        <v>0</v>
      </c>
      <c r="U40" s="307">
        <f>IF('Historical DATA'!AD18="","",'Historical DATA'!AD18)</f>
        <v>409200000</v>
      </c>
      <c r="V40" s="307">
        <f>IF('Historical DATA'!AE18="","",'Historical DATA'!AE18)</f>
        <v>0</v>
      </c>
      <c r="W40" s="308">
        <f>IF('Historical DATA'!AF18="","",'Historical DATA'!AF18)</f>
        <v>409200000</v>
      </c>
      <c r="X40" s="309">
        <f>IF('Historical DATA'!AG18="","",'Historical DATA'!AG18)</f>
        <v>4092</v>
      </c>
      <c r="Y40" s="1484">
        <f>IF('Historical DATA'!AH18="","",'Historical DATA'!AH18)</f>
        <v>100000</v>
      </c>
      <c r="Z40" s="315"/>
      <c r="AA40" s="306">
        <f>IF('Historical DATA'!AI18="","",'Historical DATA'!AI18)</f>
        <v>0</v>
      </c>
      <c r="AB40" s="307">
        <f>IF('Historical DATA'!AJ18="","",'Historical DATA'!AJ18)</f>
        <v>300</v>
      </c>
      <c r="AC40" s="307">
        <f>IF('Historical DATA'!AK18="","",'Historical DATA'!AK18)</f>
        <v>0</v>
      </c>
      <c r="AD40" s="308">
        <f>IF('Historical DATA'!AL18="","",'Historical DATA'!AL18)</f>
        <v>300</v>
      </c>
      <c r="AE40" s="309">
        <f>IF('Historical DATA'!AM18="","",'Historical DATA'!AM18)</f>
        <v>2</v>
      </c>
      <c r="AF40" s="310">
        <f>IF('Historical DATA'!AN18="","",'Historical DATA'!AN18)</f>
        <v>150</v>
      </c>
    </row>
    <row r="41" spans="1:32" s="311" customFormat="1">
      <c r="A41" s="312">
        <f t="shared" si="0"/>
        <v>6</v>
      </c>
      <c r="B41" s="137" t="str">
        <f>IF('Historical DATA'!B19="","",'Historical DATA'!B19)</f>
        <v/>
      </c>
      <c r="C41" s="314"/>
      <c r="D41" s="316" t="str">
        <f>IF('Historical DATA'!O19="","",'Historical DATA'!O19)</f>
        <v/>
      </c>
      <c r="E41" s="307" t="str">
        <f>IF('Historical DATA'!P19="","",'Historical DATA'!P19)</f>
        <v/>
      </c>
      <c r="F41" s="307" t="str">
        <f>IF('Historical DATA'!Q19="","",'Historical DATA'!Q19)</f>
        <v/>
      </c>
      <c r="G41" s="308" t="str">
        <f>IF('Historical DATA'!R19="","",'Historical DATA'!R19)</f>
        <v/>
      </c>
      <c r="H41" s="309" t="str">
        <f>IF('Historical DATA'!S19="","",'Historical DATA'!S19)</f>
        <v/>
      </c>
      <c r="I41" s="1487" t="str">
        <f>IF('Historical DATA'!T19="","",'Historical DATA'!T19)</f>
        <v/>
      </c>
      <c r="J41" s="310" t="str">
        <f>IF('Historical DATA'!U19="","",'Historical DATA'!U19)</f>
        <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t="str">
        <f>IF('Historical DATA'!AC19="","",'Historical DATA'!AC19)</f>
        <v/>
      </c>
      <c r="U41" s="307" t="str">
        <f>IF('Historical DATA'!AD19="","",'Historical DATA'!AD19)</f>
        <v/>
      </c>
      <c r="V41" s="307" t="str">
        <f>IF('Historical DATA'!AE19="","",'Historical DATA'!AE19)</f>
        <v/>
      </c>
      <c r="W41" s="308" t="str">
        <f>IF('Historical DATA'!AF19="","",'Historical DATA'!AF19)</f>
        <v/>
      </c>
      <c r="X41" s="309" t="str">
        <f>IF('Historical DATA'!AG19="","",'Historical DATA'!AG19)</f>
        <v/>
      </c>
      <c r="Y41" s="1484" t="str">
        <f>IF('Historical DATA'!AH19="","",'Historical DATA'!AH19)</f>
        <v/>
      </c>
      <c r="Z41" s="315"/>
      <c r="AA41" s="306" t="str">
        <f>IF('Historical DATA'!AI19="","",'Historical DATA'!AI19)</f>
        <v/>
      </c>
      <c r="AB41" s="307" t="str">
        <f>IF('Historical DATA'!AJ19="","",'Historical DATA'!AJ19)</f>
        <v/>
      </c>
      <c r="AC41" s="307" t="str">
        <f>IF('Historical DATA'!AK19="","",'Historical DATA'!AK19)</f>
        <v/>
      </c>
      <c r="AD41" s="308" t="str">
        <f>IF('Historical DATA'!AL19="","",'Historical DATA'!AL19)</f>
        <v/>
      </c>
      <c r="AE41" s="309" t="str">
        <f>IF('Historical DATA'!AM19="","",'Historical DATA'!AM19)</f>
        <v/>
      </c>
      <c r="AF41" s="310" t="str">
        <f>IF('Historical DATA'!AN19="","",'Historical DATA'!AN19)</f>
        <v/>
      </c>
    </row>
    <row r="42" spans="1:32" s="311" customFormat="1">
      <c r="A42" s="312">
        <f t="shared" si="0"/>
        <v>5</v>
      </c>
      <c r="B42" s="137" t="str">
        <f>IF('Historical DATA'!B20="","",'Historical DATA'!B20)</f>
        <v/>
      </c>
      <c r="C42" s="314"/>
      <c r="D42" s="316" t="str">
        <f>IF('Historical DATA'!O20="","",'Historical DATA'!O20)</f>
        <v/>
      </c>
      <c r="E42" s="307" t="str">
        <f>IF('Historical DATA'!P20="","",'Historical DATA'!P20)</f>
        <v/>
      </c>
      <c r="F42" s="307" t="str">
        <f>IF('Historical DATA'!Q20="","",'Historical DATA'!Q20)</f>
        <v/>
      </c>
      <c r="G42" s="308" t="str">
        <f>IF('Historical DATA'!R20="","",'Historical DATA'!R20)</f>
        <v/>
      </c>
      <c r="H42" s="309" t="str">
        <f>IF('Historical DATA'!S20="","",'Historical DATA'!S20)</f>
        <v/>
      </c>
      <c r="I42" s="1487" t="str">
        <f>IF('Historical DATA'!T20="","",'Historical DATA'!T20)</f>
        <v/>
      </c>
      <c r="J42" s="310" t="str">
        <f>IF('Historical DATA'!U20="","",'Historical DATA'!U20)</f>
        <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t="str">
        <f>IF('Historical DATA'!AC20="","",'Historical DATA'!AC20)</f>
        <v/>
      </c>
      <c r="U42" s="307" t="str">
        <f>IF('Historical DATA'!AD20="","",'Historical DATA'!AD20)</f>
        <v/>
      </c>
      <c r="V42" s="307" t="str">
        <f>IF('Historical DATA'!AE20="","",'Historical DATA'!AE20)</f>
        <v/>
      </c>
      <c r="W42" s="308" t="str">
        <f>IF('Historical DATA'!AF20="","",'Historical DATA'!AF20)</f>
        <v/>
      </c>
      <c r="X42" s="309" t="str">
        <f>IF('Historical DATA'!AG20="","",'Historical DATA'!AG20)</f>
        <v/>
      </c>
      <c r="Y42" s="1484" t="str">
        <f>IF('Historical DATA'!AH20="","",'Historical DATA'!AH20)</f>
        <v/>
      </c>
      <c r="Z42" s="315"/>
      <c r="AA42" s="306" t="str">
        <f>IF('Historical DATA'!AI20="","",'Historical DATA'!AI20)</f>
        <v/>
      </c>
      <c r="AB42" s="307" t="str">
        <f>IF('Historical DATA'!AJ20="","",'Historical DATA'!AJ20)</f>
        <v/>
      </c>
      <c r="AC42" s="307" t="str">
        <f>IF('Historical DATA'!AK20="","",'Historical DATA'!AK20)</f>
        <v/>
      </c>
      <c r="AD42" s="308" t="str">
        <f>IF('Historical DATA'!AL20="","",'Historical DATA'!AL20)</f>
        <v/>
      </c>
      <c r="AE42" s="309" t="str">
        <f>IF('Historical DATA'!AM20="","",'Historical DATA'!AM20)</f>
        <v/>
      </c>
      <c r="AF42" s="310" t="str">
        <f>IF('Historical DATA'!AN20="","",'Historical DATA'!AN20)</f>
        <v/>
      </c>
    </row>
    <row r="43" spans="1:32" s="311" customFormat="1">
      <c r="A43" s="312">
        <f t="shared" si="0"/>
        <v>4</v>
      </c>
      <c r="B43" s="137" t="str">
        <f>IF('Historical DATA'!B21="","",'Historical DATA'!B21)</f>
        <v/>
      </c>
      <c r="C43" s="314"/>
      <c r="D43" s="316" t="str">
        <f>IF('Historical DATA'!O21="","",'Historical DATA'!O21)</f>
        <v/>
      </c>
      <c r="E43" s="307" t="str">
        <f>IF('Historical DATA'!P21="","",'Historical DATA'!P21)</f>
        <v/>
      </c>
      <c r="F43" s="307" t="str">
        <f>IF('Historical DATA'!Q21="","",'Historical DATA'!Q21)</f>
        <v/>
      </c>
      <c r="G43" s="308" t="str">
        <f>IF('Historical DATA'!R21="","",'Historical DATA'!R21)</f>
        <v/>
      </c>
      <c r="H43" s="309" t="str">
        <f>IF('Historical DATA'!S21="","",'Historical DATA'!S21)</f>
        <v/>
      </c>
      <c r="I43" s="1487" t="str">
        <f>IF('Historical DATA'!T21="","",'Historical DATA'!T21)</f>
        <v/>
      </c>
      <c r="J43" s="310" t="str">
        <f>IF('Historical DATA'!U21="","",'Historical DATA'!U21)</f>
        <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t="str">
        <f>IF('Historical DATA'!AC21="","",'Historical DATA'!AC21)</f>
        <v/>
      </c>
      <c r="U43" s="307" t="str">
        <f>IF('Historical DATA'!AD21="","",'Historical DATA'!AD21)</f>
        <v/>
      </c>
      <c r="V43" s="307" t="str">
        <f>IF('Historical DATA'!AE21="","",'Historical DATA'!AE21)</f>
        <v/>
      </c>
      <c r="W43" s="308" t="str">
        <f>IF('Historical DATA'!AF21="","",'Historical DATA'!AF21)</f>
        <v/>
      </c>
      <c r="X43" s="309" t="str">
        <f>IF('Historical DATA'!AG21="","",'Historical DATA'!AG21)</f>
        <v/>
      </c>
      <c r="Y43" s="1484" t="str">
        <f>IF('Historical DATA'!AH21="","",'Historical DATA'!AH21)</f>
        <v/>
      </c>
      <c r="Z43" s="315"/>
      <c r="AA43" s="306" t="str">
        <f>IF('Historical DATA'!AI21="","",'Historical DATA'!AI21)</f>
        <v/>
      </c>
      <c r="AB43" s="307" t="str">
        <f>IF('Historical DATA'!AJ21="","",'Historical DATA'!AJ21)</f>
        <v/>
      </c>
      <c r="AC43" s="307" t="str">
        <f>IF('Historical DATA'!AK21="","",'Historical DATA'!AK21)</f>
        <v/>
      </c>
      <c r="AD43" s="308" t="str">
        <f>IF('Historical DATA'!AL21="","",'Historical DATA'!AL21)</f>
        <v/>
      </c>
      <c r="AE43" s="309" t="str">
        <f>IF('Historical DATA'!AM21="","",'Historical DATA'!AM21)</f>
        <v/>
      </c>
      <c r="AF43" s="310" t="str">
        <f>IF('Historical DATA'!AN21="","",'Historical DATA'!AN21)</f>
        <v/>
      </c>
    </row>
    <row r="44" spans="1:32" s="311" customFormat="1">
      <c r="A44" s="312">
        <f t="shared" si="0"/>
        <v>3</v>
      </c>
      <c r="B44" s="137" t="str">
        <f>IF('Historical DATA'!B22="","",'Historical DATA'!B22)</f>
        <v/>
      </c>
      <c r="C44" s="314"/>
      <c r="D44" s="316" t="str">
        <f>IF('Historical DATA'!O22="","",'Historical DATA'!O22)</f>
        <v/>
      </c>
      <c r="E44" s="307" t="str">
        <f>IF('Historical DATA'!P22="","",'Historical DATA'!P22)</f>
        <v/>
      </c>
      <c r="F44" s="307" t="str">
        <f>IF('Historical DATA'!Q22="","",'Historical DATA'!Q22)</f>
        <v/>
      </c>
      <c r="G44" s="308" t="str">
        <f>IF('Historical DATA'!R22="","",'Historical DATA'!R22)</f>
        <v/>
      </c>
      <c r="H44" s="309" t="str">
        <f>IF('Historical DATA'!S22="","",'Historical DATA'!S22)</f>
        <v/>
      </c>
      <c r="I44" s="1487" t="str">
        <f>IF('Historical DATA'!T22="","",'Historical DATA'!T22)</f>
        <v/>
      </c>
      <c r="J44" s="310" t="str">
        <f>IF('Historical DATA'!U22="","",'Historical DATA'!U22)</f>
        <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t="str">
        <f>IF('Historical DATA'!AC22="","",'Historical DATA'!AC22)</f>
        <v/>
      </c>
      <c r="U44" s="307" t="str">
        <f>IF('Historical DATA'!AD22="","",'Historical DATA'!AD22)</f>
        <v/>
      </c>
      <c r="V44" s="307" t="str">
        <f>IF('Historical DATA'!AE22="","",'Historical DATA'!AE22)</f>
        <v/>
      </c>
      <c r="W44" s="308" t="str">
        <f>IF('Historical DATA'!AF22="","",'Historical DATA'!AF22)</f>
        <v/>
      </c>
      <c r="X44" s="309" t="str">
        <f>IF('Historical DATA'!AG22="","",'Historical DATA'!AG22)</f>
        <v/>
      </c>
      <c r="Y44" s="1484" t="str">
        <f>IF('Historical DATA'!AH22="","",'Historical DATA'!AH22)</f>
        <v/>
      </c>
      <c r="Z44" s="315"/>
      <c r="AA44" s="306" t="str">
        <f>IF('Historical DATA'!AI22="","",'Historical DATA'!AI22)</f>
        <v/>
      </c>
      <c r="AB44" s="307" t="str">
        <f>IF('Historical DATA'!AJ22="","",'Historical DATA'!AJ22)</f>
        <v/>
      </c>
      <c r="AC44" s="307" t="str">
        <f>IF('Historical DATA'!AK22="","",'Historical DATA'!AK22)</f>
        <v/>
      </c>
      <c r="AD44" s="308" t="str">
        <f>IF('Historical DATA'!AL22="","",'Historical DATA'!AL22)</f>
        <v/>
      </c>
      <c r="AE44" s="309" t="str">
        <f>IF('Historical DATA'!AM22="","",'Historical DATA'!AM22)</f>
        <v/>
      </c>
      <c r="AF44" s="310" t="str">
        <f>IF('Historical DATA'!AN22="","",'Historical DATA'!AN22)</f>
        <v/>
      </c>
    </row>
    <row r="45" spans="1:32" s="296" customFormat="1">
      <c r="A45" s="312">
        <f t="shared" si="0"/>
        <v>2</v>
      </c>
      <c r="B45" s="137" t="str">
        <f>IF('Historical DATA'!B23="","",'Historical DATA'!B23)</f>
        <v/>
      </c>
      <c r="C45" s="314"/>
      <c r="D45" s="316" t="str">
        <f>IF('Historical DATA'!O23="","",'Historical DATA'!O23)</f>
        <v/>
      </c>
      <c r="E45" s="307" t="str">
        <f>IF('Historical DATA'!P23="","",'Historical DATA'!P23)</f>
        <v/>
      </c>
      <c r="F45" s="307" t="str">
        <f>IF('Historical DATA'!Q23="","",'Historical DATA'!Q23)</f>
        <v/>
      </c>
      <c r="G45" s="308" t="str">
        <f>IF('Historical DATA'!R23="","",'Historical DATA'!R23)</f>
        <v/>
      </c>
      <c r="H45" s="309" t="str">
        <f>IF('Historical DATA'!S23="","",'Historical DATA'!S23)</f>
        <v/>
      </c>
      <c r="I45" s="1487" t="str">
        <f>IF('Historical DATA'!T23="","",'Historical DATA'!T23)</f>
        <v/>
      </c>
      <c r="J45" s="310" t="str">
        <f>IF('Historical DATA'!U23="","",'Historical DATA'!U23)</f>
        <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t="str">
        <f>IF('Historical DATA'!AC23="","",'Historical DATA'!AC23)</f>
        <v/>
      </c>
      <c r="U45" s="307" t="str">
        <f>IF('Historical DATA'!AD23="","",'Historical DATA'!AD23)</f>
        <v/>
      </c>
      <c r="V45" s="307" t="str">
        <f>IF('Historical DATA'!AE23="","",'Historical DATA'!AE23)</f>
        <v/>
      </c>
      <c r="W45" s="308" t="str">
        <f>IF('Historical DATA'!AF23="","",'Historical DATA'!AF23)</f>
        <v/>
      </c>
      <c r="X45" s="309" t="str">
        <f>IF('Historical DATA'!AG23="","",'Historical DATA'!AG23)</f>
        <v/>
      </c>
      <c r="Y45" s="1484" t="str">
        <f>IF('Historical DATA'!AH23="","",'Historical DATA'!AH23)</f>
        <v/>
      </c>
      <c r="Z45" s="315"/>
      <c r="AA45" s="306" t="str">
        <f>IF('Historical DATA'!AI23="","",'Historical DATA'!AI23)</f>
        <v/>
      </c>
      <c r="AB45" s="307" t="str">
        <f>IF('Historical DATA'!AJ23="","",'Historical DATA'!AJ23)</f>
        <v/>
      </c>
      <c r="AC45" s="307" t="str">
        <f>IF('Historical DATA'!AK23="","",'Historical DATA'!AK23)</f>
        <v/>
      </c>
      <c r="AD45" s="308" t="str">
        <f>IF('Historical DATA'!AL23="","",'Historical DATA'!AL23)</f>
        <v/>
      </c>
      <c r="AE45" s="309" t="str">
        <f>IF('Historical DATA'!AM23="","",'Historical DATA'!AM23)</f>
        <v/>
      </c>
      <c r="AF45" s="310" t="str">
        <f>IF('Historical DATA'!AN23="","",'Historical DATA'!AN23)</f>
        <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7"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4"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L22:R22"/>
    <mergeCell ref="L23:L24"/>
    <mergeCell ref="M23:M24"/>
    <mergeCell ref="N23:N24"/>
    <mergeCell ref="O23:O24"/>
    <mergeCell ref="P23:P24"/>
    <mergeCell ref="Q23:Q24"/>
    <mergeCell ref="R23:R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AE23:AE24"/>
    <mergeCell ref="AF23:AF24"/>
    <mergeCell ref="W23:W24"/>
    <mergeCell ref="X23:X24"/>
    <mergeCell ref="Y23:Y24"/>
    <mergeCell ref="AA23:AA24"/>
    <mergeCell ref="AB23:AB24"/>
    <mergeCell ref="AC23:AC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30" customWidth="1"/>
    <col min="9" max="9" width="20.140625" bestFit="1" customWidth="1"/>
    <col min="10" max="10" width="21.140625" bestFit="1" customWidth="1"/>
    <col min="11" max="11" width="20.140625" bestFit="1" customWidth="1"/>
    <col min="12" max="12" width="25.5703125" style="1430" customWidth="1"/>
    <col min="13" max="13" width="3.42578125" customWidth="1"/>
    <col min="14" max="14" width="24.28515625" style="1430" customWidth="1"/>
    <col min="15" max="16" width="24.28515625" customWidth="1"/>
    <col min="17" max="17" width="3" customWidth="1"/>
    <col min="18" max="18" width="24.140625" customWidth="1"/>
    <col min="19" max="20" width="19.42578125" customWidth="1"/>
    <col min="21" max="21" width="3" customWidth="1"/>
    <col min="22" max="24" width="25.5703125" customWidth="1"/>
    <col min="25" max="26" width="27.85546875" bestFit="1" customWidth="1"/>
    <col min="27" max="27" width="5.7109375" customWidth="1"/>
    <col min="28" max="30" width="17.7109375" customWidth="1"/>
    <col min="31" max="35" width="18.42578125" customWidth="1"/>
    <col min="36" max="36" width="2.85546875" customWidth="1"/>
    <col min="37" max="39" width="28.85546875" customWidth="1"/>
    <col min="40" max="40" width="1.7109375" customWidth="1"/>
    <col min="41" max="43" width="17.7109375" customWidth="1"/>
    <col min="44" max="44" width="18.42578125" customWidth="1"/>
    <col min="45" max="49" width="23.28515625" customWidth="1"/>
    <col min="52" max="59" width="23.42578125" customWidth="1"/>
    <col min="80" max="80" width="17" bestFit="1" customWidth="1"/>
    <col min="81" max="81" width="5.5703125" bestFit="1" customWidth="1"/>
    <col min="82" max="82" width="12" bestFit="1" customWidth="1"/>
    <col min="83" max="83" width="23.85546875" bestFit="1" customWidth="1"/>
    <col min="84" max="84" width="37.42578125" bestFit="1" customWidth="1"/>
    <col min="85" max="85" width="24.7109375" bestFit="1" customWidth="1"/>
    <col min="86" max="86" width="13.5703125" bestFit="1" customWidth="1"/>
    <col min="87" max="87" width="14.14062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46022</v>
      </c>
    </row>
    <row r="6" spans="2:44" s="280" customFormat="1" ht="11.25" customHeight="1">
      <c r="H6" s="1440"/>
      <c r="L6" s="1440"/>
      <c r="N6" s="1440"/>
      <c r="V6" s="1213" t="s">
        <v>4</v>
      </c>
      <c r="W6" s="1213">
        <f>'00 - Cover'!F20</f>
        <v>46049</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75">
      <c r="B11" s="1953" t="s">
        <v>2007</v>
      </c>
      <c r="C11" s="1954"/>
      <c r="D11" s="1954"/>
      <c r="E11" s="1954"/>
      <c r="F11" s="1954"/>
      <c r="G11" s="1954"/>
      <c r="H11" s="1954"/>
      <c r="I11" s="1954"/>
      <c r="J11" s="1954"/>
      <c r="K11" s="1954"/>
      <c r="L11" s="1954"/>
      <c r="M11" s="1954"/>
      <c r="N11" s="1954"/>
      <c r="O11" s="1954"/>
      <c r="P11" s="1954"/>
      <c r="Q11" s="1954"/>
      <c r="R11" s="1954"/>
      <c r="S11" s="1954"/>
      <c r="T11" s="1954"/>
      <c r="U11" s="1954"/>
      <c r="V11" s="1954"/>
      <c r="W11" s="1954"/>
    </row>
    <row r="12" spans="2:44" s="280" customFormat="1" ht="12.75">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71" t="s">
        <v>5</v>
      </c>
      <c r="C14" s="1378"/>
      <c r="D14" s="1970" t="s">
        <v>1050</v>
      </c>
      <c r="E14" s="1970"/>
      <c r="F14" s="1970"/>
      <c r="H14" s="1970" t="s">
        <v>247</v>
      </c>
      <c r="I14" s="1970"/>
      <c r="J14" s="1970"/>
      <c r="K14" s="1970"/>
      <c r="L14" s="1970"/>
      <c r="N14" s="1970" t="s">
        <v>244</v>
      </c>
      <c r="O14" s="1970"/>
      <c r="P14" s="1970"/>
      <c r="R14" s="1974" t="s">
        <v>1051</v>
      </c>
      <c r="S14" s="1974"/>
      <c r="T14" s="1974"/>
      <c r="V14" s="1970" t="s">
        <v>410</v>
      </c>
      <c r="W14" s="1970"/>
      <c r="X14" s="1970"/>
      <c r="Y14" s="1970"/>
      <c r="Z14" s="1820"/>
      <c r="AB14" s="1979" t="s">
        <v>1094</v>
      </c>
      <c r="AC14" s="1979"/>
      <c r="AD14" s="1979"/>
      <c r="AE14" s="1979"/>
      <c r="AF14" s="1979"/>
      <c r="AG14" s="1979"/>
      <c r="AH14" s="1979"/>
      <c r="AI14" s="1979"/>
      <c r="AK14" s="1970" t="s">
        <v>412</v>
      </c>
      <c r="AL14" s="1970"/>
      <c r="AM14" s="1970"/>
      <c r="AO14" s="1975" t="s">
        <v>1100</v>
      </c>
      <c r="AP14" s="1975"/>
      <c r="AQ14" s="1975"/>
      <c r="AR14" s="1975"/>
    </row>
    <row r="15" spans="2:44">
      <c r="B15" s="1972"/>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76" t="s">
        <v>2057</v>
      </c>
      <c r="AC15" s="1977"/>
      <c r="AD15" s="1977"/>
      <c r="AE15" s="1978"/>
      <c r="AF15" s="1976" t="s">
        <v>2058</v>
      </c>
      <c r="AG15" s="1977"/>
      <c r="AH15" s="1977"/>
      <c r="AI15" s="1978"/>
      <c r="AK15" s="1385" t="s">
        <v>335</v>
      </c>
      <c r="AL15" s="1385" t="s">
        <v>337</v>
      </c>
      <c r="AM15" s="1385" t="s">
        <v>2059</v>
      </c>
      <c r="AO15" s="1375"/>
      <c r="AP15" s="1385"/>
      <c r="AQ15" s="1385"/>
      <c r="AR15" s="1385"/>
    </row>
    <row r="16" spans="2:44" ht="100.5" customHeight="1">
      <c r="B16" s="1973"/>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46049</v>
      </c>
      <c r="C17" s="301"/>
      <c r="D17" s="1656">
        <f>+'11 - Notes Follow-up'!D25+'11 - Notes Follow-up'!T25+'11 - Notes Follow-up'!L25</f>
        <v>11410540664.6</v>
      </c>
      <c r="E17" s="1657">
        <f>'02 - Monthly Asset Follow up'!P17</f>
        <v>11314220550.59</v>
      </c>
      <c r="F17" s="1658">
        <f>D17-E17</f>
        <v>96320114.010000229</v>
      </c>
      <c r="G17" s="1659"/>
      <c r="H17" s="1660">
        <v>1</v>
      </c>
      <c r="I17" s="1657">
        <f>'11 - Notes Follow-up'!G25+'11 - Notes Follow-up'!O25</f>
        <v>10748510121.440001</v>
      </c>
      <c r="J17" s="1657">
        <f>AE18+AI18</f>
        <v>603.00550087541342</v>
      </c>
      <c r="K17" s="1657">
        <f>E17</f>
        <v>11314220550.59</v>
      </c>
      <c r="L17" s="1661">
        <f>ROUNDUP(H17-((I17+J17)/K17),4)</f>
        <v>0.05</v>
      </c>
      <c r="M17" s="1349"/>
      <c r="N17" s="1662">
        <v>0.05</v>
      </c>
      <c r="O17" s="1663">
        <f>E17</f>
        <v>11314220550.59</v>
      </c>
      <c r="P17" s="1664">
        <f>O17*N17</f>
        <v>565711027.52950001</v>
      </c>
      <c r="Q17" s="1659"/>
      <c r="R17" s="1665">
        <f>E17</f>
        <v>11314220550.59</v>
      </c>
      <c r="S17" s="1663">
        <f>P17</f>
        <v>565711027.52950001</v>
      </c>
      <c r="T17" s="1664">
        <f>MAX(R17-S17,0)</f>
        <v>10748509523.060501</v>
      </c>
      <c r="U17" s="1659"/>
      <c r="V17" s="1665">
        <f>F17</f>
        <v>96320114.010000229</v>
      </c>
      <c r="W17" s="1663">
        <f>'11 - Notes Follow-up'!D25+'11 - Notes Follow-up'!L25</f>
        <v>10840013622.68</v>
      </c>
      <c r="X17" s="1663">
        <f>P17</f>
        <v>565711027.52950001</v>
      </c>
      <c r="Y17" s="1663">
        <f>MIN(V17*'11 - Notes Follow-up'!$E$19,MAX(W17-T17,0)*'11 - Notes Follow-up'!$E$19)</f>
        <v>58048280.890129752</v>
      </c>
      <c r="Z17" s="1664">
        <f>MIN(V17*'11 - Notes Follow-up'!$M$19,MAX(W17-T17,0)*'11 - Notes Follow-up'!$M$19)</f>
        <v>33455818.729369454</v>
      </c>
      <c r="AA17" s="1666"/>
      <c r="AB17" s="1665">
        <f>'11 - Notes Follow-up'!H26</f>
        <v>77732</v>
      </c>
      <c r="AC17" s="1663">
        <f>ROUNDDOWN(Y17/AB17,2)</f>
        <v>746.77</v>
      </c>
      <c r="AD17" s="1663">
        <f>AC17*AB17</f>
        <v>58047925.640000001</v>
      </c>
      <c r="AE17" s="1664">
        <f>Y17-AD17</f>
        <v>355.2501297518611</v>
      </c>
      <c r="AF17" s="1665">
        <f>+'11 - Notes Follow-up'!P25</f>
        <v>40340</v>
      </c>
      <c r="AG17" s="1663">
        <f>ROUNDDOWN(Z17/AF17,2)</f>
        <v>829.34</v>
      </c>
      <c r="AH17" s="1663">
        <f>AG17*AF17</f>
        <v>33455575.600000001</v>
      </c>
      <c r="AI17" s="1664">
        <f>Z17-AH17</f>
        <v>243.12936945259571</v>
      </c>
      <c r="AJ17" s="1666"/>
      <c r="AK17" s="1656">
        <f>F17</f>
        <v>96320114.010000229</v>
      </c>
      <c r="AL17" s="1657">
        <f>AD17+AH17</f>
        <v>91503501.24000001</v>
      </c>
      <c r="AM17" s="1657">
        <f>+AK17-AL17-AE17-AI17</f>
        <v>4816014.3905010149</v>
      </c>
      <c r="AN17" s="1666"/>
      <c r="AO17" s="1667">
        <f>'11 - Notes Follow-up'!X26</f>
        <v>5808</v>
      </c>
      <c r="AP17" s="1668">
        <f>ROUNDDOWN(AM17/AO17,2)</f>
        <v>829.2</v>
      </c>
      <c r="AQ17" s="1668">
        <f>AP17*AO17</f>
        <v>4815993.6000000006</v>
      </c>
      <c r="AR17" s="1849">
        <f>AM17-AQ17</f>
        <v>20.790501014329493</v>
      </c>
      <c r="BH17" s="1214"/>
      <c r="BI17" s="1214"/>
      <c r="BJ17" s="1214"/>
      <c r="BK17" s="1214"/>
      <c r="BY17" s="1214"/>
      <c r="CA17" s="1348"/>
      <c r="CJ17" s="1214"/>
    </row>
    <row r="18" spans="2:88" s="1259" customFormat="1">
      <c r="B18" s="1653">
        <f>IF('Historical DATA'!B4="","",'Historical DATA'!B4)</f>
        <v>46020</v>
      </c>
      <c r="C18" s="304"/>
      <c r="D18" s="1437">
        <f>IF('Historical DATA'!AO4="","",'Historical DATA'!AO4)</f>
        <v>11501222469.799999</v>
      </c>
      <c r="E18" s="1431">
        <f>IF('Historical DATA'!AP4="","",'Historical DATA'!AP4)</f>
        <v>11410540020.709999</v>
      </c>
      <c r="F18" s="1433">
        <f>IF('Historical DATA'!AQ4="","",'Historical DATA'!AQ4)</f>
        <v>90682449.090000153</v>
      </c>
      <c r="H18" s="1447">
        <f>IF('Historical DATA'!AR4="","",'Historical DATA'!AR4)</f>
        <v>1</v>
      </c>
      <c r="I18" s="1431">
        <f>IF('Historical DATA'!AS4="","",'Historical DATA'!AS4)</f>
        <v>10840013622.68</v>
      </c>
      <c r="J18" s="1431">
        <f>IF('Historical DATA'!AT4="","",'Historical DATA'!AT4)</f>
        <v>597.14749938994646</v>
      </c>
      <c r="K18" s="1431">
        <f>IF('Historical DATA'!AU4="","",'Historical DATA'!AU4)</f>
        <v>11410540020.709999</v>
      </c>
      <c r="L18" s="1450">
        <f>IF('Historical DATA'!AV4="","",'Historical DATA'!AV4)</f>
        <v>0.05</v>
      </c>
      <c r="M18" s="1654"/>
      <c r="N18" s="1445">
        <f>IF('Historical DATA'!AW4="","",'Historical DATA'!AW4)</f>
        <v>0.05</v>
      </c>
      <c r="O18" s="1436">
        <f>IF('Historical DATA'!AX4="","",'Historical DATA'!AX4)</f>
        <v>11410540020.709999</v>
      </c>
      <c r="P18" s="1435">
        <f>IF('Historical DATA'!AY4="","",'Historical DATA'!AY4)</f>
        <v>570527001.03549993</v>
      </c>
      <c r="R18" s="1434">
        <f>IF('Historical DATA'!AZ4="","",'Historical DATA'!AZ4)</f>
        <v>11410540020.709999</v>
      </c>
      <c r="S18" s="1436">
        <f>IF('Historical DATA'!BA4="","",'Historical DATA'!BA4)</f>
        <v>570527001.03549993</v>
      </c>
      <c r="T18" s="1435">
        <f>IF('Historical DATA'!BB4="","",'Historical DATA'!BB4)</f>
        <v>10840013019.6745</v>
      </c>
      <c r="V18" s="1434">
        <f>IF('Historical DATA'!BC4="","",'Historical DATA'!BC4)</f>
        <v>90682449.090000153</v>
      </c>
      <c r="W18" s="1436">
        <f>IF('Historical DATA'!BD4="","",'Historical DATA'!BD4)</f>
        <v>10926161354.6</v>
      </c>
      <c r="X18" s="1436">
        <f>IF('Historical DATA'!BE4="","",'Historical DATA'!BE4)</f>
        <v>570527001.03549993</v>
      </c>
      <c r="Y18" s="1435">
        <f>IF('Historical DATA'!BF4="","",'Historical DATA'!BF4)</f>
        <v>54650695.717823811</v>
      </c>
      <c r="Z18" s="1435">
        <f>IF('Historical DATA'!BG4="","",'Historical DATA'!BG4)</f>
        <v>31497639.207677059</v>
      </c>
      <c r="AA18" s="1416"/>
      <c r="AB18" s="1434">
        <f>IF('Historical DATA'!BH4="","",'Historical DATA'!BH4)</f>
        <v>77732</v>
      </c>
      <c r="AC18" s="1436">
        <f>IF('Historical DATA'!BI4="","",'Historical DATA'!BI4)</f>
        <v>703.06</v>
      </c>
      <c r="AD18" s="1436">
        <f>IF('Historical DATA'!BJ4="","",'Historical DATA'!BJ4)</f>
        <v>54650259.919999994</v>
      </c>
      <c r="AE18" s="1435">
        <f>IF('Historical DATA'!BK4="","",'Historical DATA'!BK4)</f>
        <v>435.79782381653786</v>
      </c>
      <c r="AF18" s="1435">
        <f>IF('Historical DATA'!BL4="","",'Historical DATA'!BL4)</f>
        <v>40340</v>
      </c>
      <c r="AG18" s="1435">
        <f>IF('Historical DATA'!BM4="","",'Historical DATA'!BM4)</f>
        <v>780.8</v>
      </c>
      <c r="AH18" s="1435">
        <f>IF('Historical DATA'!BN4="","",'Historical DATA'!BN4)</f>
        <v>31497472</v>
      </c>
      <c r="AI18" s="1435">
        <f>IF('Historical DATA'!BO4="","",'Historical DATA'!BO4)</f>
        <v>167.20767705887556</v>
      </c>
      <c r="AJ18" s="1416"/>
      <c r="AK18" s="1437">
        <f>IF('Historical DATA'!BP4="","",'Historical DATA'!BP4)</f>
        <v>90682449.090000153</v>
      </c>
      <c r="AL18" s="1431">
        <f>IF('Historical DATA'!BQ4="","",'Historical DATA'!BQ4)</f>
        <v>86147731.919999987</v>
      </c>
      <c r="AM18" s="1433">
        <f>IF('Historical DATA'!BR4="","",'Historical DATA'!BR4)</f>
        <v>4534114.1644992903</v>
      </c>
      <c r="AN18" s="1416"/>
      <c r="AO18" s="1448">
        <f>IF('Historical DATA'!BS4="","",'Historical DATA'!BS4)</f>
        <v>5808</v>
      </c>
      <c r="AP18" s="1438">
        <f>IF('Historical DATA'!BT4="","",'Historical DATA'!BT4)</f>
        <v>780.66</v>
      </c>
      <c r="AQ18" s="1438">
        <f>IF('Historical DATA'!BU4="","",'Historical DATA'!BU4)</f>
        <v>4534073.28</v>
      </c>
      <c r="AR18" s="1439">
        <f>IF('Historical DATA'!BV4="","",'Historical DATA'!BV4)</f>
        <v>40.884499290026724</v>
      </c>
      <c r="BH18" s="1416"/>
      <c r="BI18" s="1416"/>
      <c r="BJ18" s="1416"/>
      <c r="BK18" s="1416"/>
      <c r="BY18" s="1416"/>
      <c r="CA18" s="1655"/>
      <c r="CJ18" s="1416"/>
    </row>
    <row r="19" spans="2:88" ht="13.5" customHeight="1">
      <c r="B19" s="1653">
        <f>IF('Historical DATA'!B5="","",'Historical DATA'!B5)</f>
        <v>45988</v>
      </c>
      <c r="C19" s="304"/>
      <c r="D19" s="1437">
        <f>IF('Historical DATA'!AO5="","",'Historical DATA'!AO5)</f>
        <v>11614083884.280001</v>
      </c>
      <c r="E19" s="1431">
        <f>IF('Historical DATA'!AP5="","",'Historical DATA'!AP5)</f>
        <v>11501221849.950001</v>
      </c>
      <c r="F19" s="1433">
        <f>IF('Historical DATA'!AQ5="","",'Historical DATA'!AQ5)</f>
        <v>112862034.32999992</v>
      </c>
      <c r="G19" s="1259"/>
      <c r="H19" s="1447">
        <f>IF('Historical DATA'!AR5="","",'Historical DATA'!AR5)</f>
        <v>1</v>
      </c>
      <c r="I19" s="1431">
        <f>IF('Historical DATA'!AS5="","",'Historical DATA'!AS5)</f>
        <v>10926161354.6</v>
      </c>
      <c r="J19" s="1431">
        <f>IF('Historical DATA'!AT5="","",'Historical DATA'!AT5)</f>
        <v>349.02100082486868</v>
      </c>
      <c r="K19" s="1431">
        <f>IF('Historical DATA'!AU5="","",'Historical DATA'!AU5)</f>
        <v>11501221849.950001</v>
      </c>
      <c r="L19" s="1450">
        <f>IF('Historical DATA'!AV5="","",'Historical DATA'!AV5)</f>
        <v>0.05</v>
      </c>
      <c r="M19" s="1446"/>
      <c r="N19" s="1445">
        <f>IF('Historical DATA'!AW5="","",'Historical DATA'!AW5)</f>
        <v>0.05</v>
      </c>
      <c r="O19" s="1436">
        <f>IF('Historical DATA'!AX5="","",'Historical DATA'!AX5)</f>
        <v>11501221849.950001</v>
      </c>
      <c r="P19" s="1435">
        <f>IF('Historical DATA'!AY5="","",'Historical DATA'!AY5)</f>
        <v>575061092.49750006</v>
      </c>
      <c r="Q19" s="1259"/>
      <c r="R19" s="1434">
        <f>IF('Historical DATA'!AZ5="","",'Historical DATA'!AZ5)</f>
        <v>11501221849.950001</v>
      </c>
      <c r="S19" s="1436">
        <f>IF('Historical DATA'!BA5="","",'Historical DATA'!BA5)</f>
        <v>575061092.49750006</v>
      </c>
      <c r="T19" s="1435">
        <f>IF('Historical DATA'!BB5="","",'Historical DATA'!BB5)</f>
        <v>10926160757.452501</v>
      </c>
      <c r="U19" s="1259"/>
      <c r="V19" s="1434">
        <f>IF('Historical DATA'!BC5="","",'Historical DATA'!BC5)</f>
        <v>112862034.32999992</v>
      </c>
      <c r="W19" s="1436">
        <f>IF('Historical DATA'!BD5="","",'Historical DATA'!BD5)</f>
        <v>11033283884.280001</v>
      </c>
      <c r="X19" s="1436">
        <f>IF('Historical DATA'!BE5="","",'Historical DATA'!BE5)</f>
        <v>575061092.49750006</v>
      </c>
      <c r="Y19" s="1435">
        <f>IF('Historical DATA'!BF5="","",'Historical DATA'!BF5)</f>
        <v>67956664.860738143</v>
      </c>
      <c r="Z19" s="1435">
        <f>IF('Historical DATA'!BG5="","",'Historical DATA'!BG5)</f>
        <v>39166461.966761254</v>
      </c>
      <c r="AA19" s="1416"/>
      <c r="AB19" s="1434">
        <f>IF('Historical DATA'!BH5="","",'Historical DATA'!BH5)</f>
        <v>77732</v>
      </c>
      <c r="AC19" s="1436">
        <f>IF('Historical DATA'!BI5="","",'Historical DATA'!BI5)</f>
        <v>874.24</v>
      </c>
      <c r="AD19" s="1436">
        <f>IF('Historical DATA'!BJ5="","",'Historical DATA'!BJ5)</f>
        <v>67956423.680000007</v>
      </c>
      <c r="AE19" s="1435">
        <f>IF('Historical DATA'!BK5="","",'Historical DATA'!BK5)</f>
        <v>241.18073813617229</v>
      </c>
      <c r="AF19" s="1435">
        <f>IF('Historical DATA'!BL5="","",'Historical DATA'!BL5)</f>
        <v>40340</v>
      </c>
      <c r="AG19" s="1435">
        <f>IF('Historical DATA'!BM5="","",'Historical DATA'!BM5)</f>
        <v>970.9</v>
      </c>
      <c r="AH19" s="1435">
        <f>IF('Historical DATA'!BN5="","",'Historical DATA'!BN5)</f>
        <v>39166106</v>
      </c>
      <c r="AI19" s="1435">
        <f>IF('Historical DATA'!BO5="","",'Historical DATA'!BO5)</f>
        <v>355.96676125377417</v>
      </c>
      <c r="AJ19" s="1416"/>
      <c r="AK19" s="1437">
        <f>IF('Historical DATA'!BP5="","",'Historical DATA'!BP5)</f>
        <v>112862034.32999992</v>
      </c>
      <c r="AL19" s="1431">
        <f>IF('Historical DATA'!BQ5="","",'Historical DATA'!BQ5)</f>
        <v>107122529.68000001</v>
      </c>
      <c r="AM19" s="1433">
        <f>IF('Historical DATA'!BR5="","",'Historical DATA'!BR5)</f>
        <v>5738907.5025005266</v>
      </c>
      <c r="AN19" s="1416"/>
      <c r="AO19" s="1448">
        <f>IF('Historical DATA'!BS5="","",'Historical DATA'!BS5)</f>
        <v>5808</v>
      </c>
      <c r="AP19" s="1438">
        <f>IF('Historical DATA'!BT5="","",'Historical DATA'!BT5)</f>
        <v>988.1</v>
      </c>
      <c r="AQ19" s="1438">
        <f>IF('Historical DATA'!BU5="","",'Historical DATA'!BU5)</f>
        <v>5738884.7999999998</v>
      </c>
      <c r="AR19" s="1439">
        <f>IF('Historical DATA'!BV5="","",'Historical DATA'!BV5)</f>
        <v>22.702500526793301</v>
      </c>
      <c r="AS19" s="1214"/>
      <c r="AX19" s="1214"/>
      <c r="AY19" s="1214"/>
      <c r="BA19" s="1349"/>
      <c r="BH19" s="1214"/>
      <c r="BI19" s="1214"/>
      <c r="BJ19" s="1214"/>
      <c r="BK19" s="1214"/>
      <c r="BY19" s="1214"/>
      <c r="CA19" s="1349"/>
      <c r="CJ19" s="1214"/>
    </row>
    <row r="20" spans="2:88" ht="13.5" customHeight="1">
      <c r="B20" s="1653">
        <f>IF('Historical DATA'!B6="","",'Historical DATA'!B6)</f>
        <v>45957</v>
      </c>
      <c r="C20" s="304"/>
      <c r="D20" s="1437">
        <f>IF('Historical DATA'!AO6="","",'Historical DATA'!AO6)</f>
        <v>7430770939.6800003</v>
      </c>
      <c r="E20" s="1431">
        <f>IF('Historical DATA'!AP6="","",'Historical DATA'!AP6)</f>
        <v>7367666879.2200003</v>
      </c>
      <c r="F20" s="1433">
        <f>IF('Historical DATA'!AQ6="","",'Historical DATA'!AQ6)</f>
        <v>63104060.460000038</v>
      </c>
      <c r="G20" s="1259"/>
      <c r="H20" s="1447">
        <f>IF('Historical DATA'!AR6="","",'Historical DATA'!AR6)</f>
        <v>1</v>
      </c>
      <c r="I20" s="1431">
        <f>IF('Historical DATA'!AS6="","",'Historical DATA'!AS6)</f>
        <v>6999283884.2800007</v>
      </c>
      <c r="J20" s="1431">
        <f>IF('Historical DATA'!AT6="","",'Historical DATA'!AT6)</f>
        <v>4.3625001534819603</v>
      </c>
      <c r="K20" s="1431">
        <f>IF('Historical DATA'!AU6="","",'Historical DATA'!AU6)</f>
        <v>7367666879.2200003</v>
      </c>
      <c r="L20" s="1450">
        <f>IF('Historical DATA'!AV6="","",'Historical DATA'!AV6)</f>
        <v>0.05</v>
      </c>
      <c r="M20" s="1446"/>
      <c r="N20" s="1445">
        <f>IF('Historical DATA'!AW6="","",'Historical DATA'!AW6)</f>
        <v>0.05</v>
      </c>
      <c r="O20" s="1436">
        <f>IF('Historical DATA'!AX6="","",'Historical DATA'!AX6)</f>
        <v>7367666879.2200003</v>
      </c>
      <c r="P20" s="1435">
        <f>IF('Historical DATA'!AY6="","",'Historical DATA'!AY6)</f>
        <v>368383343.96100003</v>
      </c>
      <c r="Q20" s="1259"/>
      <c r="R20" s="1434">
        <f>IF('Historical DATA'!AZ6="","",'Historical DATA'!AZ6)</f>
        <v>7367666879.2200003</v>
      </c>
      <c r="S20" s="1436">
        <f>IF('Historical DATA'!BA6="","",'Historical DATA'!BA6)</f>
        <v>368383343.96100003</v>
      </c>
      <c r="T20" s="1435">
        <f>IF('Historical DATA'!BB6="","",'Historical DATA'!BB6)</f>
        <v>6999283535.2589998</v>
      </c>
      <c r="U20" s="1259"/>
      <c r="V20" s="1434">
        <f>IF('Historical DATA'!BC6="","",'Historical DATA'!BC6)</f>
        <v>63104060.460000038</v>
      </c>
      <c r="W20" s="1436">
        <f>IF('Historical DATA'!BD6="","",'Historical DATA'!BD6)</f>
        <v>7059232357.3200006</v>
      </c>
      <c r="X20" s="1436">
        <f>IF('Historical DATA'!BE6="","",'Historical DATA'!BE6)</f>
        <v>368383343.96100003</v>
      </c>
      <c r="Y20" s="1435">
        <f>IF('Historical DATA'!BF6="","",'Historical DATA'!BF6)</f>
        <v>59948822.061000824</v>
      </c>
      <c r="Z20" s="1435">
        <f>IF('Historical DATA'!BG6="","",'Historical DATA'!BG6)</f>
        <v>0</v>
      </c>
      <c r="AA20" s="1416"/>
      <c r="AB20" s="1434">
        <f>IF('Historical DATA'!BH6="","",'Historical DATA'!BH6)</f>
        <v>77732</v>
      </c>
      <c r="AC20" s="1436">
        <f>IF('Historical DATA'!BI6="","",'Historical DATA'!BI6)</f>
        <v>771.22</v>
      </c>
      <c r="AD20" s="1436">
        <f>IF('Historical DATA'!BJ6="","",'Historical DATA'!BJ6)</f>
        <v>59948473.039999999</v>
      </c>
      <c r="AE20" s="1435">
        <f>IF('Historical DATA'!BK6="","",'Historical DATA'!BK6)</f>
        <v>349.02100082486868</v>
      </c>
      <c r="AF20" s="1435">
        <f>IF('Historical DATA'!BL6="","",'Historical DATA'!BL6)</f>
        <v>40340</v>
      </c>
      <c r="AG20" s="1435">
        <f>IF('Historical DATA'!BM6="","",'Historical DATA'!BM6)</f>
        <v>0</v>
      </c>
      <c r="AH20" s="1435">
        <f>IF('Historical DATA'!BN6="","",'Historical DATA'!BN6)</f>
        <v>0</v>
      </c>
      <c r="AI20" s="1435">
        <f>IF('Historical DATA'!BO6="","",'Historical DATA'!BO6)</f>
        <v>0</v>
      </c>
      <c r="AJ20" s="1416"/>
      <c r="AK20" s="1437">
        <f>IF('Historical DATA'!BP6="","",'Historical DATA'!BP6)</f>
        <v>63104060.460000038</v>
      </c>
      <c r="AL20" s="1431">
        <f>IF('Historical DATA'!BQ6="","",'Historical DATA'!BQ6)</f>
        <v>59948473.039999999</v>
      </c>
      <c r="AM20" s="1433">
        <f>IF('Historical DATA'!BR6="","",'Historical DATA'!BR6)</f>
        <v>371538602.31899923</v>
      </c>
      <c r="AN20" s="1416"/>
      <c r="AO20" s="1448">
        <f>IF('Historical DATA'!BS6="","",'Historical DATA'!BS6)</f>
        <v>4092</v>
      </c>
      <c r="AP20" s="1438">
        <f>IF('Historical DATA'!BT6="","",'Historical DATA'!BT6)</f>
        <v>90796.33</v>
      </c>
      <c r="AQ20" s="1438">
        <f>IF('Historical DATA'!BU6="","",'Historical DATA'!BU6)</f>
        <v>371538582.36000001</v>
      </c>
      <c r="AR20" s="1439">
        <f>IF('Historical DATA'!BV6="","",'Historical DATA'!BV6)</f>
        <v>19.958999216556549</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45929</v>
      </c>
      <c r="C21" s="304"/>
      <c r="D21" s="1437">
        <f>IF('Historical DATA'!AO7="","",'Historical DATA'!AO7)</f>
        <v>7501402316.4000006</v>
      </c>
      <c r="E21" s="1431">
        <f>IF('Historical DATA'!AP7="","",'Historical DATA'!AP7)</f>
        <v>7430770897.8500004</v>
      </c>
      <c r="F21" s="1433">
        <f>IF('Historical DATA'!AQ7="","",'Historical DATA'!AQ7)</f>
        <v>70631418.550000191</v>
      </c>
      <c r="G21" s="1259"/>
      <c r="H21" s="1447">
        <f>IF('Historical DATA'!AR7="","",'Historical DATA'!AR7)</f>
        <v>1</v>
      </c>
      <c r="I21" s="1431">
        <f>IF('Historical DATA'!AS7="","",'Historical DATA'!AS7)</f>
        <v>7059232357.3200006</v>
      </c>
      <c r="J21" s="1431">
        <f>IF('Historical DATA'!AT7="","",'Historical DATA'!AT7)</f>
        <v>197.90400146692991</v>
      </c>
      <c r="K21" s="1431">
        <f>IF('Historical DATA'!AU7="","",'Historical DATA'!AU7)</f>
        <v>7430770897.8500004</v>
      </c>
      <c r="L21" s="1450">
        <f>IF('Historical DATA'!AV7="","",'Historical DATA'!AV7)</f>
        <v>0.05</v>
      </c>
      <c r="M21" s="1446"/>
      <c r="N21" s="1445">
        <f>IF('Historical DATA'!AW7="","",'Historical DATA'!AW7)</f>
        <v>0.05</v>
      </c>
      <c r="O21" s="1436">
        <f>IF('Historical DATA'!AX7="","",'Historical DATA'!AX7)</f>
        <v>7430770897.8500004</v>
      </c>
      <c r="P21" s="1435">
        <f>IF('Historical DATA'!AY7="","",'Historical DATA'!AY7)</f>
        <v>371538544.89250004</v>
      </c>
      <c r="Q21" s="1259"/>
      <c r="R21" s="1434">
        <f>IF('Historical DATA'!AZ7="","",'Historical DATA'!AZ7)</f>
        <v>7430770897.8500004</v>
      </c>
      <c r="S21" s="1436">
        <f>IF('Historical DATA'!BA7="","",'Historical DATA'!BA7)</f>
        <v>371538544.89250004</v>
      </c>
      <c r="T21" s="1435">
        <f>IF('Historical DATA'!BB7="","",'Historical DATA'!BB7)</f>
        <v>7059232352.9575005</v>
      </c>
      <c r="U21" s="1259"/>
      <c r="V21" s="1434">
        <f>IF('Historical DATA'!BC7="","",'Historical DATA'!BC7)</f>
        <v>70631418.550000191</v>
      </c>
      <c r="W21" s="1436">
        <f>IF('Historical DATA'!BD7="","",'Historical DATA'!BD7)</f>
        <v>7126332174.3600006</v>
      </c>
      <c r="X21" s="1436">
        <f>IF('Historical DATA'!BE7="","",'Historical DATA'!BE7)</f>
        <v>371538544.89250004</v>
      </c>
      <c r="Y21" s="1435">
        <f>IF('Historical DATA'!BF7="","",'Historical DATA'!BF7)</f>
        <v>67099821.402500153</v>
      </c>
      <c r="Z21" s="1435" t="str">
        <f>IF('Historical DATA'!BG7="","",'Historical DATA'!BG7)</f>
        <v/>
      </c>
      <c r="AA21" s="1416"/>
      <c r="AB21" s="1434">
        <f>IF('Historical DATA'!BH7="","",'Historical DATA'!BH7)</f>
        <v>77732</v>
      </c>
      <c r="AC21" s="1436">
        <f>IF('Historical DATA'!BI7="","",'Historical DATA'!BI7)</f>
        <v>863.22</v>
      </c>
      <c r="AD21" s="1436">
        <f>IF('Historical DATA'!BJ7="","",'Historical DATA'!BJ7)</f>
        <v>67099817.039999999</v>
      </c>
      <c r="AE21" s="1435">
        <f>IF('Historical DATA'!BK7="","",'Historical DATA'!BK7)</f>
        <v>4.3625001534819603</v>
      </c>
      <c r="AF21" s="1435" t="str">
        <f>IF('Historical DATA'!BL7="","",'Historical DATA'!BL7)</f>
        <v/>
      </c>
      <c r="AG21" s="1435" t="str">
        <f>IF('Historical DATA'!BM7="","",'Historical DATA'!BM7)</f>
        <v/>
      </c>
      <c r="AH21" s="1435" t="str">
        <f>IF('Historical DATA'!BN7="","",'Historical DATA'!BN7)</f>
        <v/>
      </c>
      <c r="AI21" s="1435">
        <f>IF('Historical DATA'!BO7="","",'Historical DATA'!BO7)</f>
        <v>0</v>
      </c>
      <c r="AJ21" s="1416"/>
      <c r="AK21" s="1437">
        <f>IF('Historical DATA'!BP7="","",'Historical DATA'!BP7)</f>
        <v>70631418.550000191</v>
      </c>
      <c r="AL21" s="1431">
        <f>IF('Historical DATA'!BQ7="","",'Historical DATA'!BQ7)</f>
        <v>67099817.039999999</v>
      </c>
      <c r="AM21" s="1433">
        <f>IF('Historical DATA'!BR7="","",'Historical DATA'!BR7)</f>
        <v>3531597.1475000381</v>
      </c>
      <c r="AN21" s="1416"/>
      <c r="AO21" s="1448">
        <f>IF('Historical DATA'!BS7="","",'Historical DATA'!BS7)</f>
        <v>4092</v>
      </c>
      <c r="AP21" s="1438">
        <f>IF('Historical DATA'!BT7="","",'Historical DATA'!BT7)</f>
        <v>863.04</v>
      </c>
      <c r="AQ21" s="1438">
        <f>IF('Historical DATA'!BU7="","",'Historical DATA'!BU7)</f>
        <v>3531559.6799999997</v>
      </c>
      <c r="AR21" s="1439">
        <f>IF('Historical DATA'!BV7="","",'Historical DATA'!BV7)</f>
        <v>37.467500038444996</v>
      </c>
      <c r="CJ21" s="1214"/>
    </row>
    <row r="22" spans="2:88">
      <c r="B22" s="1653">
        <f>IF('Historical DATA'!B8="","",'Historical DATA'!B8)</f>
        <v>45896</v>
      </c>
      <c r="C22" s="304"/>
      <c r="D22" s="1437">
        <f>IF('Historical DATA'!AO8="","",'Historical DATA'!AO8)</f>
        <v>7570005276.1600008</v>
      </c>
      <c r="E22" s="1431">
        <f>IF('Historical DATA'!AP8="","",'Historical DATA'!AP8)</f>
        <v>7501402080.4799995</v>
      </c>
      <c r="F22" s="1433">
        <f>IF('Historical DATA'!AQ8="","",'Historical DATA'!AQ8)</f>
        <v>68603195.680001259</v>
      </c>
      <c r="G22" s="1259"/>
      <c r="H22" s="1447">
        <f>IF('Historical DATA'!AR8="","",'Historical DATA'!AR8)</f>
        <v>1</v>
      </c>
      <c r="I22" s="1431">
        <f>IF('Historical DATA'!AS8="","",'Historical DATA'!AS8)</f>
        <v>7126332174.3600006</v>
      </c>
      <c r="J22" s="1431">
        <f>IF('Historical DATA'!AT8="","",'Historical DATA'!AT8)</f>
        <v>87.479501076042652</v>
      </c>
      <c r="K22" s="1431">
        <f>IF('Historical DATA'!AU8="","",'Historical DATA'!AU8)</f>
        <v>7501402080.4799995</v>
      </c>
      <c r="L22" s="1450">
        <f>IF('Historical DATA'!AV8="","",'Historical DATA'!AV8)</f>
        <v>0.05</v>
      </c>
      <c r="M22" s="1446"/>
      <c r="N22" s="1445">
        <f>IF('Historical DATA'!AW8="","",'Historical DATA'!AW8)</f>
        <v>0.05</v>
      </c>
      <c r="O22" s="1436">
        <f>IF('Historical DATA'!AX8="","",'Historical DATA'!AX8)</f>
        <v>7501402080.4799995</v>
      </c>
      <c r="P22" s="1435">
        <f>IF('Historical DATA'!AY8="","",'Historical DATA'!AY8)</f>
        <v>375070104.02399999</v>
      </c>
      <c r="Q22" s="1259"/>
      <c r="R22" s="1434">
        <f>IF('Historical DATA'!AZ8="","",'Historical DATA'!AZ8)</f>
        <v>7501402080.4799995</v>
      </c>
      <c r="S22" s="1436">
        <f>IF('Historical DATA'!BA8="","",'Historical DATA'!BA8)</f>
        <v>375070104.02399999</v>
      </c>
      <c r="T22" s="1435">
        <f>IF('Historical DATA'!BB8="","",'Historical DATA'!BB8)</f>
        <v>7126331976.4559994</v>
      </c>
      <c r="U22" s="1259"/>
      <c r="V22" s="1434">
        <f>IF('Historical DATA'!BC8="","",'Historical DATA'!BC8)</f>
        <v>68603195.680001259</v>
      </c>
      <c r="W22" s="1436">
        <f>IF('Historical DATA'!BD8="","",'Historical DATA'!BD8)</f>
        <v>7191505015.1200008</v>
      </c>
      <c r="X22" s="1436">
        <f>IF('Historical DATA'!BE8="","",'Historical DATA'!BE8)</f>
        <v>375070104.02399999</v>
      </c>
      <c r="Y22" s="1435">
        <f>IF('Historical DATA'!BF8="","",'Historical DATA'!BF8)</f>
        <v>65173038.664001465</v>
      </c>
      <c r="Z22" s="1435" t="str">
        <f>IF('Historical DATA'!BG8="","",'Historical DATA'!BG8)</f>
        <v/>
      </c>
      <c r="AA22" s="1416"/>
      <c r="AB22" s="1434">
        <f>IF('Historical DATA'!BH8="","",'Historical DATA'!BH8)</f>
        <v>77732</v>
      </c>
      <c r="AC22" s="1436">
        <f>IF('Historical DATA'!BI8="","",'Historical DATA'!BI8)</f>
        <v>838.43</v>
      </c>
      <c r="AD22" s="1436">
        <f>IF('Historical DATA'!BJ8="","",'Historical DATA'!BJ8)</f>
        <v>65172840.759999998</v>
      </c>
      <c r="AE22" s="1435">
        <f>IF('Historical DATA'!BK8="","",'Historical DATA'!BK8)</f>
        <v>197.90400146692991</v>
      </c>
      <c r="AF22" s="1435" t="str">
        <f>IF('Historical DATA'!BL8="","",'Historical DATA'!BL8)</f>
        <v/>
      </c>
      <c r="AG22" s="1435" t="str">
        <f>IF('Historical DATA'!BM8="","",'Historical DATA'!BM8)</f>
        <v/>
      </c>
      <c r="AH22" s="1435" t="str">
        <f>IF('Historical DATA'!BN8="","",'Historical DATA'!BN8)</f>
        <v/>
      </c>
      <c r="AI22" s="1435" t="str">
        <f>IF('Historical DATA'!BO8="","",'Historical DATA'!BO8)</f>
        <v/>
      </c>
      <c r="AJ22" s="1416"/>
      <c r="AK22" s="1437">
        <f>IF('Historical DATA'!BP8="","",'Historical DATA'!BP8)</f>
        <v>68603195.680001259</v>
      </c>
      <c r="AL22" s="1431">
        <f>IF('Historical DATA'!BQ8="","",'Historical DATA'!BQ8)</f>
        <v>65172840.759999998</v>
      </c>
      <c r="AM22" s="1433">
        <f>IF('Historical DATA'!BR8="","",'Historical DATA'!BR8)</f>
        <v>3430157.015999794</v>
      </c>
      <c r="AN22" s="1416"/>
      <c r="AO22" s="1448">
        <f>IF('Historical DATA'!BS8="","",'Historical DATA'!BS8)</f>
        <v>4092</v>
      </c>
      <c r="AP22" s="1438">
        <f>IF('Historical DATA'!BT8="","",'Historical DATA'!BT8)</f>
        <v>838.25</v>
      </c>
      <c r="AQ22" s="1438">
        <f>IF('Historical DATA'!BU8="","",'Historical DATA'!BU8)</f>
        <v>3430119</v>
      </c>
      <c r="AR22" s="1439">
        <f>IF('Historical DATA'!BV8="","",'Historical DATA'!BV8)</f>
        <v>38.015999794006348</v>
      </c>
    </row>
    <row r="23" spans="2:88">
      <c r="B23" s="1653">
        <f>IF('Historical DATA'!B9="","",'Historical DATA'!B9)</f>
        <v>45866</v>
      </c>
      <c r="C23" s="304"/>
      <c r="D23" s="1437">
        <f>IF('Historical DATA'!AO9="","",'Historical DATA'!AO9)</f>
        <v>7635176578.2800007</v>
      </c>
      <c r="E23" s="1431">
        <f>IF('Historical DATA'!AP9="","",'Historical DATA'!AP9)</f>
        <v>7570005186.9899998</v>
      </c>
      <c r="F23" s="1433">
        <f>IF('Historical DATA'!AQ9="","",'Historical DATA'!AQ9)</f>
        <v>65171391.290000916</v>
      </c>
      <c r="G23" s="1259"/>
      <c r="H23" s="1447">
        <f>IF('Historical DATA'!AR9="","",'Historical DATA'!AR9)</f>
        <v>1</v>
      </c>
      <c r="I23" s="1431">
        <f>IF('Historical DATA'!AS9="","",'Historical DATA'!AS9)</f>
        <v>7191505015.1200008</v>
      </c>
      <c r="J23" s="1431">
        <f>IF('Historical DATA'!AT9="","",'Historical DATA'!AT9)</f>
        <v>627.74600147455931</v>
      </c>
      <c r="K23" s="1431">
        <f>IF('Historical DATA'!AU9="","",'Historical DATA'!AU9)</f>
        <v>7570005186.9899998</v>
      </c>
      <c r="L23" s="1450">
        <f>IF('Historical DATA'!AV9="","",'Historical DATA'!AV9)</f>
        <v>0.05</v>
      </c>
      <c r="M23" s="1446"/>
      <c r="N23" s="1445">
        <f>IF('Historical DATA'!AW9="","",'Historical DATA'!AW9)</f>
        <v>0.05</v>
      </c>
      <c r="O23" s="1436">
        <f>IF('Historical DATA'!AX9="","",'Historical DATA'!AX9)</f>
        <v>7570005186.9899998</v>
      </c>
      <c r="P23" s="1435">
        <f>IF('Historical DATA'!AY9="","",'Historical DATA'!AY9)</f>
        <v>378500259.3495</v>
      </c>
      <c r="Q23" s="1259"/>
      <c r="R23" s="1434">
        <f>IF('Historical DATA'!AZ9="","",'Historical DATA'!AZ9)</f>
        <v>7570005186.9899998</v>
      </c>
      <c r="S23" s="1436">
        <f>IF('Historical DATA'!BA9="","",'Historical DATA'!BA9)</f>
        <v>378500259.3495</v>
      </c>
      <c r="T23" s="1435">
        <f>IF('Historical DATA'!BB9="","",'Historical DATA'!BB9)</f>
        <v>7191504927.6405001</v>
      </c>
      <c r="U23" s="1259"/>
      <c r="V23" s="1434">
        <f>IF('Historical DATA'!BC9="","",'Historical DATA'!BC9)</f>
        <v>65171391.290000916</v>
      </c>
      <c r="W23" s="1436">
        <f>IF('Historical DATA'!BD9="","",'Historical DATA'!BD9)</f>
        <v>7253417775.8000011</v>
      </c>
      <c r="X23" s="1436">
        <f>IF('Historical DATA'!BE9="","",'Historical DATA'!BE9)</f>
        <v>378500259.3495</v>
      </c>
      <c r="Y23" s="1435">
        <f>IF('Historical DATA'!BF9="","",'Historical DATA'!BF9)</f>
        <v>61912848.159501076</v>
      </c>
      <c r="Z23" s="1435" t="str">
        <f>IF('Historical DATA'!BG9="","",'Historical DATA'!BG9)</f>
        <v/>
      </c>
      <c r="AA23" s="1416"/>
      <c r="AB23" s="1434">
        <f>IF('Historical DATA'!BH9="","",'Historical DATA'!BH9)</f>
        <v>77732</v>
      </c>
      <c r="AC23" s="1436">
        <f>IF('Historical DATA'!BI9="","",'Historical DATA'!BI9)</f>
        <v>796.49</v>
      </c>
      <c r="AD23" s="1436">
        <f>IF('Historical DATA'!BJ9="","",'Historical DATA'!BJ9)</f>
        <v>61912760.68</v>
      </c>
      <c r="AE23" s="1435">
        <f>IF('Historical DATA'!BK9="","",'Historical DATA'!BK9)</f>
        <v>87.479501076042652</v>
      </c>
      <c r="AF23" s="1435" t="str">
        <f>IF('Historical DATA'!BL9="","",'Historical DATA'!BL9)</f>
        <v/>
      </c>
      <c r="AG23" s="1435" t="str">
        <f>IF('Historical DATA'!BM9="","",'Historical DATA'!BM9)</f>
        <v/>
      </c>
      <c r="AH23" s="1435" t="str">
        <f>IF('Historical DATA'!BN9="","",'Historical DATA'!BN9)</f>
        <v/>
      </c>
      <c r="AI23" s="1435" t="str">
        <f>IF('Historical DATA'!BO9="","",'Historical DATA'!BO9)</f>
        <v/>
      </c>
      <c r="AJ23" s="1416"/>
      <c r="AK23" s="1437">
        <f>IF('Historical DATA'!BP9="","",'Historical DATA'!BP9)</f>
        <v>65171391.290000916</v>
      </c>
      <c r="AL23" s="1431">
        <f>IF('Historical DATA'!BQ9="","",'Historical DATA'!BQ9)</f>
        <v>61912760.68</v>
      </c>
      <c r="AM23" s="1433">
        <f>IF('Historical DATA'!BR9="","",'Historical DATA'!BR9)</f>
        <v>3258543.1304998398</v>
      </c>
      <c r="AN23" s="1416"/>
      <c r="AO23" s="1448">
        <f>IF('Historical DATA'!BS9="","",'Historical DATA'!BS9)</f>
        <v>4092</v>
      </c>
      <c r="AP23" s="1438">
        <f>IF('Historical DATA'!BT9="","",'Historical DATA'!BT9)</f>
        <v>796.32</v>
      </c>
      <c r="AQ23" s="1438">
        <f>IF('Historical DATA'!BU9="","",'Historical DATA'!BU9)</f>
        <v>3258541.4400000004</v>
      </c>
      <c r="AR23" s="1439">
        <f>IF('Historical DATA'!BV9="","",'Historical DATA'!BV9)</f>
        <v>1.6904998393729329</v>
      </c>
    </row>
    <row r="24" spans="2:88">
      <c r="B24" s="1653">
        <f>IF('Historical DATA'!B10="","",'Historical DATA'!B10)</f>
        <v>45835</v>
      </c>
      <c r="C24" s="304"/>
      <c r="D24" s="1437">
        <f>IF('Historical DATA'!AO10="","",'Historical DATA'!AO10)</f>
        <v>7700874867.8800011</v>
      </c>
      <c r="E24" s="1431">
        <f>IF('Historical DATA'!AP10="","",'Historical DATA'!AP10)</f>
        <v>7635175945.3199997</v>
      </c>
      <c r="F24" s="1433">
        <f>IF('Historical DATA'!AQ10="","",'Historical DATA'!AQ10)</f>
        <v>65698922.560001373</v>
      </c>
      <c r="G24" s="1259"/>
      <c r="H24" s="1447">
        <f>IF('Historical DATA'!AR10="","",'Historical DATA'!AR10)</f>
        <v>1</v>
      </c>
      <c r="I24" s="1431">
        <f>IF('Historical DATA'!AS10="","",'Historical DATA'!AS10)</f>
        <v>7253417775.8000011</v>
      </c>
      <c r="J24" s="1431">
        <f>IF('Historical DATA'!AT10="","",'Historical DATA'!AT10)</f>
        <v>375.88050166517496</v>
      </c>
      <c r="K24" s="1431">
        <f>IF('Historical DATA'!AU10="","",'Historical DATA'!AU10)</f>
        <v>7635175945.3199997</v>
      </c>
      <c r="L24" s="1450">
        <f>IF('Historical DATA'!AV10="","",'Historical DATA'!AV10)</f>
        <v>0.05</v>
      </c>
      <c r="M24" s="1446"/>
      <c r="N24" s="1445">
        <f>IF('Historical DATA'!AW10="","",'Historical DATA'!AW10)</f>
        <v>0.05</v>
      </c>
      <c r="O24" s="1436">
        <f>IF('Historical DATA'!AX10="","",'Historical DATA'!AX10)</f>
        <v>7635175945.3199997</v>
      </c>
      <c r="P24" s="1435">
        <f>IF('Historical DATA'!AY10="","",'Historical DATA'!AY10)</f>
        <v>381758797.26600003</v>
      </c>
      <c r="Q24" s="1259"/>
      <c r="R24" s="1434">
        <f>IF('Historical DATA'!AZ10="","",'Historical DATA'!AZ10)</f>
        <v>7635175945.3199997</v>
      </c>
      <c r="S24" s="1436">
        <f>IF('Historical DATA'!BA10="","",'Historical DATA'!BA10)</f>
        <v>381758797.26600003</v>
      </c>
      <c r="T24" s="1435">
        <f>IF('Historical DATA'!BB10="","",'Historical DATA'!BB10)</f>
        <v>7253417148.0539999</v>
      </c>
      <c r="U24" s="1259"/>
      <c r="V24" s="1434">
        <f>IF('Historical DATA'!BC10="","",'Historical DATA'!BC10)</f>
        <v>65698922.560001373</v>
      </c>
      <c r="W24" s="1436">
        <f>IF('Historical DATA'!BD10="","",'Historical DATA'!BD10)</f>
        <v>7315831130.5600014</v>
      </c>
      <c r="X24" s="1436">
        <f>IF('Historical DATA'!BE10="","",'Historical DATA'!BE10)</f>
        <v>381758797.26600003</v>
      </c>
      <c r="Y24" s="1435">
        <f>IF('Historical DATA'!BF10="","",'Historical DATA'!BF10)</f>
        <v>62413982.506001472</v>
      </c>
      <c r="Z24" s="1435" t="str">
        <f>IF('Historical DATA'!BG10="","",'Historical DATA'!BG10)</f>
        <v/>
      </c>
      <c r="AA24" s="1416"/>
      <c r="AB24" s="1434">
        <f>IF('Historical DATA'!BH10="","",'Historical DATA'!BH10)</f>
        <v>77732</v>
      </c>
      <c r="AC24" s="1436">
        <f>IF('Historical DATA'!BI10="","",'Historical DATA'!BI10)</f>
        <v>802.93</v>
      </c>
      <c r="AD24" s="1436">
        <f>IF('Historical DATA'!BJ10="","",'Historical DATA'!BJ10)</f>
        <v>62413354.759999998</v>
      </c>
      <c r="AE24" s="1435">
        <f>IF('Historical DATA'!BK10="","",'Historical DATA'!BK10)</f>
        <v>627.74600147455931</v>
      </c>
      <c r="AF24" s="1435" t="str">
        <f>IF('Historical DATA'!BL10="","",'Historical DATA'!BL10)</f>
        <v/>
      </c>
      <c r="AG24" s="1435" t="str">
        <f>IF('Historical DATA'!BM10="","",'Historical DATA'!BM10)</f>
        <v/>
      </c>
      <c r="AH24" s="1435" t="str">
        <f>IF('Historical DATA'!BN10="","",'Historical DATA'!BN10)</f>
        <v/>
      </c>
      <c r="AI24" s="1435" t="str">
        <f>IF('Historical DATA'!BO10="","",'Historical DATA'!BO10)</f>
        <v/>
      </c>
      <c r="AJ24" s="1416"/>
      <c r="AK24" s="1437">
        <f>IF('Historical DATA'!BP10="","",'Historical DATA'!BP10)</f>
        <v>65698922.560001373</v>
      </c>
      <c r="AL24" s="1431">
        <f>IF('Historical DATA'!BQ10="","",'Historical DATA'!BQ10)</f>
        <v>62413354.759999998</v>
      </c>
      <c r="AM24" s="1433">
        <f>IF('Historical DATA'!BR10="","",'Historical DATA'!BR10)</f>
        <v>3284940.0539999008</v>
      </c>
      <c r="AN24" s="1416"/>
      <c r="AO24" s="1448">
        <f>IF('Historical DATA'!BS10="","",'Historical DATA'!BS10)</f>
        <v>4092</v>
      </c>
      <c r="AP24" s="1438">
        <f>IF('Historical DATA'!BT10="","",'Historical DATA'!BT10)</f>
        <v>802.77</v>
      </c>
      <c r="AQ24" s="1438">
        <f>IF('Historical DATA'!BU10="","",'Historical DATA'!BU10)</f>
        <v>3284934.84</v>
      </c>
      <c r="AR24" s="1439">
        <f>IF('Historical DATA'!BV10="","",'Historical DATA'!BV10)</f>
        <v>5.2139999009668827</v>
      </c>
    </row>
    <row r="25" spans="2:88">
      <c r="B25" s="1653">
        <f>IF('Historical DATA'!B11="","",'Historical DATA'!B11)</f>
        <v>45804</v>
      </c>
      <c r="C25" s="304"/>
      <c r="D25" s="1437">
        <f>IF('Historical DATA'!AO11="","",'Historical DATA'!AO11)</f>
        <v>7762585055.7200012</v>
      </c>
      <c r="E25" s="1431">
        <f>IF('Historical DATA'!AP11="","",'Historical DATA'!AP11)</f>
        <v>7700874478.6099997</v>
      </c>
      <c r="F25" s="1433">
        <f>IF('Historical DATA'!AQ11="","",'Historical DATA'!AQ11)</f>
        <v>61710577.110001564</v>
      </c>
      <c r="G25" s="1259"/>
      <c r="H25" s="1447">
        <f>IF('Historical DATA'!AR11="","",'Historical DATA'!AR11)</f>
        <v>1</v>
      </c>
      <c r="I25" s="1431">
        <f>IF('Historical DATA'!AS11="","",'Historical DATA'!AS11)</f>
        <v>7315831130.5600014</v>
      </c>
      <c r="J25" s="1431">
        <f>IF('Historical DATA'!AT11="","",'Historical DATA'!AT11)</f>
        <v>761.32650145888329</v>
      </c>
      <c r="K25" s="1431">
        <f>IF('Historical DATA'!AU11="","",'Historical DATA'!AU11)</f>
        <v>7700874478.6099997</v>
      </c>
      <c r="L25" s="1450">
        <f>IF('Historical DATA'!AV11="","",'Historical DATA'!AV11)</f>
        <v>0.05</v>
      </c>
      <c r="M25" s="1446"/>
      <c r="N25" s="1445">
        <f>IF('Historical DATA'!AW11="","",'Historical DATA'!AW11)</f>
        <v>0.05</v>
      </c>
      <c r="O25" s="1436">
        <f>IF('Historical DATA'!AX11="","",'Historical DATA'!AX11)</f>
        <v>7700874478.6099997</v>
      </c>
      <c r="P25" s="1435">
        <f>IF('Historical DATA'!AY11="","",'Historical DATA'!AY11)</f>
        <v>385043723.93050003</v>
      </c>
      <c r="Q25" s="1259"/>
      <c r="R25" s="1434">
        <f>IF('Historical DATA'!AZ11="","",'Historical DATA'!AZ11)</f>
        <v>7700874478.6099997</v>
      </c>
      <c r="S25" s="1436">
        <f>IF('Historical DATA'!BA11="","",'Historical DATA'!BA11)</f>
        <v>385043723.93050003</v>
      </c>
      <c r="T25" s="1435">
        <f>IF('Historical DATA'!BB11="","",'Historical DATA'!BB11)</f>
        <v>7315830754.6794996</v>
      </c>
      <c r="U25" s="1259"/>
      <c r="V25" s="1434">
        <f>IF('Historical DATA'!BC11="","",'Historical DATA'!BC11)</f>
        <v>61710577.110001564</v>
      </c>
      <c r="W25" s="1436">
        <f>IF('Historical DATA'!BD11="","",'Historical DATA'!BD11)</f>
        <v>7374455827.6400013</v>
      </c>
      <c r="X25" s="1436">
        <f>IF('Historical DATA'!BE11="","",'Historical DATA'!BE11)</f>
        <v>385043723.93050003</v>
      </c>
      <c r="Y25" s="1435">
        <f>IF('Historical DATA'!BF11="","",'Historical DATA'!BF11)</f>
        <v>58625072.960501671</v>
      </c>
      <c r="Z25" s="1435" t="str">
        <f>IF('Historical DATA'!BG11="","",'Historical DATA'!BG11)</f>
        <v/>
      </c>
      <c r="AA25" s="1416"/>
      <c r="AB25" s="1434">
        <f>IF('Historical DATA'!BH11="","",'Historical DATA'!BH11)</f>
        <v>77732</v>
      </c>
      <c r="AC25" s="1436">
        <f>IF('Historical DATA'!BI11="","",'Historical DATA'!BI11)</f>
        <v>754.19</v>
      </c>
      <c r="AD25" s="1436">
        <f>IF('Historical DATA'!BJ11="","",'Historical DATA'!BJ11)</f>
        <v>58624697.080000006</v>
      </c>
      <c r="AE25" s="1435">
        <f>IF('Historical DATA'!BK11="","",'Historical DATA'!BK11)</f>
        <v>375.88050166517496</v>
      </c>
      <c r="AF25" s="1435" t="str">
        <f>IF('Historical DATA'!BL11="","",'Historical DATA'!BL11)</f>
        <v/>
      </c>
      <c r="AG25" s="1435" t="str">
        <f>IF('Historical DATA'!BM11="","",'Historical DATA'!BM11)</f>
        <v/>
      </c>
      <c r="AH25" s="1435" t="str">
        <f>IF('Historical DATA'!BN11="","",'Historical DATA'!BN11)</f>
        <v/>
      </c>
      <c r="AI25" s="1435" t="str">
        <f>IF('Historical DATA'!BO11="","",'Historical DATA'!BO11)</f>
        <v/>
      </c>
      <c r="AJ25" s="1416"/>
      <c r="AK25" s="1437">
        <f>IF('Historical DATA'!BP11="","",'Historical DATA'!BP11)</f>
        <v>61710577.110001564</v>
      </c>
      <c r="AL25" s="1431">
        <f>IF('Historical DATA'!BQ11="","",'Historical DATA'!BQ11)</f>
        <v>58624697.080000006</v>
      </c>
      <c r="AM25" s="1433">
        <f>IF('Historical DATA'!BR11="","",'Historical DATA'!BR11)</f>
        <v>3085504.1494998932</v>
      </c>
      <c r="AN25" s="1416"/>
      <c r="AO25" s="1448">
        <f>IF('Historical DATA'!BS11="","",'Historical DATA'!BS11)</f>
        <v>4092</v>
      </c>
      <c r="AP25" s="1438">
        <f>IF('Historical DATA'!BT11="","",'Historical DATA'!BT11)</f>
        <v>754.03</v>
      </c>
      <c r="AQ25" s="1438">
        <f>IF('Historical DATA'!BU11="","",'Historical DATA'!BU11)</f>
        <v>3085490.76</v>
      </c>
      <c r="AR25" s="1439">
        <f>IF('Historical DATA'!BV11="","",'Historical DATA'!BV11)</f>
        <v>13.389499893411994</v>
      </c>
    </row>
    <row r="26" spans="2:88">
      <c r="B26" s="1653">
        <f>IF('Historical DATA'!B12="","",'Historical DATA'!B12)</f>
        <v>45775</v>
      </c>
      <c r="C26" s="304"/>
      <c r="D26" s="1437">
        <f>IF('Historical DATA'!AO12="","",'Historical DATA'!AO12)</f>
        <v>7821841382.7200012</v>
      </c>
      <c r="E26" s="1431">
        <f>IF('Historical DATA'!AP12="","",'Historical DATA'!AP12)</f>
        <v>7762584280.3299999</v>
      </c>
      <c r="F26" s="1433">
        <f>IF('Historical DATA'!AQ12="","",'Historical DATA'!AQ12)</f>
        <v>59257102.390001297</v>
      </c>
      <c r="G26" s="1259"/>
      <c r="H26" s="1447">
        <f>IF('Historical DATA'!AR12="","",'Historical DATA'!AR12)</f>
        <v>1</v>
      </c>
      <c r="I26" s="1431">
        <f>IF('Historical DATA'!AS12="","",'Historical DATA'!AS12)</f>
        <v>7374455827.6400013</v>
      </c>
      <c r="J26" s="1431">
        <f>IF('Historical DATA'!AT12="","",'Historical DATA'!AT12)</f>
        <v>688.95300125330687</v>
      </c>
      <c r="K26" s="1431">
        <f>IF('Historical DATA'!AU12="","",'Historical DATA'!AU12)</f>
        <v>7762584280.3299999</v>
      </c>
      <c r="L26" s="1450">
        <f>IF('Historical DATA'!AV12="","",'Historical DATA'!AV12)</f>
        <v>0.05</v>
      </c>
      <c r="M26" s="1446"/>
      <c r="N26" s="1445">
        <f>IF('Historical DATA'!AW12="","",'Historical DATA'!AW12)</f>
        <v>0.05</v>
      </c>
      <c r="O26" s="1436">
        <f>IF('Historical DATA'!AX12="","",'Historical DATA'!AX12)</f>
        <v>7762584280.3299999</v>
      </c>
      <c r="P26" s="1435">
        <f>IF('Historical DATA'!AY12="","",'Historical DATA'!AY12)</f>
        <v>388129214.0165</v>
      </c>
      <c r="Q26" s="1259"/>
      <c r="R26" s="1434">
        <f>IF('Historical DATA'!AZ12="","",'Historical DATA'!AZ12)</f>
        <v>7762584280.3299999</v>
      </c>
      <c r="S26" s="1436">
        <f>IF('Historical DATA'!BA12="","",'Historical DATA'!BA12)</f>
        <v>388129214.0165</v>
      </c>
      <c r="T26" s="1435">
        <f>IF('Historical DATA'!BB12="","",'Historical DATA'!BB12)</f>
        <v>7374455066.3134995</v>
      </c>
      <c r="U26" s="1259"/>
      <c r="V26" s="1434">
        <f>IF('Historical DATA'!BC12="","",'Historical DATA'!BC12)</f>
        <v>59257102.390001297</v>
      </c>
      <c r="W26" s="1436">
        <f>IF('Historical DATA'!BD12="","",'Historical DATA'!BD12)</f>
        <v>7430749342.0400009</v>
      </c>
      <c r="X26" s="1436">
        <f>IF('Historical DATA'!BE12="","",'Historical DATA'!BE12)</f>
        <v>388129214.0165</v>
      </c>
      <c r="Y26" s="1435">
        <f>IF('Historical DATA'!BF12="","",'Historical DATA'!BF12)</f>
        <v>56294275.726501465</v>
      </c>
      <c r="Z26" s="1435" t="str">
        <f>IF('Historical DATA'!BG12="","",'Historical DATA'!BG12)</f>
        <v/>
      </c>
      <c r="AA26" s="1416"/>
      <c r="AB26" s="1434">
        <f>IF('Historical DATA'!BH12="","",'Historical DATA'!BH12)</f>
        <v>77732</v>
      </c>
      <c r="AC26" s="1436">
        <f>IF('Historical DATA'!BI12="","",'Historical DATA'!BI12)</f>
        <v>724.2</v>
      </c>
      <c r="AD26" s="1436">
        <f>IF('Historical DATA'!BJ12="","",'Historical DATA'!BJ12)</f>
        <v>56293514.400000006</v>
      </c>
      <c r="AE26" s="1435">
        <f>IF('Historical DATA'!BK12="","",'Historical DATA'!BK12)</f>
        <v>761.32650145888329</v>
      </c>
      <c r="AF26" s="1435" t="str">
        <f>IF('Historical DATA'!BL12="","",'Historical DATA'!BL12)</f>
        <v/>
      </c>
      <c r="AG26" s="1435" t="str">
        <f>IF('Historical DATA'!BM12="","",'Historical DATA'!BM12)</f>
        <v/>
      </c>
      <c r="AH26" s="1435" t="str">
        <f>IF('Historical DATA'!BN12="","",'Historical DATA'!BN12)</f>
        <v/>
      </c>
      <c r="AI26" s="1435" t="str">
        <f>IF('Historical DATA'!BO12="","",'Historical DATA'!BO12)</f>
        <v/>
      </c>
      <c r="AJ26" s="1416"/>
      <c r="AK26" s="1437">
        <f>IF('Historical DATA'!BP12="","",'Historical DATA'!BP12)</f>
        <v>59257102.390001297</v>
      </c>
      <c r="AL26" s="1431">
        <f>IF('Historical DATA'!BQ12="","",'Historical DATA'!BQ12)</f>
        <v>56293514.400000006</v>
      </c>
      <c r="AM26" s="1433">
        <f>IF('Historical DATA'!BR12="","",'Historical DATA'!BR12)</f>
        <v>2962826.6634998322</v>
      </c>
      <c r="AN26" s="1416"/>
      <c r="AO26" s="1448">
        <f>IF('Historical DATA'!BS12="","",'Historical DATA'!BS12)</f>
        <v>4092</v>
      </c>
      <c r="AP26" s="1438">
        <f>IF('Historical DATA'!BT12="","",'Historical DATA'!BT12)</f>
        <v>724.05</v>
      </c>
      <c r="AQ26" s="1438">
        <f>IF('Historical DATA'!BU12="","",'Historical DATA'!BU12)</f>
        <v>2962812.5999999996</v>
      </c>
      <c r="AR26" s="1439">
        <f>IF('Historical DATA'!BV12="","",'Historical DATA'!BV12)</f>
        <v>14.063499832525849</v>
      </c>
    </row>
    <row r="27" spans="2:88">
      <c r="B27" s="1653">
        <f>IF('Historical DATA'!B13="","",'Historical DATA'!B13)</f>
        <v>45743</v>
      </c>
      <c r="C27" s="304"/>
      <c r="D27" s="1437">
        <f>IF('Historical DATA'!AO13="","",'Historical DATA'!AO13)</f>
        <v>7882098417.2400007</v>
      </c>
      <c r="E27" s="1431">
        <f>IF('Historical DATA'!AP13="","",'Historical DATA'!AP13)</f>
        <v>7821840687.46</v>
      </c>
      <c r="F27" s="1433">
        <f>IF('Historical DATA'!AQ13="","",'Historical DATA'!AQ13)</f>
        <v>60257729.780000687</v>
      </c>
      <c r="G27" s="1259"/>
      <c r="H27" s="1447">
        <f>IF('Historical DATA'!AR13="","",'Historical DATA'!AR13)</f>
        <v>1</v>
      </c>
      <c r="I27" s="1431">
        <f>IF('Historical DATA'!AS13="","",'Historical DATA'!AS13)</f>
        <v>7430749342.0400009</v>
      </c>
      <c r="J27" s="1431">
        <f>IF('Historical DATA'!AT13="","",'Historical DATA'!AT13)</f>
        <v>678.18800121545792</v>
      </c>
      <c r="K27" s="1431">
        <f>IF('Historical DATA'!AU13="","",'Historical DATA'!AU13)</f>
        <v>7821840687.46</v>
      </c>
      <c r="L27" s="1450">
        <f>IF('Historical DATA'!AV13="","",'Historical DATA'!AV13)</f>
        <v>0.05</v>
      </c>
      <c r="M27" s="1446"/>
      <c r="N27" s="1445">
        <f>IF('Historical DATA'!AW13="","",'Historical DATA'!AW13)</f>
        <v>0.05</v>
      </c>
      <c r="O27" s="1436">
        <f>IF('Historical DATA'!AX13="","",'Historical DATA'!AX13)</f>
        <v>7821840687.46</v>
      </c>
      <c r="P27" s="1435">
        <f>IF('Historical DATA'!AY13="","",'Historical DATA'!AY13)</f>
        <v>391092034.37300003</v>
      </c>
      <c r="Q27" s="1259"/>
      <c r="R27" s="1434">
        <f>IF('Historical DATA'!AZ13="","",'Historical DATA'!AZ13)</f>
        <v>7821840687.46</v>
      </c>
      <c r="S27" s="1436">
        <f>IF('Historical DATA'!BA13="","",'Historical DATA'!BA13)</f>
        <v>391092034.37300003</v>
      </c>
      <c r="T27" s="1435">
        <f>IF('Historical DATA'!BB13="","",'Historical DATA'!BB13)</f>
        <v>7430748653.0869999</v>
      </c>
      <c r="U27" s="1259"/>
      <c r="V27" s="1434">
        <f>IF('Historical DATA'!BC13="","",'Historical DATA'!BC13)</f>
        <v>60257729.780000687</v>
      </c>
      <c r="W27" s="1436">
        <f>IF('Historical DATA'!BD13="","",'Historical DATA'!BD13)</f>
        <v>7487993518.8000011</v>
      </c>
      <c r="X27" s="1436">
        <f>IF('Historical DATA'!BE13="","",'Historical DATA'!BE13)</f>
        <v>391092034.37300003</v>
      </c>
      <c r="Y27" s="1435">
        <f>IF('Historical DATA'!BF13="","",'Historical DATA'!BF13)</f>
        <v>57244865.713001251</v>
      </c>
      <c r="Z27" s="1435" t="str">
        <f>IF('Historical DATA'!BG13="","",'Historical DATA'!BG13)</f>
        <v/>
      </c>
      <c r="AA27" s="1416"/>
      <c r="AB27" s="1434">
        <f>IF('Historical DATA'!BH13="","",'Historical DATA'!BH13)</f>
        <v>77732</v>
      </c>
      <c r="AC27" s="1436">
        <f>IF('Historical DATA'!BI13="","",'Historical DATA'!BI13)</f>
        <v>736.43</v>
      </c>
      <c r="AD27" s="1436">
        <f>IF('Historical DATA'!BJ13="","",'Historical DATA'!BJ13)</f>
        <v>57244176.759999998</v>
      </c>
      <c r="AE27" s="1435">
        <f>IF('Historical DATA'!BK13="","",'Historical DATA'!BK13)</f>
        <v>688.95300125330687</v>
      </c>
      <c r="AF27" s="1435" t="str">
        <f>IF('Historical DATA'!BL13="","",'Historical DATA'!BL13)</f>
        <v/>
      </c>
      <c r="AG27" s="1435" t="str">
        <f>IF('Historical DATA'!BM13="","",'Historical DATA'!BM13)</f>
        <v/>
      </c>
      <c r="AH27" s="1435" t="str">
        <f>IF('Historical DATA'!BN13="","",'Historical DATA'!BN13)</f>
        <v/>
      </c>
      <c r="AI27" s="1435" t="str">
        <f>IF('Historical DATA'!BO13="","",'Historical DATA'!BO13)</f>
        <v/>
      </c>
      <c r="AJ27" s="1416"/>
      <c r="AK27" s="1437">
        <f>IF('Historical DATA'!BP13="","",'Historical DATA'!BP13)</f>
        <v>60257729.780000687</v>
      </c>
      <c r="AL27" s="1431">
        <f>IF('Historical DATA'!BQ13="","",'Historical DATA'!BQ13)</f>
        <v>57244176.759999998</v>
      </c>
      <c r="AM27" s="1433">
        <f>IF('Historical DATA'!BR13="","",'Historical DATA'!BR13)</f>
        <v>3012864.0669994354</v>
      </c>
      <c r="AN27" s="1416"/>
      <c r="AO27" s="1448">
        <f>IF('Historical DATA'!BS13="","",'Historical DATA'!BS13)</f>
        <v>4092</v>
      </c>
      <c r="AP27" s="1438">
        <f>IF('Historical DATA'!BT13="","",'Historical DATA'!BT13)</f>
        <v>736.28</v>
      </c>
      <c r="AQ27" s="1438">
        <f>IF('Historical DATA'!BU13="","",'Historical DATA'!BU13)</f>
        <v>3012857.76</v>
      </c>
      <c r="AR27" s="1439">
        <f>IF('Historical DATA'!BV13="","",'Historical DATA'!BV13)</f>
        <v>6.3069994356483221</v>
      </c>
    </row>
    <row r="28" spans="2:88">
      <c r="B28" s="1653">
        <f>IF('Historical DATA'!B14="","",'Historical DATA'!B14)</f>
        <v>45715</v>
      </c>
      <c r="C28" s="304"/>
      <c r="D28" s="1437">
        <f>IF('Historical DATA'!AO14="","",'Historical DATA'!AO14)</f>
        <v>7942231938.4400005</v>
      </c>
      <c r="E28" s="1431">
        <f>IF('Historical DATA'!AP14="","",'Historical DATA'!AP14)</f>
        <v>7882097726.96</v>
      </c>
      <c r="F28" s="1433">
        <f>IF('Historical DATA'!AQ14="","",'Historical DATA'!AQ14)</f>
        <v>60134211.480000496</v>
      </c>
      <c r="G28" s="1259"/>
      <c r="H28" s="1447">
        <f>IF('Historical DATA'!AR14="","",'Historical DATA'!AR14)</f>
        <v>1</v>
      </c>
      <c r="I28" s="1431">
        <f>IF('Historical DATA'!AS14="","",'Historical DATA'!AS14)</f>
        <v>7487993518.8000011</v>
      </c>
      <c r="J28" s="1431">
        <f>IF('Historical DATA'!AT14="","",'Historical DATA'!AT14)</f>
        <v>225.95000049471855</v>
      </c>
      <c r="K28" s="1431">
        <f>IF('Historical DATA'!AU14="","",'Historical DATA'!AU14)</f>
        <v>7882097726.96</v>
      </c>
      <c r="L28" s="1450">
        <f>IF('Historical DATA'!AV14="","",'Historical DATA'!AV14)</f>
        <v>0.05</v>
      </c>
      <c r="M28" s="1446"/>
      <c r="N28" s="1445">
        <f>IF('Historical DATA'!AW14="","",'Historical DATA'!AW14)</f>
        <v>0.05</v>
      </c>
      <c r="O28" s="1436">
        <f>IF('Historical DATA'!AX14="","",'Historical DATA'!AX14)</f>
        <v>7882097726.96</v>
      </c>
      <c r="P28" s="1435">
        <f>IF('Historical DATA'!AY14="","",'Historical DATA'!AY14)</f>
        <v>394104886.34800005</v>
      </c>
      <c r="Q28" s="1259"/>
      <c r="R28" s="1434">
        <f>IF('Historical DATA'!AZ14="","",'Historical DATA'!AZ14)</f>
        <v>7882097726.96</v>
      </c>
      <c r="S28" s="1436">
        <f>IF('Historical DATA'!BA14="","",'Historical DATA'!BA14)</f>
        <v>394104886.34800005</v>
      </c>
      <c r="T28" s="1435">
        <f>IF('Historical DATA'!BB14="","",'Historical DATA'!BB14)</f>
        <v>7487992840.6119995</v>
      </c>
      <c r="U28" s="1259"/>
      <c r="V28" s="1434">
        <f>IF('Historical DATA'!BC14="","",'Historical DATA'!BC14)</f>
        <v>60134211.480000496</v>
      </c>
      <c r="W28" s="1436">
        <f>IF('Historical DATA'!BD14="","",'Historical DATA'!BD14)</f>
        <v>7545120320.2400007</v>
      </c>
      <c r="X28" s="1436">
        <f>IF('Historical DATA'!BE14="","",'Historical DATA'!BE14)</f>
        <v>394104886.34800005</v>
      </c>
      <c r="Y28" s="1435">
        <f>IF('Historical DATA'!BF14="","",'Historical DATA'!BF14)</f>
        <v>57127479.628001213</v>
      </c>
      <c r="Z28" s="1435" t="str">
        <f>IF('Historical DATA'!BG14="","",'Historical DATA'!BG14)</f>
        <v/>
      </c>
      <c r="AA28" s="1416"/>
      <c r="AB28" s="1434">
        <f>IF('Historical DATA'!BH14="","",'Historical DATA'!BH14)</f>
        <v>77732</v>
      </c>
      <c r="AC28" s="1436">
        <f>IF('Historical DATA'!BI14="","",'Historical DATA'!BI14)</f>
        <v>734.92</v>
      </c>
      <c r="AD28" s="1436">
        <f>IF('Historical DATA'!BJ14="","",'Historical DATA'!BJ14)</f>
        <v>57126801.439999998</v>
      </c>
      <c r="AE28" s="1435">
        <f>IF('Historical DATA'!BK14="","",'Historical DATA'!BK14)</f>
        <v>678.18800121545792</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60134211.480000496</v>
      </c>
      <c r="AL28" s="1431">
        <f>IF('Historical DATA'!BQ14="","",'Historical DATA'!BQ14)</f>
        <v>57126801.439999998</v>
      </c>
      <c r="AM28" s="1433">
        <f>IF('Historical DATA'!BR14="","",'Historical DATA'!BR14)</f>
        <v>3006731.8519992828</v>
      </c>
      <c r="AN28" s="1416"/>
      <c r="AO28" s="1448">
        <f>IF('Historical DATA'!BS14="","",'Historical DATA'!BS14)</f>
        <v>4092</v>
      </c>
      <c r="AP28" s="1438">
        <f>IF('Historical DATA'!BT14="","",'Historical DATA'!BT14)</f>
        <v>734.78</v>
      </c>
      <c r="AQ28" s="1438">
        <f>IF('Historical DATA'!BU14="","",'Historical DATA'!BU14)</f>
        <v>3006719.76</v>
      </c>
      <c r="AR28" s="1439">
        <f>IF('Historical DATA'!BV14="","",'Historical DATA'!BV14)</f>
        <v>12.091999283060431</v>
      </c>
    </row>
    <row r="29" spans="2:88">
      <c r="B29" s="1653">
        <f>IF('Historical DATA'!B15="","",'Historical DATA'!B15)</f>
        <v>45684</v>
      </c>
      <c r="C29" s="304"/>
      <c r="D29" s="1437">
        <f>IF('Historical DATA'!AO15="","",'Historical DATA'!AO15)</f>
        <v>8062678870.8800001</v>
      </c>
      <c r="E29" s="1431">
        <f>IF('Historical DATA'!AP15="","",'Historical DATA'!AP15)</f>
        <v>7942231678.1999998</v>
      </c>
      <c r="F29" s="1433">
        <f>IF('Historical DATA'!AQ15="","",'Historical DATA'!AQ15)</f>
        <v>120447192.68000031</v>
      </c>
      <c r="G29" s="1259"/>
      <c r="H29" s="1447">
        <f>IF('Historical DATA'!AR15="","",'Historical DATA'!AR15)</f>
        <v>1</v>
      </c>
      <c r="I29" s="1431">
        <f>IF('Historical DATA'!AS15="","",'Historical DATA'!AS15)</f>
        <v>7545120320.2400007</v>
      </c>
      <c r="J29" s="1431">
        <f>IF('Historical DATA'!AT15="","",'Historical DATA'!AT15)</f>
        <v>423.66149974614382</v>
      </c>
      <c r="K29" s="1431">
        <f>IF('Historical DATA'!AU15="","",'Historical DATA'!AU15)</f>
        <v>7942231678.1999998</v>
      </c>
      <c r="L29" s="1450">
        <f>IF('Historical DATA'!AV15="","",'Historical DATA'!AV15)</f>
        <v>0.05</v>
      </c>
      <c r="M29" s="1446"/>
      <c r="N29" s="1445">
        <f>IF('Historical DATA'!AW15="","",'Historical DATA'!AW15)</f>
        <v>0.05</v>
      </c>
      <c r="O29" s="1436">
        <f>IF('Historical DATA'!AX15="","",'Historical DATA'!AX15)</f>
        <v>7942231678.1999998</v>
      </c>
      <c r="P29" s="1435">
        <f>IF('Historical DATA'!AY15="","",'Historical DATA'!AY15)</f>
        <v>397111583.91000003</v>
      </c>
      <c r="Q29" s="1259"/>
      <c r="R29" s="1434">
        <f>IF('Historical DATA'!AZ15="","",'Historical DATA'!AZ15)</f>
        <v>7942231678.1999998</v>
      </c>
      <c r="S29" s="1436">
        <f>IF('Historical DATA'!BA15="","",'Historical DATA'!BA15)</f>
        <v>397111583.91000003</v>
      </c>
      <c r="T29" s="1435">
        <f>IF('Historical DATA'!BB15="","",'Historical DATA'!BB15)</f>
        <v>7545120094.29</v>
      </c>
      <c r="U29" s="1259"/>
      <c r="V29" s="1434">
        <f>IF('Historical DATA'!BC15="","",'Historical DATA'!BC15)</f>
        <v>120447192.68000031</v>
      </c>
      <c r="W29" s="1436">
        <f>IF('Historical DATA'!BD15="","",'Historical DATA'!BD15)</f>
        <v>7659544933.5200005</v>
      </c>
      <c r="X29" s="1436">
        <f>IF('Historical DATA'!BE15="","",'Historical DATA'!BE15)</f>
        <v>397111583.91000003</v>
      </c>
      <c r="Y29" s="1435">
        <f>IF('Historical DATA'!BF15="","",'Historical DATA'!BF15)</f>
        <v>114424839.2300005</v>
      </c>
      <c r="Z29" s="1435" t="str">
        <f>IF('Historical DATA'!BG15="","",'Historical DATA'!BG15)</f>
        <v/>
      </c>
      <c r="AA29" s="1416"/>
      <c r="AB29" s="1434">
        <f>IF('Historical DATA'!BH15="","",'Historical DATA'!BH15)</f>
        <v>77732</v>
      </c>
      <c r="AC29" s="1436">
        <f>IF('Historical DATA'!BI15="","",'Historical DATA'!BI15)</f>
        <v>1472.04</v>
      </c>
      <c r="AD29" s="1436">
        <f>IF('Historical DATA'!BJ15="","",'Historical DATA'!BJ15)</f>
        <v>114424613.28</v>
      </c>
      <c r="AE29" s="1435">
        <f>IF('Historical DATA'!BK15="","",'Historical DATA'!BK15)</f>
        <v>225.95000049471855</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120447192.68000031</v>
      </c>
      <c r="AL29" s="1431">
        <f>IF('Historical DATA'!BQ15="","",'Historical DATA'!BQ15)</f>
        <v>114424613.28</v>
      </c>
      <c r="AM29" s="1433">
        <f>IF('Historical DATA'!BR15="","",'Historical DATA'!BR15)</f>
        <v>6022353.4499998093</v>
      </c>
      <c r="AN29" s="1416"/>
      <c r="AO29" s="1448">
        <f>IF('Historical DATA'!BS15="","",'Historical DATA'!BS15)</f>
        <v>4092</v>
      </c>
      <c r="AP29" s="1438">
        <f>IF('Historical DATA'!BT15="","",'Historical DATA'!BT15)</f>
        <v>1471.73</v>
      </c>
      <c r="AQ29" s="1438">
        <f>IF('Historical DATA'!BU15="","",'Historical DATA'!BU15)</f>
        <v>6022319.1600000001</v>
      </c>
      <c r="AR29" s="1439">
        <f>IF('Historical DATA'!BV15="","",'Historical DATA'!BV15)</f>
        <v>34.289999809116125</v>
      </c>
    </row>
    <row r="30" spans="2:88">
      <c r="B30" s="1653">
        <f>IF('Historical DATA'!B16="","",'Historical DATA'!B16)</f>
        <v>45653</v>
      </c>
      <c r="C30" s="304"/>
      <c r="D30" s="1437">
        <f>IF('Historical DATA'!AO16="","",'Historical DATA'!AO16)</f>
        <v>8120799480.7600002</v>
      </c>
      <c r="E30" s="1431">
        <f>IF('Historical DATA'!AP16="","",'Historical DATA'!AP16)</f>
        <v>8062678431.4300003</v>
      </c>
      <c r="F30" s="1433">
        <f>IF('Historical DATA'!AQ16="","",'Historical DATA'!AQ16)</f>
        <v>58121049.329999924</v>
      </c>
      <c r="G30" s="1259"/>
      <c r="H30" s="1447">
        <f>IF('Historical DATA'!AR16="","",'Historical DATA'!AR16)</f>
        <v>1</v>
      </c>
      <c r="I30" s="1431">
        <f>IF('Historical DATA'!AS16="","",'Historical DATA'!AS16)</f>
        <v>7659544933.5200005</v>
      </c>
      <c r="J30" s="1431">
        <f>IF('Historical DATA'!AT16="","",'Historical DATA'!AT16)</f>
        <v>542.6830003336072</v>
      </c>
      <c r="K30" s="1431">
        <f>IF('Historical DATA'!AU16="","",'Historical DATA'!AU16)</f>
        <v>8062678431.4300003</v>
      </c>
      <c r="L30" s="1450">
        <f>IF('Historical DATA'!AV16="","",'Historical DATA'!AV16)</f>
        <v>0.05</v>
      </c>
      <c r="M30" s="1446"/>
      <c r="N30" s="1445">
        <f>IF('Historical DATA'!AW16="","",'Historical DATA'!AW16)</f>
        <v>0.05</v>
      </c>
      <c r="O30" s="1436">
        <f>IF('Historical DATA'!AX16="","",'Historical DATA'!AX16)</f>
        <v>8062678431.4300003</v>
      </c>
      <c r="P30" s="1435">
        <f>IF('Historical DATA'!AY16="","",'Historical DATA'!AY16)</f>
        <v>403133921.57150006</v>
      </c>
      <c r="Q30" s="1259"/>
      <c r="R30" s="1434">
        <f>IF('Historical DATA'!AZ16="","",'Historical DATA'!AZ16)</f>
        <v>8062678431.4300003</v>
      </c>
      <c r="S30" s="1436">
        <f>IF('Historical DATA'!BA16="","",'Historical DATA'!BA16)</f>
        <v>403133921.57150006</v>
      </c>
      <c r="T30" s="1435">
        <f>IF('Historical DATA'!BB16="","",'Historical DATA'!BB16)</f>
        <v>7659544509.8585005</v>
      </c>
      <c r="U30" s="1259"/>
      <c r="V30" s="1434">
        <f>IF('Historical DATA'!BC16="","",'Historical DATA'!BC16)</f>
        <v>58121049.329999924</v>
      </c>
      <c r="W30" s="1436">
        <f>IF('Historical DATA'!BD16="","",'Historical DATA'!BD16)</f>
        <v>7714759527.7600002</v>
      </c>
      <c r="X30" s="1436">
        <f>IF('Historical DATA'!BE16="","",'Historical DATA'!BE16)</f>
        <v>403133921.57150006</v>
      </c>
      <c r="Y30" s="1435">
        <f>IF('Historical DATA'!BF16="","",'Historical DATA'!BF16)</f>
        <v>55215017.901499748</v>
      </c>
      <c r="Z30" s="1435" t="str">
        <f>IF('Historical DATA'!BG16="","",'Historical DATA'!BG16)</f>
        <v/>
      </c>
      <c r="AA30" s="1416"/>
      <c r="AB30" s="1434">
        <f>IF('Historical DATA'!BH16="","",'Historical DATA'!BH16)</f>
        <v>77732</v>
      </c>
      <c r="AC30" s="1436">
        <f>IF('Historical DATA'!BI16="","",'Historical DATA'!BI16)</f>
        <v>710.32</v>
      </c>
      <c r="AD30" s="1436">
        <f>IF('Historical DATA'!BJ16="","",'Historical DATA'!BJ16)</f>
        <v>55214594.240000002</v>
      </c>
      <c r="AE30" s="1435">
        <f>IF('Historical DATA'!BK16="","",'Historical DATA'!BK16)</f>
        <v>423.66149974614382</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58121049.329999924</v>
      </c>
      <c r="AL30" s="1431">
        <f>IF('Historical DATA'!BQ16="","",'Historical DATA'!BQ16)</f>
        <v>55214594.240000002</v>
      </c>
      <c r="AM30" s="1433">
        <f>IF('Historical DATA'!BR16="","",'Historical DATA'!BR16)</f>
        <v>2906031.4285001755</v>
      </c>
      <c r="AN30" s="1416"/>
      <c r="AO30" s="1448">
        <f>IF('Historical DATA'!BS16="","",'Historical DATA'!BS16)</f>
        <v>4092</v>
      </c>
      <c r="AP30" s="1438">
        <f>IF('Historical DATA'!BT16="","",'Historical DATA'!BT16)</f>
        <v>710.17</v>
      </c>
      <c r="AQ30" s="1438">
        <f>IF('Historical DATA'!BU16="","",'Historical DATA'!BU16)</f>
        <v>2906015.6399999997</v>
      </c>
      <c r="AR30" s="1439">
        <f>IF('Historical DATA'!BV16="","",'Historical DATA'!BV16)</f>
        <v>15.78850017581135</v>
      </c>
    </row>
    <row r="31" spans="2:88">
      <c r="B31" s="1653">
        <f>IF('Historical DATA'!B17="","",'Historical DATA'!B17)</f>
        <v>45623</v>
      </c>
      <c r="C31" s="304"/>
      <c r="D31" s="1437">
        <f>IF('Historical DATA'!AO17="","",'Historical DATA'!AO17)</f>
        <v>8182400000</v>
      </c>
      <c r="E31" s="1431">
        <f>IF('Historical DATA'!AP17="","",'Historical DATA'!AP17)</f>
        <v>8120798931.6599998</v>
      </c>
      <c r="F31" s="1433">
        <f>IF('Historical DATA'!AQ17="","",'Historical DATA'!AQ17)</f>
        <v>61601068.340000153</v>
      </c>
      <c r="G31" s="1259"/>
      <c r="H31" s="1447">
        <f>IF('Historical DATA'!AR17="","",'Historical DATA'!AR17)</f>
        <v>1</v>
      </c>
      <c r="I31" s="1431">
        <f>IF('Historical DATA'!AS17="","",'Historical DATA'!AS17)</f>
        <v>7714759527.7600002</v>
      </c>
      <c r="J31" s="1431">
        <f>IF('Historical DATA'!AT17="","",'Historical DATA'!AT17)</f>
        <v>0</v>
      </c>
      <c r="K31" s="1431">
        <f>IF('Historical DATA'!AU17="","",'Historical DATA'!AU17)</f>
        <v>8120798931.6599998</v>
      </c>
      <c r="L31" s="1450">
        <f>IF('Historical DATA'!AV17="","",'Historical DATA'!AV17)</f>
        <v>0.05</v>
      </c>
      <c r="M31" s="1446"/>
      <c r="N31" s="1445">
        <f>IF('Historical DATA'!AW17="","",'Historical DATA'!AW17)</f>
        <v>0.05</v>
      </c>
      <c r="O31" s="1436">
        <f>IF('Historical DATA'!AX17="","",'Historical DATA'!AX17)</f>
        <v>8120798931.6599998</v>
      </c>
      <c r="P31" s="1435">
        <f>IF('Historical DATA'!AY17="","",'Historical DATA'!AY17)</f>
        <v>406039946.583</v>
      </c>
      <c r="Q31" s="1259"/>
      <c r="R31" s="1434">
        <f>IF('Historical DATA'!AZ17="","",'Historical DATA'!AZ17)</f>
        <v>8120798931.6599998</v>
      </c>
      <c r="S31" s="1436">
        <f>IF('Historical DATA'!BA17="","",'Historical DATA'!BA17)</f>
        <v>406039946.583</v>
      </c>
      <c r="T31" s="1435">
        <f>IF('Historical DATA'!BB17="","",'Historical DATA'!BB17)</f>
        <v>7714758985.0769997</v>
      </c>
      <c r="U31" s="1259"/>
      <c r="V31" s="1434">
        <f>IF('Historical DATA'!BC17="","",'Historical DATA'!BC17)</f>
        <v>61601068.340000153</v>
      </c>
      <c r="W31" s="1436">
        <f>IF('Historical DATA'!BD17="","",'Historical DATA'!BD17)</f>
        <v>7773200000</v>
      </c>
      <c r="X31" s="1436">
        <f>IF('Historical DATA'!BE17="","",'Historical DATA'!BE17)</f>
        <v>406039946.583</v>
      </c>
      <c r="Y31" s="1435">
        <f>IF('Historical DATA'!BF17="","",'Historical DATA'!BF17)</f>
        <v>58441014.923000336</v>
      </c>
      <c r="Z31" s="1435" t="str">
        <f>IF('Historical DATA'!BG17="","",'Historical DATA'!BG17)</f>
        <v/>
      </c>
      <c r="AA31" s="1416"/>
      <c r="AB31" s="1434">
        <f>IF('Historical DATA'!BH17="","",'Historical DATA'!BH17)</f>
        <v>77732</v>
      </c>
      <c r="AC31" s="1436">
        <f>IF('Historical DATA'!BI17="","",'Historical DATA'!BI17)</f>
        <v>751.82</v>
      </c>
      <c r="AD31" s="1436">
        <f>IF('Historical DATA'!BJ17="","",'Historical DATA'!BJ17)</f>
        <v>58440472.240000002</v>
      </c>
      <c r="AE31" s="1435">
        <f>IF('Historical DATA'!BK17="","",'Historical DATA'!BK17)</f>
        <v>542.6830003336072</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61601068.340000153</v>
      </c>
      <c r="AL31" s="1431">
        <f>IF('Historical DATA'!BQ17="","",'Historical DATA'!BQ17)</f>
        <v>58440472.240000002</v>
      </c>
      <c r="AM31" s="1433">
        <f>IF('Historical DATA'!BR17="","",'Historical DATA'!BR17)</f>
        <v>3160053.4169998169</v>
      </c>
      <c r="AN31" s="1416"/>
      <c r="AO31" s="1448">
        <f>IF('Historical DATA'!BS17="","",'Historical DATA'!BS17)</f>
        <v>4092</v>
      </c>
      <c r="AP31" s="1438">
        <f>IF('Historical DATA'!BT17="","",'Historical DATA'!BT17)</f>
        <v>772.25</v>
      </c>
      <c r="AQ31" s="1438">
        <f>IF('Historical DATA'!BU17="","",'Historical DATA'!BU17)</f>
        <v>3160047</v>
      </c>
      <c r="AR31" s="1439">
        <f>IF('Historical DATA'!BV17="","",'Historical DATA'!BV17)</f>
        <v>6.4169998168945313</v>
      </c>
    </row>
    <row r="32" spans="2:88">
      <c r="B32" s="1653">
        <f>IF('Historical DATA'!B18="","",'Historical DATA'!B18)</f>
        <v>45588</v>
      </c>
      <c r="C32" s="304"/>
      <c r="D32" s="1437">
        <f>IF('Historical DATA'!AO18="","",'Historical DATA'!AO18)</f>
        <v>0</v>
      </c>
      <c r="E32" s="1431">
        <f>IF('Historical DATA'!AP18="","",'Historical DATA'!AP18)</f>
        <v>0</v>
      </c>
      <c r="F32" s="1433">
        <f>IF('Historical DATA'!AQ18="","",'Historical DATA'!AQ18)</f>
        <v>0</v>
      </c>
      <c r="G32" s="1259"/>
      <c r="H32" s="1447">
        <f>IF('Historical DATA'!AR18="","",'Historical DATA'!AR18)</f>
        <v>0</v>
      </c>
      <c r="I32" s="1431">
        <f>IF('Historical DATA'!AS18="","",'Historical DATA'!AS18)</f>
        <v>0</v>
      </c>
      <c r="J32" s="1431">
        <f>IF('Historical DATA'!AT18="","",'Historical DATA'!AT18)</f>
        <v>0</v>
      </c>
      <c r="K32" s="1431">
        <f>IF('Historical DATA'!AU18="","",'Historical DATA'!AU18)</f>
        <v>0</v>
      </c>
      <c r="L32" s="1450">
        <f>IF('Historical DATA'!AV18="","",'Historical DATA'!AV18)</f>
        <v>0</v>
      </c>
      <c r="M32" s="1446"/>
      <c r="N32" s="1445">
        <f>IF('Historical DATA'!AW18="","",'Historical DATA'!AW18)</f>
        <v>0</v>
      </c>
      <c r="O32" s="1436">
        <f>IF('Historical DATA'!AX18="","",'Historical DATA'!AX18)</f>
        <v>0</v>
      </c>
      <c r="P32" s="1435">
        <f>IF('Historical DATA'!AY18="","",'Historical DATA'!AY18)</f>
        <v>0</v>
      </c>
      <c r="Q32" s="1259"/>
      <c r="R32" s="1434">
        <f>IF('Historical DATA'!AZ18="","",'Historical DATA'!AZ18)</f>
        <v>0</v>
      </c>
      <c r="S32" s="1436">
        <f>IF('Historical DATA'!BA18="","",'Historical DATA'!BA18)</f>
        <v>0</v>
      </c>
      <c r="T32" s="1435">
        <f>IF('Historical DATA'!BB18="","",'Historical DATA'!BB18)</f>
        <v>0</v>
      </c>
      <c r="U32" s="1259"/>
      <c r="V32" s="1434">
        <f>IF('Historical DATA'!BC18="","",'Historical DATA'!BC18)</f>
        <v>0</v>
      </c>
      <c r="W32" s="1436">
        <f>IF('Historical DATA'!BD18="","",'Historical DATA'!BD18)</f>
        <v>0</v>
      </c>
      <c r="X32" s="1436">
        <f>IF('Historical DATA'!BE18="","",'Historical DATA'!BE18)</f>
        <v>0</v>
      </c>
      <c r="Y32" s="1435">
        <f>IF('Historical DATA'!BF18="","",'Historical DATA'!BF18)</f>
        <v>0</v>
      </c>
      <c r="Z32" s="1435" t="str">
        <f>IF('Historical DATA'!BG18="","",'Historical DATA'!BG18)</f>
        <v/>
      </c>
      <c r="AA32" s="1416"/>
      <c r="AB32" s="1434">
        <f>IF('Historical DATA'!BH18="","",'Historical DATA'!BH18)</f>
        <v>0</v>
      </c>
      <c r="AC32" s="1436">
        <f>IF('Historical DATA'!BI18="","",'Historical DATA'!BI18)</f>
        <v>0</v>
      </c>
      <c r="AD32" s="1436">
        <f>IF('Historical DATA'!BJ18="","",'Historical DATA'!BJ18)</f>
        <v>0</v>
      </c>
      <c r="AE32" s="1435">
        <f>IF('Historical DATA'!BK18="","",'Historical DATA'!BK18)</f>
        <v>0</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f>IF('Historical DATA'!BP18="","",'Historical DATA'!BP18)</f>
        <v>0</v>
      </c>
      <c r="AL32" s="1431">
        <f>IF('Historical DATA'!BQ18="","",'Historical DATA'!BQ18)</f>
        <v>0</v>
      </c>
      <c r="AM32" s="1433">
        <f>IF('Historical DATA'!BR18="","",'Historical DATA'!BR18)</f>
        <v>0</v>
      </c>
      <c r="AN32" s="1416"/>
      <c r="AO32" s="1448">
        <f>IF('Historical DATA'!BS18="","",'Historical DATA'!BS18)</f>
        <v>0</v>
      </c>
      <c r="AP32" s="1438">
        <f>IF('Historical DATA'!BT18="","",'Historical DATA'!BT18)</f>
        <v>0</v>
      </c>
      <c r="AQ32" s="1438">
        <f>IF('Historical DATA'!BU18="","",'Historical DATA'!BU18)</f>
        <v>0</v>
      </c>
      <c r="AR32" s="1439">
        <f>IF('Historical DATA'!BV18="","",'Historical DATA'!BV18)</f>
        <v>0</v>
      </c>
    </row>
    <row r="33" spans="2:44">
      <c r="B33" s="1653" t="str">
        <f>IF('Historical DATA'!B19="","",'Historical DATA'!B19)</f>
        <v/>
      </c>
      <c r="C33" s="304"/>
      <c r="D33" s="1437" t="str">
        <f>IF('Historical DATA'!AO19="","",'Historical DATA'!AO19)</f>
        <v/>
      </c>
      <c r="E33" s="1431" t="str">
        <f>IF('Historical DATA'!AP19="","",'Historical DATA'!AP19)</f>
        <v/>
      </c>
      <c r="F33" s="1433" t="str">
        <f>IF('Historical DATA'!AQ19="","",'Historical DATA'!AQ19)</f>
        <v/>
      </c>
      <c r="G33" s="1259"/>
      <c r="H33" s="1447" t="str">
        <f>IF('Historical DATA'!AR19="","",'Historical DATA'!AR19)</f>
        <v/>
      </c>
      <c r="I33" s="1431" t="str">
        <f>IF('Historical DATA'!AS19="","",'Historical DATA'!AS19)</f>
        <v/>
      </c>
      <c r="J33" s="1431" t="str">
        <f>IF('Historical DATA'!AT19="","",'Historical DATA'!AT19)</f>
        <v/>
      </c>
      <c r="K33" s="1431" t="str">
        <f>IF('Historical DATA'!AU19="","",'Historical DATA'!AU19)</f>
        <v/>
      </c>
      <c r="L33" s="1450" t="str">
        <f>IF('Historical DATA'!AV19="","",'Historical DATA'!AV19)</f>
        <v/>
      </c>
      <c r="M33" s="1446"/>
      <c r="N33" s="1445" t="str">
        <f>IF('Historical DATA'!AW19="","",'Historical DATA'!AW19)</f>
        <v/>
      </c>
      <c r="O33" s="1436" t="str">
        <f>IF('Historical DATA'!AX19="","",'Historical DATA'!AX19)</f>
        <v/>
      </c>
      <c r="P33" s="1435" t="str">
        <f>IF('Historical DATA'!AY19="","",'Historical DATA'!AY19)</f>
        <v/>
      </c>
      <c r="Q33" s="1259"/>
      <c r="R33" s="1434" t="str">
        <f>IF('Historical DATA'!AZ19="","",'Historical DATA'!AZ19)</f>
        <v/>
      </c>
      <c r="S33" s="1436" t="str">
        <f>IF('Historical DATA'!BA19="","",'Historical DATA'!BA19)</f>
        <v/>
      </c>
      <c r="T33" s="1435" t="str">
        <f>IF('Historical DATA'!BB19="","",'Historical DATA'!BB19)</f>
        <v/>
      </c>
      <c r="U33" s="1259"/>
      <c r="V33" s="1434" t="str">
        <f>IF('Historical DATA'!BC19="","",'Historical DATA'!BC19)</f>
        <v/>
      </c>
      <c r="W33" s="1436" t="str">
        <f>IF('Historical DATA'!BD19="","",'Historical DATA'!BD19)</f>
        <v/>
      </c>
      <c r="X33" s="1436" t="str">
        <f>IF('Historical DATA'!BE19="","",'Historical DATA'!BE19)</f>
        <v/>
      </c>
      <c r="Y33" s="1435" t="str">
        <f>IF('Historical DATA'!BF19="","",'Historical DATA'!BF19)</f>
        <v/>
      </c>
      <c r="Z33" s="1435" t="str">
        <f>IF('Historical DATA'!BG19="","",'Historical DATA'!BG19)</f>
        <v/>
      </c>
      <c r="AA33" s="1416"/>
      <c r="AB33" s="1434" t="str">
        <f>IF('Historical DATA'!BH19="","",'Historical DATA'!BH19)</f>
        <v/>
      </c>
      <c r="AC33" s="1436" t="str">
        <f>IF('Historical DATA'!BI19="","",'Historical DATA'!BI19)</f>
        <v/>
      </c>
      <c r="AD33" s="1436" t="str">
        <f>IF('Historical DATA'!BJ19="","",'Historical DATA'!BJ19)</f>
        <v/>
      </c>
      <c r="AE33" s="1435" t="str">
        <f>IF('Historical DATA'!BK19="","",'Historical DATA'!BK19)</f>
        <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t="str">
        <f>IF('Historical DATA'!BP19="","",'Historical DATA'!BP19)</f>
        <v/>
      </c>
      <c r="AL33" s="1431" t="str">
        <f>IF('Historical DATA'!BQ19="","",'Historical DATA'!BQ19)</f>
        <v/>
      </c>
      <c r="AM33" s="1433" t="str">
        <f>IF('Historical DATA'!BR19="","",'Historical DATA'!BR19)</f>
        <v/>
      </c>
      <c r="AN33" s="1416"/>
      <c r="AO33" s="1448" t="str">
        <f>IF('Historical DATA'!BS19="","",'Historical DATA'!BS19)</f>
        <v/>
      </c>
      <c r="AP33" s="1438" t="str">
        <f>IF('Historical DATA'!BT19="","",'Historical DATA'!BT19)</f>
        <v/>
      </c>
      <c r="AQ33" s="1438" t="str">
        <f>IF('Historical DATA'!BU19="","",'Historical DATA'!BU19)</f>
        <v/>
      </c>
      <c r="AR33" s="1439" t="str">
        <f>IF('Historical DATA'!BV19="","",'Historical DATA'!BV19)</f>
        <v/>
      </c>
    </row>
    <row r="34" spans="2:44">
      <c r="B34" s="1653" t="str">
        <f>IF('Historical DATA'!B20="","",'Historical DATA'!B20)</f>
        <v/>
      </c>
      <c r="C34" s="304"/>
      <c r="D34" s="1437" t="str">
        <f>IF('Historical DATA'!AO20="","",'Historical DATA'!AO20)</f>
        <v/>
      </c>
      <c r="E34" s="1431" t="str">
        <f>IF('Historical DATA'!AP20="","",'Historical DATA'!AP20)</f>
        <v/>
      </c>
      <c r="F34" s="1433" t="str">
        <f>IF('Historical DATA'!AQ20="","",'Historical DATA'!AQ20)</f>
        <v/>
      </c>
      <c r="G34" s="1259"/>
      <c r="H34" s="1447" t="str">
        <f>IF('Historical DATA'!AR20="","",'Historical DATA'!AR20)</f>
        <v/>
      </c>
      <c r="I34" s="1431" t="str">
        <f>IF('Historical DATA'!AS20="","",'Historical DATA'!AS20)</f>
        <v/>
      </c>
      <c r="J34" s="1431" t="str">
        <f>IF('Historical DATA'!AT20="","",'Historical DATA'!AT20)</f>
        <v/>
      </c>
      <c r="K34" s="1431" t="str">
        <f>IF('Historical DATA'!AU20="","",'Historical DATA'!AU20)</f>
        <v/>
      </c>
      <c r="L34" s="1450" t="str">
        <f>IF('Historical DATA'!AV20="","",'Historical DATA'!AV20)</f>
        <v/>
      </c>
      <c r="M34" s="1446"/>
      <c r="N34" s="1445" t="str">
        <f>IF('Historical DATA'!AW20="","",'Historical DATA'!AW20)</f>
        <v/>
      </c>
      <c r="O34" s="1436" t="str">
        <f>IF('Historical DATA'!AX20="","",'Historical DATA'!AX20)</f>
        <v/>
      </c>
      <c r="P34" s="1435" t="str">
        <f>IF('Historical DATA'!AY20="","",'Historical DATA'!AY20)</f>
        <v/>
      </c>
      <c r="Q34" s="1259"/>
      <c r="R34" s="1434" t="str">
        <f>IF('Historical DATA'!AZ20="","",'Historical DATA'!AZ20)</f>
        <v/>
      </c>
      <c r="S34" s="1436" t="str">
        <f>IF('Historical DATA'!BA20="","",'Historical DATA'!BA20)</f>
        <v/>
      </c>
      <c r="T34" s="1435" t="str">
        <f>IF('Historical DATA'!BB20="","",'Historical DATA'!BB20)</f>
        <v/>
      </c>
      <c r="U34" s="1259"/>
      <c r="V34" s="1434" t="str">
        <f>IF('Historical DATA'!BC20="","",'Historical DATA'!BC20)</f>
        <v/>
      </c>
      <c r="W34" s="1436" t="str">
        <f>IF('Historical DATA'!BD20="","",'Historical DATA'!BD20)</f>
        <v/>
      </c>
      <c r="X34" s="1436" t="str">
        <f>IF('Historical DATA'!BE20="","",'Historical DATA'!BE20)</f>
        <v/>
      </c>
      <c r="Y34" s="1435" t="str">
        <f>IF('Historical DATA'!BF20="","",'Historical DATA'!BF20)</f>
        <v/>
      </c>
      <c r="Z34" s="1435" t="str">
        <f>IF('Historical DATA'!BG20="","",'Historical DATA'!BG20)</f>
        <v/>
      </c>
      <c r="AA34" s="1416"/>
      <c r="AB34" s="1434" t="str">
        <f>IF('Historical DATA'!BH20="","",'Historical DATA'!BH20)</f>
        <v/>
      </c>
      <c r="AC34" s="1436" t="str">
        <f>IF('Historical DATA'!BI20="","",'Historical DATA'!BI20)</f>
        <v/>
      </c>
      <c r="AD34" s="1436" t="str">
        <f>IF('Historical DATA'!BJ20="","",'Historical DATA'!BJ20)</f>
        <v/>
      </c>
      <c r="AE34" s="1435" t="str">
        <f>IF('Historical DATA'!BK20="","",'Historical DATA'!BK20)</f>
        <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t="str">
        <f>IF('Historical DATA'!BP20="","",'Historical DATA'!BP20)</f>
        <v/>
      </c>
      <c r="AL34" s="1431" t="str">
        <f>IF('Historical DATA'!BQ20="","",'Historical DATA'!BQ20)</f>
        <v/>
      </c>
      <c r="AM34" s="1433" t="str">
        <f>IF('Historical DATA'!BR20="","",'Historical DATA'!BR20)</f>
        <v/>
      </c>
      <c r="AN34" s="1416"/>
      <c r="AO34" s="1448" t="str">
        <f>IF('Historical DATA'!BS20="","",'Historical DATA'!BS20)</f>
        <v/>
      </c>
      <c r="AP34" s="1438" t="str">
        <f>IF('Historical DATA'!BT20="","",'Historical DATA'!BT20)</f>
        <v/>
      </c>
      <c r="AQ34" s="1438" t="str">
        <f>IF('Historical DATA'!BU20="","",'Historical DATA'!BU20)</f>
        <v/>
      </c>
      <c r="AR34" s="1439" t="str">
        <f>IF('Historical DATA'!BV20="","",'Historical DATA'!BV20)</f>
        <v/>
      </c>
    </row>
    <row r="35" spans="2:44">
      <c r="B35" s="1653" t="str">
        <f>IF('Historical DATA'!B21="","",'Historical DATA'!B21)</f>
        <v/>
      </c>
      <c r="C35" s="304"/>
      <c r="D35" s="1437" t="str">
        <f>IF('Historical DATA'!AO21="","",'Historical DATA'!AO21)</f>
        <v/>
      </c>
      <c r="E35" s="1431" t="str">
        <f>IF('Historical DATA'!AP21="","",'Historical DATA'!AP21)</f>
        <v/>
      </c>
      <c r="F35" s="1433" t="str">
        <f>IF('Historical DATA'!AQ21="","",'Historical DATA'!AQ21)</f>
        <v/>
      </c>
      <c r="G35" s="1259"/>
      <c r="H35" s="1447" t="str">
        <f>IF('Historical DATA'!AR21="","",'Historical DATA'!AR21)</f>
        <v/>
      </c>
      <c r="I35" s="1431" t="str">
        <f>IF('Historical DATA'!AS21="","",'Historical DATA'!AS21)</f>
        <v/>
      </c>
      <c r="J35" s="1431" t="str">
        <f>IF('Historical DATA'!AT21="","",'Historical DATA'!AT21)</f>
        <v/>
      </c>
      <c r="K35" s="1431" t="str">
        <f>IF('Historical DATA'!AU21="","",'Historical DATA'!AU21)</f>
        <v/>
      </c>
      <c r="L35" s="1450" t="str">
        <f>IF('Historical DATA'!AV21="","",'Historical DATA'!AV21)</f>
        <v/>
      </c>
      <c r="M35" s="1446"/>
      <c r="N35" s="1445" t="str">
        <f>IF('Historical DATA'!AW21="","",'Historical DATA'!AW21)</f>
        <v/>
      </c>
      <c r="O35" s="1436" t="str">
        <f>IF('Historical DATA'!AX21="","",'Historical DATA'!AX21)</f>
        <v/>
      </c>
      <c r="P35" s="1435" t="str">
        <f>IF('Historical DATA'!AY21="","",'Historical DATA'!AY21)</f>
        <v/>
      </c>
      <c r="Q35" s="1259"/>
      <c r="R35" s="1434" t="str">
        <f>IF('Historical DATA'!AZ21="","",'Historical DATA'!AZ21)</f>
        <v/>
      </c>
      <c r="S35" s="1436" t="str">
        <f>IF('Historical DATA'!BA21="","",'Historical DATA'!BA21)</f>
        <v/>
      </c>
      <c r="T35" s="1435" t="str">
        <f>IF('Historical DATA'!BB21="","",'Historical DATA'!BB21)</f>
        <v/>
      </c>
      <c r="U35" s="1259"/>
      <c r="V35" s="1434" t="str">
        <f>IF('Historical DATA'!BC21="","",'Historical DATA'!BC21)</f>
        <v/>
      </c>
      <c r="W35" s="1436" t="str">
        <f>IF('Historical DATA'!BD21="","",'Historical DATA'!BD21)</f>
        <v/>
      </c>
      <c r="X35" s="1436" t="str">
        <f>IF('Historical DATA'!BE21="","",'Historical DATA'!BE21)</f>
        <v/>
      </c>
      <c r="Y35" s="1435" t="str">
        <f>IF('Historical DATA'!BF21="","",'Historical DATA'!BF21)</f>
        <v/>
      </c>
      <c r="Z35" s="1435" t="str">
        <f>IF('Historical DATA'!BG21="","",'Historical DATA'!BG21)</f>
        <v/>
      </c>
      <c r="AA35" s="1416"/>
      <c r="AB35" s="1434" t="str">
        <f>IF('Historical DATA'!BH21="","",'Historical DATA'!BH21)</f>
        <v/>
      </c>
      <c r="AC35" s="1436" t="str">
        <f>IF('Historical DATA'!BI21="","",'Historical DATA'!BI21)</f>
        <v/>
      </c>
      <c r="AD35" s="1436" t="str">
        <f>IF('Historical DATA'!BJ21="","",'Historical DATA'!BJ21)</f>
        <v/>
      </c>
      <c r="AE35" s="1435" t="str">
        <f>IF('Historical DATA'!BK21="","",'Historical DATA'!BK21)</f>
        <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t="str">
        <f>IF('Historical DATA'!BP21="","",'Historical DATA'!BP21)</f>
        <v/>
      </c>
      <c r="AL35" s="1431" t="str">
        <f>IF('Historical DATA'!BQ21="","",'Historical DATA'!BQ21)</f>
        <v/>
      </c>
      <c r="AM35" s="1433" t="str">
        <f>IF('Historical DATA'!BR21="","",'Historical DATA'!BR21)</f>
        <v/>
      </c>
      <c r="AN35" s="1416"/>
      <c r="AO35" s="1448" t="str">
        <f>IF('Historical DATA'!BS21="","",'Historical DATA'!BS21)</f>
        <v/>
      </c>
      <c r="AP35" s="1438" t="str">
        <f>IF('Historical DATA'!BT21="","",'Historical DATA'!BT21)</f>
        <v/>
      </c>
      <c r="AQ35" s="1438" t="str">
        <f>IF('Historical DATA'!BU21="","",'Historical DATA'!BU21)</f>
        <v/>
      </c>
      <c r="AR35" s="1439" t="str">
        <f>IF('Historical DATA'!BV21="","",'Historical DATA'!BV21)</f>
        <v/>
      </c>
    </row>
    <row r="36" spans="2:44">
      <c r="B36" s="1653" t="str">
        <f>IF('Historical DATA'!B22="","",'Historical DATA'!B22)</f>
        <v/>
      </c>
      <c r="C36" s="304"/>
      <c r="D36" s="1437" t="str">
        <f>IF('Historical DATA'!AO22="","",'Historical DATA'!AO22)</f>
        <v/>
      </c>
      <c r="E36" s="1431" t="str">
        <f>IF('Historical DATA'!AP22="","",'Historical DATA'!AP22)</f>
        <v/>
      </c>
      <c r="F36" s="1433" t="str">
        <f>IF('Historical DATA'!AQ22="","",'Historical DATA'!AQ22)</f>
        <v/>
      </c>
      <c r="G36" s="1259"/>
      <c r="H36" s="1447" t="str">
        <f>IF('Historical DATA'!AR22="","",'Historical DATA'!AR22)</f>
        <v/>
      </c>
      <c r="I36" s="1431" t="str">
        <f>IF('Historical DATA'!AS22="","",'Historical DATA'!AS22)</f>
        <v/>
      </c>
      <c r="J36" s="1431" t="str">
        <f>IF('Historical DATA'!AT22="","",'Historical DATA'!AT22)</f>
        <v/>
      </c>
      <c r="K36" s="1431" t="str">
        <f>IF('Historical DATA'!AU22="","",'Historical DATA'!AU22)</f>
        <v/>
      </c>
      <c r="L36" s="1450" t="str">
        <f>IF('Historical DATA'!AV22="","",'Historical DATA'!AV22)</f>
        <v/>
      </c>
      <c r="M36" s="1446"/>
      <c r="N36" s="1445" t="str">
        <f>IF('Historical DATA'!AW22="","",'Historical DATA'!AW22)</f>
        <v/>
      </c>
      <c r="O36" s="1436" t="str">
        <f>IF('Historical DATA'!AX22="","",'Historical DATA'!AX22)</f>
        <v/>
      </c>
      <c r="P36" s="1435" t="str">
        <f>IF('Historical DATA'!AY22="","",'Historical DATA'!AY22)</f>
        <v/>
      </c>
      <c r="Q36" s="1259"/>
      <c r="R36" s="1434" t="str">
        <f>IF('Historical DATA'!AZ22="","",'Historical DATA'!AZ22)</f>
        <v/>
      </c>
      <c r="S36" s="1436" t="str">
        <f>IF('Historical DATA'!BA22="","",'Historical DATA'!BA22)</f>
        <v/>
      </c>
      <c r="T36" s="1435" t="str">
        <f>IF('Historical DATA'!BB22="","",'Historical DATA'!BB22)</f>
        <v/>
      </c>
      <c r="U36" s="1259"/>
      <c r="V36" s="1434" t="str">
        <f>IF('Historical DATA'!BC22="","",'Historical DATA'!BC22)</f>
        <v/>
      </c>
      <c r="W36" s="1436" t="str">
        <f>IF('Historical DATA'!BD22="","",'Historical DATA'!BD22)</f>
        <v/>
      </c>
      <c r="X36" s="1436" t="str">
        <f>IF('Historical DATA'!BE22="","",'Historical DATA'!BE22)</f>
        <v/>
      </c>
      <c r="Y36" s="1435" t="str">
        <f>IF('Historical DATA'!BF22="","",'Historical DATA'!BF22)</f>
        <v/>
      </c>
      <c r="Z36" s="1435" t="str">
        <f>IF('Historical DATA'!BG22="","",'Historical DATA'!BG22)</f>
        <v/>
      </c>
      <c r="AA36" s="1416"/>
      <c r="AB36" s="1434" t="str">
        <f>IF('Historical DATA'!BH22="","",'Historical DATA'!BH22)</f>
        <v/>
      </c>
      <c r="AC36" s="1436" t="str">
        <f>IF('Historical DATA'!BI22="","",'Historical DATA'!BI22)</f>
        <v/>
      </c>
      <c r="AD36" s="1436" t="str">
        <f>IF('Historical DATA'!BJ22="","",'Historical DATA'!BJ22)</f>
        <v/>
      </c>
      <c r="AE36" s="1435" t="str">
        <f>IF('Historical DATA'!BK22="","",'Historical DATA'!BK22)</f>
        <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t="str">
        <f>IF('Historical DATA'!BP22="","",'Historical DATA'!BP22)</f>
        <v/>
      </c>
      <c r="AL36" s="1431" t="str">
        <f>IF('Historical DATA'!BQ22="","",'Historical DATA'!BQ22)</f>
        <v/>
      </c>
      <c r="AM36" s="1433" t="str">
        <f>IF('Historical DATA'!BR22="","",'Historical DATA'!BR22)</f>
        <v/>
      </c>
      <c r="AN36" s="1416"/>
      <c r="AO36" s="1448" t="str">
        <f>IF('Historical DATA'!BS22="","",'Historical DATA'!BS22)</f>
        <v/>
      </c>
      <c r="AP36" s="1438" t="str">
        <f>IF('Historical DATA'!BT22="","",'Historical DATA'!BT22)</f>
        <v/>
      </c>
      <c r="AQ36" s="1438" t="str">
        <f>IF('Historical DATA'!BU22="","",'Historical DATA'!BU22)</f>
        <v/>
      </c>
      <c r="AR36" s="1439" t="str">
        <f>IF('Historical DATA'!BV22="","",'Historical DATA'!BV22)</f>
        <v/>
      </c>
    </row>
    <row r="37" spans="2:44">
      <c r="B37" s="1653" t="str">
        <f>IF('Historical DATA'!B23="","",'Historical DATA'!B23)</f>
        <v/>
      </c>
      <c r="C37" s="304"/>
      <c r="D37" s="1437" t="str">
        <f>IF('Historical DATA'!AO23="","",'Historical DATA'!AO23)</f>
        <v/>
      </c>
      <c r="E37" s="1431" t="str">
        <f>IF('Historical DATA'!AP23="","",'Historical DATA'!AP23)</f>
        <v/>
      </c>
      <c r="F37" s="1433" t="str">
        <f>IF('Historical DATA'!AQ23="","",'Historical DATA'!AQ23)</f>
        <v/>
      </c>
      <c r="G37" s="1259"/>
      <c r="H37" s="1447" t="str">
        <f>IF('Historical DATA'!AR23="","",'Historical DATA'!AR23)</f>
        <v/>
      </c>
      <c r="I37" s="1431" t="str">
        <f>IF('Historical DATA'!AS23="","",'Historical DATA'!AS23)</f>
        <v/>
      </c>
      <c r="J37" s="1431" t="str">
        <f>IF('Historical DATA'!AT23="","",'Historical DATA'!AT23)</f>
        <v/>
      </c>
      <c r="K37" s="1431" t="str">
        <f>IF('Historical DATA'!AU23="","",'Historical DATA'!AU23)</f>
        <v/>
      </c>
      <c r="L37" s="1450" t="str">
        <f>IF('Historical DATA'!AV23="","",'Historical DATA'!AV23)</f>
        <v/>
      </c>
      <c r="M37" s="1446"/>
      <c r="N37" s="1445" t="str">
        <f>IF('Historical DATA'!AW23="","",'Historical DATA'!AW23)</f>
        <v/>
      </c>
      <c r="O37" s="1436" t="str">
        <f>IF('Historical DATA'!AX23="","",'Historical DATA'!AX23)</f>
        <v/>
      </c>
      <c r="P37" s="1435" t="str">
        <f>IF('Historical DATA'!AY23="","",'Historical DATA'!AY23)</f>
        <v/>
      </c>
      <c r="Q37" s="1259"/>
      <c r="R37" s="1434" t="str">
        <f>IF('Historical DATA'!AZ23="","",'Historical DATA'!AZ23)</f>
        <v/>
      </c>
      <c r="S37" s="1436" t="str">
        <f>IF('Historical DATA'!BA23="","",'Historical DATA'!BA23)</f>
        <v/>
      </c>
      <c r="T37" s="1435" t="str">
        <f>IF('Historical DATA'!BB23="","",'Historical DATA'!BB23)</f>
        <v/>
      </c>
      <c r="U37" s="1259"/>
      <c r="V37" s="1434" t="str">
        <f>IF('Historical DATA'!BC23="","",'Historical DATA'!BC23)</f>
        <v/>
      </c>
      <c r="W37" s="1436" t="str">
        <f>IF('Historical DATA'!BD23="","",'Historical DATA'!BD23)</f>
        <v/>
      </c>
      <c r="X37" s="1436" t="str">
        <f>IF('Historical DATA'!BE23="","",'Historical DATA'!BE23)</f>
        <v/>
      </c>
      <c r="Y37" s="1435" t="str">
        <f>IF('Historical DATA'!BF23="","",'Historical DATA'!BF23)</f>
        <v/>
      </c>
      <c r="Z37" s="1435" t="str">
        <f>IF('Historical DATA'!BG23="","",'Historical DATA'!BG23)</f>
        <v/>
      </c>
      <c r="AA37" s="1416"/>
      <c r="AB37" s="1434" t="str">
        <f>IF('Historical DATA'!BH23="","",'Historical DATA'!BH23)</f>
        <v/>
      </c>
      <c r="AC37" s="1436" t="str">
        <f>IF('Historical DATA'!BI23="","",'Historical DATA'!BI23)</f>
        <v/>
      </c>
      <c r="AD37" s="1436" t="str">
        <f>IF('Historical DATA'!BJ23="","",'Historical DATA'!BJ23)</f>
        <v/>
      </c>
      <c r="AE37" s="1435" t="str">
        <f>IF('Historical DATA'!BK23="","",'Historical DATA'!BK23)</f>
        <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t="str">
        <f>IF('Historical DATA'!BP23="","",'Historical DATA'!BP23)</f>
        <v/>
      </c>
      <c r="AL37" s="1431" t="str">
        <f>IF('Historical DATA'!BQ23="","",'Historical DATA'!BQ23)</f>
        <v/>
      </c>
      <c r="AM37" s="1433" t="str">
        <f>IF('Historical DATA'!BR23="","",'Historical DATA'!BR23)</f>
        <v/>
      </c>
      <c r="AN37" s="1416"/>
      <c r="AO37" s="1448" t="str">
        <f>IF('Historical DATA'!BS23="","",'Historical DATA'!BS23)</f>
        <v/>
      </c>
      <c r="AP37" s="1438" t="str">
        <f>IF('Historical DATA'!BT23="","",'Historical DATA'!BT23)</f>
        <v/>
      </c>
      <c r="AQ37" s="1438" t="str">
        <f>IF('Historical DATA'!BU23="","",'Historical DATA'!BU23)</f>
        <v/>
      </c>
      <c r="AR37" s="1439" t="str">
        <f>IF('Historical DATA'!BV23="","",'Historical DATA'!BV23)</f>
        <v/>
      </c>
    </row>
    <row r="38" spans="2:44">
      <c r="B38" s="1653" t="str">
        <f>IF('Historical DATA'!B24="","",'Historical DATA'!B24)</f>
        <v/>
      </c>
      <c r="C38" s="304"/>
      <c r="D38" s="1437" t="str">
        <f>IF('Historical DATA'!AO24="","",'Historical DATA'!AO24)</f>
        <v/>
      </c>
      <c r="E38" s="1431" t="str">
        <f>IF('Historical DATA'!AP24="","",'Historical DATA'!AP24)</f>
        <v/>
      </c>
      <c r="F38" s="1433" t="str">
        <f>IF('Historical DATA'!AQ24="","",'Historical DATA'!AQ24)</f>
        <v/>
      </c>
      <c r="G38" s="1259"/>
      <c r="H38" s="1447" t="str">
        <f>IF('Historical DATA'!AR24="","",'Historical DATA'!AR24)</f>
        <v/>
      </c>
      <c r="I38" s="1431" t="str">
        <f>IF('Historical DATA'!AS24="","",'Historical DATA'!AS24)</f>
        <v/>
      </c>
      <c r="J38" s="1431" t="str">
        <f>IF('Historical DATA'!AT24="","",'Historical DATA'!AT24)</f>
        <v/>
      </c>
      <c r="K38" s="1431" t="str">
        <f>IF('Historical DATA'!AU24="","",'Historical DATA'!AU24)</f>
        <v/>
      </c>
      <c r="L38" s="1450" t="str">
        <f>IF('Historical DATA'!AV24="","",'Historical DATA'!AV24)</f>
        <v/>
      </c>
      <c r="M38" s="1446"/>
      <c r="N38" s="1445" t="str">
        <f>IF('Historical DATA'!AW24="","",'Historical DATA'!AW24)</f>
        <v/>
      </c>
      <c r="O38" s="1436" t="str">
        <f>IF('Historical DATA'!AX24="","",'Historical DATA'!AX24)</f>
        <v/>
      </c>
      <c r="P38" s="1435" t="str">
        <f>IF('Historical DATA'!AY24="","",'Historical DATA'!AY24)</f>
        <v/>
      </c>
      <c r="Q38" s="1259"/>
      <c r="R38" s="1434" t="str">
        <f>IF('Historical DATA'!AZ24="","",'Historical DATA'!AZ24)</f>
        <v/>
      </c>
      <c r="S38" s="1436" t="str">
        <f>IF('Historical DATA'!BA24="","",'Historical DATA'!BA24)</f>
        <v/>
      </c>
      <c r="T38" s="1435" t="str">
        <f>IF('Historical DATA'!BB24="","",'Historical DATA'!BB24)</f>
        <v/>
      </c>
      <c r="U38" s="1259"/>
      <c r="V38" s="1434" t="str">
        <f>IF('Historical DATA'!BC24="","",'Historical DATA'!BC24)</f>
        <v/>
      </c>
      <c r="W38" s="1436" t="str">
        <f>IF('Historical DATA'!BD24="","",'Historical DATA'!BD24)</f>
        <v/>
      </c>
      <c r="X38" s="1436" t="str">
        <f>IF('Historical DATA'!BE24="","",'Historical DATA'!BE24)</f>
        <v/>
      </c>
      <c r="Y38" s="1435" t="str">
        <f>IF('Historical DATA'!BF24="","",'Historical DATA'!BF24)</f>
        <v/>
      </c>
      <c r="Z38" s="1435" t="str">
        <f>IF('Historical DATA'!BG24="","",'Historical DATA'!BG24)</f>
        <v/>
      </c>
      <c r="AA38" s="1416"/>
      <c r="AB38" s="1434" t="str">
        <f>IF('Historical DATA'!BH24="","",'Historical DATA'!BH24)</f>
        <v/>
      </c>
      <c r="AC38" s="1436" t="str">
        <f>IF('Historical DATA'!BI24="","",'Historical DATA'!BI24)</f>
        <v/>
      </c>
      <c r="AD38" s="1436" t="str">
        <f>IF('Historical DATA'!BJ24="","",'Historical DATA'!BJ24)</f>
        <v/>
      </c>
      <c r="AE38" s="1435" t="str">
        <f>IF('Historical DATA'!BK24="","",'Historical DATA'!BK24)</f>
        <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t="str">
        <f>IF('Historical DATA'!BP24="","",'Historical DATA'!BP24)</f>
        <v/>
      </c>
      <c r="AL38" s="1431" t="str">
        <f>IF('Historical DATA'!BQ24="","",'Historical DATA'!BQ24)</f>
        <v/>
      </c>
      <c r="AM38" s="1433" t="str">
        <f>IF('Historical DATA'!BR24="","",'Historical DATA'!BR24)</f>
        <v/>
      </c>
      <c r="AN38" s="1416"/>
      <c r="AO38" s="1448" t="str">
        <f>IF('Historical DATA'!BS24="","",'Historical DATA'!BS24)</f>
        <v/>
      </c>
      <c r="AP38" s="1438" t="str">
        <f>IF('Historical DATA'!BT24="","",'Historical DATA'!BT24)</f>
        <v/>
      </c>
      <c r="AQ38" s="1438" t="str">
        <f>IF('Historical DATA'!BU24="","",'Historical DATA'!BU24)</f>
        <v/>
      </c>
      <c r="AR38" s="1439" t="str">
        <f>IF('Historical DATA'!BV24="","",'Historical DATA'!BV24)</f>
        <v/>
      </c>
    </row>
    <row r="39" spans="2:44">
      <c r="B39" s="1653"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AK14:AM14"/>
    <mergeCell ref="B14:B16"/>
    <mergeCell ref="R14:T14"/>
    <mergeCell ref="AO14:AR14"/>
    <mergeCell ref="AB15:AE15"/>
    <mergeCell ref="AF15:AI15"/>
    <mergeCell ref="AB14:AI14"/>
    <mergeCell ref="B11:W11"/>
    <mergeCell ref="D14:F14"/>
    <mergeCell ref="V14:Y14"/>
    <mergeCell ref="N14:P14"/>
    <mergeCell ref="H14:L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S20" sqref="S20"/>
    </sheetView>
  </sheetViews>
  <sheetFormatPr defaultColWidth="21.42578125" defaultRowHeight="12.75"/>
  <cols>
    <col min="1" max="1" width="6.140625" style="234" customWidth="1"/>
    <col min="2" max="2" width="24.42578125" style="234" customWidth="1"/>
    <col min="3" max="3" width="4.42578125" style="234" customWidth="1"/>
    <col min="4" max="4" width="17.28515625" style="234" customWidth="1"/>
    <col min="5" max="5" width="22.28515625" style="234" customWidth="1"/>
    <col min="6" max="6" width="16.28515625" style="234" customWidth="1"/>
    <col min="7" max="7" width="18.85546875" style="234" customWidth="1"/>
    <col min="8" max="8" width="15.85546875" style="234" customWidth="1"/>
    <col min="9" max="9" width="12.7109375" style="1219" bestFit="1" customWidth="1"/>
    <col min="10" max="10" width="19.85546875" style="234" customWidth="1"/>
    <col min="11" max="11" width="23.28515625" style="234" customWidth="1"/>
    <col min="12" max="12" width="7.42578125" style="234" customWidth="1"/>
    <col min="13" max="13" width="17.28515625" style="234" customWidth="1"/>
    <col min="14" max="14" width="22.28515625" style="234" customWidth="1"/>
    <col min="15" max="15" width="16.28515625" style="234" customWidth="1"/>
    <col min="16" max="16" width="18.85546875" style="234" customWidth="1"/>
    <col min="17" max="17" width="15.85546875" style="234" customWidth="1"/>
    <col min="18" max="18" width="12.7109375" style="1219" bestFit="1" customWidth="1"/>
    <col min="19" max="19" width="19.85546875" style="234" customWidth="1"/>
    <col min="20" max="20" width="23.28515625" style="234" customWidth="1"/>
    <col min="21" max="21" width="7.42578125" style="234" customWidth="1"/>
    <col min="22" max="27" width="16" style="234" customWidth="1"/>
    <col min="28" max="29" width="18.85546875" style="234" customWidth="1"/>
    <col min="30" max="16384" width="21.42578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46022</v>
      </c>
    </row>
    <row r="5" spans="2:29" ht="15" customHeight="1">
      <c r="D5" s="37"/>
      <c r="E5" s="37"/>
      <c r="F5" s="38"/>
      <c r="M5" s="37"/>
      <c r="N5" s="37"/>
      <c r="O5" s="38"/>
      <c r="AB5" s="1213" t="s">
        <v>4</v>
      </c>
      <c r="AC5" s="1213">
        <f>'00 - Cover'!F19</f>
        <v>46042</v>
      </c>
    </row>
    <row r="6" spans="2:29" ht="12.75" customHeight="1">
      <c r="D6" s="37"/>
      <c r="E6" s="37"/>
      <c r="F6" s="38"/>
      <c r="M6" s="37"/>
      <c r="N6" s="37"/>
      <c r="O6" s="38"/>
      <c r="AB6" s="1213" t="s">
        <v>5</v>
      </c>
      <c r="AC6" s="1213">
        <f>'00 - Cover'!F20</f>
        <v>46049</v>
      </c>
    </row>
    <row r="7" spans="2:29">
      <c r="D7" s="37"/>
      <c r="E7" s="37"/>
      <c r="F7" s="37"/>
      <c r="G7" s="37"/>
      <c r="H7" s="37"/>
      <c r="I7" s="1361"/>
      <c r="J7" s="82"/>
      <c r="K7" s="82"/>
      <c r="M7" s="37"/>
      <c r="N7" s="37"/>
      <c r="O7" s="37"/>
      <c r="P7" s="37"/>
      <c r="Q7" s="37"/>
      <c r="R7" s="1361"/>
      <c r="S7" s="82"/>
      <c r="T7" s="82"/>
    </row>
    <row r="10" spans="2:29" ht="15.75">
      <c r="D10" s="1984" t="s">
        <v>639</v>
      </c>
      <c r="E10" s="1985"/>
      <c r="F10" s="1985"/>
      <c r="G10" s="1985"/>
      <c r="H10" s="1985"/>
      <c r="I10" s="1985"/>
      <c r="J10" s="1985"/>
      <c r="K10" s="1985"/>
      <c r="L10" s="1985"/>
      <c r="M10" s="1985"/>
      <c r="N10" s="1985"/>
      <c r="O10" s="1985"/>
      <c r="P10" s="1985"/>
      <c r="Q10" s="1985"/>
      <c r="R10" s="1985"/>
      <c r="S10" s="1985"/>
      <c r="T10" s="1985"/>
      <c r="U10" s="1985"/>
      <c r="V10" s="1985"/>
      <c r="W10" s="1985"/>
      <c r="X10" s="1985"/>
      <c r="Y10" s="1985"/>
      <c r="Z10" s="1985"/>
      <c r="AA10" s="1985"/>
      <c r="AB10" s="1985"/>
      <c r="AC10" s="1985"/>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88"/>
      <c r="K12" s="322"/>
      <c r="M12" s="319"/>
      <c r="N12" s="320"/>
      <c r="O12" s="321"/>
      <c r="P12" s="321"/>
      <c r="Q12" s="321"/>
      <c r="R12" s="1362"/>
      <c r="S12" s="1988"/>
      <c r="T12" s="322"/>
    </row>
    <row r="13" spans="2:29">
      <c r="D13" s="319"/>
      <c r="E13" s="320"/>
      <c r="F13" s="321"/>
      <c r="G13" s="321"/>
      <c r="H13" s="321"/>
      <c r="I13" s="1362"/>
      <c r="J13" s="1989"/>
      <c r="K13" s="322"/>
      <c r="M13" s="319"/>
      <c r="N13" s="320"/>
      <c r="O13" s="321"/>
      <c r="P13" s="321"/>
      <c r="Q13" s="321"/>
      <c r="R13" s="1362"/>
      <c r="S13" s="1989"/>
      <c r="T13" s="322"/>
    </row>
    <row r="14" spans="2:29" ht="15.75">
      <c r="B14" s="1971"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72"/>
      <c r="D15" s="1980" t="s">
        <v>145</v>
      </c>
      <c r="E15" s="1980" t="s">
        <v>146</v>
      </c>
      <c r="F15" s="1981" t="s">
        <v>147</v>
      </c>
      <c r="G15" s="1981"/>
      <c r="H15" s="1981"/>
      <c r="I15" s="1982" t="s">
        <v>1076</v>
      </c>
      <c r="J15" s="1980" t="s">
        <v>149</v>
      </c>
      <c r="K15" s="1980" t="s">
        <v>150</v>
      </c>
      <c r="M15" s="1980" t="s">
        <v>145</v>
      </c>
      <c r="N15" s="1980" t="s">
        <v>146</v>
      </c>
      <c r="O15" s="1981" t="s">
        <v>147</v>
      </c>
      <c r="P15" s="1981"/>
      <c r="Q15" s="1981"/>
      <c r="R15" s="1982" t="s">
        <v>1076</v>
      </c>
      <c r="S15" s="1980" t="s">
        <v>149</v>
      </c>
      <c r="T15" s="1980" t="s">
        <v>150</v>
      </c>
      <c r="V15" s="1986" t="s">
        <v>145</v>
      </c>
      <c r="W15" s="1986" t="s">
        <v>146</v>
      </c>
      <c r="X15" s="1990" t="s">
        <v>147</v>
      </c>
      <c r="Y15" s="1991"/>
      <c r="Z15" s="1992"/>
      <c r="AA15" s="1993" t="s">
        <v>1076</v>
      </c>
      <c r="AB15" s="1986" t="s">
        <v>149</v>
      </c>
      <c r="AC15" s="1986" t="s">
        <v>154</v>
      </c>
    </row>
    <row r="16" spans="2:29" ht="20.25" customHeight="1">
      <c r="B16" s="1973"/>
      <c r="D16" s="1980"/>
      <c r="E16" s="1980"/>
      <c r="F16" s="330" t="s">
        <v>151</v>
      </c>
      <c r="G16" s="330" t="s">
        <v>152</v>
      </c>
      <c r="H16" s="330" t="s">
        <v>153</v>
      </c>
      <c r="I16" s="1983"/>
      <c r="J16" s="1980"/>
      <c r="K16" s="1980"/>
      <c r="M16" s="1980"/>
      <c r="N16" s="1980"/>
      <c r="O16" s="330" t="s">
        <v>151</v>
      </c>
      <c r="P16" s="330" t="s">
        <v>152</v>
      </c>
      <c r="Q16" s="330" t="s">
        <v>153</v>
      </c>
      <c r="R16" s="1983"/>
      <c r="S16" s="1980"/>
      <c r="T16" s="1980"/>
      <c r="V16" s="1987"/>
      <c r="W16" s="1987"/>
      <c r="X16" s="337" t="s">
        <v>151</v>
      </c>
      <c r="Y16" s="337" t="s">
        <v>152</v>
      </c>
      <c r="Z16" s="337" t="s">
        <v>153</v>
      </c>
      <c r="AA16" s="1994"/>
      <c r="AB16" s="1987"/>
      <c r="AC16" s="1987"/>
    </row>
    <row r="17" spans="2:71">
      <c r="B17" s="1432">
        <f>'00 - Cover'!F20</f>
        <v>46049</v>
      </c>
      <c r="D17" s="331">
        <f>'11 - Notes Follow-up'!H26</f>
        <v>77732</v>
      </c>
      <c r="E17" s="332">
        <f>'11 - Notes Follow-up'!J26</f>
        <v>88466.49</v>
      </c>
      <c r="F17" s="333">
        <f>'00 - Cover'!F22</f>
        <v>46020</v>
      </c>
      <c r="G17" s="333">
        <f>'00 - Cover'!F20</f>
        <v>46049</v>
      </c>
      <c r="H17" s="334">
        <f>IFERROR(G17-F17,"N/A")</f>
        <v>29</v>
      </c>
      <c r="I17" s="1365">
        <v>6.0000000000000001E-3</v>
      </c>
      <c r="J17" s="1769">
        <f>ROUND(E17*(I17)*H17/365,2)</f>
        <v>42.17</v>
      </c>
      <c r="K17" s="335">
        <f>J17*D17</f>
        <v>3277958.44</v>
      </c>
      <c r="M17" s="331">
        <f>'11 - Notes Follow-up'!P25</f>
        <v>40340</v>
      </c>
      <c r="N17" s="332">
        <f>'11 - Notes Follow-up'!R26</f>
        <v>98248.3</v>
      </c>
      <c r="O17" s="333">
        <f>+F17</f>
        <v>46020</v>
      </c>
      <c r="P17" s="333">
        <f t="shared" ref="P17:Q17" si="0">+G17</f>
        <v>46049</v>
      </c>
      <c r="Q17" s="1850">
        <f t="shared" si="0"/>
        <v>29</v>
      </c>
      <c r="R17" s="1365">
        <v>6.0000000000000001E-3</v>
      </c>
      <c r="S17" s="1769">
        <f>ROUND(N17*(R17)*Q17/365,2)</f>
        <v>46.84</v>
      </c>
      <c r="T17" s="335">
        <f>S17*M17</f>
        <v>1889525.6</v>
      </c>
      <c r="V17" s="331">
        <f>'11 - Notes Follow-up'!X26</f>
        <v>5808</v>
      </c>
      <c r="W17" s="332">
        <f>'11 - Notes Follow-up'!Y26</f>
        <v>98231.24000000002</v>
      </c>
      <c r="X17" s="333">
        <f>F17</f>
        <v>46020</v>
      </c>
      <c r="Y17" s="333">
        <f>'00 - Cover'!F20</f>
        <v>46049</v>
      </c>
      <c r="Z17" s="334">
        <f>IFERROR(Y17-X17,"N/A")</f>
        <v>29</v>
      </c>
      <c r="AA17" s="1365">
        <v>1.4999999999999999E-2</v>
      </c>
      <c r="AB17" s="1769">
        <f>ROUND(W17*(AA17)*Z17/365,2)</f>
        <v>117.07</v>
      </c>
      <c r="AC17" s="335">
        <f>AB17*V17</f>
        <v>679942.55999999994</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46020</v>
      </c>
      <c r="D18" s="331">
        <f>IF('Historical DATA'!BW4="","",'Historical DATA'!BW4)</f>
        <v>77732</v>
      </c>
      <c r="E18" s="332">
        <f>IF('Historical DATA'!BX4="","",'Historical DATA'!BX4)</f>
        <v>89169.55</v>
      </c>
      <c r="F18" s="333">
        <f>IF('Historical DATA'!BY4="","",'Historical DATA'!BY4)</f>
        <v>45988</v>
      </c>
      <c r="G18" s="333">
        <f>IF('Historical DATA'!BZ4="","",'Historical DATA'!BZ4)</f>
        <v>46020</v>
      </c>
      <c r="H18" s="334">
        <f>IF('Historical DATA'!CA4="","",'Historical DATA'!CA4)</f>
        <v>32</v>
      </c>
      <c r="I18" s="1365">
        <f>IF('Historical DATA'!CB4="","",'Historical DATA'!CB4)</f>
        <v>6.0000000000000001E-3</v>
      </c>
      <c r="J18" s="1364">
        <f>IF('Historical DATA'!CC4="","",'Historical DATA'!CC4)</f>
        <v>46.91</v>
      </c>
      <c r="K18" s="335">
        <f>IF('Historical DATA'!CD4="","",'Historical DATA'!CD4)</f>
        <v>3646408.1199999996</v>
      </c>
      <c r="M18" s="331">
        <f>IF('Historical DATA'!CE4="","",'Historical DATA'!CE4)</f>
        <v>40340</v>
      </c>
      <c r="N18" s="332">
        <f>IF('Historical DATA'!CF4="","",'Historical DATA'!CF4)</f>
        <v>99029.1</v>
      </c>
      <c r="O18" s="333">
        <f>IF('Historical DATA'!CG4="","",'Historical DATA'!CG4)</f>
        <v>45988</v>
      </c>
      <c r="P18" s="333">
        <f>IF('Historical DATA'!CH4="","",'Historical DATA'!CH4)</f>
        <v>46020</v>
      </c>
      <c r="Q18" s="1850">
        <f>IF('Historical DATA'!CI4="","",'Historical DATA'!CI4)</f>
        <v>32</v>
      </c>
      <c r="R18" s="1365">
        <f>IF('Historical DATA'!CJ4="","",'Historical DATA'!CJ4)</f>
        <v>6.0000000000000001E-3</v>
      </c>
      <c r="S18" s="1855">
        <f>IF('Historical DATA'!CK4="","",'Historical DATA'!CK4)</f>
        <v>52.09</v>
      </c>
      <c r="T18" s="335">
        <f>IF('Historical DATA'!CL4="","",'Historical DATA'!CL4)</f>
        <v>2101310.6</v>
      </c>
      <c r="V18" s="331">
        <f>IF('Historical DATA'!CM4="","",'Historical DATA'!CM4)</f>
        <v>5808</v>
      </c>
      <c r="W18" s="332">
        <f>IF('Historical DATA'!CN4="","",'Historical DATA'!CN4)</f>
        <v>99011.900000000009</v>
      </c>
      <c r="X18" s="333">
        <f>IF('Historical DATA'!CO4="","",'Historical DATA'!CO4)</f>
        <v>45988</v>
      </c>
      <c r="Y18" s="333">
        <f>IF('Historical DATA'!CP4="","",'Historical DATA'!CP4)</f>
        <v>46020</v>
      </c>
      <c r="Z18" s="334">
        <f>IF('Historical DATA'!CQ4="","",'Historical DATA'!CQ4)</f>
        <v>32</v>
      </c>
      <c r="AA18" s="1365">
        <f>IF('Historical DATA'!CR4="","",'Historical DATA'!CR4)</f>
        <v>1.4999999999999999E-2</v>
      </c>
      <c r="AB18" s="1364">
        <f>IF('Historical DATA'!CS4="","",'Historical DATA'!CS4)</f>
        <v>130.21</v>
      </c>
      <c r="AC18" s="335">
        <f>IF('Historical DATA'!CT4="","",'Historical DATA'!CT4)</f>
        <v>756259.68</v>
      </c>
    </row>
    <row r="19" spans="2:71">
      <c r="B19" s="137">
        <f>IF('Historical DATA'!B5="","",'Historical DATA'!B5)</f>
        <v>45988</v>
      </c>
      <c r="D19" s="331">
        <f>IF('Historical DATA'!BW5="","",'Historical DATA'!BW5)</f>
        <v>77732</v>
      </c>
      <c r="E19" s="332">
        <f>IF('Historical DATA'!BX5="","",'Historical DATA'!BX5)</f>
        <v>90043.790000000008</v>
      </c>
      <c r="F19" s="333">
        <f>IF('Historical DATA'!BY5="","",'Historical DATA'!BY5)</f>
        <v>45957</v>
      </c>
      <c r="G19" s="333">
        <f>IF('Historical DATA'!BZ5="","",'Historical DATA'!BZ5)</f>
        <v>45988</v>
      </c>
      <c r="H19" s="334">
        <f>IF('Historical DATA'!CA5="","",'Historical DATA'!CA5)</f>
        <v>31</v>
      </c>
      <c r="I19" s="1365">
        <f>IF('Historical DATA'!CB5="","",'Historical DATA'!CB5)</f>
        <v>6.0000000000000001E-3</v>
      </c>
      <c r="J19" s="1364">
        <f>IF('Historical DATA'!CC5="","",'Historical DATA'!CC5)</f>
        <v>45.89</v>
      </c>
      <c r="K19" s="335">
        <f>IF('Historical DATA'!CD5="","",'Historical DATA'!CD5)</f>
        <v>3567121.48</v>
      </c>
      <c r="M19" s="331">
        <f>IF('Historical DATA'!CE5="","",'Historical DATA'!CE5)</f>
        <v>40340</v>
      </c>
      <c r="N19" s="332">
        <f>IF('Historical DATA'!CF5="","",'Historical DATA'!CF5)</f>
        <v>100000</v>
      </c>
      <c r="O19" s="333">
        <f>IF('Historical DATA'!CG5="","",'Historical DATA'!CG5)</f>
        <v>45957</v>
      </c>
      <c r="P19" s="333">
        <f>IF('Historical DATA'!CH5="","",'Historical DATA'!CH5)</f>
        <v>45988</v>
      </c>
      <c r="Q19" s="1850">
        <f>IF('Historical DATA'!CI5="","",'Historical DATA'!CI5)</f>
        <v>31</v>
      </c>
      <c r="R19" s="1365">
        <f>IF('Historical DATA'!CJ5="","",'Historical DATA'!CJ5)</f>
        <v>6.0000000000000001E-3</v>
      </c>
      <c r="S19" s="1855">
        <f>IF('Historical DATA'!CK5="","",'Historical DATA'!CK5)</f>
        <v>50.96</v>
      </c>
      <c r="T19" s="335">
        <f>IF('Historical DATA'!CL5="","",'Historical DATA'!CL5)</f>
        <v>2055726.4000000001</v>
      </c>
      <c r="V19" s="331">
        <f>IF('Historical DATA'!CM5="","",'Historical DATA'!CM5)</f>
        <v>5808</v>
      </c>
      <c r="W19" s="332">
        <f>IF('Historical DATA'!CN5="","",'Historical DATA'!CN5)</f>
        <v>100000</v>
      </c>
      <c r="X19" s="333">
        <f>IF('Historical DATA'!CO5="","",'Historical DATA'!CO5)</f>
        <v>45957</v>
      </c>
      <c r="Y19" s="333">
        <f>IF('Historical DATA'!CP5="","",'Historical DATA'!CP5)</f>
        <v>45988</v>
      </c>
      <c r="Z19" s="334">
        <f>IF('Historical DATA'!CQ5="","",'Historical DATA'!CQ5)</f>
        <v>31</v>
      </c>
      <c r="AA19" s="1365">
        <f>IF('Historical DATA'!CR5="","",'Historical DATA'!CR5)</f>
        <v>1.4999999999999999E-2</v>
      </c>
      <c r="AB19" s="1364">
        <f>IF('Historical DATA'!CS5="","",'Historical DATA'!CS5)</f>
        <v>127.4</v>
      </c>
      <c r="AC19" s="335">
        <f>IF('Historical DATA'!CT5="","",'Historical DATA'!CT5)</f>
        <v>739939.20000000007</v>
      </c>
    </row>
    <row r="20" spans="2:71">
      <c r="B20" s="137">
        <f>IF('Historical DATA'!B6="","",'Historical DATA'!B6)</f>
        <v>45957</v>
      </c>
      <c r="D20" s="331">
        <f>IF('Historical DATA'!BW6="","",'Historical DATA'!BW6)</f>
        <v>77732</v>
      </c>
      <c r="E20" s="332">
        <f>IF('Historical DATA'!BX6="","",'Historical DATA'!BX6)</f>
        <v>90815.010000000009</v>
      </c>
      <c r="F20" s="333">
        <f>IF('Historical DATA'!BY6="","",'Historical DATA'!BY6)</f>
        <v>45929</v>
      </c>
      <c r="G20" s="333">
        <f>IF('Historical DATA'!BZ6="","",'Historical DATA'!BZ6)</f>
        <v>45957</v>
      </c>
      <c r="H20" s="334">
        <f>IF('Historical DATA'!CA6="","",'Historical DATA'!CA6)</f>
        <v>28</v>
      </c>
      <c r="I20" s="1365">
        <f>IF('Historical DATA'!CB6="","",'Historical DATA'!CB6)</f>
        <v>6.0000000000000001E-3</v>
      </c>
      <c r="J20" s="1364">
        <f>IF('Historical DATA'!CC6="","",'Historical DATA'!CC6)</f>
        <v>41.8</v>
      </c>
      <c r="K20" s="335">
        <f>IF('Historical DATA'!CD6="","",'Historical DATA'!CD6)</f>
        <v>3249197.5999999996</v>
      </c>
      <c r="M20" s="331">
        <f>IF('Historical DATA'!CE6="","",'Historical DATA'!CE6)</f>
        <v>40340</v>
      </c>
      <c r="N20" s="332">
        <f>IF('Historical DATA'!CF6="","",'Historical DATA'!CF6)</f>
        <v>0</v>
      </c>
      <c r="O20" s="333">
        <f>IF('Historical DATA'!CG6="","",'Historical DATA'!CG6)</f>
        <v>45929</v>
      </c>
      <c r="P20" s="333">
        <f>IF('Historical DATA'!CH6="","",'Historical DATA'!CH6)</f>
        <v>45957</v>
      </c>
      <c r="Q20" s="1850">
        <f>IF('Historical DATA'!CI6="","",'Historical DATA'!CI6)</f>
        <v>28</v>
      </c>
      <c r="R20" s="1365">
        <f>IF('Historical DATA'!CJ6="","",'Historical DATA'!CJ6)</f>
        <v>6.0000000000000001E-3</v>
      </c>
      <c r="S20" s="1855">
        <f>IF('Historical DATA'!CK6="","",'Historical DATA'!CK6)</f>
        <v>0</v>
      </c>
      <c r="T20" s="331">
        <f>IF('Historical DATA'!CL6="","",'Historical DATA'!CL6)</f>
        <v>0</v>
      </c>
      <c r="V20" s="331">
        <f>IF('Historical DATA'!CM6="","",'Historical DATA'!CM6)</f>
        <v>4092</v>
      </c>
      <c r="W20" s="332">
        <f>IF('Historical DATA'!CN6="","",'Historical DATA'!CN6)</f>
        <v>90796.33</v>
      </c>
      <c r="X20" s="333">
        <f>IF('Historical DATA'!CO6="","",'Historical DATA'!CO6)</f>
        <v>45929</v>
      </c>
      <c r="Y20" s="333">
        <f>IF('Historical DATA'!CP6="","",'Historical DATA'!CP6)</f>
        <v>45957</v>
      </c>
      <c r="Z20" s="334">
        <f>IF('Historical DATA'!CQ6="","",'Historical DATA'!CQ6)</f>
        <v>28</v>
      </c>
      <c r="AA20" s="1365">
        <f>IF('Historical DATA'!CR6="","",'Historical DATA'!CR6)</f>
        <v>1.4999999999999999E-2</v>
      </c>
      <c r="AB20" s="1364">
        <f>IF('Historical DATA'!CS6="","",'Historical DATA'!CS6)</f>
        <v>104.48</v>
      </c>
      <c r="AC20" s="335">
        <f>IF('Historical DATA'!CT6="","",'Historical DATA'!CT6)</f>
        <v>427532.16000000003</v>
      </c>
    </row>
    <row r="21" spans="2:71" ht="14.25" customHeight="1">
      <c r="B21" s="137">
        <f>IF('Historical DATA'!B7="","",'Historical DATA'!B7)</f>
        <v>45929</v>
      </c>
      <c r="D21" s="331">
        <f>IF('Historical DATA'!BW7="","",'Historical DATA'!BW7)</f>
        <v>77732</v>
      </c>
      <c r="E21" s="332">
        <f>IF('Historical DATA'!BX7="","",'Historical DATA'!BX7)</f>
        <v>91678.23000000001</v>
      </c>
      <c r="F21" s="333">
        <f>IF('Historical DATA'!BY7="","",'Historical DATA'!BY7)</f>
        <v>45896</v>
      </c>
      <c r="G21" s="333">
        <f>IF('Historical DATA'!BZ7="","",'Historical DATA'!BZ7)</f>
        <v>45929</v>
      </c>
      <c r="H21" s="334">
        <f>IF('Historical DATA'!CA7="","",'Historical DATA'!CA7)</f>
        <v>33</v>
      </c>
      <c r="I21" s="1365">
        <f>IF('Historical DATA'!CB7="","",'Historical DATA'!CB7)</f>
        <v>6.0000000000000001E-3</v>
      </c>
      <c r="J21" s="1364">
        <f>IF('Historical DATA'!CC7="","",'Historical DATA'!CC7)</f>
        <v>49.73</v>
      </c>
      <c r="K21" s="335">
        <f>IF('Historical DATA'!CD7="","",'Historical DATA'!CD7)</f>
        <v>3865612.36</v>
      </c>
      <c r="M21" s="331" t="str">
        <f>IF('Historical DATA'!CE7="","",'Historical DATA'!CE7)</f>
        <v/>
      </c>
      <c r="N21" s="331" t="str">
        <f>IF('Historical DATA'!CF7="","",'Historical DATA'!CF7)</f>
        <v/>
      </c>
      <c r="O21" s="331" t="str">
        <f>IF('Historical DATA'!CG7="","",'Historical DATA'!CG7)</f>
        <v/>
      </c>
      <c r="P21" s="331" t="str">
        <f>IF('Historical DATA'!CH7="","",'Historical DATA'!CH7)</f>
        <v/>
      </c>
      <c r="Q21" s="331" t="str">
        <f>IF('Historical DATA'!CI7="","",'Historical DATA'!CI7)</f>
        <v/>
      </c>
      <c r="R21" s="1365" t="str">
        <f>IF('Historical DATA'!CJ7="","",'Historical DATA'!CJ7)</f>
        <v/>
      </c>
      <c r="S21" s="331" t="str">
        <f>IF('Historical DATA'!CK7="","",'Historical DATA'!CK7)</f>
        <v/>
      </c>
      <c r="T21" s="331" t="str">
        <f>IF('Historical DATA'!CL7="","",'Historical DATA'!CL7)</f>
        <v/>
      </c>
      <c r="V21" s="331">
        <f>IF('Historical DATA'!CM7="","",'Historical DATA'!CM7)</f>
        <v>4092</v>
      </c>
      <c r="W21" s="332">
        <f>IF('Historical DATA'!CN7="","",'Historical DATA'!CN7)</f>
        <v>91659.37000000001</v>
      </c>
      <c r="X21" s="333">
        <f>IF('Historical DATA'!CO7="","",'Historical DATA'!CO7)</f>
        <v>45896</v>
      </c>
      <c r="Y21" s="333">
        <f>IF('Historical DATA'!CP7="","",'Historical DATA'!CP7)</f>
        <v>45929</v>
      </c>
      <c r="Z21" s="334">
        <f>IF('Historical DATA'!CQ7="","",'Historical DATA'!CQ7)</f>
        <v>33</v>
      </c>
      <c r="AA21" s="1365">
        <f>IF('Historical DATA'!CR7="","",'Historical DATA'!CR7)</f>
        <v>1.4999999999999999E-2</v>
      </c>
      <c r="AB21" s="1364">
        <f>IF('Historical DATA'!CS7="","",'Historical DATA'!CS7)</f>
        <v>124.31</v>
      </c>
      <c r="AC21" s="335">
        <f>IF('Historical DATA'!CT7="","",'Historical DATA'!CT7)</f>
        <v>508676.52</v>
      </c>
    </row>
    <row r="22" spans="2:71" ht="14.25" customHeight="1">
      <c r="B22" s="137">
        <f>IF('Historical DATA'!B8="","",'Historical DATA'!B8)</f>
        <v>45896</v>
      </c>
      <c r="D22" s="331">
        <f>IF('Historical DATA'!BW8="","",'Historical DATA'!BW8)</f>
        <v>77732</v>
      </c>
      <c r="E22" s="332">
        <f>IF('Historical DATA'!BX8="","",'Historical DATA'!BX8)</f>
        <v>92516.660000000018</v>
      </c>
      <c r="F22" s="333">
        <f>IF('Historical DATA'!BY8="","",'Historical DATA'!BY8)</f>
        <v>45866</v>
      </c>
      <c r="G22" s="333">
        <f>IF('Historical DATA'!BZ8="","",'Historical DATA'!BZ8)</f>
        <v>45896</v>
      </c>
      <c r="H22" s="334">
        <f>IF('Historical DATA'!CA8="","",'Historical DATA'!CA8)</f>
        <v>30</v>
      </c>
      <c r="I22" s="1365">
        <f>IF('Historical DATA'!CB8="","",'Historical DATA'!CB8)</f>
        <v>6.0000000000000001E-3</v>
      </c>
      <c r="J22" s="1364">
        <f>IF('Historical DATA'!CC8="","",'Historical DATA'!CC8)</f>
        <v>45.62</v>
      </c>
      <c r="K22" s="335">
        <f>IF('Historical DATA'!CD8="","",'Historical DATA'!CD8)</f>
        <v>3546133.84</v>
      </c>
      <c r="M22" s="331" t="str">
        <f>IF('Historical DATA'!CE8="","",'Historical DATA'!CE8)</f>
        <v/>
      </c>
      <c r="N22" s="331" t="str">
        <f>IF('Historical DATA'!CF8="","",'Historical DATA'!CF8)</f>
        <v/>
      </c>
      <c r="O22" s="331" t="str">
        <f>IF('Historical DATA'!CG8="","",'Historical DATA'!CG8)</f>
        <v/>
      </c>
      <c r="P22" s="331" t="str">
        <f>IF('Historical DATA'!CH8="","",'Historical DATA'!CH8)</f>
        <v/>
      </c>
      <c r="Q22" s="331" t="str">
        <f>IF('Historical DATA'!CI8="","",'Historical DATA'!CI8)</f>
        <v/>
      </c>
      <c r="R22" s="1365" t="str">
        <f>IF('Historical DATA'!CJ8="","",'Historical DATA'!CJ8)</f>
        <v/>
      </c>
      <c r="S22" s="331" t="str">
        <f>IF('Historical DATA'!CK8="","",'Historical DATA'!CK8)</f>
        <v/>
      </c>
      <c r="T22" s="331" t="str">
        <f>IF('Historical DATA'!CL8="","",'Historical DATA'!CL8)</f>
        <v/>
      </c>
      <c r="V22" s="331">
        <f>IF('Historical DATA'!CM8="","",'Historical DATA'!CM8)</f>
        <v>4092</v>
      </c>
      <c r="W22" s="332">
        <f>IF('Historical DATA'!CN8="","",'Historical DATA'!CN8)</f>
        <v>92497.62000000001</v>
      </c>
      <c r="X22" s="333">
        <f>IF('Historical DATA'!CO8="","",'Historical DATA'!CO8)</f>
        <v>45866</v>
      </c>
      <c r="Y22" s="333">
        <f>IF('Historical DATA'!CP8="","",'Historical DATA'!CP8)</f>
        <v>45896</v>
      </c>
      <c r="Z22" s="334">
        <f>IF('Historical DATA'!CQ8="","",'Historical DATA'!CQ8)</f>
        <v>30</v>
      </c>
      <c r="AA22" s="1365">
        <f>IF('Historical DATA'!CR8="","",'Historical DATA'!CR8)</f>
        <v>1.4999999999999999E-2</v>
      </c>
      <c r="AB22" s="1364">
        <f>IF('Historical DATA'!CS8="","",'Historical DATA'!CS8)</f>
        <v>114.04</v>
      </c>
      <c r="AC22" s="335">
        <f>IF('Historical DATA'!CT8="","",'Historical DATA'!CT8)</f>
        <v>466651.68000000005</v>
      </c>
    </row>
    <row r="23" spans="2:71">
      <c r="B23" s="137">
        <f>IF('Historical DATA'!B9="","",'Historical DATA'!B9)</f>
        <v>45866</v>
      </c>
      <c r="D23" s="331">
        <f>IF('Historical DATA'!BW9="","",'Historical DATA'!BW9)</f>
        <v>77732</v>
      </c>
      <c r="E23" s="332">
        <f>IF('Historical DATA'!BX9="","",'Historical DATA'!BX9)</f>
        <v>93313.150000000009</v>
      </c>
      <c r="F23" s="333">
        <f>IF('Historical DATA'!BY9="","",'Historical DATA'!BY9)</f>
        <v>45835</v>
      </c>
      <c r="G23" s="333">
        <f>IF('Historical DATA'!BZ9="","",'Historical DATA'!BZ9)</f>
        <v>45866</v>
      </c>
      <c r="H23" s="334">
        <f>IF('Historical DATA'!CA9="","",'Historical DATA'!CA9)</f>
        <v>31</v>
      </c>
      <c r="I23" s="1365">
        <f>IF('Historical DATA'!CB9="","",'Historical DATA'!CB9)</f>
        <v>6.0000000000000001E-3</v>
      </c>
      <c r="J23" s="1364">
        <f>IF('Historical DATA'!CC9="","",'Historical DATA'!CC9)</f>
        <v>47.55</v>
      </c>
      <c r="K23" s="335">
        <f>IF('Historical DATA'!CD9="","",'Historical DATA'!CD9)</f>
        <v>3696156.5999999996</v>
      </c>
      <c r="M23" s="331" t="str">
        <f>IF('Historical DATA'!CE9="","",'Historical DATA'!CE9)</f>
        <v/>
      </c>
      <c r="N23" s="331" t="str">
        <f>IF('Historical DATA'!CF9="","",'Historical DATA'!CF9)</f>
        <v/>
      </c>
      <c r="O23" s="331" t="str">
        <f>IF('Historical DATA'!CG9="","",'Historical DATA'!CG9)</f>
        <v/>
      </c>
      <c r="P23" s="331" t="str">
        <f>IF('Historical DATA'!CH9="","",'Historical DATA'!CH9)</f>
        <v/>
      </c>
      <c r="Q23" s="331" t="str">
        <f>IF('Historical DATA'!CI9="","",'Historical DATA'!CI9)</f>
        <v/>
      </c>
      <c r="R23" s="1365" t="str">
        <f>IF('Historical DATA'!CJ9="","",'Historical DATA'!CJ9)</f>
        <v/>
      </c>
      <c r="S23" s="331" t="str">
        <f>IF('Historical DATA'!CK9="","",'Historical DATA'!CK9)</f>
        <v/>
      </c>
      <c r="T23" s="331" t="str">
        <f>IF('Historical DATA'!CL9="","",'Historical DATA'!CL9)</f>
        <v/>
      </c>
      <c r="V23" s="331">
        <f>IF('Historical DATA'!CM9="","",'Historical DATA'!CM9)</f>
        <v>4092</v>
      </c>
      <c r="W23" s="332">
        <f>IF('Historical DATA'!CN9="","",'Historical DATA'!CN9)</f>
        <v>93293.94</v>
      </c>
      <c r="X23" s="333">
        <f>IF('Historical DATA'!CO9="","",'Historical DATA'!CO9)</f>
        <v>45835</v>
      </c>
      <c r="Y23" s="333">
        <f>IF('Historical DATA'!CP9="","",'Historical DATA'!CP9)</f>
        <v>45866</v>
      </c>
      <c r="Z23" s="334">
        <f>IF('Historical DATA'!CQ9="","",'Historical DATA'!CQ9)</f>
        <v>31</v>
      </c>
      <c r="AA23" s="1365">
        <f>IF('Historical DATA'!CR9="","",'Historical DATA'!CR9)</f>
        <v>1.4999999999999999E-2</v>
      </c>
      <c r="AB23" s="1364">
        <f>IF('Historical DATA'!CS9="","",'Historical DATA'!CS9)</f>
        <v>118.85</v>
      </c>
      <c r="AC23" s="335">
        <f>IF('Historical DATA'!CT9="","",'Historical DATA'!CT9)</f>
        <v>486334.19999999995</v>
      </c>
    </row>
    <row r="24" spans="2:71">
      <c r="B24" s="137">
        <f>IF('Historical DATA'!B10="","",'Historical DATA'!B10)</f>
        <v>45835</v>
      </c>
      <c r="D24" s="331">
        <f>IF('Historical DATA'!BW10="","",'Historical DATA'!BW10)</f>
        <v>77732</v>
      </c>
      <c r="E24" s="332">
        <f>IF('Historical DATA'!BX10="","",'Historical DATA'!BX10)</f>
        <v>94116.080000000016</v>
      </c>
      <c r="F24" s="333">
        <f>IF('Historical DATA'!BY10="","",'Historical DATA'!BY10)</f>
        <v>45804</v>
      </c>
      <c r="G24" s="333">
        <f>IF('Historical DATA'!BZ10="","",'Historical DATA'!BZ10)</f>
        <v>45835</v>
      </c>
      <c r="H24" s="334">
        <f>IF('Historical DATA'!CA10="","",'Historical DATA'!CA10)</f>
        <v>31</v>
      </c>
      <c r="I24" s="1365">
        <f>IF('Historical DATA'!CB10="","",'Historical DATA'!CB10)</f>
        <v>6.0000000000000001E-3</v>
      </c>
      <c r="J24" s="1364">
        <f>IF('Historical DATA'!CC10="","",'Historical DATA'!CC10)</f>
        <v>47.96</v>
      </c>
      <c r="K24" s="335">
        <f>IF('Historical DATA'!CD10="","",'Historical DATA'!CD10)</f>
        <v>3728026.72</v>
      </c>
      <c r="M24" s="331" t="str">
        <f>IF('Historical DATA'!CE10="","",'Historical DATA'!CE10)</f>
        <v/>
      </c>
      <c r="N24" s="331" t="str">
        <f>IF('Historical DATA'!CF10="","",'Historical DATA'!CF10)</f>
        <v/>
      </c>
      <c r="O24" s="331" t="str">
        <f>IF('Historical DATA'!CG10="","",'Historical DATA'!CG10)</f>
        <v/>
      </c>
      <c r="P24" s="331" t="str">
        <f>IF('Historical DATA'!CH10="","",'Historical DATA'!CH10)</f>
        <v/>
      </c>
      <c r="Q24" s="331" t="str">
        <f>IF('Historical DATA'!CI10="","",'Historical DATA'!CI10)</f>
        <v/>
      </c>
      <c r="R24" s="1365" t="str">
        <f>IF('Historical DATA'!CJ10="","",'Historical DATA'!CJ10)</f>
        <v/>
      </c>
      <c r="S24" s="331" t="str">
        <f>IF('Historical DATA'!CK10="","",'Historical DATA'!CK10)</f>
        <v/>
      </c>
      <c r="T24" s="331" t="str">
        <f>IF('Historical DATA'!CL10="","",'Historical DATA'!CL10)</f>
        <v/>
      </c>
      <c r="V24" s="331">
        <f>IF('Historical DATA'!CM10="","",'Historical DATA'!CM10)</f>
        <v>4092</v>
      </c>
      <c r="W24" s="332">
        <f>IF('Historical DATA'!CN10="","",'Historical DATA'!CN10)</f>
        <v>94096.709999999992</v>
      </c>
      <c r="X24" s="333">
        <f>IF('Historical DATA'!CO10="","",'Historical DATA'!CO10)</f>
        <v>45804</v>
      </c>
      <c r="Y24" s="333">
        <f>IF('Historical DATA'!CP10="","",'Historical DATA'!CP10)</f>
        <v>45835</v>
      </c>
      <c r="Z24" s="334">
        <f>IF('Historical DATA'!CQ10="","",'Historical DATA'!CQ10)</f>
        <v>31</v>
      </c>
      <c r="AA24" s="1365">
        <f>IF('Historical DATA'!CR10="","",'Historical DATA'!CR10)</f>
        <v>1.4999999999999999E-2</v>
      </c>
      <c r="AB24" s="1364">
        <f>IF('Historical DATA'!CS10="","",'Historical DATA'!CS10)</f>
        <v>119.87</v>
      </c>
      <c r="AC24" s="335">
        <f>IF('Historical DATA'!CT10="","",'Historical DATA'!CT10)</f>
        <v>490508.04000000004</v>
      </c>
    </row>
    <row r="25" spans="2:71">
      <c r="B25" s="137">
        <f>IF('Historical DATA'!B11="","",'Historical DATA'!B11)</f>
        <v>45804</v>
      </c>
      <c r="D25" s="331">
        <f>IF('Historical DATA'!BW11="","",'Historical DATA'!BW11)</f>
        <v>77732</v>
      </c>
      <c r="E25" s="332">
        <f>IF('Historical DATA'!BX11="","",'Historical DATA'!BX11)</f>
        <v>94870.270000000019</v>
      </c>
      <c r="F25" s="333">
        <f>IF('Historical DATA'!BY11="","",'Historical DATA'!BY11)</f>
        <v>45775</v>
      </c>
      <c r="G25" s="333">
        <f>IF('Historical DATA'!BZ11="","",'Historical DATA'!BZ11)</f>
        <v>45804</v>
      </c>
      <c r="H25" s="334">
        <f>IF('Historical DATA'!CA11="","",'Historical DATA'!CA11)</f>
        <v>29</v>
      </c>
      <c r="I25" s="1365">
        <f>IF('Historical DATA'!CB11="","",'Historical DATA'!CB11)</f>
        <v>6.0000000000000001E-3</v>
      </c>
      <c r="J25" s="1364">
        <f>IF('Historical DATA'!CC11="","",'Historical DATA'!CC11)</f>
        <v>45.22</v>
      </c>
      <c r="K25" s="335">
        <f>IF('Historical DATA'!CD11="","",'Historical DATA'!CD11)</f>
        <v>3515041.04</v>
      </c>
      <c r="M25" s="331" t="str">
        <f>IF('Historical DATA'!CE11="","",'Historical DATA'!CE11)</f>
        <v/>
      </c>
      <c r="N25" s="331" t="str">
        <f>IF('Historical DATA'!CF11="","",'Historical DATA'!CF11)</f>
        <v/>
      </c>
      <c r="O25" s="331" t="str">
        <f>IF('Historical DATA'!CG11="","",'Historical DATA'!CG11)</f>
        <v/>
      </c>
      <c r="P25" s="331" t="str">
        <f>IF('Historical DATA'!CH11="","",'Historical DATA'!CH11)</f>
        <v/>
      </c>
      <c r="Q25" s="331" t="str">
        <f>IF('Historical DATA'!CI11="","",'Historical DATA'!CI11)</f>
        <v/>
      </c>
      <c r="R25" s="1365" t="str">
        <f>IF('Historical DATA'!CJ11="","",'Historical DATA'!CJ11)</f>
        <v/>
      </c>
      <c r="S25" s="331" t="str">
        <f>IF('Historical DATA'!CK11="","",'Historical DATA'!CK11)</f>
        <v/>
      </c>
      <c r="T25" s="331" t="str">
        <f>IF('Historical DATA'!CL11="","",'Historical DATA'!CL11)</f>
        <v/>
      </c>
      <c r="V25" s="331">
        <f>IF('Historical DATA'!CM11="","",'Historical DATA'!CM11)</f>
        <v>4092</v>
      </c>
      <c r="W25" s="332">
        <f>IF('Historical DATA'!CN11="","",'Historical DATA'!CN11)</f>
        <v>94850.739999999991</v>
      </c>
      <c r="X25" s="333">
        <f>IF('Historical DATA'!CO11="","",'Historical DATA'!CO11)</f>
        <v>45775</v>
      </c>
      <c r="Y25" s="333">
        <f>IF('Historical DATA'!CP11="","",'Historical DATA'!CP11)</f>
        <v>45804</v>
      </c>
      <c r="Z25" s="334">
        <f>IF('Historical DATA'!CQ11="","",'Historical DATA'!CQ11)</f>
        <v>29</v>
      </c>
      <c r="AA25" s="1365">
        <f>IF('Historical DATA'!CR11="","",'Historical DATA'!CR11)</f>
        <v>1.4999999999999999E-2</v>
      </c>
      <c r="AB25" s="1364">
        <f>IF('Historical DATA'!CS11="","",'Historical DATA'!CS11)</f>
        <v>113.04</v>
      </c>
      <c r="AC25" s="335">
        <f>IF('Historical DATA'!CT11="","",'Historical DATA'!CT11)</f>
        <v>462559.68000000005</v>
      </c>
    </row>
    <row r="26" spans="2:71">
      <c r="B26" s="137">
        <f>IF('Historical DATA'!B12="","",'Historical DATA'!B12)</f>
        <v>45775</v>
      </c>
      <c r="C26" s="1457"/>
      <c r="D26" s="331">
        <f>IF('Historical DATA'!BW12="","",'Historical DATA'!BW12)</f>
        <v>77732</v>
      </c>
      <c r="E26" s="332">
        <f>IF('Historical DATA'!BX12="","",'Historical DATA'!BX12)</f>
        <v>95594.470000000016</v>
      </c>
      <c r="F26" s="333">
        <f>IF('Historical DATA'!BY12="","",'Historical DATA'!BY12)</f>
        <v>45743</v>
      </c>
      <c r="G26" s="333">
        <f>IF('Historical DATA'!BZ12="","",'Historical DATA'!BZ12)</f>
        <v>45775</v>
      </c>
      <c r="H26" s="334">
        <f>IF('Historical DATA'!CA12="","",'Historical DATA'!CA12)</f>
        <v>32</v>
      </c>
      <c r="I26" s="1365">
        <f>IF('Historical DATA'!CB12="","",'Historical DATA'!CB12)</f>
        <v>6.0000000000000001E-3</v>
      </c>
      <c r="J26" s="1364">
        <f>IF('Historical DATA'!CC12="","",'Historical DATA'!CC12)</f>
        <v>50.29</v>
      </c>
      <c r="K26" s="335">
        <f>IF('Historical DATA'!CD12="","",'Historical DATA'!CD12)</f>
        <v>3909142.28</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5"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95574.790000000008</v>
      </c>
      <c r="X26" s="333">
        <f>IF('Historical DATA'!CO12="","",'Historical DATA'!CO12)</f>
        <v>45743</v>
      </c>
      <c r="Y26" s="333">
        <f>IF('Historical DATA'!CP12="","",'Historical DATA'!CP12)</f>
        <v>45775</v>
      </c>
      <c r="Z26" s="334">
        <f>IF('Historical DATA'!CQ12="","",'Historical DATA'!CQ12)</f>
        <v>32</v>
      </c>
      <c r="AA26" s="1365">
        <f>IF('Historical DATA'!CR12="","",'Historical DATA'!CR12)</f>
        <v>1.4999999999999999E-2</v>
      </c>
      <c r="AB26" s="1364">
        <f>IF('Historical DATA'!CS12="","",'Historical DATA'!CS12)</f>
        <v>125.69</v>
      </c>
      <c r="AC26" s="335">
        <f>IF('Historical DATA'!CT12="","",'Historical DATA'!CT12)</f>
        <v>514323.48</v>
      </c>
    </row>
    <row r="27" spans="2:71">
      <c r="B27" s="137">
        <f>IF('Historical DATA'!B13="","",'Historical DATA'!B13)</f>
        <v>45743</v>
      </c>
      <c r="C27" s="1457"/>
      <c r="D27" s="331">
        <f>IF('Historical DATA'!BW13="","",'Historical DATA'!BW13)</f>
        <v>77732</v>
      </c>
      <c r="E27" s="332">
        <f>IF('Historical DATA'!BX13="","",'Historical DATA'!BX13)</f>
        <v>96330.900000000009</v>
      </c>
      <c r="F27" s="333">
        <f>IF('Historical DATA'!BY13="","",'Historical DATA'!BY13)</f>
        <v>45715</v>
      </c>
      <c r="G27" s="333">
        <f>IF('Historical DATA'!BZ13="","",'Historical DATA'!BZ13)</f>
        <v>45743</v>
      </c>
      <c r="H27" s="334">
        <f>IF('Historical DATA'!CA13="","",'Historical DATA'!CA13)</f>
        <v>28</v>
      </c>
      <c r="I27" s="1365">
        <f>IF('Historical DATA'!CB13="","",'Historical DATA'!CB13)</f>
        <v>6.0000000000000001E-3</v>
      </c>
      <c r="J27" s="1364">
        <f>IF('Historical DATA'!CC13="","",'Historical DATA'!CC13)</f>
        <v>44.34</v>
      </c>
      <c r="K27" s="335">
        <f>IF('Historical DATA'!CD13="","",'Historical DATA'!CD13)</f>
        <v>3446636.8800000004</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96311.069999999992</v>
      </c>
      <c r="X27" s="333">
        <f>IF('Historical DATA'!CO13="","",'Historical DATA'!CO13)</f>
        <v>45715</v>
      </c>
      <c r="Y27" s="333">
        <f>IF('Historical DATA'!CP13="","",'Historical DATA'!CP13)</f>
        <v>45743</v>
      </c>
      <c r="Z27" s="334">
        <f>IF('Historical DATA'!CQ13="","",'Historical DATA'!CQ13)</f>
        <v>28</v>
      </c>
      <c r="AA27" s="1365">
        <f>IF('Historical DATA'!CR13="","",'Historical DATA'!CR13)</f>
        <v>1.4999999999999999E-2</v>
      </c>
      <c r="AB27" s="1364">
        <f>IF('Historical DATA'!CS13="","",'Historical DATA'!CS13)</f>
        <v>110.82</v>
      </c>
      <c r="AC27" s="335">
        <f>IF('Historical DATA'!CT13="","",'Historical DATA'!CT13)</f>
        <v>453475.43999999994</v>
      </c>
    </row>
    <row r="28" spans="2:71">
      <c r="B28" s="137">
        <f>IF('Historical DATA'!B14="","",'Historical DATA'!B14)</f>
        <v>45715</v>
      </c>
      <c r="C28" s="1457"/>
      <c r="D28" s="331">
        <f>IF('Historical DATA'!BW14="","",'Historical DATA'!BW14)</f>
        <v>77732</v>
      </c>
      <c r="E28" s="332">
        <f>IF('Historical DATA'!BX14="","",'Historical DATA'!BX14)</f>
        <v>97065.82</v>
      </c>
      <c r="F28" s="333">
        <f>IF('Historical DATA'!BY14="","",'Historical DATA'!BY14)</f>
        <v>45684</v>
      </c>
      <c r="G28" s="333">
        <f>IF('Historical DATA'!BZ14="","",'Historical DATA'!BZ14)</f>
        <v>45715</v>
      </c>
      <c r="H28" s="334">
        <f>IF('Historical DATA'!CA14="","",'Historical DATA'!CA14)</f>
        <v>31</v>
      </c>
      <c r="I28" s="1365">
        <f>IF('Historical DATA'!CB14="","",'Historical DATA'!CB14)</f>
        <v>6.0000000000000001E-3</v>
      </c>
      <c r="J28" s="1364">
        <f>IF('Historical DATA'!CC14="","",'Historical DATA'!CC14)</f>
        <v>49.46</v>
      </c>
      <c r="K28" s="335">
        <f>IF('Historical DATA'!CD14="","",'Historical DATA'!CD14)</f>
        <v>3844624.72</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97045.849999999991</v>
      </c>
      <c r="X28" s="333">
        <f>IF('Historical DATA'!CO14="","",'Historical DATA'!CO14)</f>
        <v>45684</v>
      </c>
      <c r="Y28" s="333">
        <f>IF('Historical DATA'!CP14="","",'Historical DATA'!CP14)</f>
        <v>45715</v>
      </c>
      <c r="Z28" s="334">
        <f>IF('Historical DATA'!CQ14="","",'Historical DATA'!CQ14)</f>
        <v>31</v>
      </c>
      <c r="AA28" s="1365">
        <f>IF('Historical DATA'!CR14="","",'Historical DATA'!CR14)</f>
        <v>1.4999999999999999E-2</v>
      </c>
      <c r="AB28" s="1364">
        <f>IF('Historical DATA'!CS14="","",'Historical DATA'!CS14)</f>
        <v>123.63</v>
      </c>
      <c r="AC28" s="335">
        <f>IF('Historical DATA'!CT14="","",'Historical DATA'!CT14)</f>
        <v>505893.95999999996</v>
      </c>
    </row>
    <row r="29" spans="2:71">
      <c r="B29" s="137">
        <f>IF('Historical DATA'!B15="","",'Historical DATA'!B15)</f>
        <v>45684</v>
      </c>
      <c r="C29" s="1457"/>
      <c r="D29" s="331">
        <f>IF('Historical DATA'!BW15="","",'Historical DATA'!BW15)</f>
        <v>77732</v>
      </c>
      <c r="E29" s="332">
        <f>IF('Historical DATA'!BX15="","",'Historical DATA'!BX15)</f>
        <v>98537.86</v>
      </c>
      <c r="F29" s="333">
        <f>IF('Historical DATA'!BY15="","",'Historical DATA'!BY15)</f>
        <v>45653</v>
      </c>
      <c r="G29" s="333">
        <f>IF('Historical DATA'!BZ15="","",'Historical DATA'!BZ15)</f>
        <v>45684</v>
      </c>
      <c r="H29" s="334">
        <f>IF('Historical DATA'!CA15="","",'Historical DATA'!CA15)</f>
        <v>31</v>
      </c>
      <c r="I29" s="1365">
        <f>IF('Historical DATA'!CB15="","",'Historical DATA'!CB15)</f>
        <v>6.0000000000000001E-3</v>
      </c>
      <c r="J29" s="1364">
        <f>IF('Historical DATA'!CC15="","",'Historical DATA'!CC15)</f>
        <v>50.21</v>
      </c>
      <c r="K29" s="335">
        <f>IF('Historical DATA'!CD15="","",'Historical DATA'!CD15)</f>
        <v>3902923.72</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98517.58</v>
      </c>
      <c r="X29" s="333">
        <f>IF('Historical DATA'!CO15="","",'Historical DATA'!CO15)</f>
        <v>45653</v>
      </c>
      <c r="Y29" s="333">
        <f>IF('Historical DATA'!CP15="","",'Historical DATA'!CP15)</f>
        <v>45684</v>
      </c>
      <c r="Z29" s="334">
        <f>IF('Historical DATA'!CQ15="","",'Historical DATA'!CQ15)</f>
        <v>31</v>
      </c>
      <c r="AA29" s="1365">
        <f>IF('Historical DATA'!CR15="","",'Historical DATA'!CR15)</f>
        <v>1.4999999999999999E-2</v>
      </c>
      <c r="AB29" s="1364">
        <f>IF('Historical DATA'!CS15="","",'Historical DATA'!CS15)</f>
        <v>125.51</v>
      </c>
      <c r="AC29" s="335">
        <f>IF('Historical DATA'!CT15="","",'Historical DATA'!CT15)</f>
        <v>513586.92000000004</v>
      </c>
    </row>
    <row r="30" spans="2:71">
      <c r="B30" s="137">
        <f>IF('Historical DATA'!B16="","",'Historical DATA'!B16)</f>
        <v>45653</v>
      </c>
      <c r="C30" s="1457"/>
      <c r="D30" s="331">
        <f>IF('Historical DATA'!BW16="","",'Historical DATA'!BW16)</f>
        <v>77732</v>
      </c>
      <c r="E30" s="332">
        <f>IF('Historical DATA'!BX16="","",'Historical DATA'!BX16)</f>
        <v>99248.180000000008</v>
      </c>
      <c r="F30" s="333">
        <f>IF('Historical DATA'!BY16="","",'Historical DATA'!BY16)</f>
        <v>45623</v>
      </c>
      <c r="G30" s="333">
        <f>IF('Historical DATA'!BZ16="","",'Historical DATA'!BZ16)</f>
        <v>45653</v>
      </c>
      <c r="H30" s="334">
        <f>IF('Historical DATA'!CA16="","",'Historical DATA'!CA16)</f>
        <v>30</v>
      </c>
      <c r="I30" s="1365">
        <f>IF('Historical DATA'!CB16="","",'Historical DATA'!CB16)</f>
        <v>6.0000000000000001E-3</v>
      </c>
      <c r="J30" s="1364">
        <f>IF('Historical DATA'!CC16="","",'Historical DATA'!CC16)</f>
        <v>48.94</v>
      </c>
      <c r="K30" s="335">
        <f>IF('Historical DATA'!CD16="","",'Historical DATA'!CD16)</f>
        <v>3804204.0799999996</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99227.75</v>
      </c>
      <c r="X30" s="333">
        <f>IF('Historical DATA'!CO16="","",'Historical DATA'!CO16)</f>
        <v>45623</v>
      </c>
      <c r="Y30" s="333">
        <f>IF('Historical DATA'!CP16="","",'Historical DATA'!CP16)</f>
        <v>45653</v>
      </c>
      <c r="Z30" s="334">
        <f>IF('Historical DATA'!CQ16="","",'Historical DATA'!CQ16)</f>
        <v>30</v>
      </c>
      <c r="AA30" s="1365">
        <f>IF('Historical DATA'!CR16="","",'Historical DATA'!CR16)</f>
        <v>1.4999999999999999E-2</v>
      </c>
      <c r="AB30" s="1364">
        <f>IF('Historical DATA'!CS16="","",'Historical DATA'!CS16)</f>
        <v>122.34</v>
      </c>
      <c r="AC30" s="335">
        <f>IF('Historical DATA'!CT16="","",'Historical DATA'!CT16)</f>
        <v>500615.28</v>
      </c>
    </row>
    <row r="31" spans="2:71">
      <c r="B31" s="137">
        <f>IF('Historical DATA'!B17="","",'Historical DATA'!B17)</f>
        <v>45623</v>
      </c>
      <c r="C31" s="1457"/>
      <c r="D31" s="331">
        <f>IF('Historical DATA'!BW17="","",'Historical DATA'!BW17)</f>
        <v>77732</v>
      </c>
      <c r="E31" s="332">
        <f>IF('Historical DATA'!BX17="","",'Historical DATA'!BX17)</f>
        <v>100000</v>
      </c>
      <c r="F31" s="333">
        <f>IF('Historical DATA'!BY17="","",'Historical DATA'!BY17)</f>
        <v>45588</v>
      </c>
      <c r="G31" s="333">
        <f>IF('Historical DATA'!BZ17="","",'Historical DATA'!BZ17)</f>
        <v>45623</v>
      </c>
      <c r="H31" s="334">
        <f>IF('Historical DATA'!CA17="","",'Historical DATA'!CA17)</f>
        <v>35</v>
      </c>
      <c r="I31" s="1365">
        <f>IF('Historical DATA'!CB17="","",'Historical DATA'!CB17)</f>
        <v>6.0000000000000001E-3</v>
      </c>
      <c r="J31" s="1364">
        <f>IF('Historical DATA'!CC17="","",'Historical DATA'!CC17)</f>
        <v>57.53</v>
      </c>
      <c r="K31" s="335">
        <f>IF('Historical DATA'!CD17="","",'Historical DATA'!CD17)</f>
        <v>4471921.96</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f>IF('Historical DATA'!CM17="","",'Historical DATA'!CM17)</f>
        <v>4092</v>
      </c>
      <c r="W31" s="332">
        <f>IF('Historical DATA'!CN17="","",'Historical DATA'!CN17)</f>
        <v>100000</v>
      </c>
      <c r="X31" s="333">
        <f>IF('Historical DATA'!CO17="","",'Historical DATA'!CO17)</f>
        <v>45588</v>
      </c>
      <c r="Y31" s="333">
        <f>IF('Historical DATA'!CP17="","",'Historical DATA'!CP17)</f>
        <v>45623</v>
      </c>
      <c r="Z31" s="334">
        <f>IF('Historical DATA'!CQ17="","",'Historical DATA'!CQ17)</f>
        <v>35</v>
      </c>
      <c r="AA31" s="1365">
        <f>IF('Historical DATA'!CR17="","",'Historical DATA'!CR17)</f>
        <v>1.4999999999999999E-2</v>
      </c>
      <c r="AB31" s="1364">
        <f>IF('Historical DATA'!CS17="","",'Historical DATA'!CS17)</f>
        <v>143.84</v>
      </c>
      <c r="AC31" s="335">
        <f>IF('Historical DATA'!CT17="","",'Historical DATA'!CT17)</f>
        <v>588593.28</v>
      </c>
    </row>
    <row r="32" spans="2:71">
      <c r="B32" s="137">
        <f>IF('Historical DATA'!B18="","",'Historical DATA'!B18)</f>
        <v>45588</v>
      </c>
      <c r="C32" s="1457"/>
      <c r="D32" s="331" t="str">
        <f>IF('Historical DATA'!BW18="","",'Historical DATA'!BW18)</f>
        <v/>
      </c>
      <c r="E32" s="332" t="str">
        <f>IF('Historical DATA'!BX18="","",'Historical DATA'!BX18)</f>
        <v/>
      </c>
      <c r="F32" s="333" t="str">
        <f>IF('Historical DATA'!BY18="","",'Historical DATA'!BY18)</f>
        <v/>
      </c>
      <c r="G32" s="333" t="str">
        <f>IF('Historical DATA'!BZ18="","",'Historical DATA'!BZ18)</f>
        <v/>
      </c>
      <c r="H32" s="334" t="str">
        <f>IF('Historical DATA'!CA18="","",'Historical DATA'!CA18)</f>
        <v/>
      </c>
      <c r="I32" s="1365" t="str">
        <f>IF('Historical DATA'!CB18="","",'Historical DATA'!CB18)</f>
        <v/>
      </c>
      <c r="J32" s="1364" t="str">
        <f>IF('Historical DATA'!CC18="","",'Historical DATA'!CC18)</f>
        <v/>
      </c>
      <c r="K32" s="335" t="str">
        <f>IF('Historical DATA'!CD18="","",'Historical DATA'!CD18)</f>
        <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t="str">
        <f>IF('Historical DATA'!CM18="","",'Historical DATA'!CM18)</f>
        <v/>
      </c>
      <c r="W32" s="332" t="str">
        <f>IF('Historical DATA'!CN18="","",'Historical DATA'!CN18)</f>
        <v/>
      </c>
      <c r="X32" s="333" t="str">
        <f>IF('Historical DATA'!CO18="","",'Historical DATA'!CO18)</f>
        <v/>
      </c>
      <c r="Y32" s="333" t="str">
        <f>IF('Historical DATA'!CP18="","",'Historical DATA'!CP18)</f>
        <v/>
      </c>
      <c r="Z32" s="334" t="str">
        <f>IF('Historical DATA'!CQ18="","",'Historical DATA'!CQ18)</f>
        <v/>
      </c>
      <c r="AA32" s="1365" t="str">
        <f>IF('Historical DATA'!CR18="","",'Historical DATA'!CR18)</f>
        <v/>
      </c>
      <c r="AB32" s="1364" t="str">
        <f>IF('Historical DATA'!CS18="","",'Historical DATA'!CS18)</f>
        <v/>
      </c>
      <c r="AC32" s="335" t="str">
        <f>IF('Historical DATA'!CT18="","",'Historical DATA'!CT18)</f>
        <v/>
      </c>
    </row>
    <row r="33" spans="2:29">
      <c r="B33" s="137" t="str">
        <f>IF('Historical DATA'!B19="","",'Historical DATA'!B19)</f>
        <v/>
      </c>
      <c r="C33" s="1457"/>
      <c r="D33" s="331" t="str">
        <f>IF('Historical DATA'!BW19="","",'Historical DATA'!BW19)</f>
        <v/>
      </c>
      <c r="E33" s="332" t="str">
        <f>IF('Historical DATA'!BX19="","",'Historical DATA'!BX19)</f>
        <v/>
      </c>
      <c r="F33" s="333" t="str">
        <f>IF('Historical DATA'!BY19="","",'Historical DATA'!BY19)</f>
        <v/>
      </c>
      <c r="G33" s="333" t="str">
        <f>IF('Historical DATA'!BZ19="","",'Historical DATA'!BZ19)</f>
        <v/>
      </c>
      <c r="H33" s="334" t="str">
        <f>IF('Historical DATA'!CA19="","",'Historical DATA'!CA19)</f>
        <v/>
      </c>
      <c r="I33" s="1365" t="str">
        <f>IF('Historical DATA'!CB19="","",'Historical DATA'!CB19)</f>
        <v/>
      </c>
      <c r="J33" s="1364" t="str">
        <f>IF('Historical DATA'!CC19="","",'Historical DATA'!CC19)</f>
        <v/>
      </c>
      <c r="K33" s="335" t="str">
        <f>IF('Historical DATA'!CD19="","",'Historical DATA'!CD19)</f>
        <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t="str">
        <f>IF('Historical DATA'!CM19="","",'Historical DATA'!CM19)</f>
        <v/>
      </c>
      <c r="W33" s="332" t="str">
        <f>IF('Historical DATA'!CN19="","",'Historical DATA'!CN19)</f>
        <v/>
      </c>
      <c r="X33" s="333" t="str">
        <f>IF('Historical DATA'!CO19="","",'Historical DATA'!CO19)</f>
        <v/>
      </c>
      <c r="Y33" s="333" t="str">
        <f>IF('Historical DATA'!CP19="","",'Historical DATA'!CP19)</f>
        <v/>
      </c>
      <c r="Z33" s="334" t="str">
        <f>IF('Historical DATA'!CQ19="","",'Historical DATA'!CQ19)</f>
        <v/>
      </c>
      <c r="AA33" s="1365" t="str">
        <f>IF('Historical DATA'!CR19="","",'Historical DATA'!CR19)</f>
        <v/>
      </c>
      <c r="AB33" s="1364" t="str">
        <f>IF('Historical DATA'!CS19="","",'Historical DATA'!CS19)</f>
        <v/>
      </c>
      <c r="AC33" s="335" t="str">
        <f>IF('Historical DATA'!CT19="","",'Historical DATA'!CT19)</f>
        <v/>
      </c>
    </row>
    <row r="34" spans="2:29">
      <c r="B34" s="137" t="str">
        <f>IF('Historical DATA'!B20="","",'Historical DATA'!B20)</f>
        <v/>
      </c>
      <c r="C34" s="1457"/>
      <c r="D34" s="331" t="str">
        <f>IF('Historical DATA'!BW20="","",'Historical DATA'!BW20)</f>
        <v/>
      </c>
      <c r="E34" s="332" t="str">
        <f>IF('Historical DATA'!BX20="","",'Historical DATA'!BX20)</f>
        <v/>
      </c>
      <c r="F34" s="333" t="str">
        <f>IF('Historical DATA'!BY20="","",'Historical DATA'!BY20)</f>
        <v/>
      </c>
      <c r="G34" s="333" t="str">
        <f>IF('Historical DATA'!BZ20="","",'Historical DATA'!BZ20)</f>
        <v/>
      </c>
      <c r="H34" s="334" t="str">
        <f>IF('Historical DATA'!CA20="","",'Historical DATA'!CA20)</f>
        <v/>
      </c>
      <c r="I34" s="1365" t="str">
        <f>IF('Historical DATA'!CB20="","",'Historical DATA'!CB20)</f>
        <v/>
      </c>
      <c r="J34" s="1364" t="str">
        <f>IF('Historical DATA'!CC20="","",'Historical DATA'!CC20)</f>
        <v/>
      </c>
      <c r="K34" s="335" t="str">
        <f>IF('Historical DATA'!CD20="","",'Historical DATA'!CD20)</f>
        <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t="str">
        <f>IF('Historical DATA'!CM20="","",'Historical DATA'!CM20)</f>
        <v/>
      </c>
      <c r="W34" s="332" t="str">
        <f>IF('Historical DATA'!CN20="","",'Historical DATA'!CN20)</f>
        <v/>
      </c>
      <c r="X34" s="333" t="str">
        <f>IF('Historical DATA'!CO20="","",'Historical DATA'!CO20)</f>
        <v/>
      </c>
      <c r="Y34" s="333" t="str">
        <f>IF('Historical DATA'!CP20="","",'Historical DATA'!CP20)</f>
        <v/>
      </c>
      <c r="Z34" s="334" t="str">
        <f>IF('Historical DATA'!CQ20="","",'Historical DATA'!CQ20)</f>
        <v/>
      </c>
      <c r="AA34" s="1365" t="str">
        <f>IF('Historical DATA'!CR20="","",'Historical DATA'!CR20)</f>
        <v/>
      </c>
      <c r="AB34" s="1364" t="str">
        <f>IF('Historical DATA'!CS20="","",'Historical DATA'!CS20)</f>
        <v/>
      </c>
      <c r="AC34" s="335" t="str">
        <f>IF('Historical DATA'!CT20="","",'Historical DATA'!CT20)</f>
        <v/>
      </c>
    </row>
    <row r="35" spans="2:29">
      <c r="B35" s="137" t="str">
        <f>IF('Historical DATA'!B21="","",'Historical DATA'!B21)</f>
        <v/>
      </c>
      <c r="C35" s="1457"/>
      <c r="D35" s="331" t="str">
        <f>IF('Historical DATA'!BW21="","",'Historical DATA'!BW21)</f>
        <v/>
      </c>
      <c r="E35" s="332" t="str">
        <f>IF('Historical DATA'!BX21="","",'Historical DATA'!BX21)</f>
        <v/>
      </c>
      <c r="F35" s="333" t="str">
        <f>IF('Historical DATA'!BY21="","",'Historical DATA'!BY21)</f>
        <v/>
      </c>
      <c r="G35" s="333" t="str">
        <f>IF('Historical DATA'!BZ21="","",'Historical DATA'!BZ21)</f>
        <v/>
      </c>
      <c r="H35" s="334" t="str">
        <f>IF('Historical DATA'!CA21="","",'Historical DATA'!CA21)</f>
        <v/>
      </c>
      <c r="I35" s="1365" t="str">
        <f>IF('Historical DATA'!CB21="","",'Historical DATA'!CB21)</f>
        <v/>
      </c>
      <c r="J35" s="1364" t="str">
        <f>IF('Historical DATA'!CC21="","",'Historical DATA'!CC21)</f>
        <v/>
      </c>
      <c r="K35" s="335" t="str">
        <f>IF('Historical DATA'!CD21="","",'Historical DATA'!CD21)</f>
        <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t="str">
        <f>IF('Historical DATA'!CM21="","",'Historical DATA'!CM21)</f>
        <v/>
      </c>
      <c r="W35" s="332" t="str">
        <f>IF('Historical DATA'!CN21="","",'Historical DATA'!CN21)</f>
        <v/>
      </c>
      <c r="X35" s="333" t="str">
        <f>IF('Historical DATA'!CO21="","",'Historical DATA'!CO21)</f>
        <v/>
      </c>
      <c r="Y35" s="333" t="str">
        <f>IF('Historical DATA'!CP21="","",'Historical DATA'!CP21)</f>
        <v/>
      </c>
      <c r="Z35" s="334" t="str">
        <f>IF('Historical DATA'!CQ21="","",'Historical DATA'!CQ21)</f>
        <v/>
      </c>
      <c r="AA35" s="1365" t="str">
        <f>IF('Historical DATA'!CR21="","",'Historical DATA'!CR21)</f>
        <v/>
      </c>
      <c r="AB35" s="1364" t="str">
        <f>IF('Historical DATA'!CS21="","",'Historical DATA'!CS21)</f>
        <v/>
      </c>
      <c r="AC35" s="335" t="str">
        <f>IF('Historical DATA'!CT21="","",'Historical DATA'!CT21)</f>
        <v/>
      </c>
    </row>
    <row r="36" spans="2:29">
      <c r="B36" s="137" t="str">
        <f>IF('Historical DATA'!B22="","",'Historical DATA'!B22)</f>
        <v/>
      </c>
      <c r="C36" s="1457"/>
      <c r="D36" s="331" t="str">
        <f>IF('Historical DATA'!BW22="","",'Historical DATA'!BW22)</f>
        <v/>
      </c>
      <c r="E36" s="332" t="str">
        <f>IF('Historical DATA'!BX22="","",'Historical DATA'!BX22)</f>
        <v/>
      </c>
      <c r="F36" s="333" t="str">
        <f>IF('Historical DATA'!BY22="","",'Historical DATA'!BY22)</f>
        <v/>
      </c>
      <c r="G36" s="333" t="str">
        <f>IF('Historical DATA'!BZ22="","",'Historical DATA'!BZ22)</f>
        <v/>
      </c>
      <c r="H36" s="334" t="str">
        <f>IF('Historical DATA'!CA22="","",'Historical DATA'!CA22)</f>
        <v/>
      </c>
      <c r="I36" s="1365" t="str">
        <f>IF('Historical DATA'!CB22="","",'Historical DATA'!CB22)</f>
        <v/>
      </c>
      <c r="J36" s="1364" t="str">
        <f>IF('Historical DATA'!CC22="","",'Historical DATA'!CC22)</f>
        <v/>
      </c>
      <c r="K36" s="335" t="str">
        <f>IF('Historical DATA'!CD22="","",'Historical DATA'!CD22)</f>
        <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t="str">
        <f>IF('Historical DATA'!CM22="","",'Historical DATA'!CM22)</f>
        <v/>
      </c>
      <c r="W36" s="332" t="str">
        <f>IF('Historical DATA'!CN22="","",'Historical DATA'!CN22)</f>
        <v/>
      </c>
      <c r="X36" s="333" t="str">
        <f>IF('Historical DATA'!CO22="","",'Historical DATA'!CO22)</f>
        <v/>
      </c>
      <c r="Y36" s="333" t="str">
        <f>IF('Historical DATA'!CP22="","",'Historical DATA'!CP22)</f>
        <v/>
      </c>
      <c r="Z36" s="334" t="str">
        <f>IF('Historical DATA'!CQ22="","",'Historical DATA'!CQ22)</f>
        <v/>
      </c>
      <c r="AA36" s="1365" t="str">
        <f>IF('Historical DATA'!CR22="","",'Historical DATA'!CR22)</f>
        <v/>
      </c>
      <c r="AB36" s="1364" t="str">
        <f>IF('Historical DATA'!CS22="","",'Historical DATA'!CS22)</f>
        <v/>
      </c>
      <c r="AC36" s="335" t="str">
        <f>IF('Historical DATA'!CT22="","",'Historical DATA'!CT22)</f>
        <v/>
      </c>
    </row>
    <row r="37" spans="2:29">
      <c r="B37" s="137" t="str">
        <f>IF('Historical DATA'!B23="","",'Historical DATA'!B23)</f>
        <v/>
      </c>
      <c r="C37" s="1457"/>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5" t="str">
        <f>IF('Historical DATA'!CB23="","",'Historical DATA'!CB23)</f>
        <v/>
      </c>
      <c r="J37" s="1364"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5" t="str">
        <f>IF('Historical DATA'!CR23="","",'Historical DATA'!CR23)</f>
        <v/>
      </c>
      <c r="AB37" s="1364" t="str">
        <f>IF('Historical DATA'!CS23="","",'Historical DATA'!CS23)</f>
        <v/>
      </c>
      <c r="AC37" s="335" t="str">
        <f>IF('Historical DATA'!CT23="","",'Historical DATA'!CT23)</f>
        <v/>
      </c>
    </row>
    <row r="38" spans="2:29">
      <c r="B38" s="137" t="str">
        <f>IF('Historical DATA'!B24="","",'Historical DATA'!B24)</f>
        <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 ref="T15:T16"/>
    <mergeCell ref="M15:M16"/>
    <mergeCell ref="N15:N16"/>
    <mergeCell ref="O15:Q15"/>
    <mergeCell ref="R15:R16"/>
    <mergeCell ref="S15:S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5" zoomScaleNormal="100" zoomScaleSheetLayoutView="85" workbookViewId="0"/>
  </sheetViews>
  <sheetFormatPr defaultColWidth="9.140625" defaultRowHeight="12.75"/>
  <cols>
    <col min="1" max="1" width="9.140625" style="234"/>
    <col min="2" max="2" width="1.85546875" style="234" customWidth="1"/>
    <col min="3" max="3" width="5.85546875" style="234" customWidth="1"/>
    <col min="4" max="4" width="9.140625" style="234"/>
    <col min="5" max="5" width="21.42578125" style="234" customWidth="1"/>
    <col min="6" max="7" width="33.28515625" style="234" customWidth="1"/>
    <col min="8" max="8" width="17.7109375" style="234" bestFit="1" customWidth="1"/>
    <col min="9" max="9" width="21" style="234" bestFit="1" customWidth="1"/>
    <col min="10" max="10" width="19.140625" style="234" customWidth="1"/>
    <col min="11" max="11" width="118.42578125" style="234" bestFit="1" customWidth="1"/>
    <col min="12" max="12" width="20" style="234" customWidth="1"/>
    <col min="13" max="13" width="18.42578125" style="234" customWidth="1"/>
    <col min="14" max="16384" width="9.140625" style="234"/>
  </cols>
  <sheetData>
    <row r="2" spans="2:11">
      <c r="H2" s="82"/>
      <c r="I2" s="1213" t="s">
        <v>99</v>
      </c>
      <c r="J2" s="1213">
        <f>'00 - Cover'!$F$17</f>
        <v>46022</v>
      </c>
    </row>
    <row r="3" spans="2:11" hidden="1">
      <c r="H3" s="82"/>
      <c r="I3" s="1213" t="s">
        <v>4</v>
      </c>
      <c r="J3" s="1213">
        <f>'00 - Cover'!$F$19</f>
        <v>46042</v>
      </c>
    </row>
    <row r="4" spans="2:11" hidden="1">
      <c r="H4" s="82"/>
      <c r="I4" s="1213" t="s">
        <v>5</v>
      </c>
      <c r="J4" s="1213">
        <f>'00 - Cover'!$F$20</f>
        <v>46049</v>
      </c>
    </row>
    <row r="5" spans="2:11">
      <c r="H5" s="82"/>
      <c r="I5" s="341"/>
    </row>
    <row r="7" spans="2:11" ht="15.75">
      <c r="B7" s="342"/>
      <c r="C7" s="343" t="s">
        <v>640</v>
      </c>
      <c r="D7" s="343"/>
      <c r="E7" s="343"/>
      <c r="F7" s="343"/>
      <c r="G7" s="343"/>
      <c r="H7" s="343"/>
      <c r="I7" s="343"/>
      <c r="J7" s="343"/>
      <c r="K7" s="343"/>
    </row>
    <row r="9" spans="2:11">
      <c r="K9" s="338"/>
    </row>
    <row r="10" spans="2:11" ht="15.75">
      <c r="B10" s="241"/>
      <c r="C10" s="1998" t="s">
        <v>405</v>
      </c>
      <c r="D10" s="1998"/>
      <c r="E10" s="1998"/>
      <c r="F10" s="1998"/>
      <c r="G10" s="1998"/>
      <c r="H10" s="1344"/>
      <c r="I10" s="1344"/>
      <c r="J10" s="1344"/>
      <c r="K10" s="353"/>
    </row>
    <row r="11" spans="2:11" ht="15">
      <c r="B11" s="418"/>
      <c r="C11" s="1998"/>
      <c r="D11" s="1998"/>
      <c r="E11" s="1998"/>
      <c r="F11" s="1998"/>
      <c r="G11" s="1998"/>
      <c r="H11" s="345" t="s">
        <v>156</v>
      </c>
      <c r="I11" s="346" t="s">
        <v>157</v>
      </c>
      <c r="J11" s="1346"/>
      <c r="K11" s="353"/>
    </row>
    <row r="12" spans="2:11" ht="15">
      <c r="B12" s="241"/>
      <c r="C12" s="35"/>
      <c r="D12" s="1995" t="s">
        <v>158</v>
      </c>
      <c r="E12" s="1996"/>
      <c r="F12" s="1996"/>
      <c r="G12" s="1997"/>
      <c r="H12" s="347"/>
      <c r="I12" s="1735">
        <f>'Historical DATA'!DD4</f>
        <v>94465.610007613897</v>
      </c>
      <c r="J12" s="1821"/>
      <c r="K12" s="353"/>
    </row>
    <row r="13" spans="2:11" ht="56.25" customHeight="1">
      <c r="B13" s="241"/>
      <c r="C13" s="35"/>
      <c r="D13" s="350" t="s">
        <v>159</v>
      </c>
      <c r="E13" s="2016" t="s">
        <v>1019</v>
      </c>
      <c r="F13" s="2018" t="s">
        <v>1015</v>
      </c>
      <c r="G13" s="2019"/>
      <c r="H13" s="351">
        <f>('11 - Notes Follow-up'!E25+'11 - Notes Follow-up'!U25+'11 - Notes Follow-up'!AB25+'11 - Notes Follow-up'!M25)</f>
        <v>0</v>
      </c>
      <c r="I13" s="352">
        <f>I12+H13</f>
        <v>94465.610007613897</v>
      </c>
      <c r="J13" s="1821"/>
      <c r="K13" s="1738"/>
    </row>
    <row r="14" spans="2:11" ht="35.1" customHeight="1">
      <c r="B14" s="241"/>
      <c r="C14" s="35"/>
      <c r="D14" s="2014" t="s">
        <v>159</v>
      </c>
      <c r="E14" s="2017"/>
      <c r="F14" s="2018" t="s">
        <v>1016</v>
      </c>
      <c r="G14" s="2019"/>
      <c r="H14" s="351">
        <v>0</v>
      </c>
      <c r="I14" s="352">
        <f t="shared" ref="I14:I23" si="0">I13+H14</f>
        <v>94465.610007613897</v>
      </c>
      <c r="J14" s="1822"/>
      <c r="K14" s="353"/>
    </row>
    <row r="15" spans="2:11" ht="35.1" customHeight="1">
      <c r="B15" s="241"/>
      <c r="C15" s="35"/>
      <c r="D15" s="2015"/>
      <c r="E15" s="2002" t="s">
        <v>1017</v>
      </c>
      <c r="F15" s="2003"/>
      <c r="G15" s="2004"/>
      <c r="H15" s="351">
        <f>'15 - Priority of Payments'!J11+'15 - Priority of Payments'!J19</f>
        <v>102920740.10000016</v>
      </c>
      <c r="I15" s="352">
        <f t="shared" si="0"/>
        <v>103015205.71000777</v>
      </c>
      <c r="J15" s="1821"/>
      <c r="K15" s="353"/>
    </row>
    <row r="16" spans="2:11" ht="26.1" customHeight="1">
      <c r="B16" s="241"/>
      <c r="C16" s="35"/>
      <c r="D16" s="350" t="s">
        <v>159</v>
      </c>
      <c r="E16" s="2011" t="s">
        <v>1018</v>
      </c>
      <c r="F16" s="2012"/>
      <c r="G16" s="2013"/>
      <c r="H16" s="351">
        <v>0</v>
      </c>
      <c r="I16" s="352">
        <f t="shared" si="0"/>
        <v>103015205.71000777</v>
      </c>
      <c r="J16" s="1821"/>
      <c r="K16" s="338"/>
    </row>
    <row r="17" spans="2:11" ht="54" customHeight="1">
      <c r="B17" s="241"/>
      <c r="C17" s="35"/>
      <c r="D17" s="350" t="s">
        <v>159</v>
      </c>
      <c r="E17" s="2002" t="s">
        <v>1022</v>
      </c>
      <c r="F17" s="2003"/>
      <c r="G17" s="2004"/>
      <c r="H17" s="351">
        <f>'15 - Priority of Payments'!J15</f>
        <v>6929596.1399999997</v>
      </c>
      <c r="I17" s="352">
        <f t="shared" si="0"/>
        <v>109944801.85000777</v>
      </c>
      <c r="J17" s="1821"/>
      <c r="K17" s="338"/>
    </row>
    <row r="18" spans="2:11" ht="57.75" customHeight="1">
      <c r="B18" s="241"/>
      <c r="C18" s="35"/>
      <c r="D18" s="350" t="s">
        <v>159</v>
      </c>
      <c r="E18" s="2002" t="s">
        <v>1021</v>
      </c>
      <c r="F18" s="2003"/>
      <c r="G18" s="2004"/>
      <c r="H18" s="351">
        <f>'15 - Priority of Payments'!J16</f>
        <v>1832499.59</v>
      </c>
      <c r="I18" s="352">
        <f t="shared" si="0"/>
        <v>111777301.44000778</v>
      </c>
      <c r="J18" s="1821"/>
      <c r="K18" s="338"/>
    </row>
    <row r="19" spans="2:11" ht="26.1" customHeight="1">
      <c r="B19" s="241"/>
      <c r="C19" s="35"/>
      <c r="D19" s="350" t="s">
        <v>159</v>
      </c>
      <c r="E19" s="2002" t="s">
        <v>1020</v>
      </c>
      <c r="F19" s="2003"/>
      <c r="G19" s="2004"/>
      <c r="H19" s="351">
        <f>H38</f>
        <v>0</v>
      </c>
      <c r="I19" s="352">
        <f>I18+H19</f>
        <v>111777301.44000778</v>
      </c>
      <c r="J19" s="1821"/>
      <c r="K19" s="338"/>
    </row>
    <row r="20" spans="2:11" ht="26.1" customHeight="1">
      <c r="B20" s="241"/>
      <c r="C20" s="35"/>
      <c r="D20" s="350" t="s">
        <v>159</v>
      </c>
      <c r="E20" s="2002" t="s">
        <v>1023</v>
      </c>
      <c r="F20" s="2003"/>
      <c r="G20" s="2004"/>
      <c r="H20" s="351">
        <f>H39</f>
        <v>460000</v>
      </c>
      <c r="I20" s="352">
        <f t="shared" si="0"/>
        <v>112237301.44000778</v>
      </c>
      <c r="J20" s="1821"/>
      <c r="K20" s="338"/>
    </row>
    <row r="21" spans="2:11" ht="40.5" customHeight="1">
      <c r="B21" s="241"/>
      <c r="C21" s="35"/>
      <c r="D21" s="350" t="s">
        <v>159</v>
      </c>
      <c r="E21" s="2002" t="s">
        <v>1024</v>
      </c>
      <c r="F21" s="2003"/>
      <c r="G21" s="2004"/>
      <c r="H21" s="351">
        <f>H40</f>
        <v>0</v>
      </c>
      <c r="I21" s="352">
        <f t="shared" si="0"/>
        <v>112237301.44000778</v>
      </c>
      <c r="J21" s="1821"/>
      <c r="K21" s="353"/>
    </row>
    <row r="22" spans="2:11" ht="40.5" customHeight="1">
      <c r="B22" s="241"/>
      <c r="C22" s="35"/>
      <c r="D22" s="350" t="s">
        <v>159</v>
      </c>
      <c r="E22" s="2002" t="s">
        <v>1025</v>
      </c>
      <c r="F22" s="2003"/>
      <c r="G22" s="2004"/>
      <c r="H22" s="351">
        <f>H48</f>
        <v>0</v>
      </c>
      <c r="I22" s="352">
        <f t="shared" si="0"/>
        <v>112237301.44000778</v>
      </c>
      <c r="J22" s="1821"/>
      <c r="K22" s="344"/>
    </row>
    <row r="23" spans="2:11" ht="48.75" customHeight="1">
      <c r="B23" s="241"/>
      <c r="C23" s="35"/>
      <c r="D23" s="350" t="s">
        <v>159</v>
      </c>
      <c r="E23" s="2002" t="s">
        <v>1026</v>
      </c>
      <c r="F23" s="2003"/>
      <c r="G23" s="2004"/>
      <c r="H23" s="351">
        <v>0</v>
      </c>
      <c r="I23" s="352">
        <f t="shared" si="0"/>
        <v>112237301.44000778</v>
      </c>
      <c r="J23" s="1821"/>
      <c r="K23" s="354"/>
    </row>
    <row r="24" spans="2:11" ht="53.25" customHeight="1">
      <c r="B24" s="241"/>
      <c r="C24" s="35"/>
      <c r="D24" s="355" t="s">
        <v>160</v>
      </c>
      <c r="E24" s="2008" t="s">
        <v>1027</v>
      </c>
      <c r="F24" s="2009"/>
      <c r="G24" s="2010"/>
      <c r="H24" s="356">
        <f>'02 - Monthly Asset Follow up'!D17</f>
        <v>0</v>
      </c>
      <c r="I24" s="352">
        <f>I23-H24</f>
        <v>112237301.44000778</v>
      </c>
      <c r="J24" s="1823"/>
      <c r="K24" s="357"/>
    </row>
    <row r="25" spans="2:11" ht="30.75" customHeight="1">
      <c r="B25" s="241"/>
      <c r="C25" s="35"/>
      <c r="D25" s="355" t="s">
        <v>160</v>
      </c>
      <c r="E25" s="2008" t="s">
        <v>1028</v>
      </c>
      <c r="F25" s="2009"/>
      <c r="G25" s="2010"/>
      <c r="H25" s="356">
        <f>IF('00 - Cover'!F30="Yes",0,SUM('15 - Priority of Payments'!J28:J35))</f>
        <v>112142216.65999994</v>
      </c>
      <c r="I25" s="352">
        <f>I24-H25</f>
        <v>95084.780007839203</v>
      </c>
      <c r="J25" s="1824"/>
      <c r="K25" s="358"/>
    </row>
    <row r="26" spans="2:11" ht="51" customHeight="1">
      <c r="B26" s="241"/>
      <c r="C26" s="35"/>
      <c r="D26" s="355" t="s">
        <v>160</v>
      </c>
      <c r="E26" s="2008" t="s">
        <v>1029</v>
      </c>
      <c r="F26" s="2009"/>
      <c r="G26" s="2010"/>
      <c r="H26" s="356">
        <v>0</v>
      </c>
      <c r="I26" s="352">
        <f>I25-H26</f>
        <v>95084.780007839203</v>
      </c>
      <c r="J26" s="1848"/>
      <c r="K26" s="359"/>
    </row>
    <row r="27" spans="2:11" ht="58.5" customHeight="1">
      <c r="B27" s="241"/>
      <c r="C27" s="35"/>
      <c r="D27" s="355" t="s">
        <v>160</v>
      </c>
      <c r="E27" s="2005" t="s">
        <v>1030</v>
      </c>
      <c r="F27" s="2006"/>
      <c r="G27" s="2007"/>
      <c r="H27" s="356">
        <v>0</v>
      </c>
      <c r="I27" s="352">
        <f>I26-H27</f>
        <v>95084.780007839203</v>
      </c>
      <c r="J27" s="1829"/>
      <c r="K27" s="358"/>
    </row>
    <row r="28" spans="2:11" ht="47.1" customHeight="1">
      <c r="B28" s="241"/>
      <c r="C28" s="35"/>
      <c r="D28" s="355" t="s">
        <v>160</v>
      </c>
      <c r="E28" s="2005" t="s">
        <v>1031</v>
      </c>
      <c r="F28" s="2006"/>
      <c r="G28" s="2007"/>
      <c r="H28" s="356">
        <v>0</v>
      </c>
      <c r="I28" s="352">
        <f>I27-H28</f>
        <v>95084.780007839203</v>
      </c>
      <c r="J28" s="1823"/>
      <c r="K28" s="338"/>
    </row>
    <row r="29" spans="2:11" ht="15">
      <c r="B29" s="241"/>
      <c r="C29" s="35"/>
      <c r="D29" s="1995"/>
      <c r="E29" s="1996"/>
      <c r="F29" s="1996"/>
      <c r="G29" s="1997"/>
      <c r="H29" s="347"/>
      <c r="I29" s="1735">
        <f>I28</f>
        <v>95084.780007839203</v>
      </c>
      <c r="J29" s="1823"/>
      <c r="K29" s="360"/>
    </row>
    <row r="30" spans="2:11" ht="15">
      <c r="B30" s="241"/>
      <c r="C30" s="35"/>
      <c r="D30" s="35"/>
      <c r="E30" s="35"/>
      <c r="F30" s="35"/>
      <c r="G30" s="35"/>
      <c r="H30" s="35"/>
      <c r="I30" s="1345"/>
      <c r="J30" s="241"/>
      <c r="K30" s="344"/>
    </row>
    <row r="31" spans="2:11" ht="15">
      <c r="K31" s="353"/>
    </row>
    <row r="32" spans="2:11" ht="15">
      <c r="K32" s="353"/>
    </row>
    <row r="33" spans="2:13" ht="15.75">
      <c r="B33" s="241"/>
      <c r="C33" s="1998" t="s">
        <v>1014</v>
      </c>
      <c r="D33" s="1998"/>
      <c r="E33" s="1998"/>
      <c r="F33" s="1998"/>
      <c r="G33" s="1998"/>
      <c r="H33" s="1344"/>
      <c r="I33" s="1344"/>
      <c r="J33" s="1344"/>
      <c r="K33" s="344"/>
    </row>
    <row r="34" spans="2:13" ht="15">
      <c r="B34" s="418"/>
      <c r="C34" s="1998"/>
      <c r="D34" s="1998"/>
      <c r="E34" s="1998"/>
      <c r="F34" s="1998"/>
      <c r="G34" s="1998"/>
      <c r="H34" s="345" t="s">
        <v>156</v>
      </c>
      <c r="I34" s="346" t="s">
        <v>157</v>
      </c>
      <c r="J34" s="1346"/>
      <c r="K34" s="344"/>
    </row>
    <row r="35" spans="2:13" ht="15">
      <c r="B35" s="241"/>
      <c r="C35" s="35"/>
      <c r="D35" s="1995" t="s">
        <v>158</v>
      </c>
      <c r="E35" s="1996"/>
      <c r="F35" s="1996"/>
      <c r="G35" s="1997"/>
      <c r="H35" s="347"/>
      <c r="I35" s="348">
        <f>'Historical DATA'!DE4</f>
        <v>54210000</v>
      </c>
      <c r="J35" s="1821"/>
      <c r="K35" s="344"/>
    </row>
    <row r="36" spans="2:13" ht="33.6" customHeight="1">
      <c r="B36" s="241"/>
      <c r="C36" s="35"/>
      <c r="D36" s="350" t="s">
        <v>159</v>
      </c>
      <c r="E36" s="1999" t="s">
        <v>1033</v>
      </c>
      <c r="F36" s="2000"/>
      <c r="G36" s="2001"/>
      <c r="H36" s="351">
        <v>0</v>
      </c>
      <c r="I36" s="352">
        <f>I35+H36</f>
        <v>54210000</v>
      </c>
      <c r="J36" s="1821"/>
    </row>
    <row r="37" spans="2:13" ht="37.5" customHeight="1">
      <c r="B37" s="241"/>
      <c r="C37" s="35"/>
      <c r="D37" s="350" t="s">
        <v>159</v>
      </c>
      <c r="E37" s="1999" t="s">
        <v>1032</v>
      </c>
      <c r="F37" s="2000"/>
      <c r="G37" s="2001"/>
      <c r="H37" s="351">
        <f>ABS(MAX(0,'10 - Reserve calculation'!K12))</f>
        <v>0</v>
      </c>
      <c r="I37" s="352">
        <f>I36+H37</f>
        <v>54210000</v>
      </c>
      <c r="J37" s="1828"/>
      <c r="K37" s="1396" t="s">
        <v>1108</v>
      </c>
      <c r="M37" s="1397">
        <v>0</v>
      </c>
    </row>
    <row r="38" spans="2:13" ht="53.25" customHeight="1">
      <c r="B38" s="241"/>
      <c r="C38" s="35"/>
      <c r="D38" s="355" t="s">
        <v>160</v>
      </c>
      <c r="E38" s="2005" t="s">
        <v>1034</v>
      </c>
      <c r="F38" s="2006"/>
      <c r="G38" s="2007"/>
      <c r="H38" s="356">
        <v>0</v>
      </c>
      <c r="I38" s="352">
        <f>I37-H38</f>
        <v>54210000</v>
      </c>
      <c r="J38" s="1828"/>
      <c r="K38" s="1398" t="s">
        <v>1109</v>
      </c>
      <c r="M38" s="1397">
        <v>0</v>
      </c>
    </row>
    <row r="39" spans="2:13" ht="27" customHeight="1">
      <c r="B39" s="241"/>
      <c r="C39" s="35"/>
      <c r="D39" s="355" t="s">
        <v>160</v>
      </c>
      <c r="E39" s="2005" t="s">
        <v>1035</v>
      </c>
      <c r="F39" s="2006"/>
      <c r="G39" s="2007"/>
      <c r="H39" s="356">
        <f>ABS(MIN(0,'10 - Reserve calculation'!K12))</f>
        <v>460000</v>
      </c>
      <c r="I39" s="352">
        <f>I38-H39</f>
        <v>53750000</v>
      </c>
      <c r="J39" s="1828"/>
      <c r="K39" s="1400" t="s">
        <v>1110</v>
      </c>
      <c r="M39" s="1397">
        <v>0</v>
      </c>
    </row>
    <row r="40" spans="2:13" ht="44.25" customHeight="1">
      <c r="B40" s="241"/>
      <c r="C40" s="35"/>
      <c r="D40" s="355" t="s">
        <v>160</v>
      </c>
      <c r="E40" s="2020" t="s">
        <v>1036</v>
      </c>
      <c r="F40" s="2021"/>
      <c r="G40" s="2022"/>
      <c r="H40" s="356">
        <f>IF('00 - Cover'!F27="Yes",'13 - Issuer Account'!I39,0)</f>
        <v>0</v>
      </c>
      <c r="I40" s="352">
        <f>I39-H40</f>
        <v>53750000</v>
      </c>
      <c r="J40" s="1828"/>
      <c r="K40" s="1395" t="s">
        <v>1111</v>
      </c>
      <c r="M40" s="1399">
        <v>0</v>
      </c>
    </row>
    <row r="41" spans="2:13" ht="15">
      <c r="B41" s="241"/>
      <c r="C41" s="35"/>
      <c r="D41" s="1995"/>
      <c r="E41" s="1996"/>
      <c r="F41" s="1996"/>
      <c r="G41" s="1997"/>
      <c r="H41" s="347"/>
      <c r="I41" s="348">
        <f>I40</f>
        <v>53750000</v>
      </c>
      <c r="J41" s="1823"/>
      <c r="K41" s="360"/>
    </row>
    <row r="42" spans="2:13" ht="15">
      <c r="B42" s="241"/>
      <c r="C42" s="35"/>
      <c r="D42" s="35"/>
      <c r="E42" s="35"/>
      <c r="F42" s="35"/>
      <c r="G42" s="35"/>
      <c r="H42" s="35"/>
      <c r="I42" s="1345"/>
      <c r="J42" s="241"/>
      <c r="K42" s="344"/>
    </row>
    <row r="43" spans="2:13" ht="15">
      <c r="K43" s="344"/>
    </row>
    <row r="44" spans="2:13" ht="15.75">
      <c r="B44" s="241"/>
      <c r="C44" s="1998" t="s">
        <v>1013</v>
      </c>
      <c r="D44" s="1998"/>
      <c r="E44" s="1998"/>
      <c r="F44" s="1998"/>
      <c r="G44" s="1998"/>
      <c r="H44" s="1344"/>
      <c r="I44" s="1344"/>
      <c r="J44" s="1344"/>
      <c r="K44" s="344"/>
    </row>
    <row r="45" spans="2:13" ht="15">
      <c r="B45" s="418"/>
      <c r="C45" s="1998"/>
      <c r="D45" s="1998"/>
      <c r="E45" s="1998"/>
      <c r="F45" s="1998"/>
      <c r="G45" s="1998"/>
      <c r="H45" s="345" t="s">
        <v>156</v>
      </c>
      <c r="I45" s="346" t="s">
        <v>157</v>
      </c>
      <c r="J45" s="1346"/>
      <c r="K45" s="344"/>
    </row>
    <row r="46" spans="2:13" ht="15">
      <c r="B46" s="241"/>
      <c r="C46" s="35"/>
      <c r="D46" s="1995" t="s">
        <v>158</v>
      </c>
      <c r="E46" s="1996"/>
      <c r="F46" s="1996"/>
      <c r="G46" s="1997"/>
      <c r="H46" s="347"/>
      <c r="I46" s="348">
        <f>Output!CG4</f>
        <v>0</v>
      </c>
      <c r="J46" s="1821"/>
      <c r="K46" s="344"/>
    </row>
    <row r="47" spans="2:13" ht="43.5" customHeight="1">
      <c r="B47" s="241"/>
      <c r="C47" s="35"/>
      <c r="D47" s="350" t="s">
        <v>159</v>
      </c>
      <c r="E47" s="1999" t="s">
        <v>1037</v>
      </c>
      <c r="F47" s="2000"/>
      <c r="G47" s="2001"/>
      <c r="H47" s="351">
        <v>0</v>
      </c>
      <c r="I47" s="352">
        <f>I46+H47</f>
        <v>0</v>
      </c>
      <c r="J47" s="1821"/>
    </row>
    <row r="48" spans="2:13" ht="56.25" customHeight="1">
      <c r="B48" s="241"/>
      <c r="C48" s="35"/>
      <c r="D48" s="355" t="s">
        <v>160</v>
      </c>
      <c r="E48" s="2008" t="s">
        <v>1038</v>
      </c>
      <c r="F48" s="2009"/>
      <c r="G48" s="2010"/>
      <c r="H48" s="356">
        <v>0</v>
      </c>
      <c r="I48" s="352">
        <f>I47-H48</f>
        <v>0</v>
      </c>
      <c r="J48" s="1823"/>
      <c r="K48" s="357"/>
    </row>
    <row r="49" spans="1:11" ht="56.25" customHeight="1">
      <c r="B49" s="241"/>
      <c r="C49" s="35"/>
      <c r="D49" s="355" t="s">
        <v>160</v>
      </c>
      <c r="E49" s="2008" t="s">
        <v>1039</v>
      </c>
      <c r="F49" s="2009"/>
      <c r="G49" s="2010"/>
      <c r="H49" s="356">
        <v>0</v>
      </c>
      <c r="I49" s="352">
        <f>I48-H49</f>
        <v>0</v>
      </c>
      <c r="J49" s="1824"/>
      <c r="K49" s="358"/>
    </row>
    <row r="50" spans="1:11" ht="56.25" customHeight="1">
      <c r="B50" s="241"/>
      <c r="C50" s="35"/>
      <c r="D50" s="355" t="s">
        <v>160</v>
      </c>
      <c r="E50" s="2008" t="s">
        <v>1040</v>
      </c>
      <c r="F50" s="2009"/>
      <c r="G50" s="2010"/>
      <c r="H50" s="356">
        <v>0</v>
      </c>
      <c r="I50" s="352">
        <f>I49-H50</f>
        <v>0</v>
      </c>
      <c r="J50" s="1823"/>
      <c r="K50" s="359"/>
    </row>
    <row r="51" spans="1:11" ht="56.25" customHeight="1">
      <c r="B51" s="241"/>
      <c r="C51" s="35"/>
      <c r="D51" s="355" t="s">
        <v>160</v>
      </c>
      <c r="E51" s="2005" t="s">
        <v>1041</v>
      </c>
      <c r="F51" s="2006"/>
      <c r="G51" s="2007"/>
      <c r="H51" s="356">
        <v>0</v>
      </c>
      <c r="I51" s="352">
        <f>I50-H51</f>
        <v>0</v>
      </c>
      <c r="J51" s="1823"/>
      <c r="K51" s="338"/>
    </row>
    <row r="52" spans="1:11" ht="15">
      <c r="B52" s="241"/>
      <c r="C52" s="35"/>
      <c r="D52" s="1995"/>
      <c r="E52" s="1996"/>
      <c r="F52" s="1996"/>
      <c r="G52" s="1997"/>
      <c r="H52" s="347"/>
      <c r="I52" s="348">
        <f>I51</f>
        <v>0</v>
      </c>
      <c r="J52" s="1823"/>
      <c r="K52" s="360"/>
    </row>
    <row r="53" spans="1:11" ht="15">
      <c r="A53" s="344"/>
      <c r="B53" s="344"/>
      <c r="C53" s="344"/>
      <c r="D53" s="344"/>
      <c r="E53" s="344"/>
      <c r="F53" s="344"/>
      <c r="G53" s="344"/>
      <c r="H53" s="344"/>
      <c r="I53" s="344"/>
      <c r="J53" s="344"/>
      <c r="K53" s="344"/>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zoomScale="85" zoomScaleNormal="80" zoomScaleSheetLayoutView="85" workbookViewId="0">
      <selection activeCell="E43" sqref="E43"/>
    </sheetView>
  </sheetViews>
  <sheetFormatPr defaultColWidth="11.5703125" defaultRowHeight="12.75"/>
  <cols>
    <col min="1" max="1" width="3" style="234" customWidth="1"/>
    <col min="2" max="2" width="2.5703125" style="234" customWidth="1"/>
    <col min="3" max="3" width="55.5703125" style="234" bestFit="1" customWidth="1"/>
    <col min="4" max="4" width="15.5703125" style="361" bestFit="1" customWidth="1"/>
    <col min="5" max="6" width="28.140625" style="361" customWidth="1"/>
    <col min="7" max="7" width="19.85546875" style="361" bestFit="1" customWidth="1"/>
    <col min="8" max="8" width="19.85546875" style="234" customWidth="1"/>
    <col min="9" max="9" width="39.140625" style="361" customWidth="1"/>
    <col min="10" max="10" width="24.5703125" style="349" bestFit="1" customWidth="1"/>
    <col min="11" max="11" width="12.42578125" style="234" customWidth="1"/>
    <col min="12" max="12" width="2.5703125" style="234" customWidth="1"/>
    <col min="13" max="13" width="31.42578125" style="234" customWidth="1"/>
    <col min="14" max="14" width="12.85546875" style="234" bestFit="1" customWidth="1"/>
    <col min="15" max="16384" width="11.5703125" style="234"/>
  </cols>
  <sheetData>
    <row r="2" spans="3:16">
      <c r="J2" s="362"/>
      <c r="K2" s="361"/>
      <c r="L2" s="361"/>
      <c r="M2" s="361"/>
    </row>
    <row r="3" spans="3:16" ht="15">
      <c r="I3" s="234"/>
      <c r="J3" s="363"/>
      <c r="K3" s="82"/>
    </row>
    <row r="4" spans="3:16" hidden="1">
      <c r="I4" s="1213" t="s">
        <v>99</v>
      </c>
      <c r="J4" s="1213">
        <f>'00 - Cover'!$F$17</f>
        <v>46022</v>
      </c>
      <c r="K4" s="82"/>
      <c r="P4" s="365"/>
    </row>
    <row r="5" spans="3:16" hidden="1">
      <c r="I5" s="1213" t="s">
        <v>4</v>
      </c>
      <c r="J5" s="1213">
        <f>'00 - Cover'!$F$19</f>
        <v>46042</v>
      </c>
      <c r="K5" s="82"/>
      <c r="P5" s="365"/>
    </row>
    <row r="6" spans="3:16" hidden="1">
      <c r="I6" s="1213" t="s">
        <v>5</v>
      </c>
      <c r="J6" s="1213">
        <f>'00 - Cover'!$F$20</f>
        <v>46049</v>
      </c>
      <c r="K6" s="361"/>
      <c r="L6" s="361"/>
      <c r="M6" s="361"/>
      <c r="P6" s="365"/>
    </row>
    <row r="7" spans="3:16" hidden="1">
      <c r="D7" s="366"/>
      <c r="K7" s="361"/>
      <c r="L7" s="361"/>
      <c r="M7" s="361"/>
      <c r="P7" s="365"/>
    </row>
    <row r="8" spans="3:16" hidden="1">
      <c r="I8" s="2026" t="s">
        <v>161</v>
      </c>
      <c r="J8" s="2027"/>
      <c r="P8" s="365"/>
    </row>
    <row r="9" spans="3:16" hidden="1">
      <c r="I9" s="340" t="s">
        <v>162</v>
      </c>
      <c r="J9" s="364"/>
      <c r="P9" s="365"/>
    </row>
    <row r="10" spans="3:16" hidden="1">
      <c r="I10" s="340" t="s">
        <v>5</v>
      </c>
      <c r="J10" s="364"/>
      <c r="P10" s="365"/>
    </row>
    <row r="11" spans="3:16" hidden="1">
      <c r="I11" s="340" t="s">
        <v>153</v>
      </c>
      <c r="J11" s="364"/>
      <c r="P11" s="365"/>
    </row>
    <row r="12" spans="3:16" ht="18" customHeight="1">
      <c r="I12" s="367"/>
      <c r="J12" s="368"/>
      <c r="P12" s="365"/>
    </row>
    <row r="13" spans="3:16" ht="15.75">
      <c r="C13" s="2028" t="s">
        <v>2008</v>
      </c>
      <c r="D13" s="2029"/>
      <c r="E13" s="2029"/>
      <c r="F13" s="2029"/>
      <c r="G13" s="2029"/>
      <c r="H13" s="2029"/>
      <c r="I13" s="2029"/>
      <c r="J13" s="2029"/>
      <c r="K13" s="2029"/>
      <c r="P13" s="365"/>
    </row>
    <row r="14" spans="3:16">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c r="C17" s="378" t="s">
        <v>172</v>
      </c>
      <c r="D17" s="2030" t="s">
        <v>173</v>
      </c>
      <c r="E17" s="379"/>
      <c r="F17" s="380"/>
      <c r="G17" s="381"/>
      <c r="H17" s="382"/>
      <c r="I17" s="383"/>
      <c r="J17" s="384"/>
      <c r="K17" s="384"/>
      <c r="P17" s="365"/>
    </row>
    <row r="18" spans="3:16">
      <c r="C18" s="385" t="s">
        <v>1142</v>
      </c>
      <c r="D18" s="2031"/>
      <c r="E18" s="386">
        <v>65000</v>
      </c>
      <c r="F18" s="387">
        <v>1</v>
      </c>
      <c r="G18" s="388">
        <f>(E18*(1+H18))-E18</f>
        <v>0</v>
      </c>
      <c r="H18" s="389">
        <v>0</v>
      </c>
      <c r="I18" s="1605" t="s">
        <v>1886</v>
      </c>
      <c r="J18" s="390">
        <f>ROUND((E18+G18)/12,2)</f>
        <v>5416.67</v>
      </c>
      <c r="K18" s="390"/>
      <c r="M18" s="339"/>
      <c r="P18" s="365"/>
    </row>
    <row r="19" spans="3:16">
      <c r="C19" s="391" t="s">
        <v>175</v>
      </c>
      <c r="D19" s="2031"/>
      <c r="E19" s="379"/>
      <c r="F19" s="380"/>
      <c r="G19" s="381"/>
      <c r="H19" s="382"/>
      <c r="I19" s="1606"/>
      <c r="J19" s="384"/>
      <c r="K19" s="384"/>
      <c r="M19" s="339"/>
      <c r="P19" s="365"/>
    </row>
    <row r="20" spans="3:16">
      <c r="C20" s="392" t="s">
        <v>1150</v>
      </c>
      <c r="D20" s="2031"/>
      <c r="E20" s="393">
        <v>500</v>
      </c>
      <c r="F20" s="387">
        <v>1</v>
      </c>
      <c r="G20" s="388">
        <f t="shared" ref="G20:G28" si="0">(E20*(1+H20))-E20</f>
        <v>0</v>
      </c>
      <c r="H20" s="389">
        <v>0</v>
      </c>
      <c r="I20" s="1605" t="s">
        <v>179</v>
      </c>
      <c r="J20" s="390">
        <f>ROUND((E20+G20),2)*0</f>
        <v>0</v>
      </c>
      <c r="K20" s="390"/>
      <c r="M20" s="339"/>
      <c r="P20" s="365"/>
    </row>
    <row r="21" spans="3:16">
      <c r="C21" s="392" t="s">
        <v>1151</v>
      </c>
      <c r="D21" s="2031"/>
      <c r="E21" s="393">
        <v>300</v>
      </c>
      <c r="F21" s="387">
        <v>1</v>
      </c>
      <c r="G21" s="388">
        <f t="shared" si="0"/>
        <v>0</v>
      </c>
      <c r="H21" s="389">
        <v>0</v>
      </c>
      <c r="I21" s="1605" t="s">
        <v>179</v>
      </c>
      <c r="J21" s="390">
        <f t="shared" ref="J21:J27" si="1">ROUND((E21+G21),2)*0</f>
        <v>0</v>
      </c>
      <c r="K21" s="390"/>
      <c r="M21" s="339"/>
      <c r="P21" s="365"/>
    </row>
    <row r="22" spans="3:16">
      <c r="C22" s="392" t="s">
        <v>1152</v>
      </c>
      <c r="D22" s="2031"/>
      <c r="E22" s="393">
        <v>500</v>
      </c>
      <c r="F22" s="387">
        <v>1</v>
      </c>
      <c r="G22" s="388">
        <f t="shared" si="0"/>
        <v>0</v>
      </c>
      <c r="H22" s="389">
        <v>0</v>
      </c>
      <c r="I22" s="1605" t="s">
        <v>179</v>
      </c>
      <c r="J22" s="390">
        <f t="shared" si="1"/>
        <v>0</v>
      </c>
      <c r="K22" s="390"/>
      <c r="M22" s="339"/>
      <c r="P22" s="365"/>
    </row>
    <row r="23" spans="3:16">
      <c r="C23" s="392" t="s">
        <v>1153</v>
      </c>
      <c r="D23" s="2031"/>
      <c r="E23" s="393">
        <v>7500</v>
      </c>
      <c r="F23" s="387">
        <v>1</v>
      </c>
      <c r="G23" s="388">
        <f t="shared" si="0"/>
        <v>0</v>
      </c>
      <c r="H23" s="389">
        <v>0</v>
      </c>
      <c r="I23" s="1605" t="s">
        <v>176</v>
      </c>
      <c r="J23" s="390">
        <f t="shared" si="1"/>
        <v>0</v>
      </c>
      <c r="K23" s="390"/>
      <c r="P23" s="365"/>
    </row>
    <row r="24" spans="3:16">
      <c r="C24" s="392" t="s">
        <v>1155</v>
      </c>
      <c r="D24" s="2031"/>
      <c r="E24" s="393">
        <v>0</v>
      </c>
      <c r="F24" s="387">
        <v>1</v>
      </c>
      <c r="G24" s="388">
        <f t="shared" si="0"/>
        <v>0</v>
      </c>
      <c r="H24" s="389">
        <v>0</v>
      </c>
      <c r="I24" s="1605" t="s">
        <v>179</v>
      </c>
      <c r="J24" s="390">
        <f t="shared" si="1"/>
        <v>0</v>
      </c>
      <c r="K24" s="390"/>
      <c r="P24" s="365"/>
    </row>
    <row r="25" spans="3:16">
      <c r="C25" s="392" t="s">
        <v>1156</v>
      </c>
      <c r="D25" s="2031"/>
      <c r="E25" s="393">
        <v>0</v>
      </c>
      <c r="F25" s="387">
        <v>1</v>
      </c>
      <c r="G25" s="388">
        <f t="shared" si="0"/>
        <v>0</v>
      </c>
      <c r="H25" s="389">
        <v>0</v>
      </c>
      <c r="I25" s="1605" t="s">
        <v>179</v>
      </c>
      <c r="J25" s="390">
        <f t="shared" si="1"/>
        <v>0</v>
      </c>
      <c r="K25" s="390"/>
      <c r="P25" s="365"/>
    </row>
    <row r="26" spans="3:16">
      <c r="C26" s="392" t="s">
        <v>1157</v>
      </c>
      <c r="D26" s="2031"/>
      <c r="E26" s="393">
        <v>0</v>
      </c>
      <c r="F26" s="387">
        <v>1</v>
      </c>
      <c r="G26" s="388">
        <f t="shared" si="0"/>
        <v>0</v>
      </c>
      <c r="H26" s="389">
        <v>0</v>
      </c>
      <c r="I26" s="1605" t="s">
        <v>179</v>
      </c>
      <c r="J26" s="390">
        <f t="shared" si="1"/>
        <v>0</v>
      </c>
      <c r="K26" s="390"/>
      <c r="P26" s="365"/>
    </row>
    <row r="27" spans="3:16">
      <c r="C27" s="392" t="s">
        <v>1154</v>
      </c>
      <c r="D27" s="2031"/>
      <c r="E27" s="393">
        <v>0</v>
      </c>
      <c r="F27" s="387">
        <v>1</v>
      </c>
      <c r="G27" s="388">
        <f t="shared" si="0"/>
        <v>0</v>
      </c>
      <c r="H27" s="389">
        <v>0</v>
      </c>
      <c r="I27" s="1605" t="s">
        <v>179</v>
      </c>
      <c r="J27" s="390">
        <f t="shared" si="1"/>
        <v>0</v>
      </c>
      <c r="K27" s="390"/>
      <c r="P27" s="365"/>
    </row>
    <row r="28" spans="3:16">
      <c r="C28" s="392" t="s">
        <v>2104</v>
      </c>
      <c r="D28" s="2031"/>
      <c r="E28" s="393">
        <v>10000</v>
      </c>
      <c r="F28" s="387">
        <v>1</v>
      </c>
      <c r="G28" s="388">
        <f t="shared" si="0"/>
        <v>0</v>
      </c>
      <c r="H28" s="389">
        <v>0</v>
      </c>
      <c r="I28" s="1605" t="s">
        <v>179</v>
      </c>
      <c r="J28" s="390">
        <f>ROUND((E28+G28),2)*0</f>
        <v>0</v>
      </c>
      <c r="K28" s="390"/>
      <c r="P28" s="365"/>
    </row>
    <row r="29" spans="3:16">
      <c r="C29" s="391" t="s">
        <v>177</v>
      </c>
      <c r="D29" s="2031"/>
      <c r="E29" s="379"/>
      <c r="F29" s="380"/>
      <c r="G29" s="381"/>
      <c r="H29" s="382"/>
      <c r="I29" s="1607"/>
      <c r="J29" s="384"/>
      <c r="K29" s="384"/>
      <c r="P29" s="365"/>
    </row>
    <row r="30" spans="3:16">
      <c r="C30" s="394" t="s">
        <v>1149</v>
      </c>
      <c r="D30" s="2031"/>
      <c r="E30" s="393">
        <v>-50</v>
      </c>
      <c r="F30" s="395">
        <v>1</v>
      </c>
      <c r="G30" s="388">
        <v>0</v>
      </c>
      <c r="H30" s="389">
        <v>0</v>
      </c>
      <c r="I30" s="1605" t="s">
        <v>1158</v>
      </c>
      <c r="J30" s="390">
        <v>0</v>
      </c>
      <c r="K30" s="390"/>
      <c r="P30" s="365"/>
    </row>
    <row r="31" spans="3:16">
      <c r="C31" s="396" t="s">
        <v>178</v>
      </c>
      <c r="D31" s="2023" t="s">
        <v>408</v>
      </c>
      <c r="E31" s="379"/>
      <c r="F31" s="380"/>
      <c r="G31" s="381"/>
      <c r="H31" s="382"/>
      <c r="I31" s="1607"/>
      <c r="J31" s="384"/>
      <c r="K31" s="384"/>
      <c r="P31" s="365"/>
    </row>
    <row r="32" spans="3:16" ht="12.75" customHeight="1">
      <c r="C32" s="397" t="s">
        <v>1142</v>
      </c>
      <c r="D32" s="2025"/>
      <c r="E32" s="398">
        <v>26000</v>
      </c>
      <c r="F32" s="387">
        <v>1</v>
      </c>
      <c r="G32" s="388">
        <f>(E32*(1+H32))-E32</f>
        <v>5200</v>
      </c>
      <c r="H32" s="389">
        <v>0.2</v>
      </c>
      <c r="I32" s="1605" t="s">
        <v>1886</v>
      </c>
      <c r="J32" s="390">
        <f>ROUND((E32+G32)/12,2)</f>
        <v>2600</v>
      </c>
      <c r="K32" s="390"/>
      <c r="M32" s="338"/>
      <c r="P32" s="365"/>
    </row>
    <row r="33" spans="3:16">
      <c r="C33" s="397" t="s">
        <v>1143</v>
      </c>
      <c r="D33" s="2025"/>
      <c r="E33" s="398">
        <f>IF('02 - Monthly Asset Follow up'!C17&lt;100000000,0.005%*('02 - Monthly Asset Follow up'!C17),0.005%*(100000000)+0.004%*('02 - Monthly Asset Follow up'!C17-100000000))</f>
        <v>457421.6008284</v>
      </c>
      <c r="F33" s="387">
        <v>1</v>
      </c>
      <c r="G33" s="388">
        <f>(E33*(1+H33))-E33</f>
        <v>91484.320165680023</v>
      </c>
      <c r="H33" s="387">
        <v>0.2</v>
      </c>
      <c r="I33" s="1605" t="s">
        <v>1886</v>
      </c>
      <c r="J33" s="390">
        <f>ROUND((E33+G33)/12,2)</f>
        <v>45742.16</v>
      </c>
      <c r="K33" s="390"/>
      <c r="M33" s="338"/>
      <c r="P33" s="365"/>
    </row>
    <row r="34" spans="3:16">
      <c r="C34" s="1627" t="s">
        <v>96</v>
      </c>
      <c r="D34" s="1609"/>
      <c r="E34" s="1628">
        <f>E32+E33</f>
        <v>483421.6008284</v>
      </c>
      <c r="F34" s="1629">
        <v>1</v>
      </c>
      <c r="G34" s="1630">
        <f>(E34*(1+H34))-E34</f>
        <v>96684.320165680023</v>
      </c>
      <c r="H34" s="1629">
        <v>0.2</v>
      </c>
      <c r="I34" s="1631" t="s">
        <v>1886</v>
      </c>
      <c r="J34" s="1632">
        <f>MIN(E34+G34,150000)/12</f>
        <v>12500</v>
      </c>
      <c r="K34" s="390"/>
      <c r="M34" s="338"/>
      <c r="P34" s="365"/>
    </row>
    <row r="35" spans="3:16">
      <c r="C35" s="391" t="s">
        <v>180</v>
      </c>
      <c r="D35" s="2025" t="s">
        <v>408</v>
      </c>
      <c r="E35" s="379"/>
      <c r="F35" s="380"/>
      <c r="G35" s="381" t="s">
        <v>1132</v>
      </c>
      <c r="H35" s="382"/>
      <c r="I35" s="1606"/>
      <c r="J35" s="384"/>
      <c r="K35" s="384"/>
      <c r="M35" s="339"/>
    </row>
    <row r="36" spans="3:16">
      <c r="C36" s="399" t="s">
        <v>1142</v>
      </c>
      <c r="D36" s="2025"/>
      <c r="E36" s="393">
        <v>10500</v>
      </c>
      <c r="F36" s="387">
        <v>1</v>
      </c>
      <c r="G36" s="388">
        <f>(E36*(1+H36))-E36</f>
        <v>2100</v>
      </c>
      <c r="H36" s="387">
        <v>0.2</v>
      </c>
      <c r="I36" s="1605" t="s">
        <v>1886</v>
      </c>
      <c r="J36" s="390">
        <f>ROUND((E36+G36)/12,2)</f>
        <v>1050</v>
      </c>
      <c r="K36" s="390"/>
    </row>
    <row r="37" spans="3:16">
      <c r="C37" s="399" t="s">
        <v>1159</v>
      </c>
      <c r="D37" s="2025"/>
      <c r="E37" s="393">
        <v>15</v>
      </c>
      <c r="F37" s="387">
        <v>1</v>
      </c>
      <c r="G37" s="388">
        <f>(E37*(1+H37))-E37</f>
        <v>3</v>
      </c>
      <c r="H37" s="387">
        <v>0.2</v>
      </c>
      <c r="I37" s="1605" t="s">
        <v>179</v>
      </c>
      <c r="J37" s="390">
        <f>ROUND((E37+G37)*J12/365,2)</f>
        <v>0</v>
      </c>
      <c r="K37" s="390"/>
      <c r="M37" s="339"/>
    </row>
    <row r="38" spans="3:16">
      <c r="C38" s="391" t="s">
        <v>181</v>
      </c>
      <c r="D38" s="2025" t="s">
        <v>408</v>
      </c>
      <c r="E38" s="379"/>
      <c r="F38" s="380"/>
      <c r="G38" s="381"/>
      <c r="H38" s="382"/>
      <c r="I38" s="1606"/>
      <c r="J38" s="384"/>
      <c r="K38" s="384"/>
    </row>
    <row r="39" spans="3:16">
      <c r="C39" s="399" t="s">
        <v>2109</v>
      </c>
      <c r="D39" s="2025"/>
      <c r="E39" s="398">
        <f>4000*0</f>
        <v>0</v>
      </c>
      <c r="F39" s="387">
        <v>1</v>
      </c>
      <c r="G39" s="388">
        <f t="shared" ref="G39:G45" si="2">(E39*(1+H39))-E39</f>
        <v>0</v>
      </c>
      <c r="H39" s="387">
        <v>0.2</v>
      </c>
      <c r="I39" s="1605" t="s">
        <v>174</v>
      </c>
      <c r="J39" s="390">
        <f>ROUND((E39+G39),2)*1</f>
        <v>0</v>
      </c>
      <c r="K39" s="390"/>
    </row>
    <row r="40" spans="3:16">
      <c r="C40" s="399" t="s">
        <v>1144</v>
      </c>
      <c r="D40" s="2025"/>
      <c r="E40" s="398">
        <v>200</v>
      </c>
      <c r="F40" s="387">
        <v>1</v>
      </c>
      <c r="G40" s="388">
        <f t="shared" si="2"/>
        <v>40</v>
      </c>
      <c r="H40" s="387">
        <v>0.2</v>
      </c>
      <c r="I40" s="1605" t="s">
        <v>1886</v>
      </c>
      <c r="J40" s="390">
        <f>ROUND((E40+G40),2)</f>
        <v>240</v>
      </c>
      <c r="K40" s="390"/>
    </row>
    <row r="41" spans="3:16">
      <c r="C41" s="399" t="s">
        <v>1145</v>
      </c>
      <c r="D41" s="2025"/>
      <c r="E41" s="398">
        <v>200</v>
      </c>
      <c r="F41" s="387">
        <v>1</v>
      </c>
      <c r="G41" s="388">
        <f t="shared" si="2"/>
        <v>40</v>
      </c>
      <c r="H41" s="387">
        <v>0.2</v>
      </c>
      <c r="I41" s="1605" t="s">
        <v>1886</v>
      </c>
      <c r="J41" s="390">
        <f>ROUND((E41+G41),2)</f>
        <v>240</v>
      </c>
      <c r="K41" s="390"/>
    </row>
    <row r="42" spans="3:16">
      <c r="C42" s="399" t="s">
        <v>2110</v>
      </c>
      <c r="D42" s="2025"/>
      <c r="E42" s="398">
        <f>2000*0</f>
        <v>0</v>
      </c>
      <c r="F42" s="387">
        <v>1</v>
      </c>
      <c r="G42" s="388">
        <f t="shared" si="2"/>
        <v>0</v>
      </c>
      <c r="H42" s="387">
        <v>0.2</v>
      </c>
      <c r="I42" s="1605" t="s">
        <v>174</v>
      </c>
      <c r="J42" s="390">
        <f>ROUND((E42+G42),2)*1</f>
        <v>0</v>
      </c>
      <c r="K42" s="390"/>
    </row>
    <row r="43" spans="3:16">
      <c r="C43" s="399" t="s">
        <v>1146</v>
      </c>
      <c r="D43" s="2025"/>
      <c r="E43" s="398">
        <v>250</v>
      </c>
      <c r="F43" s="387">
        <v>1</v>
      </c>
      <c r="G43" s="388">
        <f t="shared" si="2"/>
        <v>50</v>
      </c>
      <c r="H43" s="387">
        <v>0.2</v>
      </c>
      <c r="I43" s="1605" t="s">
        <v>179</v>
      </c>
      <c r="J43" s="390">
        <f>ROUND((E43+G43),2)*0</f>
        <v>0</v>
      </c>
      <c r="K43" s="390"/>
    </row>
    <row r="44" spans="3:16">
      <c r="C44" s="399" t="s">
        <v>1147</v>
      </c>
      <c r="D44" s="2025"/>
      <c r="E44" s="398">
        <v>500</v>
      </c>
      <c r="F44" s="387">
        <v>1</v>
      </c>
      <c r="G44" s="388">
        <f t="shared" si="2"/>
        <v>100</v>
      </c>
      <c r="H44" s="387">
        <v>0.2</v>
      </c>
      <c r="I44" s="1605" t="s">
        <v>179</v>
      </c>
      <c r="J44" s="390">
        <f>ROUND((E44+G44),2)*0</f>
        <v>0</v>
      </c>
      <c r="K44" s="390"/>
    </row>
    <row r="45" spans="3:16">
      <c r="C45" s="399" t="s">
        <v>1148</v>
      </c>
      <c r="D45" s="2025"/>
      <c r="E45" s="398">
        <v>100</v>
      </c>
      <c r="F45" s="387">
        <v>1</v>
      </c>
      <c r="G45" s="388">
        <f t="shared" si="2"/>
        <v>20</v>
      </c>
      <c r="H45" s="387">
        <v>0.2</v>
      </c>
      <c r="I45" s="1605" t="s">
        <v>179</v>
      </c>
      <c r="J45" s="390">
        <f>ROUND((E45+G45),2)*0</f>
        <v>0</v>
      </c>
      <c r="K45" s="390"/>
    </row>
    <row r="46" spans="3:16">
      <c r="C46" s="391" t="s">
        <v>182</v>
      </c>
      <c r="D46" s="2025" t="s">
        <v>408</v>
      </c>
      <c r="E46" s="379"/>
      <c r="F46" s="380"/>
      <c r="G46" s="381"/>
      <c r="H46" s="382"/>
      <c r="I46" s="1606"/>
      <c r="J46" s="384"/>
      <c r="K46" s="384"/>
    </row>
    <row r="47" spans="3:16">
      <c r="C47" s="399" t="s">
        <v>1193</v>
      </c>
      <c r="D47" s="2034"/>
      <c r="E47" s="398">
        <v>2500</v>
      </c>
      <c r="F47" s="387">
        <v>1</v>
      </c>
      <c r="G47" s="388">
        <f>(E47*(1+H47))-E47</f>
        <v>500</v>
      </c>
      <c r="H47" s="387">
        <v>0.2</v>
      </c>
      <c r="I47" s="1605" t="s">
        <v>1194</v>
      </c>
      <c r="J47" s="390">
        <f>ROUND((E47+G47),2)*0</f>
        <v>0</v>
      </c>
      <c r="K47" s="390"/>
    </row>
    <row r="48" spans="3:16">
      <c r="C48" s="391" t="s">
        <v>1195</v>
      </c>
      <c r="D48" s="2032" t="s">
        <v>384</v>
      </c>
      <c r="E48" s="379"/>
      <c r="F48" s="380"/>
      <c r="G48" s="381"/>
      <c r="H48" s="382"/>
      <c r="I48" s="1606"/>
      <c r="J48" s="384"/>
      <c r="K48" s="384"/>
    </row>
    <row r="49" spans="3:16">
      <c r="C49" s="394" t="s">
        <v>1193</v>
      </c>
      <c r="D49" s="2033"/>
      <c r="E49" s="398">
        <v>8062679170.8800001</v>
      </c>
      <c r="F49" s="1784">
        <v>7.9999999999999996E-6</v>
      </c>
      <c r="G49" s="388"/>
      <c r="H49" s="389"/>
      <c r="I49" s="1605" t="s">
        <v>1197</v>
      </c>
      <c r="J49" s="390">
        <f>IF('00 - Cover'!F20=DATE(2025,7,28),ROUND((E49*F49),2),0)</f>
        <v>0</v>
      </c>
      <c r="K49" s="390"/>
    </row>
    <row r="50" spans="3:16">
      <c r="C50" s="391" t="s">
        <v>183</v>
      </c>
      <c r="D50" s="2032" t="s">
        <v>408</v>
      </c>
      <c r="E50" s="379"/>
      <c r="F50" s="380"/>
      <c r="G50" s="381"/>
      <c r="H50" s="382"/>
      <c r="I50" s="1606"/>
      <c r="J50" s="384"/>
      <c r="K50" s="384"/>
      <c r="P50" s="365"/>
    </row>
    <row r="51" spans="3:16">
      <c r="C51" s="394" t="s">
        <v>1193</v>
      </c>
      <c r="D51" s="2033"/>
      <c r="E51" s="398">
        <v>2500</v>
      </c>
      <c r="F51" s="387">
        <v>1</v>
      </c>
      <c r="G51" s="388">
        <f>(E51*(1+H51))-E51</f>
        <v>500</v>
      </c>
      <c r="H51" s="389">
        <v>0.2</v>
      </c>
      <c r="I51" s="1605" t="s">
        <v>1194</v>
      </c>
      <c r="J51" s="390">
        <f>ROUND((E51+G51),2)*0</f>
        <v>0</v>
      </c>
      <c r="K51" s="390"/>
      <c r="P51" s="365"/>
    </row>
    <row r="52" spans="3:16">
      <c r="C52" s="396" t="s">
        <v>12</v>
      </c>
      <c r="D52" s="2023" t="s">
        <v>1351</v>
      </c>
      <c r="E52" s="379"/>
      <c r="F52" s="380"/>
      <c r="G52" s="381"/>
      <c r="H52" s="382"/>
      <c r="I52" s="1606"/>
      <c r="J52" s="384"/>
      <c r="K52" s="384"/>
    </row>
    <row r="53" spans="3:16" ht="41.45" customHeight="1">
      <c r="C53" s="399" t="s">
        <v>370</v>
      </c>
      <c r="D53" s="2025"/>
      <c r="E53" s="398">
        <f>(0.25%*'02 - Monthly Asset Follow up'!C17)/12</f>
        <v>2377195.8376479163</v>
      </c>
      <c r="F53" s="387">
        <v>1</v>
      </c>
      <c r="G53" s="388">
        <f>IFERROR(E53*F53/12*H53,0)</f>
        <v>0</v>
      </c>
      <c r="H53" s="389">
        <v>0</v>
      </c>
      <c r="I53" s="1605" t="s">
        <v>1886</v>
      </c>
      <c r="J53" s="1604">
        <f>IFERROR(ROUND((E53+G53),2),0)</f>
        <v>2377195.84</v>
      </c>
      <c r="K53" s="390"/>
    </row>
    <row r="54" spans="3:16" ht="41.45" customHeight="1">
      <c r="C54" s="399" t="s">
        <v>371</v>
      </c>
      <c r="D54" s="2025"/>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18720.953358333332</v>
      </c>
      <c r="F54" s="387">
        <v>1</v>
      </c>
      <c r="G54" s="388">
        <f>IFERROR(E54*F54/12*H54,0)</f>
        <v>0</v>
      </c>
      <c r="H54" s="389">
        <v>0</v>
      </c>
      <c r="I54" s="1605" t="s">
        <v>1886</v>
      </c>
      <c r="J54" s="1604">
        <f>IFERROR(ROUND((E54+G54),2),0)</f>
        <v>18720.95</v>
      </c>
      <c r="K54" s="390"/>
    </row>
    <row r="55" spans="3:16">
      <c r="C55" s="396" t="s">
        <v>185</v>
      </c>
      <c r="D55" s="2023" t="s">
        <v>1352</v>
      </c>
      <c r="E55" s="379"/>
      <c r="F55" s="380"/>
      <c r="G55" s="381"/>
      <c r="H55" s="382"/>
      <c r="I55" s="1606"/>
      <c r="J55" s="384"/>
      <c r="K55" s="384"/>
    </row>
    <row r="56" spans="3:16">
      <c r="C56" s="397" t="s">
        <v>1196</v>
      </c>
      <c r="D56" s="2024"/>
      <c r="E56" s="398"/>
      <c r="F56" s="389">
        <v>0</v>
      </c>
      <c r="G56" s="388">
        <f>E56*F56*H56</f>
        <v>0</v>
      </c>
      <c r="H56" s="387">
        <v>0.2</v>
      </c>
      <c r="I56" s="1605" t="s">
        <v>184</v>
      </c>
      <c r="J56" s="390">
        <f>ROUND((E56+G56),2)*0</f>
        <v>0</v>
      </c>
      <c r="K56" s="390"/>
    </row>
    <row r="57" spans="3:16">
      <c r="C57" s="396" t="s">
        <v>186</v>
      </c>
      <c r="D57" s="2023" t="s">
        <v>275</v>
      </c>
      <c r="E57" s="379"/>
      <c r="F57" s="380"/>
      <c r="G57" s="381"/>
      <c r="H57" s="382"/>
      <c r="I57" s="1606"/>
      <c r="J57" s="384"/>
      <c r="K57" s="384"/>
    </row>
    <row r="58" spans="3:16">
      <c r="C58" s="397" t="s">
        <v>2103</v>
      </c>
      <c r="D58" s="2025"/>
      <c r="E58" s="398">
        <v>0</v>
      </c>
      <c r="F58" s="387">
        <v>1</v>
      </c>
      <c r="G58" s="388">
        <f>E58*F58*H58</f>
        <v>0</v>
      </c>
      <c r="H58" s="387">
        <v>0.19</v>
      </c>
      <c r="I58" s="1605" t="s">
        <v>184</v>
      </c>
      <c r="J58" s="390">
        <f>ROUND((E58+G58),2)</f>
        <v>0</v>
      </c>
      <c r="K58" s="390"/>
    </row>
    <row r="59" spans="3:16" ht="12.6" customHeight="1">
      <c r="C59" s="400" t="s">
        <v>187</v>
      </c>
      <c r="D59" s="2023"/>
      <c r="E59" s="379"/>
      <c r="F59" s="380"/>
      <c r="G59" s="401"/>
      <c r="H59" s="382"/>
      <c r="I59" s="1606"/>
      <c r="J59" s="384"/>
      <c r="K59" s="384"/>
    </row>
    <row r="60" spans="3:16" ht="13.5" thickBot="1">
      <c r="C60" s="392" t="s">
        <v>2111</v>
      </c>
      <c r="D60" s="2025"/>
      <c r="E60" s="402">
        <v>4250</v>
      </c>
      <c r="F60" s="387">
        <v>1</v>
      </c>
      <c r="G60" s="388">
        <f>(E60*(1+H60))-E60</f>
        <v>850</v>
      </c>
      <c r="H60" s="387">
        <v>0.2</v>
      </c>
      <c r="I60" s="1605" t="s">
        <v>184</v>
      </c>
      <c r="J60" s="390">
        <f>ROUND((E60+G60),2)</f>
        <v>5100</v>
      </c>
      <c r="K60" s="390"/>
    </row>
    <row r="61" spans="3:16" ht="15.75" thickBot="1">
      <c r="C61" s="403" t="s">
        <v>1372</v>
      </c>
      <c r="D61" s="404"/>
      <c r="E61" s="405"/>
      <c r="F61" s="406"/>
      <c r="G61" s="406"/>
      <c r="H61" s="406"/>
      <c r="I61" s="406"/>
      <c r="J61" s="407">
        <f>SUM(J18:J60)-J32-J33</f>
        <v>2420463.46</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defaultColWidth="9.140625"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zoomScale="85" zoomScaleNormal="80" zoomScaleSheetLayoutView="85" workbookViewId="0">
      <selection activeCell="I28" sqref="I28"/>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3" width="31.28515625" style="39" customWidth="1"/>
    <col min="14"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900"/>
      <c r="G3" s="1900"/>
      <c r="H3" s="1900"/>
      <c r="I3" s="37"/>
      <c r="J3" s="12"/>
      <c r="K3" s="1213" t="s">
        <v>99</v>
      </c>
      <c r="L3" s="1213">
        <f>'00 - Cover'!$F$17</f>
        <v>46022</v>
      </c>
    </row>
    <row r="4" spans="1:13">
      <c r="A4" s="37"/>
      <c r="B4" s="35"/>
      <c r="C4" s="37"/>
      <c r="D4" s="37"/>
      <c r="E4" s="37"/>
      <c r="F4" s="1900"/>
      <c r="G4" s="1900"/>
      <c r="H4" s="1900"/>
      <c r="I4" s="37"/>
      <c r="J4" s="12"/>
      <c r="K4" s="1213" t="s">
        <v>4</v>
      </c>
      <c r="L4" s="1213">
        <f>'00 - Cover'!$F$19</f>
        <v>46042</v>
      </c>
    </row>
    <row r="5" spans="1:13">
      <c r="A5" s="37"/>
      <c r="B5" s="35"/>
      <c r="C5" s="37"/>
      <c r="D5" s="37"/>
      <c r="E5" s="37"/>
      <c r="F5" s="1900"/>
      <c r="G5" s="1900"/>
      <c r="H5" s="1900"/>
      <c r="I5" s="37"/>
      <c r="J5" s="12"/>
      <c r="K5" s="1213" t="s">
        <v>5</v>
      </c>
      <c r="L5" s="1213">
        <f>'00 - Cover'!$F$20</f>
        <v>46049</v>
      </c>
    </row>
    <row r="6" spans="1:13">
      <c r="A6" s="37"/>
      <c r="B6" s="35"/>
      <c r="C6" s="37"/>
      <c r="D6" s="37"/>
      <c r="E6" s="37"/>
      <c r="F6" s="1900"/>
      <c r="G6" s="1900"/>
      <c r="H6" s="1900"/>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45" t="s">
        <v>995</v>
      </c>
      <c r="G11" s="2045"/>
      <c r="H11" s="2045"/>
      <c r="I11" s="2045"/>
      <c r="J11" s="412">
        <f>'03 - Monthly Collection'!AR13</f>
        <v>102920096.20999999</v>
      </c>
      <c r="K11" s="1825"/>
      <c r="L11" s="1763"/>
      <c r="M11" s="37"/>
    </row>
    <row r="12" spans="1:13" ht="26.25" customHeight="1">
      <c r="A12" s="37"/>
      <c r="B12" s="37"/>
      <c r="C12" s="37"/>
      <c r="D12" s="37"/>
      <c r="E12" s="37"/>
      <c r="F12" s="2045" t="s">
        <v>996</v>
      </c>
      <c r="G12" s="2045"/>
      <c r="H12" s="2045"/>
      <c r="I12" s="2045"/>
      <c r="J12" s="412">
        <f>+'13 - Issuer Account'!H19+'13 - Issuer Account'!H20+'13 - Issuer Account'!H21</f>
        <v>460000</v>
      </c>
      <c r="K12" s="1826"/>
      <c r="L12" s="41"/>
      <c r="M12" s="37"/>
    </row>
    <row r="13" spans="1:13" ht="31.5" customHeight="1">
      <c r="A13" s="37"/>
      <c r="B13" s="37"/>
      <c r="C13" s="37"/>
      <c r="D13" s="37"/>
      <c r="E13" s="37"/>
      <c r="F13" s="2045" t="s">
        <v>997</v>
      </c>
      <c r="G13" s="2045"/>
      <c r="H13" s="2045"/>
      <c r="I13" s="2045"/>
      <c r="J13" s="412">
        <f>'13 - Issuer Account'!H22</f>
        <v>0</v>
      </c>
      <c r="K13" s="1826"/>
      <c r="L13" s="41"/>
      <c r="M13" s="37"/>
    </row>
    <row r="14" spans="1:13">
      <c r="A14" s="37"/>
      <c r="B14" s="37"/>
      <c r="C14" s="37"/>
      <c r="D14" s="37"/>
      <c r="E14" s="37"/>
      <c r="F14" s="2045" t="s">
        <v>998</v>
      </c>
      <c r="G14" s="2045"/>
      <c r="H14" s="2045"/>
      <c r="I14" s="2045"/>
      <c r="J14" s="412">
        <v>0</v>
      </c>
      <c r="K14" s="1826"/>
      <c r="L14" s="41"/>
      <c r="M14" s="37"/>
    </row>
    <row r="15" spans="1:13" ht="32.25" customHeight="1">
      <c r="A15" s="37"/>
      <c r="B15" s="37"/>
      <c r="C15" s="37"/>
      <c r="D15" s="37"/>
      <c r="E15" s="37"/>
      <c r="F15" s="2045" t="s">
        <v>999</v>
      </c>
      <c r="G15" s="2045"/>
      <c r="H15" s="2045"/>
      <c r="I15" s="2045"/>
      <c r="J15" s="1392">
        <f>'02 - Monthly Asset Follow up'!M17+'02 - Monthly Asset Follow up'!BJ17+INPUT_DATA!BN4+INPUT_DATA!BN5-'04 - Repurchased Receivables'!AJ13+'02 - Monthly Asset Follow up'!AK17+'02 - Monthly Asset Follow up'!AL17+'02 - Monthly Asset Follow up'!AM17+'02 - Monthly Asset Follow up'!CJ17+'02 - Monthly Asset Follow up'!CK17+'02 - Monthly Asset Follow up'!CL17</f>
        <v>6929596.1399999997</v>
      </c>
      <c r="K15" s="1826"/>
      <c r="L15" s="1763"/>
      <c r="M15" s="37"/>
    </row>
    <row r="16" spans="1:13" ht="36" customHeight="1">
      <c r="A16" s="37"/>
      <c r="B16" s="37"/>
      <c r="C16" s="37"/>
      <c r="D16" s="37"/>
      <c r="E16" s="37"/>
      <c r="F16" s="2045" t="s">
        <v>1000</v>
      </c>
      <c r="G16" s="2045"/>
      <c r="H16" s="2045"/>
      <c r="I16" s="2045"/>
      <c r="J16" s="1392">
        <f>'02 - Monthly Asset Follow up'!N17+'02 - Monthly Asset Follow up'!BK17+INPUT_DATA!BO4+INPUT_DATA!BO5+'02 - Monthly Asset Follow up'!AN17+'02 - Monthly Asset Follow up'!AO17</f>
        <v>1832499.59</v>
      </c>
      <c r="K16" s="1826"/>
      <c r="L16" s="41"/>
      <c r="M16" s="37"/>
    </row>
    <row r="17" spans="1:15" ht="29.25" customHeight="1">
      <c r="A17" s="37"/>
      <c r="B17" s="37"/>
      <c r="C17" s="37"/>
      <c r="D17" s="37"/>
      <c r="E17" s="37"/>
      <c r="F17" s="2045" t="s">
        <v>1001</v>
      </c>
      <c r="G17" s="2045"/>
      <c r="H17" s="2045"/>
      <c r="I17" s="2045"/>
      <c r="J17" s="412">
        <v>0</v>
      </c>
      <c r="K17" s="1826"/>
      <c r="L17" s="41"/>
      <c r="M17" s="37"/>
    </row>
    <row r="18" spans="1:15" ht="44.25" customHeight="1">
      <c r="A18" s="37"/>
      <c r="B18" s="37"/>
      <c r="C18" s="37"/>
      <c r="D18" s="37"/>
      <c r="E18" s="37"/>
      <c r="F18" s="2045" t="s">
        <v>1002</v>
      </c>
      <c r="G18" s="2045"/>
      <c r="H18" s="2045"/>
      <c r="I18" s="2045"/>
      <c r="J18" s="412">
        <v>0</v>
      </c>
      <c r="K18" s="1826"/>
      <c r="L18" s="41"/>
      <c r="M18" s="1677"/>
    </row>
    <row r="19" spans="1:15" ht="33" customHeight="1">
      <c r="A19" s="37"/>
      <c r="B19" s="37"/>
      <c r="C19" s="37"/>
      <c r="D19" s="37"/>
      <c r="E19" s="37"/>
      <c r="F19" s="2045" t="s">
        <v>1003</v>
      </c>
      <c r="G19" s="2045"/>
      <c r="H19" s="2045"/>
      <c r="I19" s="2045"/>
      <c r="J19" s="412">
        <f>'11bis - Notes Calculation'!AE18+'11bis - Notes Calculation'!AR18+'11bis - Notes Calculation'!AI18</f>
        <v>643.89000016544014</v>
      </c>
      <c r="K19" s="1826"/>
      <c r="L19" s="41"/>
      <c r="M19" s="37"/>
    </row>
    <row r="20" spans="1:15" ht="30.75" customHeight="1">
      <c r="A20" s="37"/>
      <c r="B20" s="37"/>
      <c r="C20" s="37"/>
      <c r="D20" s="37"/>
      <c r="E20" s="37"/>
      <c r="F20" s="2045" t="s">
        <v>1004</v>
      </c>
      <c r="G20" s="2045"/>
      <c r="H20" s="2045"/>
      <c r="I20" s="2045"/>
      <c r="J20" s="412">
        <v>0</v>
      </c>
      <c r="K20" s="1826"/>
      <c r="L20" s="41"/>
      <c r="M20" s="37"/>
    </row>
    <row r="21" spans="1:15">
      <c r="A21" s="37"/>
      <c r="B21" s="37"/>
      <c r="C21" s="37"/>
      <c r="D21" s="37"/>
      <c r="E21" s="37"/>
      <c r="F21" s="2046" t="s">
        <v>988</v>
      </c>
      <c r="G21" s="2046"/>
      <c r="H21" s="2046"/>
      <c r="I21" s="2046"/>
      <c r="J21" s="413">
        <f>SUM(J11:J20)</f>
        <v>112142835.83000016</v>
      </c>
      <c r="K21" s="1827"/>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14"/>
      <c r="M23" s="35"/>
    </row>
    <row r="24" spans="1:15" ht="15.75" customHeight="1">
      <c r="A24" s="35"/>
      <c r="B24" s="415"/>
      <c r="C24" s="2038" t="s">
        <v>986</v>
      </c>
      <c r="D24" s="2038"/>
      <c r="E24" s="2038"/>
      <c r="F24" s="2038"/>
      <c r="G24" s="2038"/>
      <c r="H24" s="2038"/>
      <c r="I24" s="2039"/>
      <c r="J24" s="416"/>
      <c r="K24" s="416"/>
      <c r="L24" s="416"/>
      <c r="M24" s="417"/>
    </row>
    <row r="25" spans="1:15">
      <c r="A25" s="418"/>
      <c r="B25" s="419"/>
      <c r="C25" s="2040"/>
      <c r="D25" s="2040"/>
      <c r="E25" s="2040"/>
      <c r="F25" s="2040"/>
      <c r="G25" s="2040"/>
      <c r="H25" s="2040"/>
      <c r="I25" s="2041"/>
      <c r="J25" s="420" t="s">
        <v>156</v>
      </c>
      <c r="K25" s="420"/>
      <c r="L25" s="420" t="s">
        <v>157</v>
      </c>
      <c r="M25" s="421"/>
    </row>
    <row r="26" spans="1:15">
      <c r="A26" s="35"/>
      <c r="B26" s="422"/>
      <c r="C26" s="423"/>
      <c r="D26" s="2042" t="s">
        <v>188</v>
      </c>
      <c r="E26" s="2043"/>
      <c r="F26" s="2043"/>
      <c r="G26" s="2043"/>
      <c r="H26" s="2044"/>
      <c r="I26" s="424" t="s">
        <v>189</v>
      </c>
      <c r="J26" s="424" t="s">
        <v>190</v>
      </c>
      <c r="K26" s="424" t="s">
        <v>171</v>
      </c>
      <c r="L26" s="1736">
        <v>300</v>
      </c>
      <c r="M26" s="426"/>
    </row>
    <row r="27" spans="1:15">
      <c r="A27" s="35"/>
      <c r="B27" s="422"/>
      <c r="C27" s="423"/>
      <c r="D27" s="427"/>
      <c r="E27" s="428" t="s">
        <v>159</v>
      </c>
      <c r="F27" s="1999" t="s">
        <v>988</v>
      </c>
      <c r="G27" s="2000"/>
      <c r="H27" s="2001"/>
      <c r="I27" s="429">
        <f>J21</f>
        <v>112142835.83000016</v>
      </c>
      <c r="J27" s="429">
        <f>I27</f>
        <v>112142835.83000016</v>
      </c>
      <c r="K27" s="430"/>
      <c r="L27" s="431">
        <f>L26+J27</f>
        <v>112143135.83000016</v>
      </c>
      <c r="M27" s="426"/>
      <c r="N27" s="432"/>
    </row>
    <row r="28" spans="1:15" ht="45.75" customHeight="1">
      <c r="A28" s="35"/>
      <c r="B28" s="422"/>
      <c r="C28" s="423"/>
      <c r="D28" s="433" t="s">
        <v>191</v>
      </c>
      <c r="E28" s="434" t="s">
        <v>160</v>
      </c>
      <c r="F28" s="2008" t="s">
        <v>1005</v>
      </c>
      <c r="G28" s="2009"/>
      <c r="H28" s="2010"/>
      <c r="I28" s="356">
        <f>'14 - Fees'!J61</f>
        <v>2420463.46</v>
      </c>
      <c r="J28" s="356">
        <f>IF(I28=0,0,MIN(I28,L27))</f>
        <v>2420463.46</v>
      </c>
      <c r="K28" s="356">
        <f t="shared" ref="K28:K34" si="0">MAX(I28-J28,0)</f>
        <v>0</v>
      </c>
      <c r="L28" s="431">
        <f>L27-J28</f>
        <v>109722672.37000017</v>
      </c>
      <c r="M28" s="426"/>
      <c r="O28" s="449"/>
    </row>
    <row r="29" spans="1:15" ht="20.25" customHeight="1">
      <c r="A29" s="35"/>
      <c r="B29" s="422"/>
      <c r="C29" s="423"/>
      <c r="D29" s="433" t="s">
        <v>192</v>
      </c>
      <c r="E29" s="434" t="s">
        <v>160</v>
      </c>
      <c r="F29" s="2008" t="s">
        <v>1006</v>
      </c>
      <c r="G29" s="2009"/>
      <c r="H29" s="2010"/>
      <c r="I29" s="356">
        <f>'12 - Notes Interest'!K17+'12 - Notes Interest'!T17</f>
        <v>5167484.04</v>
      </c>
      <c r="J29" s="356">
        <f t="shared" ref="J29:J34" si="1">IF(I29=0,0,MIN(I29,L28))</f>
        <v>5167484.04</v>
      </c>
      <c r="K29" s="356">
        <f t="shared" si="0"/>
        <v>0</v>
      </c>
      <c r="L29" s="431">
        <f t="shared" ref="L29:L35" si="2">L28-J29</f>
        <v>104555188.33000016</v>
      </c>
      <c r="M29" s="426"/>
    </row>
    <row r="30" spans="1:15" ht="30.75" customHeight="1">
      <c r="A30" s="35"/>
      <c r="B30" s="422"/>
      <c r="C30" s="423"/>
      <c r="D30" s="433" t="s">
        <v>193</v>
      </c>
      <c r="E30" s="434" t="s">
        <v>160</v>
      </c>
      <c r="F30" s="2008" t="s">
        <v>1007</v>
      </c>
      <c r="G30" s="2009"/>
      <c r="H30" s="2010"/>
      <c r="I30" s="356">
        <v>0</v>
      </c>
      <c r="J30" s="356">
        <f t="shared" si="1"/>
        <v>0</v>
      </c>
      <c r="K30" s="356">
        <f t="shared" si="0"/>
        <v>0</v>
      </c>
      <c r="L30" s="431">
        <f t="shared" si="2"/>
        <v>104555188.33000016</v>
      </c>
      <c r="M30" s="426"/>
    </row>
    <row r="31" spans="1:15" ht="33.75" customHeight="1">
      <c r="A31" s="35"/>
      <c r="B31" s="422"/>
      <c r="C31" s="423"/>
      <c r="D31" s="433" t="s">
        <v>194</v>
      </c>
      <c r="E31" s="434" t="s">
        <v>160</v>
      </c>
      <c r="F31" s="2008" t="s">
        <v>1008</v>
      </c>
      <c r="G31" s="2009"/>
      <c r="H31" s="2010"/>
      <c r="I31" s="356">
        <f>'11 - Notes Follow-up'!F25+'11 - Notes Follow-up'!N25</f>
        <v>91503501.24000001</v>
      </c>
      <c r="J31" s="356">
        <f t="shared" si="1"/>
        <v>91503501.24000001</v>
      </c>
      <c r="K31" s="356">
        <f>MAX(I31-J31,0)</f>
        <v>0</v>
      </c>
      <c r="L31" s="431">
        <f t="shared" si="2"/>
        <v>13051687.090000153</v>
      </c>
      <c r="M31" s="426"/>
    </row>
    <row r="32" spans="1:15" ht="54" customHeight="1">
      <c r="A32" s="35"/>
      <c r="B32" s="422"/>
      <c r="C32" s="423"/>
      <c r="D32" s="433" t="s">
        <v>195</v>
      </c>
      <c r="E32" s="434" t="s">
        <v>160</v>
      </c>
      <c r="F32" s="2008" t="s">
        <v>1009</v>
      </c>
      <c r="G32" s="2009"/>
      <c r="H32" s="2010"/>
      <c r="I32" s="356">
        <f>'12 - Notes Interest'!AC17</f>
        <v>679942.55999999994</v>
      </c>
      <c r="J32" s="356">
        <f t="shared" si="1"/>
        <v>679942.55999999994</v>
      </c>
      <c r="K32" s="356">
        <f>MAX(I32-J32,0)</f>
        <v>0</v>
      </c>
      <c r="L32" s="431">
        <f t="shared" si="2"/>
        <v>12371744.530000152</v>
      </c>
      <c r="M32" s="426"/>
    </row>
    <row r="33" spans="1:13" ht="31.5" customHeight="1">
      <c r="A33" s="35"/>
      <c r="B33" s="422"/>
      <c r="C33" s="423"/>
      <c r="D33" s="433" t="s">
        <v>196</v>
      </c>
      <c r="E33" s="434" t="s">
        <v>160</v>
      </c>
      <c r="F33" s="2008" t="s">
        <v>1010</v>
      </c>
      <c r="G33" s="2009"/>
      <c r="H33" s="2010"/>
      <c r="I33" s="356">
        <f>'11 - Notes Follow-up'!V25</f>
        <v>4815993.6000000006</v>
      </c>
      <c r="J33" s="356">
        <f t="shared" si="1"/>
        <v>4815993.6000000006</v>
      </c>
      <c r="K33" s="356">
        <f t="shared" si="0"/>
        <v>0</v>
      </c>
      <c r="L33" s="431">
        <f t="shared" si="2"/>
        <v>7555750.9300001515</v>
      </c>
      <c r="M33" s="426"/>
    </row>
    <row r="34" spans="1:13" ht="45.75" customHeight="1">
      <c r="A34" s="35"/>
      <c r="B34" s="422"/>
      <c r="C34" s="423"/>
      <c r="D34" s="433" t="s">
        <v>197</v>
      </c>
      <c r="E34" s="434" t="s">
        <v>160</v>
      </c>
      <c r="F34" s="2005" t="s">
        <v>1011</v>
      </c>
      <c r="G34" s="2006"/>
      <c r="H34" s="2007"/>
      <c r="I34" s="356">
        <f>IF('10 - Reserve calculation'!K12&lt;0,-'10 - Reserve calculation'!K12,0)</f>
        <v>460000</v>
      </c>
      <c r="J34" s="356">
        <f t="shared" si="1"/>
        <v>460000</v>
      </c>
      <c r="K34" s="356">
        <f t="shared" si="0"/>
        <v>0</v>
      </c>
      <c r="L34" s="431">
        <f>L33-J34</f>
        <v>7095750.9300001515</v>
      </c>
      <c r="M34" s="426"/>
    </row>
    <row r="35" spans="1:13" ht="20.25" customHeight="1">
      <c r="A35" s="35"/>
      <c r="B35" s="422"/>
      <c r="C35" s="423"/>
      <c r="D35" s="433" t="s">
        <v>198</v>
      </c>
      <c r="E35" s="434" t="s">
        <v>160</v>
      </c>
      <c r="F35" s="2005" t="s">
        <v>1012</v>
      </c>
      <c r="G35" s="2006"/>
      <c r="H35" s="2007"/>
      <c r="I35" s="356">
        <f>L34-'11bis - Notes Calculation'!AR17-'11bis - Notes Calculation'!AE17-'11bis - Notes Calculation'!AI17</f>
        <v>7095131.7599999327</v>
      </c>
      <c r="J35" s="356">
        <f>IF(I35=0,0,MIN(I35-300,L34-300))</f>
        <v>7094831.7599999327</v>
      </c>
      <c r="K35" s="356">
        <f>MAX(I35-J35-300,0)</f>
        <v>0</v>
      </c>
      <c r="L35" s="431">
        <f t="shared" si="2"/>
        <v>919.1700002187863</v>
      </c>
      <c r="M35" s="435"/>
    </row>
    <row r="36" spans="1:13">
      <c r="A36" s="436"/>
      <c r="B36" s="437"/>
      <c r="C36" s="438"/>
      <c r="D36" s="2035"/>
      <c r="E36" s="2036"/>
      <c r="F36" s="2036"/>
      <c r="G36" s="2036"/>
      <c r="H36" s="2036"/>
      <c r="I36" s="2036"/>
      <c r="J36" s="2037"/>
      <c r="K36" s="439"/>
      <c r="L36" s="440">
        <f>L35</f>
        <v>919.1700002187863</v>
      </c>
      <c r="M36" s="441" t="s">
        <v>1990</v>
      </c>
    </row>
    <row r="37" spans="1:13" ht="15.7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75" hidden="1" outlineLevel="1" thickBot="1">
      <c r="L42" s="432"/>
    </row>
    <row r="43" spans="1:13" ht="15.75" hidden="1" outlineLevel="1">
      <c r="B43" s="415"/>
      <c r="C43" s="2038" t="s">
        <v>987</v>
      </c>
      <c r="D43" s="2038"/>
      <c r="E43" s="2038"/>
      <c r="F43" s="2038"/>
      <c r="G43" s="2038"/>
      <c r="H43" s="2038"/>
      <c r="I43" s="2039"/>
      <c r="J43" s="416"/>
      <c r="K43" s="416"/>
      <c r="L43" s="416"/>
      <c r="M43" s="417"/>
    </row>
    <row r="44" spans="1:13" hidden="1" outlineLevel="1">
      <c r="B44" s="419"/>
      <c r="C44" s="2040"/>
      <c r="D44" s="2040"/>
      <c r="E44" s="2040"/>
      <c r="F44" s="2040"/>
      <c r="G44" s="2040"/>
      <c r="H44" s="2040"/>
      <c r="I44" s="2041"/>
      <c r="J44" s="420" t="s">
        <v>156</v>
      </c>
      <c r="K44" s="420"/>
      <c r="L44" s="420" t="s">
        <v>157</v>
      </c>
      <c r="M44" s="421"/>
    </row>
    <row r="45" spans="1:13" hidden="1" outlineLevel="1">
      <c r="B45" s="422"/>
      <c r="C45" s="423"/>
      <c r="D45" s="2042" t="s">
        <v>188</v>
      </c>
      <c r="E45" s="2043"/>
      <c r="F45" s="2043"/>
      <c r="G45" s="2043"/>
      <c r="H45" s="2044"/>
      <c r="I45" s="424" t="s">
        <v>189</v>
      </c>
      <c r="J45" s="424" t="s">
        <v>190</v>
      </c>
      <c r="K45" s="424" t="s">
        <v>171</v>
      </c>
      <c r="L45" s="425">
        <v>0</v>
      </c>
      <c r="M45" s="426"/>
    </row>
    <row r="46" spans="1:13" hidden="1" outlineLevel="1">
      <c r="B46" s="422"/>
      <c r="C46" s="423"/>
      <c r="D46" s="427"/>
      <c r="E46" s="428" t="s">
        <v>159</v>
      </c>
      <c r="F46" s="1999" t="s">
        <v>988</v>
      </c>
      <c r="G46" s="2000"/>
      <c r="H46" s="2001"/>
      <c r="I46" s="429"/>
      <c r="J46" s="429">
        <f>I46</f>
        <v>0</v>
      </c>
      <c r="K46" s="430"/>
      <c r="L46" s="431">
        <f>J46+L45</f>
        <v>0</v>
      </c>
      <c r="M46" s="426"/>
    </row>
    <row r="47" spans="1:13" ht="48" hidden="1" customHeight="1" outlineLevel="1">
      <c r="B47" s="422"/>
      <c r="C47" s="423"/>
      <c r="D47" s="433" t="s">
        <v>191</v>
      </c>
      <c r="E47" s="434" t="s">
        <v>160</v>
      </c>
      <c r="F47" s="2008" t="s">
        <v>985</v>
      </c>
      <c r="G47" s="2009"/>
      <c r="H47" s="2010"/>
      <c r="I47" s="356"/>
      <c r="J47" s="356">
        <f>IF(I47=0,0,MIN(I47,L46))</f>
        <v>0</v>
      </c>
      <c r="K47" s="356">
        <f>MAX(I47-J47,0)</f>
        <v>0</v>
      </c>
      <c r="L47" s="431">
        <f>L46-J47</f>
        <v>0</v>
      </c>
      <c r="M47" s="435"/>
    </row>
    <row r="48" spans="1:13" ht="48" hidden="1" customHeight="1" outlineLevel="1">
      <c r="B48" s="422"/>
      <c r="C48" s="423"/>
      <c r="D48" s="433" t="s">
        <v>192</v>
      </c>
      <c r="E48" s="434" t="s">
        <v>160</v>
      </c>
      <c r="F48" s="2005" t="s">
        <v>989</v>
      </c>
      <c r="G48" s="2006"/>
      <c r="H48" s="2007"/>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2008" t="s">
        <v>990</v>
      </c>
      <c r="G49" s="2009"/>
      <c r="H49" s="2010"/>
      <c r="I49" s="356"/>
      <c r="J49" s="356">
        <f t="shared" si="3"/>
        <v>0</v>
      </c>
      <c r="K49" s="356">
        <f t="shared" si="4"/>
        <v>0</v>
      </c>
      <c r="L49" s="431">
        <f t="shared" si="5"/>
        <v>0</v>
      </c>
      <c r="M49" s="435"/>
    </row>
    <row r="50" spans="2:13" ht="48" hidden="1" customHeight="1" outlineLevel="1">
      <c r="B50" s="422"/>
      <c r="C50" s="423"/>
      <c r="D50" s="433" t="s">
        <v>194</v>
      </c>
      <c r="E50" s="434" t="s">
        <v>160</v>
      </c>
      <c r="F50" s="2008" t="s">
        <v>991</v>
      </c>
      <c r="G50" s="2009"/>
      <c r="H50" s="2010"/>
      <c r="I50" s="356"/>
      <c r="J50" s="356">
        <f t="shared" si="3"/>
        <v>0</v>
      </c>
      <c r="K50" s="356">
        <f t="shared" si="4"/>
        <v>0</v>
      </c>
      <c r="L50" s="431">
        <f t="shared" si="5"/>
        <v>0</v>
      </c>
      <c r="M50" s="435"/>
    </row>
    <row r="51" spans="2:13" ht="48" hidden="1" customHeight="1" outlineLevel="1">
      <c r="B51" s="422"/>
      <c r="C51" s="423"/>
      <c r="D51" s="433" t="s">
        <v>195</v>
      </c>
      <c r="E51" s="434" t="s">
        <v>160</v>
      </c>
      <c r="F51" s="2008" t="s">
        <v>992</v>
      </c>
      <c r="G51" s="2009"/>
      <c r="H51" s="2010"/>
      <c r="I51" s="356"/>
      <c r="J51" s="356">
        <f t="shared" si="3"/>
        <v>0</v>
      </c>
      <c r="K51" s="356">
        <f t="shared" si="4"/>
        <v>0</v>
      </c>
      <c r="L51" s="431">
        <f t="shared" si="5"/>
        <v>0</v>
      </c>
      <c r="M51" s="435"/>
    </row>
    <row r="52" spans="2:13" ht="48" hidden="1" customHeight="1" outlineLevel="1">
      <c r="B52" s="422"/>
      <c r="C52" s="423"/>
      <c r="D52" s="433" t="s">
        <v>196</v>
      </c>
      <c r="E52" s="434" t="s">
        <v>160</v>
      </c>
      <c r="F52" s="2008" t="s">
        <v>993</v>
      </c>
      <c r="G52" s="2009"/>
      <c r="H52" s="2010"/>
      <c r="I52" s="356"/>
      <c r="J52" s="356">
        <f t="shared" si="3"/>
        <v>0</v>
      </c>
      <c r="K52" s="356">
        <f t="shared" si="4"/>
        <v>0</v>
      </c>
      <c r="L52" s="431">
        <f t="shared" si="5"/>
        <v>0</v>
      </c>
      <c r="M52" s="435"/>
    </row>
    <row r="53" spans="2:13" ht="48" hidden="1" customHeight="1" outlineLevel="1">
      <c r="B53" s="422"/>
      <c r="C53" s="423"/>
      <c r="D53" s="433" t="s">
        <v>197</v>
      </c>
      <c r="E53" s="434" t="s">
        <v>160</v>
      </c>
      <c r="F53" s="2008" t="s">
        <v>994</v>
      </c>
      <c r="G53" s="2009"/>
      <c r="H53" s="2010"/>
      <c r="I53" s="356"/>
      <c r="J53" s="356">
        <f t="shared" si="3"/>
        <v>0</v>
      </c>
      <c r="K53" s="356">
        <f t="shared" si="4"/>
        <v>0</v>
      </c>
      <c r="L53" s="431">
        <f t="shared" si="5"/>
        <v>0</v>
      </c>
      <c r="M53" s="435"/>
    </row>
    <row r="54" spans="2:13" hidden="1" outlineLevel="1">
      <c r="B54" s="437"/>
      <c r="C54" s="438"/>
      <c r="D54" s="2035"/>
      <c r="E54" s="2036"/>
      <c r="F54" s="2036"/>
      <c r="G54" s="2036"/>
      <c r="H54" s="2036"/>
      <c r="I54" s="2036"/>
      <c r="J54" s="2037"/>
      <c r="K54" s="439"/>
      <c r="L54" s="440">
        <f>L53</f>
        <v>0</v>
      </c>
      <c r="M54" s="441"/>
    </row>
    <row r="55" spans="2:13" ht="15.7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5"/>
  <sheetViews>
    <sheetView showGridLines="0" tabSelected="1" view="pageBreakPreview" zoomScale="85" zoomScaleNormal="100" zoomScaleSheetLayoutView="85" workbookViewId="0">
      <selection activeCell="N30" sqref="N30"/>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78" t="s">
        <v>1133</v>
      </c>
      <c r="D8" s="1878"/>
      <c r="E8" s="1878"/>
      <c r="F8" s="1878"/>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1.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45992</v>
      </c>
      <c r="G15" s="1357"/>
    </row>
    <row r="16" spans="1:8" s="1355" customFormat="1" ht="12.75" customHeight="1">
      <c r="C16" s="6" t="s">
        <v>2</v>
      </c>
      <c r="D16" s="1356"/>
      <c r="E16" s="1356"/>
      <c r="F16" s="1354">
        <f>INPUT_DATA!A4</f>
        <v>46022</v>
      </c>
      <c r="G16" s="1357"/>
    </row>
    <row r="17" spans="1:8" s="1355" customFormat="1" ht="12.75" customHeight="1">
      <c r="C17" s="6" t="s">
        <v>99</v>
      </c>
      <c r="D17" s="1356"/>
      <c r="E17" s="1356"/>
      <c r="F17" s="1354">
        <f>INPUT_DATA!A4</f>
        <v>46022</v>
      </c>
      <c r="G17" s="1357"/>
    </row>
    <row r="18" spans="1:8" s="1355" customFormat="1" ht="12.75" customHeight="1">
      <c r="C18" s="6" t="s">
        <v>3</v>
      </c>
      <c r="D18" s="1356"/>
      <c r="E18" s="1356"/>
      <c r="F18" s="1354">
        <f>_xlfn.XLOOKUP(F16,Calendar!$E$23:$E$478,Calendar!$G$23:$G$478)</f>
        <v>46037</v>
      </c>
      <c r="G18" s="1357"/>
    </row>
    <row r="19" spans="1:8" s="1355" customFormat="1" ht="12.75" customHeight="1">
      <c r="C19" s="6" t="s">
        <v>4</v>
      </c>
      <c r="D19" s="1356"/>
      <c r="E19" s="1356"/>
      <c r="F19" s="1354">
        <f>_xlfn.XLOOKUP(F16,Calendar!$E$23:$E$478,Calendar!$H$23:$H$478)</f>
        <v>46042</v>
      </c>
      <c r="G19" s="1357"/>
    </row>
    <row r="20" spans="1:8" s="1355" customFormat="1" ht="12.75" customHeight="1">
      <c r="C20" s="6" t="s">
        <v>5</v>
      </c>
      <c r="D20" s="1356"/>
      <c r="E20" s="1356"/>
      <c r="F20" s="1354">
        <f>_xlfn.XLOOKUP(F16,Calendar!$E$23:$E$478,Calendar!$J$23:$J$478)</f>
        <v>46049</v>
      </c>
      <c r="G20" s="1357"/>
    </row>
    <row r="21" spans="1:8" s="1355" customFormat="1" ht="12.75" customHeight="1">
      <c r="C21" s="1734" t="s">
        <v>1994</v>
      </c>
      <c r="D21" s="1356"/>
      <c r="E21" s="1356"/>
      <c r="F21" s="1354">
        <f>_xlfn.XLOOKUP(EOMONTH($F$15,1),Calendar!$E$23:$E$478,Calendar!$J$23:$J$478)</f>
        <v>46080</v>
      </c>
      <c r="G21" s="1357"/>
    </row>
    <row r="22" spans="1:8" s="1355" customFormat="1" ht="12.75" customHeight="1">
      <c r="C22" s="6" t="s">
        <v>1138</v>
      </c>
      <c r="D22" s="1356"/>
      <c r="E22" s="1356"/>
      <c r="F22" s="1354">
        <f>_xlfn.XLOOKUP(F15-1,Calendar!$E$23:$E$478,Calendar!$J$23:$J$478)</f>
        <v>46020</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7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15</v>
      </c>
      <c r="G29" s="11"/>
      <c r="H29" s="11"/>
    </row>
    <row r="30" spans="1:8" ht="13.5" customHeight="1">
      <c r="C30" s="6" t="s">
        <v>6</v>
      </c>
      <c r="D30" s="1356"/>
      <c r="E30" s="1356"/>
      <c r="F30" s="1393" t="s">
        <v>1072</v>
      </c>
      <c r="G30" s="11"/>
      <c r="H30" s="11"/>
    </row>
    <row r="31" spans="1:8" ht="15.75">
      <c r="C31" s="17"/>
      <c r="D31" s="17"/>
      <c r="E31" s="17"/>
      <c r="F31" s="17"/>
      <c r="G31" s="11"/>
      <c r="H31" s="11"/>
    </row>
    <row r="32" spans="1:8" ht="15.75">
      <c r="C32" s="6" t="s">
        <v>1061</v>
      </c>
      <c r="D32" s="17"/>
      <c r="E32" s="17"/>
      <c r="F32" s="1588" t="s">
        <v>1073</v>
      </c>
      <c r="G32" s="11"/>
      <c r="H32" s="11"/>
    </row>
    <row r="33" spans="3:8" ht="15.75">
      <c r="C33" s="6" t="s">
        <v>1060</v>
      </c>
      <c r="D33" s="17"/>
      <c r="E33" s="17"/>
      <c r="F33" s="1588" t="s">
        <v>1072</v>
      </c>
      <c r="G33" s="11"/>
      <c r="H33" s="11"/>
    </row>
    <row r="34" spans="3:8" ht="15.75">
      <c r="C34" s="12"/>
      <c r="D34" s="17"/>
      <c r="E34" s="17"/>
      <c r="F34" s="17"/>
      <c r="G34" s="11"/>
      <c r="H34" s="11"/>
    </row>
    <row r="35" spans="3:8" ht="15.75">
      <c r="C35" s="12"/>
      <c r="D35" s="17"/>
      <c r="E35" s="17"/>
      <c r="F35" s="17"/>
      <c r="G35" s="11"/>
      <c r="H35" s="11"/>
    </row>
    <row r="36" spans="3:8" ht="15.75" hidden="1">
      <c r="C36" s="13" t="s">
        <v>8</v>
      </c>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5.75" hidden="1">
      <c r="C42" s="17"/>
      <c r="D42" s="17"/>
      <c r="E42" s="17"/>
      <c r="F42" s="17"/>
      <c r="G42" s="11"/>
      <c r="H42" s="11"/>
    </row>
    <row r="43" spans="3:8" ht="17.25" hidden="1" customHeight="1">
      <c r="C43" s="17"/>
      <c r="D43" s="17"/>
      <c r="E43" s="17"/>
      <c r="F43" s="17"/>
      <c r="G43" s="11"/>
      <c r="H43" s="11"/>
    </row>
    <row r="44" spans="3:8" ht="15.75" hidden="1">
      <c r="C44" s="17"/>
      <c r="D44" s="17"/>
      <c r="E44" s="17"/>
      <c r="F44" s="17"/>
      <c r="G44" s="18"/>
      <c r="H44" s="11"/>
    </row>
    <row r="45" spans="3:8" ht="15.75">
      <c r="C45" s="17"/>
      <c r="D45" s="17"/>
      <c r="E45" s="17"/>
      <c r="F45" s="17"/>
      <c r="G45" s="18"/>
      <c r="H45" s="11"/>
    </row>
    <row r="46" spans="3:8" ht="24.75" customHeight="1">
      <c r="C46" s="13" t="s">
        <v>9</v>
      </c>
      <c r="D46" s="14"/>
      <c r="E46" s="15"/>
      <c r="F46" s="16"/>
      <c r="G46" s="11"/>
      <c r="H46" s="11"/>
    </row>
    <row r="47" spans="3:8" ht="15.75">
      <c r="C47" s="19" t="s">
        <v>10</v>
      </c>
      <c r="D47" s="11"/>
      <c r="E47" s="20"/>
      <c r="F47" s="21" t="s">
        <v>11</v>
      </c>
      <c r="G47" s="18"/>
      <c r="H47" s="11"/>
    </row>
    <row r="48" spans="3:8" ht="15.75">
      <c r="C48" s="22" t="s">
        <v>216</v>
      </c>
      <c r="D48" s="11"/>
      <c r="E48" s="20"/>
      <c r="F48" s="21" t="s">
        <v>12</v>
      </c>
      <c r="G48" s="18"/>
      <c r="H48" s="11"/>
    </row>
    <row r="49" spans="3:12" ht="15.75">
      <c r="C49" s="22" t="s">
        <v>373</v>
      </c>
      <c r="D49" s="11"/>
      <c r="E49" s="20"/>
      <c r="F49" s="21" t="s">
        <v>1066</v>
      </c>
      <c r="G49" s="18"/>
      <c r="H49" s="11"/>
    </row>
    <row r="50" spans="3:12" ht="15.75">
      <c r="C50" s="22" t="s">
        <v>373</v>
      </c>
      <c r="D50" s="11"/>
      <c r="E50" s="24"/>
      <c r="F50" s="25" t="s">
        <v>377</v>
      </c>
      <c r="G50" s="18"/>
      <c r="H50" s="11"/>
    </row>
    <row r="51" spans="3:12" ht="15.75">
      <c r="C51" s="23" t="s">
        <v>216</v>
      </c>
      <c r="D51" s="11"/>
      <c r="E51" s="24"/>
      <c r="F51" s="25" t="s">
        <v>1067</v>
      </c>
      <c r="G51" s="18"/>
      <c r="H51" s="11"/>
    </row>
    <row r="52" spans="3:12" ht="15.75">
      <c r="C52" s="23" t="s">
        <v>373</v>
      </c>
      <c r="D52" s="11"/>
      <c r="E52" s="24"/>
      <c r="F52" s="25" t="s">
        <v>183</v>
      </c>
      <c r="G52" s="18"/>
      <c r="H52" s="11"/>
    </row>
    <row r="53" spans="3:12" ht="15.75">
      <c r="C53" s="26" t="s">
        <v>216</v>
      </c>
      <c r="D53" s="11"/>
      <c r="E53" s="24"/>
      <c r="F53" s="25" t="s">
        <v>1063</v>
      </c>
      <c r="G53" s="18"/>
      <c r="H53" s="11"/>
    </row>
    <row r="54" spans="3:12" ht="15.75">
      <c r="C54" s="26" t="s">
        <v>216</v>
      </c>
      <c r="D54" s="11"/>
      <c r="E54" s="24"/>
      <c r="F54" s="25" t="s">
        <v>1064</v>
      </c>
      <c r="G54" s="18"/>
      <c r="H54" s="11"/>
    </row>
    <row r="55" spans="3:12" ht="15.75" customHeight="1">
      <c r="C55" s="23" t="s">
        <v>216</v>
      </c>
      <c r="D55" s="11"/>
      <c r="E55" s="27"/>
      <c r="F55" s="28" t="s">
        <v>1065</v>
      </c>
      <c r="G55" s="29"/>
      <c r="H55" s="11"/>
    </row>
    <row r="56" spans="3:12" ht="15.75">
      <c r="C56" s="29"/>
      <c r="D56" s="29"/>
      <c r="E56" s="29"/>
      <c r="F56" s="29"/>
      <c r="G56" s="29"/>
      <c r="H56" s="11"/>
    </row>
    <row r="57" spans="3:12" ht="15.75">
      <c r="C57" s="11"/>
      <c r="D57" s="11"/>
      <c r="E57" s="29"/>
      <c r="F57" s="29"/>
      <c r="G57" s="29"/>
      <c r="H57" s="11"/>
    </row>
    <row r="58" spans="3:12" ht="15.75">
      <c r="C58" s="13" t="s">
        <v>13</v>
      </c>
      <c r="E58" s="18"/>
      <c r="F58" s="18"/>
      <c r="G58" s="18"/>
      <c r="H58" s="11"/>
    </row>
    <row r="59" spans="3:12" ht="15.75">
      <c r="C59" s="30" t="s">
        <v>14</v>
      </c>
      <c r="D59" s="31" t="s">
        <v>15</v>
      </c>
      <c r="E59" s="32" t="s">
        <v>1995</v>
      </c>
      <c r="G59" s="33"/>
      <c r="H59" s="11"/>
    </row>
    <row r="60" spans="3:12" ht="17.25" customHeight="1">
      <c r="C60" s="30" t="s">
        <v>13</v>
      </c>
      <c r="D60" s="31" t="s">
        <v>15</v>
      </c>
      <c r="E60" s="1877" t="s">
        <v>1993</v>
      </c>
      <c r="F60" s="1877"/>
      <c r="G60" s="1877"/>
      <c r="H60" s="1877"/>
      <c r="I60" s="1877"/>
      <c r="J60" s="1877"/>
      <c r="K60" s="1877"/>
      <c r="L60" s="1877"/>
    </row>
    <row r="61" spans="3:12" ht="15.75" customHeight="1">
      <c r="C61" s="11"/>
      <c r="D61" s="34"/>
      <c r="E61" s="1875" t="s">
        <v>16</v>
      </c>
      <c r="F61" s="1876"/>
      <c r="G61" s="1876"/>
      <c r="H61" s="11"/>
    </row>
    <row r="62" spans="3:12" ht="15.75" customHeight="1">
      <c r="C62" s="11"/>
      <c r="D62" s="34"/>
      <c r="E62" s="1877" t="s">
        <v>2105</v>
      </c>
      <c r="F62" s="1877"/>
      <c r="G62" s="1877"/>
      <c r="H62" s="11"/>
    </row>
    <row r="63" spans="3:12" ht="15.75">
      <c r="C63" s="11"/>
      <c r="D63" s="34"/>
      <c r="E63" s="1875" t="s">
        <v>2106</v>
      </c>
      <c r="F63" s="1876"/>
      <c r="H63" s="11"/>
    </row>
    <row r="64" spans="3:12">
      <c r="E64" s="1877" t="s">
        <v>2107</v>
      </c>
      <c r="F64" s="1877" t="s">
        <v>2107</v>
      </c>
      <c r="G64" s="1877"/>
    </row>
    <row r="65" spans="5:6">
      <c r="E65" s="1875" t="s">
        <v>2108</v>
      </c>
      <c r="F65" s="1876" t="s">
        <v>2108</v>
      </c>
    </row>
  </sheetData>
  <mergeCells count="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s>
  <pageMargins left="0.7" right="0.7" top="0.75" bottom="0.75" header="0.3" footer="0.3"/>
  <pageSetup paperSize="9" scale="53"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zoomScale="85" zoomScaleNormal="85" zoomScaleSheetLayoutView="80" workbookViewId="0"/>
  </sheetViews>
  <sheetFormatPr defaultColWidth="9.140625" defaultRowHeight="12.75"/>
  <cols>
    <col min="1" max="1" width="3.42578125" style="234" customWidth="1"/>
    <col min="2" max="2" width="1.5703125" style="234" customWidth="1"/>
    <col min="3" max="3" width="18.140625" style="234" customWidth="1"/>
    <col min="4" max="4" width="41.42578125" style="234" customWidth="1"/>
    <col min="5" max="5" width="22.5703125" style="234" customWidth="1"/>
    <col min="6" max="6" width="12.140625" style="234" bestFit="1" customWidth="1"/>
    <col min="7" max="7" width="3.85546875" style="234" customWidth="1"/>
    <col min="8" max="8" width="27.5703125" style="234" customWidth="1"/>
    <col min="9" max="9" width="18.5703125" style="234" customWidth="1"/>
    <col min="10" max="10" width="22.5703125" style="234" customWidth="1"/>
    <col min="11" max="11" width="20.7109375" style="234" bestFit="1" customWidth="1"/>
    <col min="12" max="12" width="16.42578125" style="234" bestFit="1" customWidth="1"/>
    <col min="13" max="13" width="19.28515625" style="234" customWidth="1"/>
    <col min="14" max="14" width="9.140625" style="234"/>
    <col min="15" max="15" width="17.85546875" style="234" bestFit="1" customWidth="1"/>
    <col min="16" max="16" width="16.7109375" style="234" bestFit="1" customWidth="1"/>
    <col min="17" max="16384" width="9.140625" style="234"/>
  </cols>
  <sheetData>
    <row r="1" spans="1:16">
      <c r="A1" s="349"/>
    </row>
    <row r="10" spans="1:16" ht="16.5" customHeight="1">
      <c r="B10" s="1767" t="s">
        <v>642</v>
      </c>
      <c r="C10" s="1766"/>
      <c r="D10" s="450"/>
      <c r="E10" s="450"/>
      <c r="F10" s="450"/>
      <c r="G10" s="450"/>
      <c r="H10" s="450"/>
      <c r="I10" s="450"/>
      <c r="J10" s="451"/>
    </row>
    <row r="11" spans="1:16" ht="18">
      <c r="B11" s="322"/>
      <c r="C11" s="452"/>
      <c r="D11" s="322"/>
      <c r="E11" s="322"/>
      <c r="F11" s="322"/>
      <c r="G11" s="322"/>
      <c r="H11" s="322"/>
      <c r="I11" s="322"/>
      <c r="J11" s="322"/>
    </row>
    <row r="12" spans="1:16" ht="15">
      <c r="B12" s="2047" t="s">
        <v>200</v>
      </c>
      <c r="C12" s="2048"/>
      <c r="D12" s="2048"/>
      <c r="E12" s="2049"/>
      <c r="F12" s="453"/>
      <c r="G12" s="2050" t="s">
        <v>201</v>
      </c>
      <c r="H12" s="2051" t="s">
        <v>202</v>
      </c>
      <c r="I12" s="2051"/>
      <c r="J12" s="2052" t="s">
        <v>203</v>
      </c>
    </row>
    <row r="13" spans="1:16" ht="15">
      <c r="B13" s="454"/>
      <c r="C13" s="455"/>
      <c r="D13" s="456"/>
      <c r="E13" s="457"/>
      <c r="F13" s="458"/>
      <c r="G13" s="459"/>
      <c r="H13" s="460" t="s">
        <v>118</v>
      </c>
      <c r="I13" s="461"/>
      <c r="J13" s="462">
        <f>'11 - Notes Follow-up'!G25</f>
        <v>6818629275.04</v>
      </c>
      <c r="K13" s="339"/>
      <c r="L13" s="339"/>
      <c r="M13" s="339"/>
    </row>
    <row r="14" spans="1:16" ht="15">
      <c r="B14" s="463"/>
      <c r="C14" s="464" t="s">
        <v>1349</v>
      </c>
      <c r="D14" s="465"/>
      <c r="E14" s="1387">
        <f>'02 - Monthly Asset Follow up'!P17</f>
        <v>11314220550.59</v>
      </c>
      <c r="F14" s="458"/>
      <c r="G14" s="467"/>
      <c r="H14" s="468" t="s">
        <v>2053</v>
      </c>
      <c r="I14" s="469"/>
      <c r="J14" s="473">
        <f>+'11 - Notes Follow-up'!O25</f>
        <v>3929880846.4000001</v>
      </c>
      <c r="L14" s="339"/>
      <c r="M14" s="339"/>
    </row>
    <row r="15" spans="1:16" ht="15">
      <c r="B15" s="463"/>
      <c r="C15" s="1343"/>
      <c r="D15" s="471"/>
      <c r="E15" s="466"/>
      <c r="F15" s="472"/>
      <c r="G15" s="467"/>
      <c r="H15" s="468" t="s">
        <v>119</v>
      </c>
      <c r="I15" s="469"/>
      <c r="J15" s="473">
        <f>'11 - Notes Follow-up'!W25</f>
        <v>565711048.32000005</v>
      </c>
      <c r="L15" s="339"/>
      <c r="M15" s="1593"/>
      <c r="O15" s="349"/>
      <c r="P15" s="339"/>
    </row>
    <row r="16" spans="1:16" ht="15">
      <c r="B16" s="474"/>
      <c r="C16" s="1343" t="s">
        <v>420</v>
      </c>
      <c r="D16" s="465"/>
      <c r="E16" s="466">
        <f>'02 - Monthly Asset Follow up'!BL17+'02 - Monthly Asset Follow up'!CS17</f>
        <v>996042.15999999992</v>
      </c>
      <c r="F16" s="472"/>
      <c r="G16" s="467"/>
      <c r="H16" s="468"/>
      <c r="I16" s="469"/>
      <c r="J16" s="475"/>
      <c r="L16" s="339"/>
    </row>
    <row r="17" spans="2:12" ht="15">
      <c r="B17" s="474"/>
      <c r="C17" s="464"/>
      <c r="D17" s="465"/>
      <c r="E17" s="466"/>
      <c r="F17" s="472"/>
      <c r="G17" s="467"/>
      <c r="H17" s="468"/>
      <c r="I17" s="469"/>
      <c r="J17" s="473"/>
      <c r="L17" s="339"/>
    </row>
    <row r="18" spans="2:12" ht="15">
      <c r="B18" s="474"/>
      <c r="C18" s="464"/>
      <c r="D18" s="465"/>
      <c r="E18" s="466"/>
      <c r="F18" s="458"/>
      <c r="G18" s="467"/>
      <c r="H18" s="468"/>
      <c r="I18" s="469"/>
      <c r="J18" s="473"/>
    </row>
    <row r="19" spans="2:12" ht="15">
      <c r="B19" s="474"/>
      <c r="C19" s="464" t="s">
        <v>405</v>
      </c>
      <c r="D19" s="465"/>
      <c r="E19" s="466">
        <f>+'13 - Issuer Account'!I29-'13 - Issuer Account'!I12+300</f>
        <v>919.17000022530556</v>
      </c>
      <c r="F19" s="458"/>
      <c r="G19" s="1335"/>
      <c r="H19" s="468"/>
      <c r="I19" s="1336"/>
      <c r="J19" s="473"/>
    </row>
    <row r="20" spans="2:12" ht="15">
      <c r="B20" s="474"/>
      <c r="C20" s="476"/>
      <c r="D20" s="465"/>
      <c r="E20" s="466"/>
      <c r="F20" s="458"/>
      <c r="G20" s="477"/>
      <c r="H20" s="468" t="s">
        <v>130</v>
      </c>
      <c r="I20" s="478"/>
      <c r="J20" s="473">
        <f>'11 - Notes Follow-up'!AD25</f>
        <v>300</v>
      </c>
    </row>
    <row r="21" spans="2:12" ht="15">
      <c r="B21" s="479"/>
      <c r="C21" s="464" t="s">
        <v>1014</v>
      </c>
      <c r="D21" s="480"/>
      <c r="E21" s="466">
        <f>'13 - Issuer Account'!I41</f>
        <v>53750000</v>
      </c>
      <c r="F21" s="481"/>
      <c r="G21" s="477"/>
      <c r="H21" s="468"/>
      <c r="I21" s="478"/>
      <c r="J21" s="473"/>
    </row>
    <row r="22" spans="2:12" ht="15">
      <c r="B22" s="479"/>
      <c r="C22" s="464"/>
      <c r="D22" s="480"/>
      <c r="E22" s="466"/>
      <c r="F22" s="481"/>
      <c r="G22" s="477"/>
      <c r="H22" s="468" t="s">
        <v>1014</v>
      </c>
      <c r="I22" s="478"/>
      <c r="J22" s="473">
        <f>'13 - Issuer Account'!I41</f>
        <v>53750000</v>
      </c>
    </row>
    <row r="23" spans="2:12" ht="15">
      <c r="B23" s="479"/>
      <c r="C23" s="464" t="s">
        <v>1013</v>
      </c>
      <c r="D23" s="480"/>
      <c r="E23" s="466">
        <f>'13 - Issuer Account'!I52</f>
        <v>0</v>
      </c>
      <c r="F23" s="481"/>
      <c r="G23" s="477"/>
      <c r="I23" s="470"/>
      <c r="J23" s="473"/>
    </row>
    <row r="24" spans="2:12" ht="15">
      <c r="B24" s="479"/>
      <c r="C24" s="464"/>
      <c r="D24" s="480"/>
      <c r="E24" s="466"/>
      <c r="F24" s="481"/>
      <c r="G24" s="477"/>
      <c r="H24" s="468" t="s">
        <v>1013</v>
      </c>
      <c r="I24" s="478"/>
      <c r="J24" s="473">
        <f>'13 - Issuer Account'!I52</f>
        <v>0</v>
      </c>
    </row>
    <row r="25" spans="2:12" ht="15.75">
      <c r="B25" s="1733"/>
      <c r="C25" s="482"/>
      <c r="D25" s="483"/>
      <c r="E25" s="484"/>
      <c r="F25" s="485"/>
      <c r="G25" s="486"/>
      <c r="H25" s="487"/>
      <c r="I25" s="488"/>
      <c r="J25" s="489"/>
    </row>
    <row r="26" spans="2:12" ht="15.75">
      <c r="B26" s="492"/>
      <c r="C26" s="490" t="s">
        <v>96</v>
      </c>
      <c r="D26" s="490"/>
      <c r="E26" s="491">
        <f>E14+E19+E21+E23</f>
        <v>11367971469.76</v>
      </c>
      <c r="F26" s="322"/>
      <c r="G26" s="492"/>
      <c r="H26" s="493" t="s">
        <v>96</v>
      </c>
      <c r="I26" s="493"/>
      <c r="J26" s="494">
        <f>J13+J15+J20+J24+J22+J14+J17</f>
        <v>11367971469.76</v>
      </c>
      <c r="K26" s="339">
        <f>J26-E26</f>
        <v>0</v>
      </c>
    </row>
    <row r="27" spans="2:12">
      <c r="H27" s="339"/>
      <c r="I27" s="339"/>
      <c r="J27" s="339"/>
    </row>
    <row r="28" spans="2:12">
      <c r="H28" s="339"/>
      <c r="J28" s="339"/>
    </row>
    <row r="29" spans="2:12">
      <c r="F29" s="339"/>
      <c r="H29" s="339"/>
    </row>
    <row r="30" spans="2:12">
      <c r="E30" s="339"/>
    </row>
    <row r="33" spans="5:10">
      <c r="E33" s="349"/>
    </row>
    <row r="34" spans="5:10">
      <c r="J34" s="1847"/>
    </row>
    <row r="35" spans="5:10">
      <c r="J35" s="184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heetViews>
  <sheetFormatPr defaultColWidth="11.42578125" defaultRowHeight="12.75"/>
  <cols>
    <col min="1" max="1" width="3.5703125" style="1215" customWidth="1"/>
    <col min="2" max="2" width="2.42578125" style="1215" customWidth="1"/>
    <col min="3" max="3" width="99.85546875" style="1215" bestFit="1" customWidth="1"/>
    <col min="4" max="4" width="30.42578125" style="1215" customWidth="1"/>
    <col min="5" max="5" width="1.42578125" style="1215" customWidth="1"/>
    <col min="6" max="6" width="29.42578125" style="1215" customWidth="1"/>
    <col min="7" max="7" width="12.42578125" style="1215" bestFit="1" customWidth="1"/>
    <col min="8" max="8" width="4.5703125" style="1215" customWidth="1"/>
    <col min="9" max="9" width="12.42578125" style="1215" bestFit="1" customWidth="1"/>
    <col min="10" max="10" width="13.42578125" style="1215" customWidth="1"/>
    <col min="11" max="11" width="7.42578125" style="1215" bestFit="1" customWidth="1"/>
    <col min="12" max="12" width="19.85546875" style="1215" bestFit="1" customWidth="1"/>
    <col min="13" max="247" width="11.42578125" style="1215"/>
    <col min="248" max="248" width="2.42578125" style="1215" customWidth="1"/>
    <col min="249" max="249" width="49" style="1215" customWidth="1"/>
    <col min="250" max="250" width="16.85546875" style="1215" customWidth="1"/>
    <col min="251" max="251" width="1.140625" style="1215" customWidth="1"/>
    <col min="252" max="252" width="20.5703125" style="1215" customWidth="1"/>
    <col min="253" max="253" width="17.5703125" style="1215" customWidth="1"/>
    <col min="254" max="254" width="18.140625" style="1215" customWidth="1"/>
    <col min="255" max="255" width="17.140625" style="1215" customWidth="1"/>
    <col min="256" max="256" width="22.42578125" style="1215" bestFit="1" customWidth="1"/>
    <col min="257" max="257" width="22.140625" style="1215" customWidth="1"/>
    <col min="258" max="258" width="17.85546875" style="1215" customWidth="1"/>
    <col min="259" max="259" width="22.42578125" style="1215" customWidth="1"/>
    <col min="260" max="260" width="10.140625" style="1215" bestFit="1" customWidth="1"/>
    <col min="261" max="261" width="13.42578125" style="1215" customWidth="1"/>
    <col min="262" max="262" width="7.42578125" style="1215" bestFit="1" customWidth="1"/>
    <col min="263" max="263" width="15.42578125" style="1215" bestFit="1" customWidth="1"/>
    <col min="264" max="264" width="7.42578125" style="1215" bestFit="1" customWidth="1"/>
    <col min="265" max="265" width="19.5703125" style="1215" bestFit="1" customWidth="1"/>
    <col min="266" max="266" width="7.42578125" style="1215" bestFit="1" customWidth="1"/>
    <col min="267" max="267" width="26.85546875" style="1215" bestFit="1" customWidth="1"/>
    <col min="268" max="268" width="19.85546875" style="1215" bestFit="1" customWidth="1"/>
    <col min="269" max="503" width="11.42578125" style="1215"/>
    <col min="504" max="504" width="2.42578125" style="1215" customWidth="1"/>
    <col min="505" max="505" width="49" style="1215" customWidth="1"/>
    <col min="506" max="506" width="16.85546875" style="1215" customWidth="1"/>
    <col min="507" max="507" width="1.140625" style="1215" customWidth="1"/>
    <col min="508" max="508" width="20.5703125" style="1215" customWidth="1"/>
    <col min="509" max="509" width="17.5703125" style="1215" customWidth="1"/>
    <col min="510" max="510" width="18.140625" style="1215" customWidth="1"/>
    <col min="511" max="511" width="17.140625" style="1215" customWidth="1"/>
    <col min="512" max="512" width="22.42578125" style="1215" bestFit="1" customWidth="1"/>
    <col min="513" max="513" width="22.140625" style="1215" customWidth="1"/>
    <col min="514" max="514" width="17.85546875" style="1215" customWidth="1"/>
    <col min="515" max="515" width="22.42578125" style="1215" customWidth="1"/>
    <col min="516" max="516" width="10.140625" style="1215" bestFit="1" customWidth="1"/>
    <col min="517" max="517" width="13.42578125" style="1215" customWidth="1"/>
    <col min="518" max="518" width="7.42578125" style="1215" bestFit="1" customWidth="1"/>
    <col min="519" max="519" width="15.42578125" style="1215" bestFit="1" customWidth="1"/>
    <col min="520" max="520" width="7.42578125" style="1215" bestFit="1" customWidth="1"/>
    <col min="521" max="521" width="19.5703125" style="1215" bestFit="1" customWidth="1"/>
    <col min="522" max="522" width="7.42578125" style="1215" bestFit="1" customWidth="1"/>
    <col min="523" max="523" width="26.85546875" style="1215" bestFit="1" customWidth="1"/>
    <col min="524" max="524" width="19.85546875" style="1215" bestFit="1" customWidth="1"/>
    <col min="525" max="759" width="11.42578125" style="1215"/>
    <col min="760" max="760" width="2.42578125" style="1215" customWidth="1"/>
    <col min="761" max="761" width="49" style="1215" customWidth="1"/>
    <col min="762" max="762" width="16.85546875" style="1215" customWidth="1"/>
    <col min="763" max="763" width="1.140625" style="1215" customWidth="1"/>
    <col min="764" max="764" width="20.5703125" style="1215" customWidth="1"/>
    <col min="765" max="765" width="17.5703125" style="1215" customWidth="1"/>
    <col min="766" max="766" width="18.140625" style="1215" customWidth="1"/>
    <col min="767" max="767" width="17.140625" style="1215" customWidth="1"/>
    <col min="768" max="768" width="22.42578125" style="1215" bestFit="1" customWidth="1"/>
    <col min="769" max="769" width="22.140625" style="1215" customWidth="1"/>
    <col min="770" max="770" width="17.85546875" style="1215" customWidth="1"/>
    <col min="771" max="771" width="22.42578125" style="1215" customWidth="1"/>
    <col min="772" max="772" width="10.140625" style="1215" bestFit="1" customWidth="1"/>
    <col min="773" max="773" width="13.42578125" style="1215" customWidth="1"/>
    <col min="774" max="774" width="7.42578125" style="1215" bestFit="1" customWidth="1"/>
    <col min="775" max="775" width="15.42578125" style="1215" bestFit="1" customWidth="1"/>
    <col min="776" max="776" width="7.42578125" style="1215" bestFit="1" customWidth="1"/>
    <col min="777" max="777" width="19.5703125" style="1215" bestFit="1" customWidth="1"/>
    <col min="778" max="778" width="7.42578125" style="1215" bestFit="1" customWidth="1"/>
    <col min="779" max="779" width="26.85546875" style="1215" bestFit="1" customWidth="1"/>
    <col min="780" max="780" width="19.85546875" style="1215" bestFit="1" customWidth="1"/>
    <col min="781" max="1015" width="11.42578125" style="1215"/>
    <col min="1016" max="1016" width="2.42578125" style="1215" customWidth="1"/>
    <col min="1017" max="1017" width="49" style="1215" customWidth="1"/>
    <col min="1018" max="1018" width="16.85546875" style="1215" customWidth="1"/>
    <col min="1019" max="1019" width="1.140625" style="1215" customWidth="1"/>
    <col min="1020" max="1020" width="20.5703125" style="1215" customWidth="1"/>
    <col min="1021" max="1021" width="17.5703125" style="1215" customWidth="1"/>
    <col min="1022" max="1022" width="18.140625" style="1215" customWidth="1"/>
    <col min="1023" max="1023" width="17.140625" style="1215" customWidth="1"/>
    <col min="1024" max="1024" width="22.42578125" style="1215" bestFit="1" customWidth="1"/>
    <col min="1025" max="1025" width="22.140625" style="1215" customWidth="1"/>
    <col min="1026" max="1026" width="17.85546875" style="1215" customWidth="1"/>
    <col min="1027" max="1027" width="22.42578125" style="1215" customWidth="1"/>
    <col min="1028" max="1028" width="10.140625" style="1215" bestFit="1" customWidth="1"/>
    <col min="1029" max="1029" width="13.42578125" style="1215" customWidth="1"/>
    <col min="1030" max="1030" width="7.42578125" style="1215" bestFit="1" customWidth="1"/>
    <col min="1031" max="1031" width="15.42578125" style="1215" bestFit="1" customWidth="1"/>
    <col min="1032" max="1032" width="7.42578125" style="1215" bestFit="1" customWidth="1"/>
    <col min="1033" max="1033" width="19.5703125" style="1215" bestFit="1" customWidth="1"/>
    <col min="1034" max="1034" width="7.42578125" style="1215" bestFit="1" customWidth="1"/>
    <col min="1035" max="1035" width="26.85546875" style="1215" bestFit="1" customWidth="1"/>
    <col min="1036" max="1036" width="19.85546875" style="1215" bestFit="1" customWidth="1"/>
    <col min="1037" max="1271" width="11.42578125" style="1215"/>
    <col min="1272" max="1272" width="2.42578125" style="1215" customWidth="1"/>
    <col min="1273" max="1273" width="49" style="1215" customWidth="1"/>
    <col min="1274" max="1274" width="16.85546875" style="1215" customWidth="1"/>
    <col min="1275" max="1275" width="1.140625" style="1215" customWidth="1"/>
    <col min="1276" max="1276" width="20.5703125" style="1215" customWidth="1"/>
    <col min="1277" max="1277" width="17.5703125" style="1215" customWidth="1"/>
    <col min="1278" max="1278" width="18.140625" style="1215" customWidth="1"/>
    <col min="1279" max="1279" width="17.140625" style="1215" customWidth="1"/>
    <col min="1280" max="1280" width="22.42578125" style="1215" bestFit="1" customWidth="1"/>
    <col min="1281" max="1281" width="22.140625" style="1215" customWidth="1"/>
    <col min="1282" max="1282" width="17.85546875" style="1215" customWidth="1"/>
    <col min="1283" max="1283" width="22.42578125" style="1215" customWidth="1"/>
    <col min="1284" max="1284" width="10.140625" style="1215" bestFit="1" customWidth="1"/>
    <col min="1285" max="1285" width="13.42578125" style="1215" customWidth="1"/>
    <col min="1286" max="1286" width="7.42578125" style="1215" bestFit="1" customWidth="1"/>
    <col min="1287" max="1287" width="15.42578125" style="1215" bestFit="1" customWidth="1"/>
    <col min="1288" max="1288" width="7.42578125" style="1215" bestFit="1" customWidth="1"/>
    <col min="1289" max="1289" width="19.5703125" style="1215" bestFit="1" customWidth="1"/>
    <col min="1290" max="1290" width="7.42578125" style="1215" bestFit="1" customWidth="1"/>
    <col min="1291" max="1291" width="26.85546875" style="1215" bestFit="1" customWidth="1"/>
    <col min="1292" max="1292" width="19.85546875" style="1215" bestFit="1" customWidth="1"/>
    <col min="1293" max="1527" width="11.42578125" style="1215"/>
    <col min="1528" max="1528" width="2.42578125" style="1215" customWidth="1"/>
    <col min="1529" max="1529" width="49" style="1215" customWidth="1"/>
    <col min="1530" max="1530" width="16.85546875" style="1215" customWidth="1"/>
    <col min="1531" max="1531" width="1.140625" style="1215" customWidth="1"/>
    <col min="1532" max="1532" width="20.5703125" style="1215" customWidth="1"/>
    <col min="1533" max="1533" width="17.5703125" style="1215" customWidth="1"/>
    <col min="1534" max="1534" width="18.140625" style="1215" customWidth="1"/>
    <col min="1535" max="1535" width="17.140625" style="1215" customWidth="1"/>
    <col min="1536" max="1536" width="22.42578125" style="1215" bestFit="1" customWidth="1"/>
    <col min="1537" max="1537" width="22.140625" style="1215" customWidth="1"/>
    <col min="1538" max="1538" width="17.85546875" style="1215" customWidth="1"/>
    <col min="1539" max="1539" width="22.42578125" style="1215" customWidth="1"/>
    <col min="1540" max="1540" width="10.140625" style="1215" bestFit="1" customWidth="1"/>
    <col min="1541" max="1541" width="13.42578125" style="1215" customWidth="1"/>
    <col min="1542" max="1542" width="7.42578125" style="1215" bestFit="1" customWidth="1"/>
    <col min="1543" max="1543" width="15.42578125" style="1215" bestFit="1" customWidth="1"/>
    <col min="1544" max="1544" width="7.42578125" style="1215" bestFit="1" customWidth="1"/>
    <col min="1545" max="1545" width="19.5703125" style="1215" bestFit="1" customWidth="1"/>
    <col min="1546" max="1546" width="7.42578125" style="1215" bestFit="1" customWidth="1"/>
    <col min="1547" max="1547" width="26.85546875" style="1215" bestFit="1" customWidth="1"/>
    <col min="1548" max="1548" width="19.85546875" style="1215" bestFit="1" customWidth="1"/>
    <col min="1549" max="1783" width="11.42578125" style="1215"/>
    <col min="1784" max="1784" width="2.42578125" style="1215" customWidth="1"/>
    <col min="1785" max="1785" width="49" style="1215" customWidth="1"/>
    <col min="1786" max="1786" width="16.85546875" style="1215" customWidth="1"/>
    <col min="1787" max="1787" width="1.140625" style="1215" customWidth="1"/>
    <col min="1788" max="1788" width="20.5703125" style="1215" customWidth="1"/>
    <col min="1789" max="1789" width="17.5703125" style="1215" customWidth="1"/>
    <col min="1790" max="1790" width="18.140625" style="1215" customWidth="1"/>
    <col min="1791" max="1791" width="17.140625" style="1215" customWidth="1"/>
    <col min="1792" max="1792" width="22.42578125" style="1215" bestFit="1" customWidth="1"/>
    <col min="1793" max="1793" width="22.140625" style="1215" customWidth="1"/>
    <col min="1794" max="1794" width="17.85546875" style="1215" customWidth="1"/>
    <col min="1795" max="1795" width="22.42578125" style="1215" customWidth="1"/>
    <col min="1796" max="1796" width="10.140625" style="1215" bestFit="1" customWidth="1"/>
    <col min="1797" max="1797" width="13.42578125" style="1215" customWidth="1"/>
    <col min="1798" max="1798" width="7.42578125" style="1215" bestFit="1" customWidth="1"/>
    <col min="1799" max="1799" width="15.42578125" style="1215" bestFit="1" customWidth="1"/>
    <col min="1800" max="1800" width="7.42578125" style="1215" bestFit="1" customWidth="1"/>
    <col min="1801" max="1801" width="19.5703125" style="1215" bestFit="1" customWidth="1"/>
    <col min="1802" max="1802" width="7.42578125" style="1215" bestFit="1" customWidth="1"/>
    <col min="1803" max="1803" width="26.85546875" style="1215" bestFit="1" customWidth="1"/>
    <col min="1804" max="1804" width="19.85546875" style="1215" bestFit="1" customWidth="1"/>
    <col min="1805" max="2039" width="11.42578125" style="1215"/>
    <col min="2040" max="2040" width="2.42578125" style="1215" customWidth="1"/>
    <col min="2041" max="2041" width="49" style="1215" customWidth="1"/>
    <col min="2042" max="2042" width="16.85546875" style="1215" customWidth="1"/>
    <col min="2043" max="2043" width="1.140625" style="1215" customWidth="1"/>
    <col min="2044" max="2044" width="20.5703125" style="1215" customWidth="1"/>
    <col min="2045" max="2045" width="17.5703125" style="1215" customWidth="1"/>
    <col min="2046" max="2046" width="18.140625" style="1215" customWidth="1"/>
    <col min="2047" max="2047" width="17.140625" style="1215" customWidth="1"/>
    <col min="2048" max="2048" width="22.42578125" style="1215" bestFit="1" customWidth="1"/>
    <col min="2049" max="2049" width="22.140625" style="1215" customWidth="1"/>
    <col min="2050" max="2050" width="17.85546875" style="1215" customWidth="1"/>
    <col min="2051" max="2051" width="22.42578125" style="1215" customWidth="1"/>
    <col min="2052" max="2052" width="10.140625" style="1215" bestFit="1" customWidth="1"/>
    <col min="2053" max="2053" width="13.42578125" style="1215" customWidth="1"/>
    <col min="2054" max="2054" width="7.42578125" style="1215" bestFit="1" customWidth="1"/>
    <col min="2055" max="2055" width="15.42578125" style="1215" bestFit="1" customWidth="1"/>
    <col min="2056" max="2056" width="7.42578125" style="1215" bestFit="1" customWidth="1"/>
    <col min="2057" max="2057" width="19.5703125" style="1215" bestFit="1" customWidth="1"/>
    <col min="2058" max="2058" width="7.42578125" style="1215" bestFit="1" customWidth="1"/>
    <col min="2059" max="2059" width="26.85546875" style="1215" bestFit="1" customWidth="1"/>
    <col min="2060" max="2060" width="19.85546875" style="1215" bestFit="1" customWidth="1"/>
    <col min="2061" max="2295" width="11.42578125" style="1215"/>
    <col min="2296" max="2296" width="2.42578125" style="1215" customWidth="1"/>
    <col min="2297" max="2297" width="49" style="1215" customWidth="1"/>
    <col min="2298" max="2298" width="16.85546875" style="1215" customWidth="1"/>
    <col min="2299" max="2299" width="1.140625" style="1215" customWidth="1"/>
    <col min="2300" max="2300" width="20.5703125" style="1215" customWidth="1"/>
    <col min="2301" max="2301" width="17.5703125" style="1215" customWidth="1"/>
    <col min="2302" max="2302" width="18.140625" style="1215" customWidth="1"/>
    <col min="2303" max="2303" width="17.140625" style="1215" customWidth="1"/>
    <col min="2304" max="2304" width="22.42578125" style="1215" bestFit="1" customWidth="1"/>
    <col min="2305" max="2305" width="22.140625" style="1215" customWidth="1"/>
    <col min="2306" max="2306" width="17.85546875" style="1215" customWidth="1"/>
    <col min="2307" max="2307" width="22.42578125" style="1215" customWidth="1"/>
    <col min="2308" max="2308" width="10.140625" style="1215" bestFit="1" customWidth="1"/>
    <col min="2309" max="2309" width="13.42578125" style="1215" customWidth="1"/>
    <col min="2310" max="2310" width="7.42578125" style="1215" bestFit="1" customWidth="1"/>
    <col min="2311" max="2311" width="15.42578125" style="1215" bestFit="1" customWidth="1"/>
    <col min="2312" max="2312" width="7.42578125" style="1215" bestFit="1" customWidth="1"/>
    <col min="2313" max="2313" width="19.5703125" style="1215" bestFit="1" customWidth="1"/>
    <col min="2314" max="2314" width="7.42578125" style="1215" bestFit="1" customWidth="1"/>
    <col min="2315" max="2315" width="26.85546875" style="1215" bestFit="1" customWidth="1"/>
    <col min="2316" max="2316" width="19.85546875" style="1215" bestFit="1" customWidth="1"/>
    <col min="2317" max="2551" width="11.42578125" style="1215"/>
    <col min="2552" max="2552" width="2.42578125" style="1215" customWidth="1"/>
    <col min="2553" max="2553" width="49" style="1215" customWidth="1"/>
    <col min="2554" max="2554" width="16.85546875" style="1215" customWidth="1"/>
    <col min="2555" max="2555" width="1.140625" style="1215" customWidth="1"/>
    <col min="2556" max="2556" width="20.5703125" style="1215" customWidth="1"/>
    <col min="2557" max="2557" width="17.5703125" style="1215" customWidth="1"/>
    <col min="2558" max="2558" width="18.140625" style="1215" customWidth="1"/>
    <col min="2559" max="2559" width="17.140625" style="1215" customWidth="1"/>
    <col min="2560" max="2560" width="22.42578125" style="1215" bestFit="1" customWidth="1"/>
    <col min="2561" max="2561" width="22.140625" style="1215" customWidth="1"/>
    <col min="2562" max="2562" width="17.85546875" style="1215" customWidth="1"/>
    <col min="2563" max="2563" width="22.42578125" style="1215" customWidth="1"/>
    <col min="2564" max="2564" width="10.140625" style="1215" bestFit="1" customWidth="1"/>
    <col min="2565" max="2565" width="13.42578125" style="1215" customWidth="1"/>
    <col min="2566" max="2566" width="7.42578125" style="1215" bestFit="1" customWidth="1"/>
    <col min="2567" max="2567" width="15.42578125" style="1215" bestFit="1" customWidth="1"/>
    <col min="2568" max="2568" width="7.42578125" style="1215" bestFit="1" customWidth="1"/>
    <col min="2569" max="2569" width="19.5703125" style="1215" bestFit="1" customWidth="1"/>
    <col min="2570" max="2570" width="7.42578125" style="1215" bestFit="1" customWidth="1"/>
    <col min="2571" max="2571" width="26.85546875" style="1215" bestFit="1" customWidth="1"/>
    <col min="2572" max="2572" width="19.85546875" style="1215" bestFit="1" customWidth="1"/>
    <col min="2573" max="2807" width="11.42578125" style="1215"/>
    <col min="2808" max="2808" width="2.42578125" style="1215" customWidth="1"/>
    <col min="2809" max="2809" width="49" style="1215" customWidth="1"/>
    <col min="2810" max="2810" width="16.85546875" style="1215" customWidth="1"/>
    <col min="2811" max="2811" width="1.140625" style="1215" customWidth="1"/>
    <col min="2812" max="2812" width="20.5703125" style="1215" customWidth="1"/>
    <col min="2813" max="2813" width="17.5703125" style="1215" customWidth="1"/>
    <col min="2814" max="2814" width="18.140625" style="1215" customWidth="1"/>
    <col min="2815" max="2815" width="17.140625" style="1215" customWidth="1"/>
    <col min="2816" max="2816" width="22.42578125" style="1215" bestFit="1" customWidth="1"/>
    <col min="2817" max="2817" width="22.140625" style="1215" customWidth="1"/>
    <col min="2818" max="2818" width="17.85546875" style="1215" customWidth="1"/>
    <col min="2819" max="2819" width="22.42578125" style="1215" customWidth="1"/>
    <col min="2820" max="2820" width="10.140625" style="1215" bestFit="1" customWidth="1"/>
    <col min="2821" max="2821" width="13.42578125" style="1215" customWidth="1"/>
    <col min="2822" max="2822" width="7.42578125" style="1215" bestFit="1" customWidth="1"/>
    <col min="2823" max="2823" width="15.42578125" style="1215" bestFit="1" customWidth="1"/>
    <col min="2824" max="2824" width="7.42578125" style="1215" bestFit="1" customWidth="1"/>
    <col min="2825" max="2825" width="19.5703125" style="1215" bestFit="1" customWidth="1"/>
    <col min="2826" max="2826" width="7.42578125" style="1215" bestFit="1" customWidth="1"/>
    <col min="2827" max="2827" width="26.85546875" style="1215" bestFit="1" customWidth="1"/>
    <col min="2828" max="2828" width="19.85546875" style="1215" bestFit="1" customWidth="1"/>
    <col min="2829" max="3063" width="11.42578125" style="1215"/>
    <col min="3064" max="3064" width="2.42578125" style="1215" customWidth="1"/>
    <col min="3065" max="3065" width="49" style="1215" customWidth="1"/>
    <col min="3066" max="3066" width="16.85546875" style="1215" customWidth="1"/>
    <col min="3067" max="3067" width="1.140625" style="1215" customWidth="1"/>
    <col min="3068" max="3068" width="20.5703125" style="1215" customWidth="1"/>
    <col min="3069" max="3069" width="17.5703125" style="1215" customWidth="1"/>
    <col min="3070" max="3070" width="18.140625" style="1215" customWidth="1"/>
    <col min="3071" max="3071" width="17.140625" style="1215" customWidth="1"/>
    <col min="3072" max="3072" width="22.42578125" style="1215" bestFit="1" customWidth="1"/>
    <col min="3073" max="3073" width="22.140625" style="1215" customWidth="1"/>
    <col min="3074" max="3074" width="17.85546875" style="1215" customWidth="1"/>
    <col min="3075" max="3075" width="22.42578125" style="1215" customWidth="1"/>
    <col min="3076" max="3076" width="10.140625" style="1215" bestFit="1" customWidth="1"/>
    <col min="3077" max="3077" width="13.42578125" style="1215" customWidth="1"/>
    <col min="3078" max="3078" width="7.42578125" style="1215" bestFit="1" customWidth="1"/>
    <col min="3079" max="3079" width="15.42578125" style="1215" bestFit="1" customWidth="1"/>
    <col min="3080" max="3080" width="7.42578125" style="1215" bestFit="1" customWidth="1"/>
    <col min="3081" max="3081" width="19.5703125" style="1215" bestFit="1" customWidth="1"/>
    <col min="3082" max="3082" width="7.42578125" style="1215" bestFit="1" customWidth="1"/>
    <col min="3083" max="3083" width="26.85546875" style="1215" bestFit="1" customWidth="1"/>
    <col min="3084" max="3084" width="19.85546875" style="1215" bestFit="1" customWidth="1"/>
    <col min="3085" max="3319" width="11.42578125" style="1215"/>
    <col min="3320" max="3320" width="2.42578125" style="1215" customWidth="1"/>
    <col min="3321" max="3321" width="49" style="1215" customWidth="1"/>
    <col min="3322" max="3322" width="16.85546875" style="1215" customWidth="1"/>
    <col min="3323" max="3323" width="1.140625" style="1215" customWidth="1"/>
    <col min="3324" max="3324" width="20.5703125" style="1215" customWidth="1"/>
    <col min="3325" max="3325" width="17.5703125" style="1215" customWidth="1"/>
    <col min="3326" max="3326" width="18.140625" style="1215" customWidth="1"/>
    <col min="3327" max="3327" width="17.140625" style="1215" customWidth="1"/>
    <col min="3328" max="3328" width="22.42578125" style="1215" bestFit="1" customWidth="1"/>
    <col min="3329" max="3329" width="22.140625" style="1215" customWidth="1"/>
    <col min="3330" max="3330" width="17.85546875" style="1215" customWidth="1"/>
    <col min="3331" max="3331" width="22.42578125" style="1215" customWidth="1"/>
    <col min="3332" max="3332" width="10.140625" style="1215" bestFit="1" customWidth="1"/>
    <col min="3333" max="3333" width="13.42578125" style="1215" customWidth="1"/>
    <col min="3334" max="3334" width="7.42578125" style="1215" bestFit="1" customWidth="1"/>
    <col min="3335" max="3335" width="15.42578125" style="1215" bestFit="1" customWidth="1"/>
    <col min="3336" max="3336" width="7.42578125" style="1215" bestFit="1" customWidth="1"/>
    <col min="3337" max="3337" width="19.5703125" style="1215" bestFit="1" customWidth="1"/>
    <col min="3338" max="3338" width="7.42578125" style="1215" bestFit="1" customWidth="1"/>
    <col min="3339" max="3339" width="26.85546875" style="1215" bestFit="1" customWidth="1"/>
    <col min="3340" max="3340" width="19.85546875" style="1215" bestFit="1" customWidth="1"/>
    <col min="3341" max="3575" width="11.42578125" style="1215"/>
    <col min="3576" max="3576" width="2.42578125" style="1215" customWidth="1"/>
    <col min="3577" max="3577" width="49" style="1215" customWidth="1"/>
    <col min="3578" max="3578" width="16.85546875" style="1215" customWidth="1"/>
    <col min="3579" max="3579" width="1.140625" style="1215" customWidth="1"/>
    <col min="3580" max="3580" width="20.5703125" style="1215" customWidth="1"/>
    <col min="3581" max="3581" width="17.5703125" style="1215" customWidth="1"/>
    <col min="3582" max="3582" width="18.140625" style="1215" customWidth="1"/>
    <col min="3583" max="3583" width="17.140625" style="1215" customWidth="1"/>
    <col min="3584" max="3584" width="22.42578125" style="1215" bestFit="1" customWidth="1"/>
    <col min="3585" max="3585" width="22.140625" style="1215" customWidth="1"/>
    <col min="3586" max="3586" width="17.85546875" style="1215" customWidth="1"/>
    <col min="3587" max="3587" width="22.42578125" style="1215" customWidth="1"/>
    <col min="3588" max="3588" width="10.140625" style="1215" bestFit="1" customWidth="1"/>
    <col min="3589" max="3589" width="13.42578125" style="1215" customWidth="1"/>
    <col min="3590" max="3590" width="7.42578125" style="1215" bestFit="1" customWidth="1"/>
    <col min="3591" max="3591" width="15.42578125" style="1215" bestFit="1" customWidth="1"/>
    <col min="3592" max="3592" width="7.42578125" style="1215" bestFit="1" customWidth="1"/>
    <col min="3593" max="3593" width="19.5703125" style="1215" bestFit="1" customWidth="1"/>
    <col min="3594" max="3594" width="7.42578125" style="1215" bestFit="1" customWidth="1"/>
    <col min="3595" max="3595" width="26.85546875" style="1215" bestFit="1" customWidth="1"/>
    <col min="3596" max="3596" width="19.85546875" style="1215" bestFit="1" customWidth="1"/>
    <col min="3597" max="3831" width="11.42578125" style="1215"/>
    <col min="3832" max="3832" width="2.42578125" style="1215" customWidth="1"/>
    <col min="3833" max="3833" width="49" style="1215" customWidth="1"/>
    <col min="3834" max="3834" width="16.85546875" style="1215" customWidth="1"/>
    <col min="3835" max="3835" width="1.140625" style="1215" customWidth="1"/>
    <col min="3836" max="3836" width="20.5703125" style="1215" customWidth="1"/>
    <col min="3837" max="3837" width="17.5703125" style="1215" customWidth="1"/>
    <col min="3838" max="3838" width="18.140625" style="1215" customWidth="1"/>
    <col min="3839" max="3839" width="17.140625" style="1215" customWidth="1"/>
    <col min="3840" max="3840" width="22.42578125" style="1215" bestFit="1" customWidth="1"/>
    <col min="3841" max="3841" width="22.140625" style="1215" customWidth="1"/>
    <col min="3842" max="3842" width="17.85546875" style="1215" customWidth="1"/>
    <col min="3843" max="3843" width="22.42578125" style="1215" customWidth="1"/>
    <col min="3844" max="3844" width="10.140625" style="1215" bestFit="1" customWidth="1"/>
    <col min="3845" max="3845" width="13.42578125" style="1215" customWidth="1"/>
    <col min="3846" max="3846" width="7.42578125" style="1215" bestFit="1" customWidth="1"/>
    <col min="3847" max="3847" width="15.42578125" style="1215" bestFit="1" customWidth="1"/>
    <col min="3848" max="3848" width="7.42578125" style="1215" bestFit="1" customWidth="1"/>
    <col min="3849" max="3849" width="19.5703125" style="1215" bestFit="1" customWidth="1"/>
    <col min="3850" max="3850" width="7.42578125" style="1215" bestFit="1" customWidth="1"/>
    <col min="3851" max="3851" width="26.85546875" style="1215" bestFit="1" customWidth="1"/>
    <col min="3852" max="3852" width="19.85546875" style="1215" bestFit="1" customWidth="1"/>
    <col min="3853" max="4087" width="11.42578125" style="1215"/>
    <col min="4088" max="4088" width="2.42578125" style="1215" customWidth="1"/>
    <col min="4089" max="4089" width="49" style="1215" customWidth="1"/>
    <col min="4090" max="4090" width="16.85546875" style="1215" customWidth="1"/>
    <col min="4091" max="4091" width="1.140625" style="1215" customWidth="1"/>
    <col min="4092" max="4092" width="20.5703125" style="1215" customWidth="1"/>
    <col min="4093" max="4093" width="17.5703125" style="1215" customWidth="1"/>
    <col min="4094" max="4094" width="18.140625" style="1215" customWidth="1"/>
    <col min="4095" max="4095" width="17.140625" style="1215" customWidth="1"/>
    <col min="4096" max="4096" width="22.42578125" style="1215" bestFit="1" customWidth="1"/>
    <col min="4097" max="4097" width="22.140625" style="1215" customWidth="1"/>
    <col min="4098" max="4098" width="17.85546875" style="1215" customWidth="1"/>
    <col min="4099" max="4099" width="22.42578125" style="1215" customWidth="1"/>
    <col min="4100" max="4100" width="10.140625" style="1215" bestFit="1" customWidth="1"/>
    <col min="4101" max="4101" width="13.42578125" style="1215" customWidth="1"/>
    <col min="4102" max="4102" width="7.42578125" style="1215" bestFit="1" customWidth="1"/>
    <col min="4103" max="4103" width="15.42578125" style="1215" bestFit="1" customWidth="1"/>
    <col min="4104" max="4104" width="7.42578125" style="1215" bestFit="1" customWidth="1"/>
    <col min="4105" max="4105" width="19.5703125" style="1215" bestFit="1" customWidth="1"/>
    <col min="4106" max="4106" width="7.42578125" style="1215" bestFit="1" customWidth="1"/>
    <col min="4107" max="4107" width="26.85546875" style="1215" bestFit="1" customWidth="1"/>
    <col min="4108" max="4108" width="19.85546875" style="1215" bestFit="1" customWidth="1"/>
    <col min="4109" max="4343" width="11.42578125" style="1215"/>
    <col min="4344" max="4344" width="2.42578125" style="1215" customWidth="1"/>
    <col min="4345" max="4345" width="49" style="1215" customWidth="1"/>
    <col min="4346" max="4346" width="16.85546875" style="1215" customWidth="1"/>
    <col min="4347" max="4347" width="1.140625" style="1215" customWidth="1"/>
    <col min="4348" max="4348" width="20.5703125" style="1215" customWidth="1"/>
    <col min="4349" max="4349" width="17.5703125" style="1215" customWidth="1"/>
    <col min="4350" max="4350" width="18.140625" style="1215" customWidth="1"/>
    <col min="4351" max="4351" width="17.140625" style="1215" customWidth="1"/>
    <col min="4352" max="4352" width="22.42578125" style="1215" bestFit="1" customWidth="1"/>
    <col min="4353" max="4353" width="22.140625" style="1215" customWidth="1"/>
    <col min="4354" max="4354" width="17.85546875" style="1215" customWidth="1"/>
    <col min="4355" max="4355" width="22.42578125" style="1215" customWidth="1"/>
    <col min="4356" max="4356" width="10.140625" style="1215" bestFit="1" customWidth="1"/>
    <col min="4357" max="4357" width="13.42578125" style="1215" customWidth="1"/>
    <col min="4358" max="4358" width="7.42578125" style="1215" bestFit="1" customWidth="1"/>
    <col min="4359" max="4359" width="15.42578125" style="1215" bestFit="1" customWidth="1"/>
    <col min="4360" max="4360" width="7.42578125" style="1215" bestFit="1" customWidth="1"/>
    <col min="4361" max="4361" width="19.5703125" style="1215" bestFit="1" customWidth="1"/>
    <col min="4362" max="4362" width="7.42578125" style="1215" bestFit="1" customWidth="1"/>
    <col min="4363" max="4363" width="26.85546875" style="1215" bestFit="1" customWidth="1"/>
    <col min="4364" max="4364" width="19.85546875" style="1215" bestFit="1" customWidth="1"/>
    <col min="4365" max="4599" width="11.42578125" style="1215"/>
    <col min="4600" max="4600" width="2.42578125" style="1215" customWidth="1"/>
    <col min="4601" max="4601" width="49" style="1215" customWidth="1"/>
    <col min="4602" max="4602" width="16.85546875" style="1215" customWidth="1"/>
    <col min="4603" max="4603" width="1.140625" style="1215" customWidth="1"/>
    <col min="4604" max="4604" width="20.5703125" style="1215" customWidth="1"/>
    <col min="4605" max="4605" width="17.5703125" style="1215" customWidth="1"/>
    <col min="4606" max="4606" width="18.140625" style="1215" customWidth="1"/>
    <col min="4607" max="4607" width="17.140625" style="1215" customWidth="1"/>
    <col min="4608" max="4608" width="22.42578125" style="1215" bestFit="1" customWidth="1"/>
    <col min="4609" max="4609" width="22.140625" style="1215" customWidth="1"/>
    <col min="4610" max="4610" width="17.85546875" style="1215" customWidth="1"/>
    <col min="4611" max="4611" width="22.42578125" style="1215" customWidth="1"/>
    <col min="4612" max="4612" width="10.140625" style="1215" bestFit="1" customWidth="1"/>
    <col min="4613" max="4613" width="13.42578125" style="1215" customWidth="1"/>
    <col min="4614" max="4614" width="7.42578125" style="1215" bestFit="1" customWidth="1"/>
    <col min="4615" max="4615" width="15.42578125" style="1215" bestFit="1" customWidth="1"/>
    <col min="4616" max="4616" width="7.42578125" style="1215" bestFit="1" customWidth="1"/>
    <col min="4617" max="4617" width="19.5703125" style="1215" bestFit="1" customWidth="1"/>
    <col min="4618" max="4618" width="7.42578125" style="1215" bestFit="1" customWidth="1"/>
    <col min="4619" max="4619" width="26.85546875" style="1215" bestFit="1" customWidth="1"/>
    <col min="4620" max="4620" width="19.85546875" style="1215" bestFit="1" customWidth="1"/>
    <col min="4621" max="4855" width="11.42578125" style="1215"/>
    <col min="4856" max="4856" width="2.42578125" style="1215" customWidth="1"/>
    <col min="4857" max="4857" width="49" style="1215" customWidth="1"/>
    <col min="4858" max="4858" width="16.85546875" style="1215" customWidth="1"/>
    <col min="4859" max="4859" width="1.140625" style="1215" customWidth="1"/>
    <col min="4860" max="4860" width="20.5703125" style="1215" customWidth="1"/>
    <col min="4861" max="4861" width="17.5703125" style="1215" customWidth="1"/>
    <col min="4862" max="4862" width="18.140625" style="1215" customWidth="1"/>
    <col min="4863" max="4863" width="17.140625" style="1215" customWidth="1"/>
    <col min="4864" max="4864" width="22.42578125" style="1215" bestFit="1" customWidth="1"/>
    <col min="4865" max="4865" width="22.140625" style="1215" customWidth="1"/>
    <col min="4866" max="4866" width="17.85546875" style="1215" customWidth="1"/>
    <col min="4867" max="4867" width="22.42578125" style="1215" customWidth="1"/>
    <col min="4868" max="4868" width="10.140625" style="1215" bestFit="1" customWidth="1"/>
    <col min="4869" max="4869" width="13.42578125" style="1215" customWidth="1"/>
    <col min="4870" max="4870" width="7.42578125" style="1215" bestFit="1" customWidth="1"/>
    <col min="4871" max="4871" width="15.42578125" style="1215" bestFit="1" customWidth="1"/>
    <col min="4872" max="4872" width="7.42578125" style="1215" bestFit="1" customWidth="1"/>
    <col min="4873" max="4873" width="19.5703125" style="1215" bestFit="1" customWidth="1"/>
    <col min="4874" max="4874" width="7.42578125" style="1215" bestFit="1" customWidth="1"/>
    <col min="4875" max="4875" width="26.85546875" style="1215" bestFit="1" customWidth="1"/>
    <col min="4876" max="4876" width="19.85546875" style="1215" bestFit="1" customWidth="1"/>
    <col min="4877" max="5111" width="11.42578125" style="1215"/>
    <col min="5112" max="5112" width="2.42578125" style="1215" customWidth="1"/>
    <col min="5113" max="5113" width="49" style="1215" customWidth="1"/>
    <col min="5114" max="5114" width="16.85546875" style="1215" customWidth="1"/>
    <col min="5115" max="5115" width="1.140625" style="1215" customWidth="1"/>
    <col min="5116" max="5116" width="20.5703125" style="1215" customWidth="1"/>
    <col min="5117" max="5117" width="17.5703125" style="1215" customWidth="1"/>
    <col min="5118" max="5118" width="18.140625" style="1215" customWidth="1"/>
    <col min="5119" max="5119" width="17.140625" style="1215" customWidth="1"/>
    <col min="5120" max="5120" width="22.42578125" style="1215" bestFit="1" customWidth="1"/>
    <col min="5121" max="5121" width="22.140625" style="1215" customWidth="1"/>
    <col min="5122" max="5122" width="17.85546875" style="1215" customWidth="1"/>
    <col min="5123" max="5123" width="22.42578125" style="1215" customWidth="1"/>
    <col min="5124" max="5124" width="10.140625" style="1215" bestFit="1" customWidth="1"/>
    <col min="5125" max="5125" width="13.42578125" style="1215" customWidth="1"/>
    <col min="5126" max="5126" width="7.42578125" style="1215" bestFit="1" customWidth="1"/>
    <col min="5127" max="5127" width="15.42578125" style="1215" bestFit="1" customWidth="1"/>
    <col min="5128" max="5128" width="7.42578125" style="1215" bestFit="1" customWidth="1"/>
    <col min="5129" max="5129" width="19.5703125" style="1215" bestFit="1" customWidth="1"/>
    <col min="5130" max="5130" width="7.42578125" style="1215" bestFit="1" customWidth="1"/>
    <col min="5131" max="5131" width="26.85546875" style="1215" bestFit="1" customWidth="1"/>
    <col min="5132" max="5132" width="19.85546875" style="1215" bestFit="1" customWidth="1"/>
    <col min="5133" max="5367" width="11.42578125" style="1215"/>
    <col min="5368" max="5368" width="2.42578125" style="1215" customWidth="1"/>
    <col min="5369" max="5369" width="49" style="1215" customWidth="1"/>
    <col min="5370" max="5370" width="16.85546875" style="1215" customWidth="1"/>
    <col min="5371" max="5371" width="1.140625" style="1215" customWidth="1"/>
    <col min="5372" max="5372" width="20.5703125" style="1215" customWidth="1"/>
    <col min="5373" max="5373" width="17.5703125" style="1215" customWidth="1"/>
    <col min="5374" max="5374" width="18.140625" style="1215" customWidth="1"/>
    <col min="5375" max="5375" width="17.140625" style="1215" customWidth="1"/>
    <col min="5376" max="5376" width="22.42578125" style="1215" bestFit="1" customWidth="1"/>
    <col min="5377" max="5377" width="22.140625" style="1215" customWidth="1"/>
    <col min="5378" max="5378" width="17.85546875" style="1215" customWidth="1"/>
    <col min="5379" max="5379" width="22.42578125" style="1215" customWidth="1"/>
    <col min="5380" max="5380" width="10.140625" style="1215" bestFit="1" customWidth="1"/>
    <col min="5381" max="5381" width="13.42578125" style="1215" customWidth="1"/>
    <col min="5382" max="5382" width="7.42578125" style="1215" bestFit="1" customWidth="1"/>
    <col min="5383" max="5383" width="15.42578125" style="1215" bestFit="1" customWidth="1"/>
    <col min="5384" max="5384" width="7.42578125" style="1215" bestFit="1" customWidth="1"/>
    <col min="5385" max="5385" width="19.5703125" style="1215" bestFit="1" customWidth="1"/>
    <col min="5386" max="5386" width="7.42578125" style="1215" bestFit="1" customWidth="1"/>
    <col min="5387" max="5387" width="26.85546875" style="1215" bestFit="1" customWidth="1"/>
    <col min="5388" max="5388" width="19.85546875" style="1215" bestFit="1" customWidth="1"/>
    <col min="5389" max="5623" width="11.42578125" style="1215"/>
    <col min="5624" max="5624" width="2.42578125" style="1215" customWidth="1"/>
    <col min="5625" max="5625" width="49" style="1215" customWidth="1"/>
    <col min="5626" max="5626" width="16.85546875" style="1215" customWidth="1"/>
    <col min="5627" max="5627" width="1.140625" style="1215" customWidth="1"/>
    <col min="5628" max="5628" width="20.5703125" style="1215" customWidth="1"/>
    <col min="5629" max="5629" width="17.5703125" style="1215" customWidth="1"/>
    <col min="5630" max="5630" width="18.140625" style="1215" customWidth="1"/>
    <col min="5631" max="5631" width="17.140625" style="1215" customWidth="1"/>
    <col min="5632" max="5632" width="22.42578125" style="1215" bestFit="1" customWidth="1"/>
    <col min="5633" max="5633" width="22.140625" style="1215" customWidth="1"/>
    <col min="5634" max="5634" width="17.85546875" style="1215" customWidth="1"/>
    <col min="5635" max="5635" width="22.42578125" style="1215" customWidth="1"/>
    <col min="5636" max="5636" width="10.140625" style="1215" bestFit="1" customWidth="1"/>
    <col min="5637" max="5637" width="13.42578125" style="1215" customWidth="1"/>
    <col min="5638" max="5638" width="7.42578125" style="1215" bestFit="1" customWidth="1"/>
    <col min="5639" max="5639" width="15.42578125" style="1215" bestFit="1" customWidth="1"/>
    <col min="5640" max="5640" width="7.42578125" style="1215" bestFit="1" customWidth="1"/>
    <col min="5641" max="5641" width="19.5703125" style="1215" bestFit="1" customWidth="1"/>
    <col min="5642" max="5642" width="7.42578125" style="1215" bestFit="1" customWidth="1"/>
    <col min="5643" max="5643" width="26.85546875" style="1215" bestFit="1" customWidth="1"/>
    <col min="5644" max="5644" width="19.85546875" style="1215" bestFit="1" customWidth="1"/>
    <col min="5645" max="5879" width="11.42578125" style="1215"/>
    <col min="5880" max="5880" width="2.42578125" style="1215" customWidth="1"/>
    <col min="5881" max="5881" width="49" style="1215" customWidth="1"/>
    <col min="5882" max="5882" width="16.85546875" style="1215" customWidth="1"/>
    <col min="5883" max="5883" width="1.140625" style="1215" customWidth="1"/>
    <col min="5884" max="5884" width="20.5703125" style="1215" customWidth="1"/>
    <col min="5885" max="5885" width="17.5703125" style="1215" customWidth="1"/>
    <col min="5886" max="5886" width="18.140625" style="1215" customWidth="1"/>
    <col min="5887" max="5887" width="17.140625" style="1215" customWidth="1"/>
    <col min="5888" max="5888" width="22.42578125" style="1215" bestFit="1" customWidth="1"/>
    <col min="5889" max="5889" width="22.140625" style="1215" customWidth="1"/>
    <col min="5890" max="5890" width="17.85546875" style="1215" customWidth="1"/>
    <col min="5891" max="5891" width="22.42578125" style="1215" customWidth="1"/>
    <col min="5892" max="5892" width="10.140625" style="1215" bestFit="1" customWidth="1"/>
    <col min="5893" max="5893" width="13.42578125" style="1215" customWidth="1"/>
    <col min="5894" max="5894" width="7.42578125" style="1215" bestFit="1" customWidth="1"/>
    <col min="5895" max="5895" width="15.42578125" style="1215" bestFit="1" customWidth="1"/>
    <col min="5896" max="5896" width="7.42578125" style="1215" bestFit="1" customWidth="1"/>
    <col min="5897" max="5897" width="19.5703125" style="1215" bestFit="1" customWidth="1"/>
    <col min="5898" max="5898" width="7.42578125" style="1215" bestFit="1" customWidth="1"/>
    <col min="5899" max="5899" width="26.85546875" style="1215" bestFit="1" customWidth="1"/>
    <col min="5900" max="5900" width="19.85546875" style="1215" bestFit="1" customWidth="1"/>
    <col min="5901" max="6135" width="11.42578125" style="1215"/>
    <col min="6136" max="6136" width="2.42578125" style="1215" customWidth="1"/>
    <col min="6137" max="6137" width="49" style="1215" customWidth="1"/>
    <col min="6138" max="6138" width="16.85546875" style="1215" customWidth="1"/>
    <col min="6139" max="6139" width="1.140625" style="1215" customWidth="1"/>
    <col min="6140" max="6140" width="20.5703125" style="1215" customWidth="1"/>
    <col min="6141" max="6141" width="17.5703125" style="1215" customWidth="1"/>
    <col min="6142" max="6142" width="18.140625" style="1215" customWidth="1"/>
    <col min="6143" max="6143" width="17.140625" style="1215" customWidth="1"/>
    <col min="6144" max="6144" width="22.42578125" style="1215" bestFit="1" customWidth="1"/>
    <col min="6145" max="6145" width="22.140625" style="1215" customWidth="1"/>
    <col min="6146" max="6146" width="17.85546875" style="1215" customWidth="1"/>
    <col min="6147" max="6147" width="22.42578125" style="1215" customWidth="1"/>
    <col min="6148" max="6148" width="10.140625" style="1215" bestFit="1" customWidth="1"/>
    <col min="6149" max="6149" width="13.42578125" style="1215" customWidth="1"/>
    <col min="6150" max="6150" width="7.42578125" style="1215" bestFit="1" customWidth="1"/>
    <col min="6151" max="6151" width="15.42578125" style="1215" bestFit="1" customWidth="1"/>
    <col min="6152" max="6152" width="7.42578125" style="1215" bestFit="1" customWidth="1"/>
    <col min="6153" max="6153" width="19.5703125" style="1215" bestFit="1" customWidth="1"/>
    <col min="6154" max="6154" width="7.42578125" style="1215" bestFit="1" customWidth="1"/>
    <col min="6155" max="6155" width="26.85546875" style="1215" bestFit="1" customWidth="1"/>
    <col min="6156" max="6156" width="19.85546875" style="1215" bestFit="1" customWidth="1"/>
    <col min="6157" max="6391" width="11.42578125" style="1215"/>
    <col min="6392" max="6392" width="2.42578125" style="1215" customWidth="1"/>
    <col min="6393" max="6393" width="49" style="1215" customWidth="1"/>
    <col min="6394" max="6394" width="16.85546875" style="1215" customWidth="1"/>
    <col min="6395" max="6395" width="1.140625" style="1215" customWidth="1"/>
    <col min="6396" max="6396" width="20.5703125" style="1215" customWidth="1"/>
    <col min="6397" max="6397" width="17.5703125" style="1215" customWidth="1"/>
    <col min="6398" max="6398" width="18.140625" style="1215" customWidth="1"/>
    <col min="6399" max="6399" width="17.140625" style="1215" customWidth="1"/>
    <col min="6400" max="6400" width="22.42578125" style="1215" bestFit="1" customWidth="1"/>
    <col min="6401" max="6401" width="22.140625" style="1215" customWidth="1"/>
    <col min="6402" max="6402" width="17.85546875" style="1215" customWidth="1"/>
    <col min="6403" max="6403" width="22.42578125" style="1215" customWidth="1"/>
    <col min="6404" max="6404" width="10.140625" style="1215" bestFit="1" customWidth="1"/>
    <col min="6405" max="6405" width="13.42578125" style="1215" customWidth="1"/>
    <col min="6406" max="6406" width="7.42578125" style="1215" bestFit="1" customWidth="1"/>
    <col min="6407" max="6407" width="15.42578125" style="1215" bestFit="1" customWidth="1"/>
    <col min="6408" max="6408" width="7.42578125" style="1215" bestFit="1" customWidth="1"/>
    <col min="6409" max="6409" width="19.5703125" style="1215" bestFit="1" customWidth="1"/>
    <col min="6410" max="6410" width="7.42578125" style="1215" bestFit="1" customWidth="1"/>
    <col min="6411" max="6411" width="26.85546875" style="1215" bestFit="1" customWidth="1"/>
    <col min="6412" max="6412" width="19.85546875" style="1215" bestFit="1" customWidth="1"/>
    <col min="6413" max="6647" width="11.42578125" style="1215"/>
    <col min="6648" max="6648" width="2.42578125" style="1215" customWidth="1"/>
    <col min="6649" max="6649" width="49" style="1215" customWidth="1"/>
    <col min="6650" max="6650" width="16.85546875" style="1215" customWidth="1"/>
    <col min="6651" max="6651" width="1.140625" style="1215" customWidth="1"/>
    <col min="6652" max="6652" width="20.5703125" style="1215" customWidth="1"/>
    <col min="6653" max="6653" width="17.5703125" style="1215" customWidth="1"/>
    <col min="6654" max="6654" width="18.140625" style="1215" customWidth="1"/>
    <col min="6655" max="6655" width="17.140625" style="1215" customWidth="1"/>
    <col min="6656" max="6656" width="22.42578125" style="1215" bestFit="1" customWidth="1"/>
    <col min="6657" max="6657" width="22.140625" style="1215" customWidth="1"/>
    <col min="6658" max="6658" width="17.85546875" style="1215" customWidth="1"/>
    <col min="6659" max="6659" width="22.42578125" style="1215" customWidth="1"/>
    <col min="6660" max="6660" width="10.140625" style="1215" bestFit="1" customWidth="1"/>
    <col min="6661" max="6661" width="13.42578125" style="1215" customWidth="1"/>
    <col min="6662" max="6662" width="7.42578125" style="1215" bestFit="1" customWidth="1"/>
    <col min="6663" max="6663" width="15.42578125" style="1215" bestFit="1" customWidth="1"/>
    <col min="6664" max="6664" width="7.42578125" style="1215" bestFit="1" customWidth="1"/>
    <col min="6665" max="6665" width="19.5703125" style="1215" bestFit="1" customWidth="1"/>
    <col min="6666" max="6666" width="7.42578125" style="1215" bestFit="1" customWidth="1"/>
    <col min="6667" max="6667" width="26.85546875" style="1215" bestFit="1" customWidth="1"/>
    <col min="6668" max="6668" width="19.85546875" style="1215" bestFit="1" customWidth="1"/>
    <col min="6669" max="6903" width="11.42578125" style="1215"/>
    <col min="6904" max="6904" width="2.42578125" style="1215" customWidth="1"/>
    <col min="6905" max="6905" width="49" style="1215" customWidth="1"/>
    <col min="6906" max="6906" width="16.85546875" style="1215" customWidth="1"/>
    <col min="6907" max="6907" width="1.140625" style="1215" customWidth="1"/>
    <col min="6908" max="6908" width="20.5703125" style="1215" customWidth="1"/>
    <col min="6909" max="6909" width="17.5703125" style="1215" customWidth="1"/>
    <col min="6910" max="6910" width="18.140625" style="1215" customWidth="1"/>
    <col min="6911" max="6911" width="17.140625" style="1215" customWidth="1"/>
    <col min="6912" max="6912" width="22.42578125" style="1215" bestFit="1" customWidth="1"/>
    <col min="6913" max="6913" width="22.140625" style="1215" customWidth="1"/>
    <col min="6914" max="6914" width="17.85546875" style="1215" customWidth="1"/>
    <col min="6915" max="6915" width="22.42578125" style="1215" customWidth="1"/>
    <col min="6916" max="6916" width="10.140625" style="1215" bestFit="1" customWidth="1"/>
    <col min="6917" max="6917" width="13.42578125" style="1215" customWidth="1"/>
    <col min="6918" max="6918" width="7.42578125" style="1215" bestFit="1" customWidth="1"/>
    <col min="6919" max="6919" width="15.42578125" style="1215" bestFit="1" customWidth="1"/>
    <col min="6920" max="6920" width="7.42578125" style="1215" bestFit="1" customWidth="1"/>
    <col min="6921" max="6921" width="19.5703125" style="1215" bestFit="1" customWidth="1"/>
    <col min="6922" max="6922" width="7.42578125" style="1215" bestFit="1" customWidth="1"/>
    <col min="6923" max="6923" width="26.85546875" style="1215" bestFit="1" customWidth="1"/>
    <col min="6924" max="6924" width="19.85546875" style="1215" bestFit="1" customWidth="1"/>
    <col min="6925" max="7159" width="11.42578125" style="1215"/>
    <col min="7160" max="7160" width="2.42578125" style="1215" customWidth="1"/>
    <col min="7161" max="7161" width="49" style="1215" customWidth="1"/>
    <col min="7162" max="7162" width="16.85546875" style="1215" customWidth="1"/>
    <col min="7163" max="7163" width="1.140625" style="1215" customWidth="1"/>
    <col min="7164" max="7164" width="20.5703125" style="1215" customWidth="1"/>
    <col min="7165" max="7165" width="17.5703125" style="1215" customWidth="1"/>
    <col min="7166" max="7166" width="18.140625" style="1215" customWidth="1"/>
    <col min="7167" max="7167" width="17.140625" style="1215" customWidth="1"/>
    <col min="7168" max="7168" width="22.42578125" style="1215" bestFit="1" customWidth="1"/>
    <col min="7169" max="7169" width="22.140625" style="1215" customWidth="1"/>
    <col min="7170" max="7170" width="17.85546875" style="1215" customWidth="1"/>
    <col min="7171" max="7171" width="22.42578125" style="1215" customWidth="1"/>
    <col min="7172" max="7172" width="10.140625" style="1215" bestFit="1" customWidth="1"/>
    <col min="7173" max="7173" width="13.42578125" style="1215" customWidth="1"/>
    <col min="7174" max="7174" width="7.42578125" style="1215" bestFit="1" customWidth="1"/>
    <col min="7175" max="7175" width="15.42578125" style="1215" bestFit="1" customWidth="1"/>
    <col min="7176" max="7176" width="7.42578125" style="1215" bestFit="1" customWidth="1"/>
    <col min="7177" max="7177" width="19.5703125" style="1215" bestFit="1" customWidth="1"/>
    <col min="7178" max="7178" width="7.42578125" style="1215" bestFit="1" customWidth="1"/>
    <col min="7179" max="7179" width="26.85546875" style="1215" bestFit="1" customWidth="1"/>
    <col min="7180" max="7180" width="19.85546875" style="1215" bestFit="1" customWidth="1"/>
    <col min="7181" max="7415" width="11.42578125" style="1215"/>
    <col min="7416" max="7416" width="2.42578125" style="1215" customWidth="1"/>
    <col min="7417" max="7417" width="49" style="1215" customWidth="1"/>
    <col min="7418" max="7418" width="16.85546875" style="1215" customWidth="1"/>
    <col min="7419" max="7419" width="1.140625" style="1215" customWidth="1"/>
    <col min="7420" max="7420" width="20.5703125" style="1215" customWidth="1"/>
    <col min="7421" max="7421" width="17.5703125" style="1215" customWidth="1"/>
    <col min="7422" max="7422" width="18.140625" style="1215" customWidth="1"/>
    <col min="7423" max="7423" width="17.140625" style="1215" customWidth="1"/>
    <col min="7424" max="7424" width="22.42578125" style="1215" bestFit="1" customWidth="1"/>
    <col min="7425" max="7425" width="22.140625" style="1215" customWidth="1"/>
    <col min="7426" max="7426" width="17.85546875" style="1215" customWidth="1"/>
    <col min="7427" max="7427" width="22.42578125" style="1215" customWidth="1"/>
    <col min="7428" max="7428" width="10.140625" style="1215" bestFit="1" customWidth="1"/>
    <col min="7429" max="7429" width="13.42578125" style="1215" customWidth="1"/>
    <col min="7430" max="7430" width="7.42578125" style="1215" bestFit="1" customWidth="1"/>
    <col min="7431" max="7431" width="15.42578125" style="1215" bestFit="1" customWidth="1"/>
    <col min="7432" max="7432" width="7.42578125" style="1215" bestFit="1" customWidth="1"/>
    <col min="7433" max="7433" width="19.5703125" style="1215" bestFit="1" customWidth="1"/>
    <col min="7434" max="7434" width="7.42578125" style="1215" bestFit="1" customWidth="1"/>
    <col min="7435" max="7435" width="26.85546875" style="1215" bestFit="1" customWidth="1"/>
    <col min="7436" max="7436" width="19.85546875" style="1215" bestFit="1" customWidth="1"/>
    <col min="7437" max="7671" width="11.42578125" style="1215"/>
    <col min="7672" max="7672" width="2.42578125" style="1215" customWidth="1"/>
    <col min="7673" max="7673" width="49" style="1215" customWidth="1"/>
    <col min="7674" max="7674" width="16.85546875" style="1215" customWidth="1"/>
    <col min="7675" max="7675" width="1.140625" style="1215" customWidth="1"/>
    <col min="7676" max="7676" width="20.5703125" style="1215" customWidth="1"/>
    <col min="7677" max="7677" width="17.5703125" style="1215" customWidth="1"/>
    <col min="7678" max="7678" width="18.140625" style="1215" customWidth="1"/>
    <col min="7679" max="7679" width="17.140625" style="1215" customWidth="1"/>
    <col min="7680" max="7680" width="22.42578125" style="1215" bestFit="1" customWidth="1"/>
    <col min="7681" max="7681" width="22.140625" style="1215" customWidth="1"/>
    <col min="7682" max="7682" width="17.85546875" style="1215" customWidth="1"/>
    <col min="7683" max="7683" width="22.42578125" style="1215" customWidth="1"/>
    <col min="7684" max="7684" width="10.140625" style="1215" bestFit="1" customWidth="1"/>
    <col min="7685" max="7685" width="13.42578125" style="1215" customWidth="1"/>
    <col min="7686" max="7686" width="7.42578125" style="1215" bestFit="1" customWidth="1"/>
    <col min="7687" max="7687" width="15.42578125" style="1215" bestFit="1" customWidth="1"/>
    <col min="7688" max="7688" width="7.42578125" style="1215" bestFit="1" customWidth="1"/>
    <col min="7689" max="7689" width="19.5703125" style="1215" bestFit="1" customWidth="1"/>
    <col min="7690" max="7690" width="7.42578125" style="1215" bestFit="1" customWidth="1"/>
    <col min="7691" max="7691" width="26.85546875" style="1215" bestFit="1" customWidth="1"/>
    <col min="7692" max="7692" width="19.85546875" style="1215" bestFit="1" customWidth="1"/>
    <col min="7693" max="7927" width="11.42578125" style="1215"/>
    <col min="7928" max="7928" width="2.42578125" style="1215" customWidth="1"/>
    <col min="7929" max="7929" width="49" style="1215" customWidth="1"/>
    <col min="7930" max="7930" width="16.85546875" style="1215" customWidth="1"/>
    <col min="7931" max="7931" width="1.140625" style="1215" customWidth="1"/>
    <col min="7932" max="7932" width="20.5703125" style="1215" customWidth="1"/>
    <col min="7933" max="7933" width="17.5703125" style="1215" customWidth="1"/>
    <col min="7934" max="7934" width="18.140625" style="1215" customWidth="1"/>
    <col min="7935" max="7935" width="17.140625" style="1215" customWidth="1"/>
    <col min="7936" max="7936" width="22.42578125" style="1215" bestFit="1" customWidth="1"/>
    <col min="7937" max="7937" width="22.140625" style="1215" customWidth="1"/>
    <col min="7938" max="7938" width="17.85546875" style="1215" customWidth="1"/>
    <col min="7939" max="7939" width="22.42578125" style="1215" customWidth="1"/>
    <col min="7940" max="7940" width="10.140625" style="1215" bestFit="1" customWidth="1"/>
    <col min="7941" max="7941" width="13.42578125" style="1215" customWidth="1"/>
    <col min="7942" max="7942" width="7.42578125" style="1215" bestFit="1" customWidth="1"/>
    <col min="7943" max="7943" width="15.42578125" style="1215" bestFit="1" customWidth="1"/>
    <col min="7944" max="7944" width="7.42578125" style="1215" bestFit="1" customWidth="1"/>
    <col min="7945" max="7945" width="19.5703125" style="1215" bestFit="1" customWidth="1"/>
    <col min="7946" max="7946" width="7.42578125" style="1215" bestFit="1" customWidth="1"/>
    <col min="7947" max="7947" width="26.85546875" style="1215" bestFit="1" customWidth="1"/>
    <col min="7948" max="7948" width="19.85546875" style="1215" bestFit="1" customWidth="1"/>
    <col min="7949" max="8183" width="11.42578125" style="1215"/>
    <col min="8184" max="8184" width="2.42578125" style="1215" customWidth="1"/>
    <col min="8185" max="8185" width="49" style="1215" customWidth="1"/>
    <col min="8186" max="8186" width="16.85546875" style="1215" customWidth="1"/>
    <col min="8187" max="8187" width="1.140625" style="1215" customWidth="1"/>
    <col min="8188" max="8188" width="20.5703125" style="1215" customWidth="1"/>
    <col min="8189" max="8189" width="17.5703125" style="1215" customWidth="1"/>
    <col min="8190" max="8190" width="18.140625" style="1215" customWidth="1"/>
    <col min="8191" max="8191" width="17.140625" style="1215" customWidth="1"/>
    <col min="8192" max="8192" width="22.42578125" style="1215" bestFit="1" customWidth="1"/>
    <col min="8193" max="8193" width="22.140625" style="1215" customWidth="1"/>
    <col min="8194" max="8194" width="17.85546875" style="1215" customWidth="1"/>
    <col min="8195" max="8195" width="22.42578125" style="1215" customWidth="1"/>
    <col min="8196" max="8196" width="10.140625" style="1215" bestFit="1" customWidth="1"/>
    <col min="8197" max="8197" width="13.42578125" style="1215" customWidth="1"/>
    <col min="8198" max="8198" width="7.42578125" style="1215" bestFit="1" customWidth="1"/>
    <col min="8199" max="8199" width="15.42578125" style="1215" bestFit="1" customWidth="1"/>
    <col min="8200" max="8200" width="7.42578125" style="1215" bestFit="1" customWidth="1"/>
    <col min="8201" max="8201" width="19.5703125" style="1215" bestFit="1" customWidth="1"/>
    <col min="8202" max="8202" width="7.42578125" style="1215" bestFit="1" customWidth="1"/>
    <col min="8203" max="8203" width="26.85546875" style="1215" bestFit="1" customWidth="1"/>
    <col min="8204" max="8204" width="19.85546875" style="1215" bestFit="1" customWidth="1"/>
    <col min="8205" max="8439" width="11.42578125" style="1215"/>
    <col min="8440" max="8440" width="2.42578125" style="1215" customWidth="1"/>
    <col min="8441" max="8441" width="49" style="1215" customWidth="1"/>
    <col min="8442" max="8442" width="16.85546875" style="1215" customWidth="1"/>
    <col min="8443" max="8443" width="1.140625" style="1215" customWidth="1"/>
    <col min="8444" max="8444" width="20.5703125" style="1215" customWidth="1"/>
    <col min="8445" max="8445" width="17.5703125" style="1215" customWidth="1"/>
    <col min="8446" max="8446" width="18.140625" style="1215" customWidth="1"/>
    <col min="8447" max="8447" width="17.140625" style="1215" customWidth="1"/>
    <col min="8448" max="8448" width="22.42578125" style="1215" bestFit="1" customWidth="1"/>
    <col min="8449" max="8449" width="22.140625" style="1215" customWidth="1"/>
    <col min="8450" max="8450" width="17.85546875" style="1215" customWidth="1"/>
    <col min="8451" max="8451" width="22.42578125" style="1215" customWidth="1"/>
    <col min="8452" max="8452" width="10.140625" style="1215" bestFit="1" customWidth="1"/>
    <col min="8453" max="8453" width="13.42578125" style="1215" customWidth="1"/>
    <col min="8454" max="8454" width="7.42578125" style="1215" bestFit="1" customWidth="1"/>
    <col min="8455" max="8455" width="15.42578125" style="1215" bestFit="1" customWidth="1"/>
    <col min="8456" max="8456" width="7.42578125" style="1215" bestFit="1" customWidth="1"/>
    <col min="8457" max="8457" width="19.5703125" style="1215" bestFit="1" customWidth="1"/>
    <col min="8458" max="8458" width="7.42578125" style="1215" bestFit="1" customWidth="1"/>
    <col min="8459" max="8459" width="26.85546875" style="1215" bestFit="1" customWidth="1"/>
    <col min="8460" max="8460" width="19.85546875" style="1215" bestFit="1" customWidth="1"/>
    <col min="8461" max="8695" width="11.42578125" style="1215"/>
    <col min="8696" max="8696" width="2.42578125" style="1215" customWidth="1"/>
    <col min="8697" max="8697" width="49" style="1215" customWidth="1"/>
    <col min="8698" max="8698" width="16.85546875" style="1215" customWidth="1"/>
    <col min="8699" max="8699" width="1.140625" style="1215" customWidth="1"/>
    <col min="8700" max="8700" width="20.5703125" style="1215" customWidth="1"/>
    <col min="8701" max="8701" width="17.5703125" style="1215" customWidth="1"/>
    <col min="8702" max="8702" width="18.140625" style="1215" customWidth="1"/>
    <col min="8703" max="8703" width="17.140625" style="1215" customWidth="1"/>
    <col min="8704" max="8704" width="22.42578125" style="1215" bestFit="1" customWidth="1"/>
    <col min="8705" max="8705" width="22.140625" style="1215" customWidth="1"/>
    <col min="8706" max="8706" width="17.85546875" style="1215" customWidth="1"/>
    <col min="8707" max="8707" width="22.42578125" style="1215" customWidth="1"/>
    <col min="8708" max="8708" width="10.140625" style="1215" bestFit="1" customWidth="1"/>
    <col min="8709" max="8709" width="13.42578125" style="1215" customWidth="1"/>
    <col min="8710" max="8710" width="7.42578125" style="1215" bestFit="1" customWidth="1"/>
    <col min="8711" max="8711" width="15.42578125" style="1215" bestFit="1" customWidth="1"/>
    <col min="8712" max="8712" width="7.42578125" style="1215" bestFit="1" customWidth="1"/>
    <col min="8713" max="8713" width="19.5703125" style="1215" bestFit="1" customWidth="1"/>
    <col min="8714" max="8714" width="7.42578125" style="1215" bestFit="1" customWidth="1"/>
    <col min="8715" max="8715" width="26.85546875" style="1215" bestFit="1" customWidth="1"/>
    <col min="8716" max="8716" width="19.85546875" style="1215" bestFit="1" customWidth="1"/>
    <col min="8717" max="8951" width="11.42578125" style="1215"/>
    <col min="8952" max="8952" width="2.42578125" style="1215" customWidth="1"/>
    <col min="8953" max="8953" width="49" style="1215" customWidth="1"/>
    <col min="8954" max="8954" width="16.85546875" style="1215" customWidth="1"/>
    <col min="8955" max="8955" width="1.140625" style="1215" customWidth="1"/>
    <col min="8956" max="8956" width="20.5703125" style="1215" customWidth="1"/>
    <col min="8957" max="8957" width="17.5703125" style="1215" customWidth="1"/>
    <col min="8958" max="8958" width="18.140625" style="1215" customWidth="1"/>
    <col min="8959" max="8959" width="17.140625" style="1215" customWidth="1"/>
    <col min="8960" max="8960" width="22.42578125" style="1215" bestFit="1" customWidth="1"/>
    <col min="8961" max="8961" width="22.140625" style="1215" customWidth="1"/>
    <col min="8962" max="8962" width="17.85546875" style="1215" customWidth="1"/>
    <col min="8963" max="8963" width="22.42578125" style="1215" customWidth="1"/>
    <col min="8964" max="8964" width="10.140625" style="1215" bestFit="1" customWidth="1"/>
    <col min="8965" max="8965" width="13.42578125" style="1215" customWidth="1"/>
    <col min="8966" max="8966" width="7.42578125" style="1215" bestFit="1" customWidth="1"/>
    <col min="8967" max="8967" width="15.42578125" style="1215" bestFit="1" customWidth="1"/>
    <col min="8968" max="8968" width="7.42578125" style="1215" bestFit="1" customWidth="1"/>
    <col min="8969" max="8969" width="19.5703125" style="1215" bestFit="1" customWidth="1"/>
    <col min="8970" max="8970" width="7.42578125" style="1215" bestFit="1" customWidth="1"/>
    <col min="8971" max="8971" width="26.85546875" style="1215" bestFit="1" customWidth="1"/>
    <col min="8972" max="8972" width="19.85546875" style="1215" bestFit="1" customWidth="1"/>
    <col min="8973" max="9207" width="11.42578125" style="1215"/>
    <col min="9208" max="9208" width="2.42578125" style="1215" customWidth="1"/>
    <col min="9209" max="9209" width="49" style="1215" customWidth="1"/>
    <col min="9210" max="9210" width="16.85546875" style="1215" customWidth="1"/>
    <col min="9211" max="9211" width="1.140625" style="1215" customWidth="1"/>
    <col min="9212" max="9212" width="20.5703125" style="1215" customWidth="1"/>
    <col min="9213" max="9213" width="17.5703125" style="1215" customWidth="1"/>
    <col min="9214" max="9214" width="18.140625" style="1215" customWidth="1"/>
    <col min="9215" max="9215" width="17.140625" style="1215" customWidth="1"/>
    <col min="9216" max="9216" width="22.42578125" style="1215" bestFit="1" customWidth="1"/>
    <col min="9217" max="9217" width="22.140625" style="1215" customWidth="1"/>
    <col min="9218" max="9218" width="17.85546875" style="1215" customWidth="1"/>
    <col min="9219" max="9219" width="22.42578125" style="1215" customWidth="1"/>
    <col min="9220" max="9220" width="10.140625" style="1215" bestFit="1" customWidth="1"/>
    <col min="9221" max="9221" width="13.42578125" style="1215" customWidth="1"/>
    <col min="9222" max="9222" width="7.42578125" style="1215" bestFit="1" customWidth="1"/>
    <col min="9223" max="9223" width="15.42578125" style="1215" bestFit="1" customWidth="1"/>
    <col min="9224" max="9224" width="7.42578125" style="1215" bestFit="1" customWidth="1"/>
    <col min="9225" max="9225" width="19.5703125" style="1215" bestFit="1" customWidth="1"/>
    <col min="9226" max="9226" width="7.42578125" style="1215" bestFit="1" customWidth="1"/>
    <col min="9227" max="9227" width="26.85546875" style="1215" bestFit="1" customWidth="1"/>
    <col min="9228" max="9228" width="19.85546875" style="1215" bestFit="1" customWidth="1"/>
    <col min="9229" max="9463" width="11.42578125" style="1215"/>
    <col min="9464" max="9464" width="2.42578125" style="1215" customWidth="1"/>
    <col min="9465" max="9465" width="49" style="1215" customWidth="1"/>
    <col min="9466" max="9466" width="16.85546875" style="1215" customWidth="1"/>
    <col min="9467" max="9467" width="1.140625" style="1215" customWidth="1"/>
    <col min="9468" max="9468" width="20.5703125" style="1215" customWidth="1"/>
    <col min="9469" max="9469" width="17.5703125" style="1215" customWidth="1"/>
    <col min="9470" max="9470" width="18.140625" style="1215" customWidth="1"/>
    <col min="9471" max="9471" width="17.140625" style="1215" customWidth="1"/>
    <col min="9472" max="9472" width="22.42578125" style="1215" bestFit="1" customWidth="1"/>
    <col min="9473" max="9473" width="22.140625" style="1215" customWidth="1"/>
    <col min="9474" max="9474" width="17.85546875" style="1215" customWidth="1"/>
    <col min="9475" max="9475" width="22.42578125" style="1215" customWidth="1"/>
    <col min="9476" max="9476" width="10.140625" style="1215" bestFit="1" customWidth="1"/>
    <col min="9477" max="9477" width="13.42578125" style="1215" customWidth="1"/>
    <col min="9478" max="9478" width="7.42578125" style="1215" bestFit="1" customWidth="1"/>
    <col min="9479" max="9479" width="15.42578125" style="1215" bestFit="1" customWidth="1"/>
    <col min="9480" max="9480" width="7.42578125" style="1215" bestFit="1" customWidth="1"/>
    <col min="9481" max="9481" width="19.5703125" style="1215" bestFit="1" customWidth="1"/>
    <col min="9482" max="9482" width="7.42578125" style="1215" bestFit="1" customWidth="1"/>
    <col min="9483" max="9483" width="26.85546875" style="1215" bestFit="1" customWidth="1"/>
    <col min="9484" max="9484" width="19.85546875" style="1215" bestFit="1" customWidth="1"/>
    <col min="9485" max="9719" width="11.42578125" style="1215"/>
    <col min="9720" max="9720" width="2.42578125" style="1215" customWidth="1"/>
    <col min="9721" max="9721" width="49" style="1215" customWidth="1"/>
    <col min="9722" max="9722" width="16.85546875" style="1215" customWidth="1"/>
    <col min="9723" max="9723" width="1.140625" style="1215" customWidth="1"/>
    <col min="9724" max="9724" width="20.5703125" style="1215" customWidth="1"/>
    <col min="9725" max="9725" width="17.5703125" style="1215" customWidth="1"/>
    <col min="9726" max="9726" width="18.140625" style="1215" customWidth="1"/>
    <col min="9727" max="9727" width="17.140625" style="1215" customWidth="1"/>
    <col min="9728" max="9728" width="22.42578125" style="1215" bestFit="1" customWidth="1"/>
    <col min="9729" max="9729" width="22.140625" style="1215" customWidth="1"/>
    <col min="9730" max="9730" width="17.85546875" style="1215" customWidth="1"/>
    <col min="9731" max="9731" width="22.42578125" style="1215" customWidth="1"/>
    <col min="9732" max="9732" width="10.140625" style="1215" bestFit="1" customWidth="1"/>
    <col min="9733" max="9733" width="13.42578125" style="1215" customWidth="1"/>
    <col min="9734" max="9734" width="7.42578125" style="1215" bestFit="1" customWidth="1"/>
    <col min="9735" max="9735" width="15.42578125" style="1215" bestFit="1" customWidth="1"/>
    <col min="9736" max="9736" width="7.42578125" style="1215" bestFit="1" customWidth="1"/>
    <col min="9737" max="9737" width="19.5703125" style="1215" bestFit="1" customWidth="1"/>
    <col min="9738" max="9738" width="7.42578125" style="1215" bestFit="1" customWidth="1"/>
    <col min="9739" max="9739" width="26.85546875" style="1215" bestFit="1" customWidth="1"/>
    <col min="9740" max="9740" width="19.85546875" style="1215" bestFit="1" customWidth="1"/>
    <col min="9741" max="9975" width="11.42578125" style="1215"/>
    <col min="9976" max="9976" width="2.42578125" style="1215" customWidth="1"/>
    <col min="9977" max="9977" width="49" style="1215" customWidth="1"/>
    <col min="9978" max="9978" width="16.85546875" style="1215" customWidth="1"/>
    <col min="9979" max="9979" width="1.140625" style="1215" customWidth="1"/>
    <col min="9980" max="9980" width="20.5703125" style="1215" customWidth="1"/>
    <col min="9981" max="9981" width="17.5703125" style="1215" customWidth="1"/>
    <col min="9982" max="9982" width="18.140625" style="1215" customWidth="1"/>
    <col min="9983" max="9983" width="17.140625" style="1215" customWidth="1"/>
    <col min="9984" max="9984" width="22.42578125" style="1215" bestFit="1" customWidth="1"/>
    <col min="9985" max="9985" width="22.140625" style="1215" customWidth="1"/>
    <col min="9986" max="9986" width="17.85546875" style="1215" customWidth="1"/>
    <col min="9987" max="9987" width="22.42578125" style="1215" customWidth="1"/>
    <col min="9988" max="9988" width="10.140625" style="1215" bestFit="1" customWidth="1"/>
    <col min="9989" max="9989" width="13.42578125" style="1215" customWidth="1"/>
    <col min="9990" max="9990" width="7.42578125" style="1215" bestFit="1" customWidth="1"/>
    <col min="9991" max="9991" width="15.42578125" style="1215" bestFit="1" customWidth="1"/>
    <col min="9992" max="9992" width="7.42578125" style="1215" bestFit="1" customWidth="1"/>
    <col min="9993" max="9993" width="19.5703125" style="1215" bestFit="1" customWidth="1"/>
    <col min="9994" max="9994" width="7.42578125" style="1215" bestFit="1" customWidth="1"/>
    <col min="9995" max="9995" width="26.85546875" style="1215" bestFit="1" customWidth="1"/>
    <col min="9996" max="9996" width="19.85546875" style="1215" bestFit="1" customWidth="1"/>
    <col min="9997" max="10231" width="11.42578125" style="1215"/>
    <col min="10232" max="10232" width="2.42578125" style="1215" customWidth="1"/>
    <col min="10233" max="10233" width="49" style="1215" customWidth="1"/>
    <col min="10234" max="10234" width="16.85546875" style="1215" customWidth="1"/>
    <col min="10235" max="10235" width="1.140625" style="1215" customWidth="1"/>
    <col min="10236" max="10236" width="20.5703125" style="1215" customWidth="1"/>
    <col min="10237" max="10237" width="17.5703125" style="1215" customWidth="1"/>
    <col min="10238" max="10238" width="18.140625" style="1215" customWidth="1"/>
    <col min="10239" max="10239" width="17.140625" style="1215" customWidth="1"/>
    <col min="10240" max="10240" width="22.42578125" style="1215" bestFit="1" customWidth="1"/>
    <col min="10241" max="10241" width="22.140625" style="1215" customWidth="1"/>
    <col min="10242" max="10242" width="17.85546875" style="1215" customWidth="1"/>
    <col min="10243" max="10243" width="22.42578125" style="1215" customWidth="1"/>
    <col min="10244" max="10244" width="10.140625" style="1215" bestFit="1" customWidth="1"/>
    <col min="10245" max="10245" width="13.42578125" style="1215" customWidth="1"/>
    <col min="10246" max="10246" width="7.42578125" style="1215" bestFit="1" customWidth="1"/>
    <col min="10247" max="10247" width="15.42578125" style="1215" bestFit="1" customWidth="1"/>
    <col min="10248" max="10248" width="7.42578125" style="1215" bestFit="1" customWidth="1"/>
    <col min="10249" max="10249" width="19.5703125" style="1215" bestFit="1" customWidth="1"/>
    <col min="10250" max="10250" width="7.42578125" style="1215" bestFit="1" customWidth="1"/>
    <col min="10251" max="10251" width="26.85546875" style="1215" bestFit="1" customWidth="1"/>
    <col min="10252" max="10252" width="19.85546875" style="1215" bestFit="1" customWidth="1"/>
    <col min="10253" max="10487" width="11.42578125" style="1215"/>
    <col min="10488" max="10488" width="2.42578125" style="1215" customWidth="1"/>
    <col min="10489" max="10489" width="49" style="1215" customWidth="1"/>
    <col min="10490" max="10490" width="16.85546875" style="1215" customWidth="1"/>
    <col min="10491" max="10491" width="1.140625" style="1215" customWidth="1"/>
    <col min="10492" max="10492" width="20.5703125" style="1215" customWidth="1"/>
    <col min="10493" max="10493" width="17.5703125" style="1215" customWidth="1"/>
    <col min="10494" max="10494" width="18.140625" style="1215" customWidth="1"/>
    <col min="10495" max="10495" width="17.140625" style="1215" customWidth="1"/>
    <col min="10496" max="10496" width="22.42578125" style="1215" bestFit="1" customWidth="1"/>
    <col min="10497" max="10497" width="22.140625" style="1215" customWidth="1"/>
    <col min="10498" max="10498" width="17.85546875" style="1215" customWidth="1"/>
    <col min="10499" max="10499" width="22.42578125" style="1215" customWidth="1"/>
    <col min="10500" max="10500" width="10.140625" style="1215" bestFit="1" customWidth="1"/>
    <col min="10501" max="10501" width="13.42578125" style="1215" customWidth="1"/>
    <col min="10502" max="10502" width="7.42578125" style="1215" bestFit="1" customWidth="1"/>
    <col min="10503" max="10503" width="15.42578125" style="1215" bestFit="1" customWidth="1"/>
    <col min="10504" max="10504" width="7.42578125" style="1215" bestFit="1" customWidth="1"/>
    <col min="10505" max="10505" width="19.5703125" style="1215" bestFit="1" customWidth="1"/>
    <col min="10506" max="10506" width="7.42578125" style="1215" bestFit="1" customWidth="1"/>
    <col min="10507" max="10507" width="26.85546875" style="1215" bestFit="1" customWidth="1"/>
    <col min="10508" max="10508" width="19.85546875" style="1215" bestFit="1" customWidth="1"/>
    <col min="10509" max="10743" width="11.42578125" style="1215"/>
    <col min="10744" max="10744" width="2.42578125" style="1215" customWidth="1"/>
    <col min="10745" max="10745" width="49" style="1215" customWidth="1"/>
    <col min="10746" max="10746" width="16.85546875" style="1215" customWidth="1"/>
    <col min="10747" max="10747" width="1.140625" style="1215" customWidth="1"/>
    <col min="10748" max="10748" width="20.5703125" style="1215" customWidth="1"/>
    <col min="10749" max="10749" width="17.5703125" style="1215" customWidth="1"/>
    <col min="10750" max="10750" width="18.140625" style="1215" customWidth="1"/>
    <col min="10751" max="10751" width="17.140625" style="1215" customWidth="1"/>
    <col min="10752" max="10752" width="22.42578125" style="1215" bestFit="1" customWidth="1"/>
    <col min="10753" max="10753" width="22.140625" style="1215" customWidth="1"/>
    <col min="10754" max="10754" width="17.85546875" style="1215" customWidth="1"/>
    <col min="10755" max="10755" width="22.42578125" style="1215" customWidth="1"/>
    <col min="10756" max="10756" width="10.140625" style="1215" bestFit="1" customWidth="1"/>
    <col min="10757" max="10757" width="13.42578125" style="1215" customWidth="1"/>
    <col min="10758" max="10758" width="7.42578125" style="1215" bestFit="1" customWidth="1"/>
    <col min="10759" max="10759" width="15.42578125" style="1215" bestFit="1" customWidth="1"/>
    <col min="10760" max="10760" width="7.42578125" style="1215" bestFit="1" customWidth="1"/>
    <col min="10761" max="10761" width="19.5703125" style="1215" bestFit="1" customWidth="1"/>
    <col min="10762" max="10762" width="7.42578125" style="1215" bestFit="1" customWidth="1"/>
    <col min="10763" max="10763" width="26.85546875" style="1215" bestFit="1" customWidth="1"/>
    <col min="10764" max="10764" width="19.85546875" style="1215" bestFit="1" customWidth="1"/>
    <col min="10765" max="10999" width="11.42578125" style="1215"/>
    <col min="11000" max="11000" width="2.42578125" style="1215" customWidth="1"/>
    <col min="11001" max="11001" width="49" style="1215" customWidth="1"/>
    <col min="11002" max="11002" width="16.85546875" style="1215" customWidth="1"/>
    <col min="11003" max="11003" width="1.140625" style="1215" customWidth="1"/>
    <col min="11004" max="11004" width="20.5703125" style="1215" customWidth="1"/>
    <col min="11005" max="11005" width="17.5703125" style="1215" customWidth="1"/>
    <col min="11006" max="11006" width="18.140625" style="1215" customWidth="1"/>
    <col min="11007" max="11007" width="17.140625" style="1215" customWidth="1"/>
    <col min="11008" max="11008" width="22.42578125" style="1215" bestFit="1" customWidth="1"/>
    <col min="11009" max="11009" width="22.140625" style="1215" customWidth="1"/>
    <col min="11010" max="11010" width="17.85546875" style="1215" customWidth="1"/>
    <col min="11011" max="11011" width="22.42578125" style="1215" customWidth="1"/>
    <col min="11012" max="11012" width="10.140625" style="1215" bestFit="1" customWidth="1"/>
    <col min="11013" max="11013" width="13.42578125" style="1215" customWidth="1"/>
    <col min="11014" max="11014" width="7.42578125" style="1215" bestFit="1" customWidth="1"/>
    <col min="11015" max="11015" width="15.42578125" style="1215" bestFit="1" customWidth="1"/>
    <col min="11016" max="11016" width="7.42578125" style="1215" bestFit="1" customWidth="1"/>
    <col min="11017" max="11017" width="19.5703125" style="1215" bestFit="1" customWidth="1"/>
    <col min="11018" max="11018" width="7.42578125" style="1215" bestFit="1" customWidth="1"/>
    <col min="11019" max="11019" width="26.85546875" style="1215" bestFit="1" customWidth="1"/>
    <col min="11020" max="11020" width="19.85546875" style="1215" bestFit="1" customWidth="1"/>
    <col min="11021" max="11255" width="11.42578125" style="1215"/>
    <col min="11256" max="11256" width="2.42578125" style="1215" customWidth="1"/>
    <col min="11257" max="11257" width="49" style="1215" customWidth="1"/>
    <col min="11258" max="11258" width="16.85546875" style="1215" customWidth="1"/>
    <col min="11259" max="11259" width="1.140625" style="1215" customWidth="1"/>
    <col min="11260" max="11260" width="20.5703125" style="1215" customWidth="1"/>
    <col min="11261" max="11261" width="17.5703125" style="1215" customWidth="1"/>
    <col min="11262" max="11262" width="18.140625" style="1215" customWidth="1"/>
    <col min="11263" max="11263" width="17.140625" style="1215" customWidth="1"/>
    <col min="11264" max="11264" width="22.42578125" style="1215" bestFit="1" customWidth="1"/>
    <col min="11265" max="11265" width="22.140625" style="1215" customWidth="1"/>
    <col min="11266" max="11266" width="17.85546875" style="1215" customWidth="1"/>
    <col min="11267" max="11267" width="22.42578125" style="1215" customWidth="1"/>
    <col min="11268" max="11268" width="10.140625" style="1215" bestFit="1" customWidth="1"/>
    <col min="11269" max="11269" width="13.42578125" style="1215" customWidth="1"/>
    <col min="11270" max="11270" width="7.42578125" style="1215" bestFit="1" customWidth="1"/>
    <col min="11271" max="11271" width="15.42578125" style="1215" bestFit="1" customWidth="1"/>
    <col min="11272" max="11272" width="7.42578125" style="1215" bestFit="1" customWidth="1"/>
    <col min="11273" max="11273" width="19.5703125" style="1215" bestFit="1" customWidth="1"/>
    <col min="11274" max="11274" width="7.42578125" style="1215" bestFit="1" customWidth="1"/>
    <col min="11275" max="11275" width="26.85546875" style="1215" bestFit="1" customWidth="1"/>
    <col min="11276" max="11276" width="19.85546875" style="1215" bestFit="1" customWidth="1"/>
    <col min="11277" max="11511" width="11.42578125" style="1215"/>
    <col min="11512" max="11512" width="2.42578125" style="1215" customWidth="1"/>
    <col min="11513" max="11513" width="49" style="1215" customWidth="1"/>
    <col min="11514" max="11514" width="16.85546875" style="1215" customWidth="1"/>
    <col min="11515" max="11515" width="1.140625" style="1215" customWidth="1"/>
    <col min="11516" max="11516" width="20.5703125" style="1215" customWidth="1"/>
    <col min="11517" max="11517" width="17.5703125" style="1215" customWidth="1"/>
    <col min="11518" max="11518" width="18.140625" style="1215" customWidth="1"/>
    <col min="11519" max="11519" width="17.140625" style="1215" customWidth="1"/>
    <col min="11520" max="11520" width="22.42578125" style="1215" bestFit="1" customWidth="1"/>
    <col min="11521" max="11521" width="22.140625" style="1215" customWidth="1"/>
    <col min="11522" max="11522" width="17.85546875" style="1215" customWidth="1"/>
    <col min="11523" max="11523" width="22.42578125" style="1215" customWidth="1"/>
    <col min="11524" max="11524" width="10.140625" style="1215" bestFit="1" customWidth="1"/>
    <col min="11525" max="11525" width="13.42578125" style="1215" customWidth="1"/>
    <col min="11526" max="11526" width="7.42578125" style="1215" bestFit="1" customWidth="1"/>
    <col min="11527" max="11527" width="15.42578125" style="1215" bestFit="1" customWidth="1"/>
    <col min="11528" max="11528" width="7.42578125" style="1215" bestFit="1" customWidth="1"/>
    <col min="11529" max="11529" width="19.5703125" style="1215" bestFit="1" customWidth="1"/>
    <col min="11530" max="11530" width="7.42578125" style="1215" bestFit="1" customWidth="1"/>
    <col min="11531" max="11531" width="26.85546875" style="1215" bestFit="1" customWidth="1"/>
    <col min="11532" max="11532" width="19.85546875" style="1215" bestFit="1" customWidth="1"/>
    <col min="11533" max="11767" width="11.42578125" style="1215"/>
    <col min="11768" max="11768" width="2.42578125" style="1215" customWidth="1"/>
    <col min="11769" max="11769" width="49" style="1215" customWidth="1"/>
    <col min="11770" max="11770" width="16.85546875" style="1215" customWidth="1"/>
    <col min="11771" max="11771" width="1.140625" style="1215" customWidth="1"/>
    <col min="11772" max="11772" width="20.5703125" style="1215" customWidth="1"/>
    <col min="11773" max="11773" width="17.5703125" style="1215" customWidth="1"/>
    <col min="11774" max="11774" width="18.140625" style="1215" customWidth="1"/>
    <col min="11775" max="11775" width="17.140625" style="1215" customWidth="1"/>
    <col min="11776" max="11776" width="22.42578125" style="1215" bestFit="1" customWidth="1"/>
    <col min="11777" max="11777" width="22.140625" style="1215" customWidth="1"/>
    <col min="11778" max="11778" width="17.85546875" style="1215" customWidth="1"/>
    <col min="11779" max="11779" width="22.42578125" style="1215" customWidth="1"/>
    <col min="11780" max="11780" width="10.140625" style="1215" bestFit="1" customWidth="1"/>
    <col min="11781" max="11781" width="13.42578125" style="1215" customWidth="1"/>
    <col min="11782" max="11782" width="7.42578125" style="1215" bestFit="1" customWidth="1"/>
    <col min="11783" max="11783" width="15.42578125" style="1215" bestFit="1" customWidth="1"/>
    <col min="11784" max="11784" width="7.42578125" style="1215" bestFit="1" customWidth="1"/>
    <col min="11785" max="11785" width="19.5703125" style="1215" bestFit="1" customWidth="1"/>
    <col min="11786" max="11786" width="7.42578125" style="1215" bestFit="1" customWidth="1"/>
    <col min="11787" max="11787" width="26.85546875" style="1215" bestFit="1" customWidth="1"/>
    <col min="11788" max="11788" width="19.85546875" style="1215" bestFit="1" customWidth="1"/>
    <col min="11789" max="12023" width="11.42578125" style="1215"/>
    <col min="12024" max="12024" width="2.42578125" style="1215" customWidth="1"/>
    <col min="12025" max="12025" width="49" style="1215" customWidth="1"/>
    <col min="12026" max="12026" width="16.85546875" style="1215" customWidth="1"/>
    <col min="12027" max="12027" width="1.140625" style="1215" customWidth="1"/>
    <col min="12028" max="12028" width="20.5703125" style="1215" customWidth="1"/>
    <col min="12029" max="12029" width="17.5703125" style="1215" customWidth="1"/>
    <col min="12030" max="12030" width="18.140625" style="1215" customWidth="1"/>
    <col min="12031" max="12031" width="17.140625" style="1215" customWidth="1"/>
    <col min="12032" max="12032" width="22.42578125" style="1215" bestFit="1" customWidth="1"/>
    <col min="12033" max="12033" width="22.140625" style="1215" customWidth="1"/>
    <col min="12034" max="12034" width="17.85546875" style="1215" customWidth="1"/>
    <col min="12035" max="12035" width="22.42578125" style="1215" customWidth="1"/>
    <col min="12036" max="12036" width="10.140625" style="1215" bestFit="1" customWidth="1"/>
    <col min="12037" max="12037" width="13.42578125" style="1215" customWidth="1"/>
    <col min="12038" max="12038" width="7.42578125" style="1215" bestFit="1" customWidth="1"/>
    <col min="12039" max="12039" width="15.42578125" style="1215" bestFit="1" customWidth="1"/>
    <col min="12040" max="12040" width="7.42578125" style="1215" bestFit="1" customWidth="1"/>
    <col min="12041" max="12041" width="19.5703125" style="1215" bestFit="1" customWidth="1"/>
    <col min="12042" max="12042" width="7.42578125" style="1215" bestFit="1" customWidth="1"/>
    <col min="12043" max="12043" width="26.85546875" style="1215" bestFit="1" customWidth="1"/>
    <col min="12044" max="12044" width="19.85546875" style="1215" bestFit="1" customWidth="1"/>
    <col min="12045" max="12279" width="11.42578125" style="1215"/>
    <col min="12280" max="12280" width="2.42578125" style="1215" customWidth="1"/>
    <col min="12281" max="12281" width="49" style="1215" customWidth="1"/>
    <col min="12282" max="12282" width="16.85546875" style="1215" customWidth="1"/>
    <col min="12283" max="12283" width="1.140625" style="1215" customWidth="1"/>
    <col min="12284" max="12284" width="20.5703125" style="1215" customWidth="1"/>
    <col min="12285" max="12285" width="17.5703125" style="1215" customWidth="1"/>
    <col min="12286" max="12286" width="18.140625" style="1215" customWidth="1"/>
    <col min="12287" max="12287" width="17.140625" style="1215" customWidth="1"/>
    <col min="12288" max="12288" width="22.42578125" style="1215" bestFit="1" customWidth="1"/>
    <col min="12289" max="12289" width="22.140625" style="1215" customWidth="1"/>
    <col min="12290" max="12290" width="17.85546875" style="1215" customWidth="1"/>
    <col min="12291" max="12291" width="22.42578125" style="1215" customWidth="1"/>
    <col min="12292" max="12292" width="10.140625" style="1215" bestFit="1" customWidth="1"/>
    <col min="12293" max="12293" width="13.42578125" style="1215" customWidth="1"/>
    <col min="12294" max="12294" width="7.42578125" style="1215" bestFit="1" customWidth="1"/>
    <col min="12295" max="12295" width="15.42578125" style="1215" bestFit="1" customWidth="1"/>
    <col min="12296" max="12296" width="7.42578125" style="1215" bestFit="1" customWidth="1"/>
    <col min="12297" max="12297" width="19.5703125" style="1215" bestFit="1" customWidth="1"/>
    <col min="12298" max="12298" width="7.42578125" style="1215" bestFit="1" customWidth="1"/>
    <col min="12299" max="12299" width="26.85546875" style="1215" bestFit="1" customWidth="1"/>
    <col min="12300" max="12300" width="19.85546875" style="1215" bestFit="1" customWidth="1"/>
    <col min="12301" max="12535" width="11.42578125" style="1215"/>
    <col min="12536" max="12536" width="2.42578125" style="1215" customWidth="1"/>
    <col min="12537" max="12537" width="49" style="1215" customWidth="1"/>
    <col min="12538" max="12538" width="16.85546875" style="1215" customWidth="1"/>
    <col min="12539" max="12539" width="1.140625" style="1215" customWidth="1"/>
    <col min="12540" max="12540" width="20.5703125" style="1215" customWidth="1"/>
    <col min="12541" max="12541" width="17.5703125" style="1215" customWidth="1"/>
    <col min="12542" max="12542" width="18.140625" style="1215" customWidth="1"/>
    <col min="12543" max="12543" width="17.140625" style="1215" customWidth="1"/>
    <col min="12544" max="12544" width="22.42578125" style="1215" bestFit="1" customWidth="1"/>
    <col min="12545" max="12545" width="22.140625" style="1215" customWidth="1"/>
    <col min="12546" max="12546" width="17.85546875" style="1215" customWidth="1"/>
    <col min="12547" max="12547" width="22.42578125" style="1215" customWidth="1"/>
    <col min="12548" max="12548" width="10.140625" style="1215" bestFit="1" customWidth="1"/>
    <col min="12549" max="12549" width="13.42578125" style="1215" customWidth="1"/>
    <col min="12550" max="12550" width="7.42578125" style="1215" bestFit="1" customWidth="1"/>
    <col min="12551" max="12551" width="15.42578125" style="1215" bestFit="1" customWidth="1"/>
    <col min="12552" max="12552" width="7.42578125" style="1215" bestFit="1" customWidth="1"/>
    <col min="12553" max="12553" width="19.5703125" style="1215" bestFit="1" customWidth="1"/>
    <col min="12554" max="12554" width="7.42578125" style="1215" bestFit="1" customWidth="1"/>
    <col min="12555" max="12555" width="26.85546875" style="1215" bestFit="1" customWidth="1"/>
    <col min="12556" max="12556" width="19.85546875" style="1215" bestFit="1" customWidth="1"/>
    <col min="12557" max="12791" width="11.42578125" style="1215"/>
    <col min="12792" max="12792" width="2.42578125" style="1215" customWidth="1"/>
    <col min="12793" max="12793" width="49" style="1215" customWidth="1"/>
    <col min="12794" max="12794" width="16.85546875" style="1215" customWidth="1"/>
    <col min="12795" max="12795" width="1.140625" style="1215" customWidth="1"/>
    <col min="12796" max="12796" width="20.5703125" style="1215" customWidth="1"/>
    <col min="12797" max="12797" width="17.5703125" style="1215" customWidth="1"/>
    <col min="12798" max="12798" width="18.140625" style="1215" customWidth="1"/>
    <col min="12799" max="12799" width="17.140625" style="1215" customWidth="1"/>
    <col min="12800" max="12800" width="22.42578125" style="1215" bestFit="1" customWidth="1"/>
    <col min="12801" max="12801" width="22.140625" style="1215" customWidth="1"/>
    <col min="12802" max="12802" width="17.85546875" style="1215" customWidth="1"/>
    <col min="12803" max="12803" width="22.42578125" style="1215" customWidth="1"/>
    <col min="12804" max="12804" width="10.140625" style="1215" bestFit="1" customWidth="1"/>
    <col min="12805" max="12805" width="13.42578125" style="1215" customWidth="1"/>
    <col min="12806" max="12806" width="7.42578125" style="1215" bestFit="1" customWidth="1"/>
    <col min="12807" max="12807" width="15.42578125" style="1215" bestFit="1" customWidth="1"/>
    <col min="12808" max="12808" width="7.42578125" style="1215" bestFit="1" customWidth="1"/>
    <col min="12809" max="12809" width="19.5703125" style="1215" bestFit="1" customWidth="1"/>
    <col min="12810" max="12810" width="7.42578125" style="1215" bestFit="1" customWidth="1"/>
    <col min="12811" max="12811" width="26.85546875" style="1215" bestFit="1" customWidth="1"/>
    <col min="12812" max="12812" width="19.85546875" style="1215" bestFit="1" customWidth="1"/>
    <col min="12813" max="13047" width="11.42578125" style="1215"/>
    <col min="13048" max="13048" width="2.42578125" style="1215" customWidth="1"/>
    <col min="13049" max="13049" width="49" style="1215" customWidth="1"/>
    <col min="13050" max="13050" width="16.85546875" style="1215" customWidth="1"/>
    <col min="13051" max="13051" width="1.140625" style="1215" customWidth="1"/>
    <col min="13052" max="13052" width="20.5703125" style="1215" customWidth="1"/>
    <col min="13053" max="13053" width="17.5703125" style="1215" customWidth="1"/>
    <col min="13054" max="13054" width="18.140625" style="1215" customWidth="1"/>
    <col min="13055" max="13055" width="17.140625" style="1215" customWidth="1"/>
    <col min="13056" max="13056" width="22.42578125" style="1215" bestFit="1" customWidth="1"/>
    <col min="13057" max="13057" width="22.140625" style="1215" customWidth="1"/>
    <col min="13058" max="13058" width="17.85546875" style="1215" customWidth="1"/>
    <col min="13059" max="13059" width="22.42578125" style="1215" customWidth="1"/>
    <col min="13060" max="13060" width="10.140625" style="1215" bestFit="1" customWidth="1"/>
    <col min="13061" max="13061" width="13.42578125" style="1215" customWidth="1"/>
    <col min="13062" max="13062" width="7.42578125" style="1215" bestFit="1" customWidth="1"/>
    <col min="13063" max="13063" width="15.42578125" style="1215" bestFit="1" customWidth="1"/>
    <col min="13064" max="13064" width="7.42578125" style="1215" bestFit="1" customWidth="1"/>
    <col min="13065" max="13065" width="19.5703125" style="1215" bestFit="1" customWidth="1"/>
    <col min="13066" max="13066" width="7.42578125" style="1215" bestFit="1" customWidth="1"/>
    <col min="13067" max="13067" width="26.85546875" style="1215" bestFit="1" customWidth="1"/>
    <col min="13068" max="13068" width="19.85546875" style="1215" bestFit="1" customWidth="1"/>
    <col min="13069" max="13303" width="11.42578125" style="1215"/>
    <col min="13304" max="13304" width="2.42578125" style="1215" customWidth="1"/>
    <col min="13305" max="13305" width="49" style="1215" customWidth="1"/>
    <col min="13306" max="13306" width="16.85546875" style="1215" customWidth="1"/>
    <col min="13307" max="13307" width="1.140625" style="1215" customWidth="1"/>
    <col min="13308" max="13308" width="20.5703125" style="1215" customWidth="1"/>
    <col min="13309" max="13309" width="17.5703125" style="1215" customWidth="1"/>
    <col min="13310" max="13310" width="18.140625" style="1215" customWidth="1"/>
    <col min="13311" max="13311" width="17.140625" style="1215" customWidth="1"/>
    <col min="13312" max="13312" width="22.42578125" style="1215" bestFit="1" customWidth="1"/>
    <col min="13313" max="13313" width="22.140625" style="1215" customWidth="1"/>
    <col min="13314" max="13314" width="17.85546875" style="1215" customWidth="1"/>
    <col min="13315" max="13315" width="22.42578125" style="1215" customWidth="1"/>
    <col min="13316" max="13316" width="10.140625" style="1215" bestFit="1" customWidth="1"/>
    <col min="13317" max="13317" width="13.42578125" style="1215" customWidth="1"/>
    <col min="13318" max="13318" width="7.42578125" style="1215" bestFit="1" customWidth="1"/>
    <col min="13319" max="13319" width="15.42578125" style="1215" bestFit="1" customWidth="1"/>
    <col min="13320" max="13320" width="7.42578125" style="1215" bestFit="1" customWidth="1"/>
    <col min="13321" max="13321" width="19.5703125" style="1215" bestFit="1" customWidth="1"/>
    <col min="13322" max="13322" width="7.42578125" style="1215" bestFit="1" customWidth="1"/>
    <col min="13323" max="13323" width="26.85546875" style="1215" bestFit="1" customWidth="1"/>
    <col min="13324" max="13324" width="19.85546875" style="1215" bestFit="1" customWidth="1"/>
    <col min="13325" max="13559" width="11.42578125" style="1215"/>
    <col min="13560" max="13560" width="2.42578125" style="1215" customWidth="1"/>
    <col min="13561" max="13561" width="49" style="1215" customWidth="1"/>
    <col min="13562" max="13562" width="16.85546875" style="1215" customWidth="1"/>
    <col min="13563" max="13563" width="1.140625" style="1215" customWidth="1"/>
    <col min="13564" max="13564" width="20.5703125" style="1215" customWidth="1"/>
    <col min="13565" max="13565" width="17.5703125" style="1215" customWidth="1"/>
    <col min="13566" max="13566" width="18.140625" style="1215" customWidth="1"/>
    <col min="13567" max="13567" width="17.140625" style="1215" customWidth="1"/>
    <col min="13568" max="13568" width="22.42578125" style="1215" bestFit="1" customWidth="1"/>
    <col min="13569" max="13569" width="22.140625" style="1215" customWidth="1"/>
    <col min="13570" max="13570" width="17.85546875" style="1215" customWidth="1"/>
    <col min="13571" max="13571" width="22.42578125" style="1215" customWidth="1"/>
    <col min="13572" max="13572" width="10.140625" style="1215" bestFit="1" customWidth="1"/>
    <col min="13573" max="13573" width="13.42578125" style="1215" customWidth="1"/>
    <col min="13574" max="13574" width="7.42578125" style="1215" bestFit="1" customWidth="1"/>
    <col min="13575" max="13575" width="15.42578125" style="1215" bestFit="1" customWidth="1"/>
    <col min="13576" max="13576" width="7.42578125" style="1215" bestFit="1" customWidth="1"/>
    <col min="13577" max="13577" width="19.5703125" style="1215" bestFit="1" customWidth="1"/>
    <col min="13578" max="13578" width="7.42578125" style="1215" bestFit="1" customWidth="1"/>
    <col min="13579" max="13579" width="26.85546875" style="1215" bestFit="1" customWidth="1"/>
    <col min="13580" max="13580" width="19.85546875" style="1215" bestFit="1" customWidth="1"/>
    <col min="13581" max="13815" width="11.42578125" style="1215"/>
    <col min="13816" max="13816" width="2.42578125" style="1215" customWidth="1"/>
    <col min="13817" max="13817" width="49" style="1215" customWidth="1"/>
    <col min="13818" max="13818" width="16.85546875" style="1215" customWidth="1"/>
    <col min="13819" max="13819" width="1.140625" style="1215" customWidth="1"/>
    <col min="13820" max="13820" width="20.5703125" style="1215" customWidth="1"/>
    <col min="13821" max="13821" width="17.5703125" style="1215" customWidth="1"/>
    <col min="13822" max="13822" width="18.140625" style="1215" customWidth="1"/>
    <col min="13823" max="13823" width="17.140625" style="1215" customWidth="1"/>
    <col min="13824" max="13824" width="22.42578125" style="1215" bestFit="1" customWidth="1"/>
    <col min="13825" max="13825" width="22.140625" style="1215" customWidth="1"/>
    <col min="13826" max="13826" width="17.85546875" style="1215" customWidth="1"/>
    <col min="13827" max="13827" width="22.42578125" style="1215" customWidth="1"/>
    <col min="13828" max="13828" width="10.140625" style="1215" bestFit="1" customWidth="1"/>
    <col min="13829" max="13829" width="13.42578125" style="1215" customWidth="1"/>
    <col min="13830" max="13830" width="7.42578125" style="1215" bestFit="1" customWidth="1"/>
    <col min="13831" max="13831" width="15.42578125" style="1215" bestFit="1" customWidth="1"/>
    <col min="13832" max="13832" width="7.42578125" style="1215" bestFit="1" customWidth="1"/>
    <col min="13833" max="13833" width="19.5703125" style="1215" bestFit="1" customWidth="1"/>
    <col min="13834" max="13834" width="7.42578125" style="1215" bestFit="1" customWidth="1"/>
    <col min="13835" max="13835" width="26.85546875" style="1215" bestFit="1" customWidth="1"/>
    <col min="13836" max="13836" width="19.85546875" style="1215" bestFit="1" customWidth="1"/>
    <col min="13837" max="14071" width="11.42578125" style="1215"/>
    <col min="14072" max="14072" width="2.42578125" style="1215" customWidth="1"/>
    <col min="14073" max="14073" width="49" style="1215" customWidth="1"/>
    <col min="14074" max="14074" width="16.85546875" style="1215" customWidth="1"/>
    <col min="14075" max="14075" width="1.140625" style="1215" customWidth="1"/>
    <col min="14076" max="14076" width="20.5703125" style="1215" customWidth="1"/>
    <col min="14077" max="14077" width="17.5703125" style="1215" customWidth="1"/>
    <col min="14078" max="14078" width="18.140625" style="1215" customWidth="1"/>
    <col min="14079" max="14079" width="17.140625" style="1215" customWidth="1"/>
    <col min="14080" max="14080" width="22.42578125" style="1215" bestFit="1" customWidth="1"/>
    <col min="14081" max="14081" width="22.140625" style="1215" customWidth="1"/>
    <col min="14082" max="14082" width="17.85546875" style="1215" customWidth="1"/>
    <col min="14083" max="14083" width="22.42578125" style="1215" customWidth="1"/>
    <col min="14084" max="14084" width="10.140625" style="1215" bestFit="1" customWidth="1"/>
    <col min="14085" max="14085" width="13.42578125" style="1215" customWidth="1"/>
    <col min="14086" max="14086" width="7.42578125" style="1215" bestFit="1" customWidth="1"/>
    <col min="14087" max="14087" width="15.42578125" style="1215" bestFit="1" customWidth="1"/>
    <col min="14088" max="14088" width="7.42578125" style="1215" bestFit="1" customWidth="1"/>
    <col min="14089" max="14089" width="19.5703125" style="1215" bestFit="1" customWidth="1"/>
    <col min="14090" max="14090" width="7.42578125" style="1215" bestFit="1" customWidth="1"/>
    <col min="14091" max="14091" width="26.85546875" style="1215" bestFit="1" customWidth="1"/>
    <col min="14092" max="14092" width="19.85546875" style="1215" bestFit="1" customWidth="1"/>
    <col min="14093" max="14327" width="11.42578125" style="1215"/>
    <col min="14328" max="14328" width="2.42578125" style="1215" customWidth="1"/>
    <col min="14329" max="14329" width="49" style="1215" customWidth="1"/>
    <col min="14330" max="14330" width="16.85546875" style="1215" customWidth="1"/>
    <col min="14331" max="14331" width="1.140625" style="1215" customWidth="1"/>
    <col min="14332" max="14332" width="20.5703125" style="1215" customWidth="1"/>
    <col min="14333" max="14333" width="17.5703125" style="1215" customWidth="1"/>
    <col min="14334" max="14334" width="18.140625" style="1215" customWidth="1"/>
    <col min="14335" max="14335" width="17.140625" style="1215" customWidth="1"/>
    <col min="14336" max="14336" width="22.42578125" style="1215" bestFit="1" customWidth="1"/>
    <col min="14337" max="14337" width="22.140625" style="1215" customWidth="1"/>
    <col min="14338" max="14338" width="17.85546875" style="1215" customWidth="1"/>
    <col min="14339" max="14339" width="22.42578125" style="1215" customWidth="1"/>
    <col min="14340" max="14340" width="10.140625" style="1215" bestFit="1" customWidth="1"/>
    <col min="14341" max="14341" width="13.42578125" style="1215" customWidth="1"/>
    <col min="14342" max="14342" width="7.42578125" style="1215" bestFit="1" customWidth="1"/>
    <col min="14343" max="14343" width="15.42578125" style="1215" bestFit="1" customWidth="1"/>
    <col min="14344" max="14344" width="7.42578125" style="1215" bestFit="1" customWidth="1"/>
    <col min="14345" max="14345" width="19.5703125" style="1215" bestFit="1" customWidth="1"/>
    <col min="14346" max="14346" width="7.42578125" style="1215" bestFit="1" customWidth="1"/>
    <col min="14347" max="14347" width="26.85546875" style="1215" bestFit="1" customWidth="1"/>
    <col min="14348" max="14348" width="19.85546875" style="1215" bestFit="1" customWidth="1"/>
    <col min="14349" max="14583" width="11.42578125" style="1215"/>
    <col min="14584" max="14584" width="2.42578125" style="1215" customWidth="1"/>
    <col min="14585" max="14585" width="49" style="1215" customWidth="1"/>
    <col min="14586" max="14586" width="16.85546875" style="1215" customWidth="1"/>
    <col min="14587" max="14587" width="1.140625" style="1215" customWidth="1"/>
    <col min="14588" max="14588" width="20.5703125" style="1215" customWidth="1"/>
    <col min="14589" max="14589" width="17.5703125" style="1215" customWidth="1"/>
    <col min="14590" max="14590" width="18.140625" style="1215" customWidth="1"/>
    <col min="14591" max="14591" width="17.140625" style="1215" customWidth="1"/>
    <col min="14592" max="14592" width="22.42578125" style="1215" bestFit="1" customWidth="1"/>
    <col min="14593" max="14593" width="22.140625" style="1215" customWidth="1"/>
    <col min="14594" max="14594" width="17.85546875" style="1215" customWidth="1"/>
    <col min="14595" max="14595" width="22.42578125" style="1215" customWidth="1"/>
    <col min="14596" max="14596" width="10.140625" style="1215" bestFit="1" customWidth="1"/>
    <col min="14597" max="14597" width="13.42578125" style="1215" customWidth="1"/>
    <col min="14598" max="14598" width="7.42578125" style="1215" bestFit="1" customWidth="1"/>
    <col min="14599" max="14599" width="15.42578125" style="1215" bestFit="1" customWidth="1"/>
    <col min="14600" max="14600" width="7.42578125" style="1215" bestFit="1" customWidth="1"/>
    <col min="14601" max="14601" width="19.5703125" style="1215" bestFit="1" customWidth="1"/>
    <col min="14602" max="14602" width="7.42578125" style="1215" bestFit="1" customWidth="1"/>
    <col min="14603" max="14603" width="26.85546875" style="1215" bestFit="1" customWidth="1"/>
    <col min="14604" max="14604" width="19.85546875" style="1215" bestFit="1" customWidth="1"/>
    <col min="14605" max="14839" width="11.42578125" style="1215"/>
    <col min="14840" max="14840" width="2.42578125" style="1215" customWidth="1"/>
    <col min="14841" max="14841" width="49" style="1215" customWidth="1"/>
    <col min="14842" max="14842" width="16.85546875" style="1215" customWidth="1"/>
    <col min="14843" max="14843" width="1.140625" style="1215" customWidth="1"/>
    <col min="14844" max="14844" width="20.5703125" style="1215" customWidth="1"/>
    <col min="14845" max="14845" width="17.5703125" style="1215" customWidth="1"/>
    <col min="14846" max="14846" width="18.140625" style="1215" customWidth="1"/>
    <col min="14847" max="14847" width="17.140625" style="1215" customWidth="1"/>
    <col min="14848" max="14848" width="22.42578125" style="1215" bestFit="1" customWidth="1"/>
    <col min="14849" max="14849" width="22.140625" style="1215" customWidth="1"/>
    <col min="14850" max="14850" width="17.85546875" style="1215" customWidth="1"/>
    <col min="14851" max="14851" width="22.42578125" style="1215" customWidth="1"/>
    <col min="14852" max="14852" width="10.140625" style="1215" bestFit="1" customWidth="1"/>
    <col min="14853" max="14853" width="13.42578125" style="1215" customWidth="1"/>
    <col min="14854" max="14854" width="7.42578125" style="1215" bestFit="1" customWidth="1"/>
    <col min="14855" max="14855" width="15.42578125" style="1215" bestFit="1" customWidth="1"/>
    <col min="14856" max="14856" width="7.42578125" style="1215" bestFit="1" customWidth="1"/>
    <col min="14857" max="14857" width="19.5703125" style="1215" bestFit="1" customWidth="1"/>
    <col min="14858" max="14858" width="7.42578125" style="1215" bestFit="1" customWidth="1"/>
    <col min="14859" max="14859" width="26.85546875" style="1215" bestFit="1" customWidth="1"/>
    <col min="14860" max="14860" width="19.85546875" style="1215" bestFit="1" customWidth="1"/>
    <col min="14861" max="15095" width="11.42578125" style="1215"/>
    <col min="15096" max="15096" width="2.42578125" style="1215" customWidth="1"/>
    <col min="15097" max="15097" width="49" style="1215" customWidth="1"/>
    <col min="15098" max="15098" width="16.85546875" style="1215" customWidth="1"/>
    <col min="15099" max="15099" width="1.140625" style="1215" customWidth="1"/>
    <col min="15100" max="15100" width="20.5703125" style="1215" customWidth="1"/>
    <col min="15101" max="15101" width="17.5703125" style="1215" customWidth="1"/>
    <col min="15102" max="15102" width="18.140625" style="1215" customWidth="1"/>
    <col min="15103" max="15103" width="17.140625" style="1215" customWidth="1"/>
    <col min="15104" max="15104" width="22.42578125" style="1215" bestFit="1" customWidth="1"/>
    <col min="15105" max="15105" width="22.140625" style="1215" customWidth="1"/>
    <col min="15106" max="15106" width="17.85546875" style="1215" customWidth="1"/>
    <col min="15107" max="15107" width="22.42578125" style="1215" customWidth="1"/>
    <col min="15108" max="15108" width="10.140625" style="1215" bestFit="1" customWidth="1"/>
    <col min="15109" max="15109" width="13.42578125" style="1215" customWidth="1"/>
    <col min="15110" max="15110" width="7.42578125" style="1215" bestFit="1" customWidth="1"/>
    <col min="15111" max="15111" width="15.42578125" style="1215" bestFit="1" customWidth="1"/>
    <col min="15112" max="15112" width="7.42578125" style="1215" bestFit="1" customWidth="1"/>
    <col min="15113" max="15113" width="19.5703125" style="1215" bestFit="1" customWidth="1"/>
    <col min="15114" max="15114" width="7.42578125" style="1215" bestFit="1" customWidth="1"/>
    <col min="15115" max="15115" width="26.85546875" style="1215" bestFit="1" customWidth="1"/>
    <col min="15116" max="15116" width="19.85546875" style="1215" bestFit="1" customWidth="1"/>
    <col min="15117" max="15351" width="11.42578125" style="1215"/>
    <col min="15352" max="15352" width="2.42578125" style="1215" customWidth="1"/>
    <col min="15353" max="15353" width="49" style="1215" customWidth="1"/>
    <col min="15354" max="15354" width="16.85546875" style="1215" customWidth="1"/>
    <col min="15355" max="15355" width="1.140625" style="1215" customWidth="1"/>
    <col min="15356" max="15356" width="20.5703125" style="1215" customWidth="1"/>
    <col min="15357" max="15357" width="17.5703125" style="1215" customWidth="1"/>
    <col min="15358" max="15358" width="18.140625" style="1215" customWidth="1"/>
    <col min="15359" max="15359" width="17.140625" style="1215" customWidth="1"/>
    <col min="15360" max="15360" width="22.42578125" style="1215" bestFit="1" customWidth="1"/>
    <col min="15361" max="15361" width="22.140625" style="1215" customWidth="1"/>
    <col min="15362" max="15362" width="17.85546875" style="1215" customWidth="1"/>
    <col min="15363" max="15363" width="22.42578125" style="1215" customWidth="1"/>
    <col min="15364" max="15364" width="10.140625" style="1215" bestFit="1" customWidth="1"/>
    <col min="15365" max="15365" width="13.42578125" style="1215" customWidth="1"/>
    <col min="15366" max="15366" width="7.42578125" style="1215" bestFit="1" customWidth="1"/>
    <col min="15367" max="15367" width="15.42578125" style="1215" bestFit="1" customWidth="1"/>
    <col min="15368" max="15368" width="7.42578125" style="1215" bestFit="1" customWidth="1"/>
    <col min="15369" max="15369" width="19.5703125" style="1215" bestFit="1" customWidth="1"/>
    <col min="15370" max="15370" width="7.42578125" style="1215" bestFit="1" customWidth="1"/>
    <col min="15371" max="15371" width="26.85546875" style="1215" bestFit="1" customWidth="1"/>
    <col min="15372" max="15372" width="19.85546875" style="1215" bestFit="1" customWidth="1"/>
    <col min="15373" max="15607" width="11.42578125" style="1215"/>
    <col min="15608" max="15608" width="2.42578125" style="1215" customWidth="1"/>
    <col min="15609" max="15609" width="49" style="1215" customWidth="1"/>
    <col min="15610" max="15610" width="16.85546875" style="1215" customWidth="1"/>
    <col min="15611" max="15611" width="1.140625" style="1215" customWidth="1"/>
    <col min="15612" max="15612" width="20.5703125" style="1215" customWidth="1"/>
    <col min="15613" max="15613" width="17.5703125" style="1215" customWidth="1"/>
    <col min="15614" max="15614" width="18.140625" style="1215" customWidth="1"/>
    <col min="15615" max="15615" width="17.140625" style="1215" customWidth="1"/>
    <col min="15616" max="15616" width="22.42578125" style="1215" bestFit="1" customWidth="1"/>
    <col min="15617" max="15617" width="22.140625" style="1215" customWidth="1"/>
    <col min="15618" max="15618" width="17.85546875" style="1215" customWidth="1"/>
    <col min="15619" max="15619" width="22.42578125" style="1215" customWidth="1"/>
    <col min="15620" max="15620" width="10.140625" style="1215" bestFit="1" customWidth="1"/>
    <col min="15621" max="15621" width="13.42578125" style="1215" customWidth="1"/>
    <col min="15622" max="15622" width="7.42578125" style="1215" bestFit="1" customWidth="1"/>
    <col min="15623" max="15623" width="15.42578125" style="1215" bestFit="1" customWidth="1"/>
    <col min="15624" max="15624" width="7.42578125" style="1215" bestFit="1" customWidth="1"/>
    <col min="15625" max="15625" width="19.5703125" style="1215" bestFit="1" customWidth="1"/>
    <col min="15626" max="15626" width="7.42578125" style="1215" bestFit="1" customWidth="1"/>
    <col min="15627" max="15627" width="26.85546875" style="1215" bestFit="1" customWidth="1"/>
    <col min="15628" max="15628" width="19.85546875" style="1215" bestFit="1" customWidth="1"/>
    <col min="15629" max="15863" width="11.42578125" style="1215"/>
    <col min="15864" max="15864" width="2.42578125" style="1215" customWidth="1"/>
    <col min="15865" max="15865" width="49" style="1215" customWidth="1"/>
    <col min="15866" max="15866" width="16.85546875" style="1215" customWidth="1"/>
    <col min="15867" max="15867" width="1.140625" style="1215" customWidth="1"/>
    <col min="15868" max="15868" width="20.5703125" style="1215" customWidth="1"/>
    <col min="15869" max="15869" width="17.5703125" style="1215" customWidth="1"/>
    <col min="15870" max="15870" width="18.140625" style="1215" customWidth="1"/>
    <col min="15871" max="15871" width="17.140625" style="1215" customWidth="1"/>
    <col min="15872" max="15872" width="22.42578125" style="1215" bestFit="1" customWidth="1"/>
    <col min="15873" max="15873" width="22.140625" style="1215" customWidth="1"/>
    <col min="15874" max="15874" width="17.85546875" style="1215" customWidth="1"/>
    <col min="15875" max="15875" width="22.42578125" style="1215" customWidth="1"/>
    <col min="15876" max="15876" width="10.140625" style="1215" bestFit="1" customWidth="1"/>
    <col min="15877" max="15877" width="13.42578125" style="1215" customWidth="1"/>
    <col min="15878" max="15878" width="7.42578125" style="1215" bestFit="1" customWidth="1"/>
    <col min="15879" max="15879" width="15.42578125" style="1215" bestFit="1" customWidth="1"/>
    <col min="15880" max="15880" width="7.42578125" style="1215" bestFit="1" customWidth="1"/>
    <col min="15881" max="15881" width="19.5703125" style="1215" bestFit="1" customWidth="1"/>
    <col min="15882" max="15882" width="7.42578125" style="1215" bestFit="1" customWidth="1"/>
    <col min="15883" max="15883" width="26.85546875" style="1215" bestFit="1" customWidth="1"/>
    <col min="15884" max="15884" width="19.85546875" style="1215" bestFit="1" customWidth="1"/>
    <col min="15885" max="16119" width="11.42578125" style="1215"/>
    <col min="16120" max="16120" width="2.42578125" style="1215" customWidth="1"/>
    <col min="16121" max="16121" width="49" style="1215" customWidth="1"/>
    <col min="16122" max="16122" width="16.85546875" style="1215" customWidth="1"/>
    <col min="16123" max="16123" width="1.140625" style="1215" customWidth="1"/>
    <col min="16124" max="16124" width="20.5703125" style="1215" customWidth="1"/>
    <col min="16125" max="16125" width="17.5703125" style="1215" customWidth="1"/>
    <col min="16126" max="16126" width="18.140625" style="1215" customWidth="1"/>
    <col min="16127" max="16127" width="17.140625" style="1215" customWidth="1"/>
    <col min="16128" max="16128" width="22.42578125" style="1215" bestFit="1" customWidth="1"/>
    <col min="16129" max="16129" width="22.140625" style="1215" customWidth="1"/>
    <col min="16130" max="16130" width="17.85546875" style="1215" customWidth="1"/>
    <col min="16131" max="16131" width="22.42578125" style="1215" customWidth="1"/>
    <col min="16132" max="16132" width="10.140625" style="1215" bestFit="1" customWidth="1"/>
    <col min="16133" max="16133" width="13.42578125" style="1215" customWidth="1"/>
    <col min="16134" max="16134" width="7.42578125" style="1215" bestFit="1" customWidth="1"/>
    <col min="16135" max="16135" width="15.42578125" style="1215" bestFit="1" customWidth="1"/>
    <col min="16136" max="16136" width="7.42578125" style="1215" bestFit="1" customWidth="1"/>
    <col min="16137" max="16137" width="19.5703125" style="1215" bestFit="1" customWidth="1"/>
    <col min="16138" max="16138" width="7.42578125" style="1215" bestFit="1" customWidth="1"/>
    <col min="16139" max="16139" width="26.85546875" style="1215" bestFit="1" customWidth="1"/>
    <col min="16140" max="16140" width="19.85546875" style="1215" bestFit="1" customWidth="1"/>
    <col min="16141" max="16384" width="11.42578125" style="1215"/>
  </cols>
  <sheetData>
    <row r="3" spans="3:14" s="80" customFormat="1" ht="13.5" customHeight="1">
      <c r="C3" s="78"/>
      <c r="D3" s="78"/>
      <c r="E3" s="78"/>
      <c r="N3" s="1497" t="s">
        <v>1073</v>
      </c>
    </row>
    <row r="4" spans="3:14" s="80" customFormat="1" ht="15">
      <c r="D4" s="12"/>
      <c r="N4" s="1497" t="s">
        <v>1072</v>
      </c>
    </row>
    <row r="5" spans="3:14" s="80" customFormat="1" ht="15">
      <c r="D5" s="12"/>
    </row>
    <row r="6" spans="3:14" s="80" customFormat="1" ht="15">
      <c r="D6" s="12"/>
    </row>
    <row r="7" spans="3:14" s="80" customFormat="1" ht="13.5" customHeight="1"/>
    <row r="8" spans="3:14" ht="15.75">
      <c r="C8" s="1947" t="s">
        <v>2009</v>
      </c>
      <c r="D8" s="1948"/>
      <c r="E8" s="1948"/>
      <c r="F8" s="1948"/>
      <c r="G8" s="1948"/>
      <c r="H8" s="1498"/>
    </row>
    <row r="9" spans="3:14" ht="9.75" customHeight="1">
      <c r="E9" s="80"/>
      <c r="L9" s="1499"/>
    </row>
    <row r="10" spans="3:14" s="1216" customFormat="1">
      <c r="C10" s="2053" t="s">
        <v>266</v>
      </c>
      <c r="D10" s="2054"/>
      <c r="E10" s="80"/>
      <c r="F10" s="1500" t="str">
        <f>IFERROR(VLOOKUP("Yes",$F$12:$F$20,1,FALSE),"No")</f>
        <v>No</v>
      </c>
    </row>
    <row r="11" spans="3:14" s="1216" customFormat="1">
      <c r="E11" s="80"/>
      <c r="F11" s="1217"/>
    </row>
    <row r="12" spans="3:14" ht="243.95" customHeight="1">
      <c r="C12" s="2055" t="s">
        <v>1163</v>
      </c>
      <c r="D12" s="2056"/>
      <c r="E12" s="80"/>
      <c r="F12" s="1501" t="s">
        <v>1072</v>
      </c>
      <c r="H12" s="1218"/>
    </row>
    <row r="13" spans="3:14" ht="7.5" customHeight="1"/>
    <row r="14" spans="3:14" ht="156.94999999999999" customHeight="1">
      <c r="C14" s="2055" t="s">
        <v>1164</v>
      </c>
      <c r="D14" s="2056"/>
      <c r="E14" s="80"/>
      <c r="F14" s="1501" t="s">
        <v>1072</v>
      </c>
      <c r="H14" s="1218"/>
    </row>
    <row r="15" spans="3:14" ht="7.5" customHeight="1"/>
    <row r="16" spans="3:14" ht="62.1" customHeight="1">
      <c r="C16" s="2055" t="s">
        <v>1165</v>
      </c>
      <c r="D16" s="2056"/>
      <c r="E16" s="80"/>
      <c r="F16" s="1501" t="s">
        <v>1072</v>
      </c>
      <c r="H16" s="1218"/>
    </row>
    <row r="17" spans="3:13" ht="7.5" customHeight="1"/>
    <row r="18" spans="3:13" ht="197.45" customHeight="1">
      <c r="C18" s="2055" t="s">
        <v>1166</v>
      </c>
      <c r="D18" s="2056"/>
      <c r="E18" s="80"/>
      <c r="F18" s="1501" t="s">
        <v>1072</v>
      </c>
      <c r="H18" s="1218"/>
    </row>
    <row r="19" spans="3:13" ht="7.5" customHeight="1"/>
    <row r="20" spans="3:13" ht="66.95" customHeight="1">
      <c r="C20" s="2055" t="s">
        <v>1167</v>
      </c>
      <c r="D20" s="2056"/>
      <c r="E20" s="80"/>
      <c r="F20" s="1501" t="s">
        <v>1072</v>
      </c>
      <c r="H20" s="1218"/>
    </row>
    <row r="21" spans="3:13" ht="7.5" customHeight="1"/>
    <row r="22" spans="3:13" s="1216" customFormat="1">
      <c r="C22" s="2053" t="s">
        <v>263</v>
      </c>
      <c r="D22" s="2054"/>
      <c r="E22" s="80"/>
      <c r="F22" s="1500" t="str">
        <f>IFERROR(VLOOKUP("Yes",$F$24:$F$26,1,FALSE),"No")</f>
        <v>No</v>
      </c>
    </row>
    <row r="23" spans="3:13" ht="7.5" customHeight="1"/>
    <row r="24" spans="3:13" ht="77.099999999999994" customHeight="1">
      <c r="C24" s="2055" t="s">
        <v>1168</v>
      </c>
      <c r="D24" s="2056"/>
      <c r="E24" s="80"/>
      <c r="F24" s="1501" t="s">
        <v>1072</v>
      </c>
      <c r="H24" s="1218"/>
    </row>
    <row r="25" spans="3:13" ht="7.5" customHeight="1"/>
    <row r="26" spans="3:13" ht="45" customHeight="1">
      <c r="C26" s="2055" t="s">
        <v>1169</v>
      </c>
      <c r="D26" s="2056"/>
      <c r="E26" s="80"/>
      <c r="F26" s="1501" t="s">
        <v>1072</v>
      </c>
      <c r="H26" s="1218"/>
    </row>
    <row r="27" spans="3:13" ht="7.5" customHeight="1"/>
    <row r="28" spans="3:13">
      <c r="C28" s="2053" t="s">
        <v>1170</v>
      </c>
      <c r="D28" s="2054"/>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55" t="s">
        <v>1171</v>
      </c>
      <c r="D30" s="2056"/>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55" t="s">
        <v>1172</v>
      </c>
      <c r="D32" s="2056"/>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55" t="s">
        <v>1173</v>
      </c>
      <c r="D34" s="2056"/>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c r="C37" s="2053" t="s">
        <v>268</v>
      </c>
      <c r="D37" s="2054"/>
      <c r="E37" s="80"/>
      <c r="F37" s="1500" t="str">
        <f>IFERROR(VLOOKUP("Yes",$F$39:$F$45,1,FALSE),"No")</f>
        <v>No</v>
      </c>
    </row>
    <row r="38" spans="3:13" ht="7.5" customHeight="1"/>
    <row r="39" spans="3:13" ht="38.1" customHeight="1">
      <c r="C39" s="2055" t="s">
        <v>1174</v>
      </c>
      <c r="D39" s="2056"/>
      <c r="E39" s="80"/>
      <c r="F39" s="1501" t="s">
        <v>1072</v>
      </c>
      <c r="H39" s="1218"/>
    </row>
    <row r="40" spans="3:13" ht="5.25" customHeight="1">
      <c r="G40" s="1502"/>
      <c r="I40" s="1502"/>
      <c r="J40" s="1503"/>
      <c r="K40" s="1503"/>
      <c r="L40" s="1504"/>
      <c r="M40" s="1505"/>
    </row>
    <row r="41" spans="3:13" ht="56.45" customHeight="1">
      <c r="C41" s="2055" t="s">
        <v>1175</v>
      </c>
      <c r="D41" s="2056"/>
      <c r="E41" s="80"/>
      <c r="F41" s="1501" t="s">
        <v>1072</v>
      </c>
      <c r="H41" s="1218"/>
    </row>
    <row r="42" spans="3:13" ht="5.25" customHeight="1">
      <c r="G42" s="1502"/>
      <c r="I42" s="1502"/>
      <c r="J42" s="1503"/>
      <c r="K42" s="1503"/>
      <c r="L42" s="1504"/>
      <c r="M42" s="1505"/>
    </row>
    <row r="43" spans="3:13" ht="29.1" customHeight="1">
      <c r="C43" s="2055" t="s">
        <v>1176</v>
      </c>
      <c r="D43" s="2056"/>
      <c r="E43" s="80"/>
      <c r="F43" s="1501" t="s">
        <v>1072</v>
      </c>
      <c r="H43" s="1218"/>
    </row>
    <row r="44" spans="3:13" ht="5.25" customHeight="1">
      <c r="G44" s="1502"/>
      <c r="I44" s="1502"/>
      <c r="J44" s="1503"/>
      <c r="K44" s="1503"/>
      <c r="L44" s="1504"/>
      <c r="M44" s="1505"/>
    </row>
    <row r="45" spans="3:13" ht="27.75" customHeight="1">
      <c r="C45" s="2055" t="s">
        <v>1177</v>
      </c>
      <c r="D45" s="2056"/>
      <c r="E45" s="80"/>
      <c r="F45" s="1501" t="s">
        <v>1072</v>
      </c>
      <c r="H45" s="1218"/>
    </row>
    <row r="46" spans="3:13" ht="5.25" customHeight="1">
      <c r="G46" s="1502"/>
      <c r="I46" s="1502"/>
      <c r="J46" s="1503"/>
      <c r="K46" s="1503"/>
      <c r="L46" s="1504"/>
      <c r="M46" s="1505"/>
    </row>
    <row r="47" spans="3:13" s="1216" customFormat="1" collapsed="1">
      <c r="C47" s="2053" t="s">
        <v>267</v>
      </c>
      <c r="D47" s="2054"/>
      <c r="E47" s="80"/>
      <c r="F47" s="1500" t="str">
        <f>F49</f>
        <v>No</v>
      </c>
    </row>
    <row r="48" spans="3:13" ht="7.5" customHeight="1"/>
    <row r="49" spans="3:13" ht="27.75" customHeight="1">
      <c r="C49" s="2055" t="s">
        <v>1178</v>
      </c>
      <c r="D49" s="2056"/>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c r="C52" s="2053" t="s">
        <v>1179</v>
      </c>
      <c r="D52" s="2054"/>
      <c r="E52" s="80"/>
      <c r="F52" s="1500" t="str">
        <f>IFERROR(VLOOKUP("Yes",$F$53:$F$56,1,FALSE),"No")</f>
        <v>No</v>
      </c>
    </row>
    <row r="53" spans="3:13" ht="7.5" customHeight="1"/>
    <row r="54" spans="3:13" ht="63" customHeight="1">
      <c r="C54" s="2055" t="s">
        <v>1180</v>
      </c>
      <c r="D54" s="2056"/>
      <c r="E54" s="80"/>
      <c r="F54" s="1501" t="s">
        <v>1072</v>
      </c>
      <c r="H54" s="1218"/>
    </row>
    <row r="55" spans="3:13" ht="5.25" customHeight="1">
      <c r="G55" s="1502"/>
      <c r="I55" s="1502"/>
      <c r="J55" s="1503"/>
      <c r="K55" s="1503"/>
      <c r="L55" s="1504"/>
      <c r="M55" s="1505"/>
    </row>
    <row r="56" spans="3:13" ht="27.6" customHeight="1">
      <c r="C56" s="2055" t="s">
        <v>1181</v>
      </c>
      <c r="D56" s="2056"/>
      <c r="E56" s="80"/>
      <c r="F56" s="1501" t="s">
        <v>1072</v>
      </c>
      <c r="H56" s="1218"/>
    </row>
    <row r="57" spans="3:13" ht="7.5" customHeight="1"/>
    <row r="58" spans="3:13" s="1216" customFormat="1">
      <c r="C58" s="2053" t="s">
        <v>1182</v>
      </c>
      <c r="D58" s="2054"/>
      <c r="E58" s="80"/>
      <c r="F58" s="1500" t="str">
        <f>F60</f>
        <v>No</v>
      </c>
    </row>
    <row r="59" spans="3:13" ht="5.25" customHeight="1">
      <c r="G59" s="1502"/>
      <c r="I59" s="1502"/>
      <c r="J59" s="1503"/>
      <c r="K59" s="1503"/>
      <c r="L59" s="1504"/>
      <c r="M59" s="1505"/>
    </row>
    <row r="60" spans="3:13" ht="29.45" customHeight="1">
      <c r="C60" s="2055" t="s">
        <v>1183</v>
      </c>
      <c r="D60" s="2056"/>
      <c r="E60" s="80"/>
      <c r="F60" s="1501" t="s">
        <v>1072</v>
      </c>
    </row>
    <row r="61" spans="3:13" ht="7.5" customHeight="1"/>
    <row r="62" spans="3:13" s="1216" customFormat="1">
      <c r="C62" s="2053" t="s">
        <v>1184</v>
      </c>
      <c r="D62" s="2053"/>
      <c r="E62" s="80"/>
      <c r="F62" s="1500" t="str">
        <f>F64</f>
        <v>No</v>
      </c>
    </row>
    <row r="63" spans="3:13" ht="5.25" customHeight="1">
      <c r="G63" s="1502"/>
      <c r="I63" s="1502"/>
      <c r="J63" s="1503"/>
      <c r="K63" s="1503"/>
      <c r="L63" s="1504"/>
      <c r="M63" s="1505"/>
    </row>
    <row r="64" spans="3:13" ht="54.95" customHeight="1">
      <c r="C64" s="2055" t="s">
        <v>1185</v>
      </c>
      <c r="D64" s="2056"/>
      <c r="E64" s="80"/>
      <c r="F64" s="1501" t="s">
        <v>1072</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topLeftCell="O1" zoomScale="85" zoomScaleNormal="85" zoomScaleSheetLayoutView="80" workbookViewId="0">
      <selection activeCell="Y11" sqref="Y11"/>
    </sheetView>
  </sheetViews>
  <sheetFormatPr defaultColWidth="11.5703125" defaultRowHeight="12.75"/>
  <cols>
    <col min="1" max="1" width="12.5703125" style="1685" bestFit="1" customWidth="1"/>
    <col min="2" max="2" width="31.140625" style="1685" customWidth="1"/>
    <col min="3" max="4" width="6.5703125" style="1685" customWidth="1"/>
    <col min="5" max="5" width="16.5703125" style="1685" bestFit="1" customWidth="1"/>
    <col min="6" max="6" width="18" style="1685" bestFit="1" customWidth="1"/>
    <col min="7" max="7" width="65.5703125" style="1685" customWidth="1"/>
    <col min="8" max="8" width="41.42578125" style="1685" bestFit="1" customWidth="1"/>
    <col min="9" max="9" width="15.42578125" style="1685" customWidth="1"/>
    <col min="10" max="10" width="11.42578125" style="1685" bestFit="1" customWidth="1"/>
    <col min="11" max="11" width="14.42578125" style="1685" customWidth="1"/>
    <col min="12" max="12" width="35.42578125" style="1685" customWidth="1"/>
    <col min="13" max="14" width="27.42578125" style="1685" customWidth="1"/>
    <col min="15" max="15" width="34.42578125" style="1685" bestFit="1" customWidth="1"/>
    <col min="16" max="16" width="36.5703125" style="1685" customWidth="1"/>
    <col min="17" max="17" width="20.5703125" style="1685" customWidth="1"/>
    <col min="18" max="18" width="30.5703125" style="1685" customWidth="1"/>
    <col min="19" max="20" width="19.5703125" style="1685" customWidth="1"/>
    <col min="21" max="22" width="36.5703125" style="1685" bestFit="1" customWidth="1"/>
    <col min="23" max="23" width="28" style="1685" bestFit="1" customWidth="1"/>
    <col min="24" max="24" width="34.42578125" style="1685" bestFit="1" customWidth="1"/>
    <col min="25" max="28" width="11.5703125" style="1685"/>
    <col min="29" max="33" width="36.85546875" style="1685" bestFit="1" customWidth="1"/>
    <col min="34" max="257" width="11.5703125" style="1685"/>
    <col min="258" max="258" width="18.42578125" style="1685" customWidth="1"/>
    <col min="259" max="259" width="47.42578125" style="1685" customWidth="1"/>
    <col min="260" max="260" width="15.5703125" style="1685" customWidth="1"/>
    <col min="261" max="261" width="17" style="1685" customWidth="1"/>
    <col min="262" max="262" width="22.42578125" style="1685" customWidth="1"/>
    <col min="263" max="264" width="15.5703125" style="1685" customWidth="1"/>
    <col min="265" max="265" width="25.5703125" style="1685" customWidth="1"/>
    <col min="266" max="513" width="11.5703125" style="1685"/>
    <col min="514" max="514" width="18.42578125" style="1685" customWidth="1"/>
    <col min="515" max="515" width="47.42578125" style="1685" customWidth="1"/>
    <col min="516" max="516" width="15.5703125" style="1685" customWidth="1"/>
    <col min="517" max="517" width="17" style="1685" customWidth="1"/>
    <col min="518" max="518" width="22.42578125" style="1685" customWidth="1"/>
    <col min="519" max="520" width="15.5703125" style="1685" customWidth="1"/>
    <col min="521" max="521" width="25.5703125" style="1685" customWidth="1"/>
    <col min="522" max="769" width="11.5703125" style="1685"/>
    <col min="770" max="770" width="18.42578125" style="1685" customWidth="1"/>
    <col min="771" max="771" width="47.42578125" style="1685" customWidth="1"/>
    <col min="772" max="772" width="15.5703125" style="1685" customWidth="1"/>
    <col min="773" max="773" width="17" style="1685" customWidth="1"/>
    <col min="774" max="774" width="22.42578125" style="1685" customWidth="1"/>
    <col min="775" max="776" width="15.5703125" style="1685" customWidth="1"/>
    <col min="777" max="777" width="25.5703125" style="1685" customWidth="1"/>
    <col min="778" max="1025" width="11.5703125" style="1685"/>
    <col min="1026" max="1026" width="18.42578125" style="1685" customWidth="1"/>
    <col min="1027" max="1027" width="47.42578125" style="1685" customWidth="1"/>
    <col min="1028" max="1028" width="15.5703125" style="1685" customWidth="1"/>
    <col min="1029" max="1029" width="17" style="1685" customWidth="1"/>
    <col min="1030" max="1030" width="22.42578125" style="1685" customWidth="1"/>
    <col min="1031" max="1032" width="15.5703125" style="1685" customWidth="1"/>
    <col min="1033" max="1033" width="25.5703125" style="1685" customWidth="1"/>
    <col min="1034" max="1281" width="11.5703125" style="1685"/>
    <col min="1282" max="1282" width="18.42578125" style="1685" customWidth="1"/>
    <col min="1283" max="1283" width="47.42578125" style="1685" customWidth="1"/>
    <col min="1284" max="1284" width="15.5703125" style="1685" customWidth="1"/>
    <col min="1285" max="1285" width="17" style="1685" customWidth="1"/>
    <col min="1286" max="1286" width="22.42578125" style="1685" customWidth="1"/>
    <col min="1287" max="1288" width="15.5703125" style="1685" customWidth="1"/>
    <col min="1289" max="1289" width="25.5703125" style="1685" customWidth="1"/>
    <col min="1290" max="1537" width="11.5703125" style="1685"/>
    <col min="1538" max="1538" width="18.42578125" style="1685" customWidth="1"/>
    <col min="1539" max="1539" width="47.42578125" style="1685" customWidth="1"/>
    <col min="1540" max="1540" width="15.5703125" style="1685" customWidth="1"/>
    <col min="1541" max="1541" width="17" style="1685" customWidth="1"/>
    <col min="1542" max="1542" width="22.42578125" style="1685" customWidth="1"/>
    <col min="1543" max="1544" width="15.5703125" style="1685" customWidth="1"/>
    <col min="1545" max="1545" width="25.5703125" style="1685" customWidth="1"/>
    <col min="1546" max="1793" width="11.5703125" style="1685"/>
    <col min="1794" max="1794" width="18.42578125" style="1685" customWidth="1"/>
    <col min="1795" max="1795" width="47.42578125" style="1685" customWidth="1"/>
    <col min="1796" max="1796" width="15.5703125" style="1685" customWidth="1"/>
    <col min="1797" max="1797" width="17" style="1685" customWidth="1"/>
    <col min="1798" max="1798" width="22.42578125" style="1685" customWidth="1"/>
    <col min="1799" max="1800" width="15.5703125" style="1685" customWidth="1"/>
    <col min="1801" max="1801" width="25.5703125" style="1685" customWidth="1"/>
    <col min="1802" max="2049" width="11.5703125" style="1685"/>
    <col min="2050" max="2050" width="18.42578125" style="1685" customWidth="1"/>
    <col min="2051" max="2051" width="47.42578125" style="1685" customWidth="1"/>
    <col min="2052" max="2052" width="15.5703125" style="1685" customWidth="1"/>
    <col min="2053" max="2053" width="17" style="1685" customWidth="1"/>
    <col min="2054" max="2054" width="22.42578125" style="1685" customWidth="1"/>
    <col min="2055" max="2056" width="15.5703125" style="1685" customWidth="1"/>
    <col min="2057" max="2057" width="25.5703125" style="1685" customWidth="1"/>
    <col min="2058" max="2305" width="11.5703125" style="1685"/>
    <col min="2306" max="2306" width="18.42578125" style="1685" customWidth="1"/>
    <col min="2307" max="2307" width="47.42578125" style="1685" customWidth="1"/>
    <col min="2308" max="2308" width="15.5703125" style="1685" customWidth="1"/>
    <col min="2309" max="2309" width="17" style="1685" customWidth="1"/>
    <col min="2310" max="2310" width="22.42578125" style="1685" customWidth="1"/>
    <col min="2311" max="2312" width="15.5703125" style="1685" customWidth="1"/>
    <col min="2313" max="2313" width="25.5703125" style="1685" customWidth="1"/>
    <col min="2314" max="2561" width="11.5703125" style="1685"/>
    <col min="2562" max="2562" width="18.42578125" style="1685" customWidth="1"/>
    <col min="2563" max="2563" width="47.42578125" style="1685" customWidth="1"/>
    <col min="2564" max="2564" width="15.5703125" style="1685" customWidth="1"/>
    <col min="2565" max="2565" width="17" style="1685" customWidth="1"/>
    <col min="2566" max="2566" width="22.42578125" style="1685" customWidth="1"/>
    <col min="2567" max="2568" width="15.5703125" style="1685" customWidth="1"/>
    <col min="2569" max="2569" width="25.5703125" style="1685" customWidth="1"/>
    <col min="2570" max="2817" width="11.5703125" style="1685"/>
    <col min="2818" max="2818" width="18.42578125" style="1685" customWidth="1"/>
    <col min="2819" max="2819" width="47.42578125" style="1685" customWidth="1"/>
    <col min="2820" max="2820" width="15.5703125" style="1685" customWidth="1"/>
    <col min="2821" max="2821" width="17" style="1685" customWidth="1"/>
    <col min="2822" max="2822" width="22.42578125" style="1685" customWidth="1"/>
    <col min="2823" max="2824" width="15.5703125" style="1685" customWidth="1"/>
    <col min="2825" max="2825" width="25.5703125" style="1685" customWidth="1"/>
    <col min="2826" max="3073" width="11.5703125" style="1685"/>
    <col min="3074" max="3074" width="18.42578125" style="1685" customWidth="1"/>
    <col min="3075" max="3075" width="47.42578125" style="1685" customWidth="1"/>
    <col min="3076" max="3076" width="15.5703125" style="1685" customWidth="1"/>
    <col min="3077" max="3077" width="17" style="1685" customWidth="1"/>
    <col min="3078" max="3078" width="22.42578125" style="1685" customWidth="1"/>
    <col min="3079" max="3080" width="15.5703125" style="1685" customWidth="1"/>
    <col min="3081" max="3081" width="25.5703125" style="1685" customWidth="1"/>
    <col min="3082" max="3329" width="11.5703125" style="1685"/>
    <col min="3330" max="3330" width="18.42578125" style="1685" customWidth="1"/>
    <col min="3331" max="3331" width="47.42578125" style="1685" customWidth="1"/>
    <col min="3332" max="3332" width="15.5703125" style="1685" customWidth="1"/>
    <col min="3333" max="3333" width="17" style="1685" customWidth="1"/>
    <col min="3334" max="3334" width="22.42578125" style="1685" customWidth="1"/>
    <col min="3335" max="3336" width="15.5703125" style="1685" customWidth="1"/>
    <col min="3337" max="3337" width="25.5703125" style="1685" customWidth="1"/>
    <col min="3338" max="3585" width="11.5703125" style="1685"/>
    <col min="3586" max="3586" width="18.42578125" style="1685" customWidth="1"/>
    <col min="3587" max="3587" width="47.42578125" style="1685" customWidth="1"/>
    <col min="3588" max="3588" width="15.5703125" style="1685" customWidth="1"/>
    <col min="3589" max="3589" width="17" style="1685" customWidth="1"/>
    <col min="3590" max="3590" width="22.42578125" style="1685" customWidth="1"/>
    <col min="3591" max="3592" width="15.5703125" style="1685" customWidth="1"/>
    <col min="3593" max="3593" width="25.5703125" style="1685" customWidth="1"/>
    <col min="3594" max="3841" width="11.5703125" style="1685"/>
    <col min="3842" max="3842" width="18.42578125" style="1685" customWidth="1"/>
    <col min="3843" max="3843" width="47.42578125" style="1685" customWidth="1"/>
    <col min="3844" max="3844" width="15.5703125" style="1685" customWidth="1"/>
    <col min="3845" max="3845" width="17" style="1685" customWidth="1"/>
    <col min="3846" max="3846" width="22.42578125" style="1685" customWidth="1"/>
    <col min="3847" max="3848" width="15.5703125" style="1685" customWidth="1"/>
    <col min="3849" max="3849" width="25.5703125" style="1685" customWidth="1"/>
    <col min="3850" max="4097" width="11.5703125" style="1685"/>
    <col min="4098" max="4098" width="18.42578125" style="1685" customWidth="1"/>
    <col min="4099" max="4099" width="47.42578125" style="1685" customWidth="1"/>
    <col min="4100" max="4100" width="15.5703125" style="1685" customWidth="1"/>
    <col min="4101" max="4101" width="17" style="1685" customWidth="1"/>
    <col min="4102" max="4102" width="22.42578125" style="1685" customWidth="1"/>
    <col min="4103" max="4104" width="15.5703125" style="1685" customWidth="1"/>
    <col min="4105" max="4105" width="25.5703125" style="1685" customWidth="1"/>
    <col min="4106" max="4353" width="11.5703125" style="1685"/>
    <col min="4354" max="4354" width="18.42578125" style="1685" customWidth="1"/>
    <col min="4355" max="4355" width="47.42578125" style="1685" customWidth="1"/>
    <col min="4356" max="4356" width="15.5703125" style="1685" customWidth="1"/>
    <col min="4357" max="4357" width="17" style="1685" customWidth="1"/>
    <col min="4358" max="4358" width="22.42578125" style="1685" customWidth="1"/>
    <col min="4359" max="4360" width="15.5703125" style="1685" customWidth="1"/>
    <col min="4361" max="4361" width="25.5703125" style="1685" customWidth="1"/>
    <col min="4362" max="4609" width="11.5703125" style="1685"/>
    <col min="4610" max="4610" width="18.42578125" style="1685" customWidth="1"/>
    <col min="4611" max="4611" width="47.42578125" style="1685" customWidth="1"/>
    <col min="4612" max="4612" width="15.5703125" style="1685" customWidth="1"/>
    <col min="4613" max="4613" width="17" style="1685" customWidth="1"/>
    <col min="4614" max="4614" width="22.42578125" style="1685" customWidth="1"/>
    <col min="4615" max="4616" width="15.5703125" style="1685" customWidth="1"/>
    <col min="4617" max="4617" width="25.5703125" style="1685" customWidth="1"/>
    <col min="4618" max="4865" width="11.5703125" style="1685"/>
    <col min="4866" max="4866" width="18.42578125" style="1685" customWidth="1"/>
    <col min="4867" max="4867" width="47.42578125" style="1685" customWidth="1"/>
    <col min="4868" max="4868" width="15.5703125" style="1685" customWidth="1"/>
    <col min="4869" max="4869" width="17" style="1685" customWidth="1"/>
    <col min="4870" max="4870" width="22.42578125" style="1685" customWidth="1"/>
    <col min="4871" max="4872" width="15.5703125" style="1685" customWidth="1"/>
    <col min="4873" max="4873" width="25.5703125" style="1685" customWidth="1"/>
    <col min="4874" max="5121" width="11.5703125" style="1685"/>
    <col min="5122" max="5122" width="18.42578125" style="1685" customWidth="1"/>
    <col min="5123" max="5123" width="47.42578125" style="1685" customWidth="1"/>
    <col min="5124" max="5124" width="15.5703125" style="1685" customWidth="1"/>
    <col min="5125" max="5125" width="17" style="1685" customWidth="1"/>
    <col min="5126" max="5126" width="22.42578125" style="1685" customWidth="1"/>
    <col min="5127" max="5128" width="15.5703125" style="1685" customWidth="1"/>
    <col min="5129" max="5129" width="25.5703125" style="1685" customWidth="1"/>
    <col min="5130" max="5377" width="11.5703125" style="1685"/>
    <col min="5378" max="5378" width="18.42578125" style="1685" customWidth="1"/>
    <col min="5379" max="5379" width="47.42578125" style="1685" customWidth="1"/>
    <col min="5380" max="5380" width="15.5703125" style="1685" customWidth="1"/>
    <col min="5381" max="5381" width="17" style="1685" customWidth="1"/>
    <col min="5382" max="5382" width="22.42578125" style="1685" customWidth="1"/>
    <col min="5383" max="5384" width="15.5703125" style="1685" customWidth="1"/>
    <col min="5385" max="5385" width="25.5703125" style="1685" customWidth="1"/>
    <col min="5386" max="5633" width="11.5703125" style="1685"/>
    <col min="5634" max="5634" width="18.42578125" style="1685" customWidth="1"/>
    <col min="5635" max="5635" width="47.42578125" style="1685" customWidth="1"/>
    <col min="5636" max="5636" width="15.5703125" style="1685" customWidth="1"/>
    <col min="5637" max="5637" width="17" style="1685" customWidth="1"/>
    <col min="5638" max="5638" width="22.42578125" style="1685" customWidth="1"/>
    <col min="5639" max="5640" width="15.5703125" style="1685" customWidth="1"/>
    <col min="5641" max="5641" width="25.5703125" style="1685" customWidth="1"/>
    <col min="5642" max="5889" width="11.5703125" style="1685"/>
    <col min="5890" max="5890" width="18.42578125" style="1685" customWidth="1"/>
    <col min="5891" max="5891" width="47.42578125" style="1685" customWidth="1"/>
    <col min="5892" max="5892" width="15.5703125" style="1685" customWidth="1"/>
    <col min="5893" max="5893" width="17" style="1685" customWidth="1"/>
    <col min="5894" max="5894" width="22.42578125" style="1685" customWidth="1"/>
    <col min="5895" max="5896" width="15.5703125" style="1685" customWidth="1"/>
    <col min="5897" max="5897" width="25.5703125" style="1685" customWidth="1"/>
    <col min="5898" max="6145" width="11.5703125" style="1685"/>
    <col min="6146" max="6146" width="18.42578125" style="1685" customWidth="1"/>
    <col min="6147" max="6147" width="47.42578125" style="1685" customWidth="1"/>
    <col min="6148" max="6148" width="15.5703125" style="1685" customWidth="1"/>
    <col min="6149" max="6149" width="17" style="1685" customWidth="1"/>
    <col min="6150" max="6150" width="22.42578125" style="1685" customWidth="1"/>
    <col min="6151" max="6152" width="15.5703125" style="1685" customWidth="1"/>
    <col min="6153" max="6153" width="25.5703125" style="1685" customWidth="1"/>
    <col min="6154" max="6401" width="11.5703125" style="1685"/>
    <col min="6402" max="6402" width="18.42578125" style="1685" customWidth="1"/>
    <col min="6403" max="6403" width="47.42578125" style="1685" customWidth="1"/>
    <col min="6404" max="6404" width="15.5703125" style="1685" customWidth="1"/>
    <col min="6405" max="6405" width="17" style="1685" customWidth="1"/>
    <col min="6406" max="6406" width="22.42578125" style="1685" customWidth="1"/>
    <col min="6407" max="6408" width="15.5703125" style="1685" customWidth="1"/>
    <col min="6409" max="6409" width="25.5703125" style="1685" customWidth="1"/>
    <col min="6410" max="6657" width="11.5703125" style="1685"/>
    <col min="6658" max="6658" width="18.42578125" style="1685" customWidth="1"/>
    <col min="6659" max="6659" width="47.42578125" style="1685" customWidth="1"/>
    <col min="6660" max="6660" width="15.5703125" style="1685" customWidth="1"/>
    <col min="6661" max="6661" width="17" style="1685" customWidth="1"/>
    <col min="6662" max="6662" width="22.42578125" style="1685" customWidth="1"/>
    <col min="6663" max="6664" width="15.5703125" style="1685" customWidth="1"/>
    <col min="6665" max="6665" width="25.5703125" style="1685" customWidth="1"/>
    <col min="6666" max="6913" width="11.5703125" style="1685"/>
    <col min="6914" max="6914" width="18.42578125" style="1685" customWidth="1"/>
    <col min="6915" max="6915" width="47.42578125" style="1685" customWidth="1"/>
    <col min="6916" max="6916" width="15.5703125" style="1685" customWidth="1"/>
    <col min="6917" max="6917" width="17" style="1685" customWidth="1"/>
    <col min="6918" max="6918" width="22.42578125" style="1685" customWidth="1"/>
    <col min="6919" max="6920" width="15.5703125" style="1685" customWidth="1"/>
    <col min="6921" max="6921" width="25.5703125" style="1685" customWidth="1"/>
    <col min="6922" max="7169" width="11.5703125" style="1685"/>
    <col min="7170" max="7170" width="18.42578125" style="1685" customWidth="1"/>
    <col min="7171" max="7171" width="47.42578125" style="1685" customWidth="1"/>
    <col min="7172" max="7172" width="15.5703125" style="1685" customWidth="1"/>
    <col min="7173" max="7173" width="17" style="1685" customWidth="1"/>
    <col min="7174" max="7174" width="22.42578125" style="1685" customWidth="1"/>
    <col min="7175" max="7176" width="15.5703125" style="1685" customWidth="1"/>
    <col min="7177" max="7177" width="25.5703125" style="1685" customWidth="1"/>
    <col min="7178" max="7425" width="11.5703125" style="1685"/>
    <col min="7426" max="7426" width="18.42578125" style="1685" customWidth="1"/>
    <col min="7427" max="7427" width="47.42578125" style="1685" customWidth="1"/>
    <col min="7428" max="7428" width="15.5703125" style="1685" customWidth="1"/>
    <col min="7429" max="7429" width="17" style="1685" customWidth="1"/>
    <col min="7430" max="7430" width="22.42578125" style="1685" customWidth="1"/>
    <col min="7431" max="7432" width="15.5703125" style="1685" customWidth="1"/>
    <col min="7433" max="7433" width="25.5703125" style="1685" customWidth="1"/>
    <col min="7434" max="7681" width="11.5703125" style="1685"/>
    <col min="7682" max="7682" width="18.42578125" style="1685" customWidth="1"/>
    <col min="7683" max="7683" width="47.42578125" style="1685" customWidth="1"/>
    <col min="7684" max="7684" width="15.5703125" style="1685" customWidth="1"/>
    <col min="7685" max="7685" width="17" style="1685" customWidth="1"/>
    <col min="7686" max="7686" width="22.42578125" style="1685" customWidth="1"/>
    <col min="7687" max="7688" width="15.5703125" style="1685" customWidth="1"/>
    <col min="7689" max="7689" width="25.5703125" style="1685" customWidth="1"/>
    <col min="7690" max="7937" width="11.5703125" style="1685"/>
    <col min="7938" max="7938" width="18.42578125" style="1685" customWidth="1"/>
    <col min="7939" max="7939" width="47.42578125" style="1685" customWidth="1"/>
    <col min="7940" max="7940" width="15.5703125" style="1685" customWidth="1"/>
    <col min="7941" max="7941" width="17" style="1685" customWidth="1"/>
    <col min="7942" max="7942" width="22.42578125" style="1685" customWidth="1"/>
    <col min="7943" max="7944" width="15.5703125" style="1685" customWidth="1"/>
    <col min="7945" max="7945" width="25.5703125" style="1685" customWidth="1"/>
    <col min="7946" max="8193" width="11.5703125" style="1685"/>
    <col min="8194" max="8194" width="18.42578125" style="1685" customWidth="1"/>
    <col min="8195" max="8195" width="47.42578125" style="1685" customWidth="1"/>
    <col min="8196" max="8196" width="15.5703125" style="1685" customWidth="1"/>
    <col min="8197" max="8197" width="17" style="1685" customWidth="1"/>
    <col min="8198" max="8198" width="22.42578125" style="1685" customWidth="1"/>
    <col min="8199" max="8200" width="15.5703125" style="1685" customWidth="1"/>
    <col min="8201" max="8201" width="25.5703125" style="1685" customWidth="1"/>
    <col min="8202" max="8449" width="11.5703125" style="1685"/>
    <col min="8450" max="8450" width="18.42578125" style="1685" customWidth="1"/>
    <col min="8451" max="8451" width="47.42578125" style="1685" customWidth="1"/>
    <col min="8452" max="8452" width="15.5703125" style="1685" customWidth="1"/>
    <col min="8453" max="8453" width="17" style="1685" customWidth="1"/>
    <col min="8454" max="8454" width="22.42578125" style="1685" customWidth="1"/>
    <col min="8455" max="8456" width="15.5703125" style="1685" customWidth="1"/>
    <col min="8457" max="8457" width="25.5703125" style="1685" customWidth="1"/>
    <col min="8458" max="8705" width="11.5703125" style="1685"/>
    <col min="8706" max="8706" width="18.42578125" style="1685" customWidth="1"/>
    <col min="8707" max="8707" width="47.42578125" style="1685" customWidth="1"/>
    <col min="8708" max="8708" width="15.5703125" style="1685" customWidth="1"/>
    <col min="8709" max="8709" width="17" style="1685" customWidth="1"/>
    <col min="8710" max="8710" width="22.42578125" style="1685" customWidth="1"/>
    <col min="8711" max="8712" width="15.5703125" style="1685" customWidth="1"/>
    <col min="8713" max="8713" width="25.5703125" style="1685" customWidth="1"/>
    <col min="8714" max="8961" width="11.5703125" style="1685"/>
    <col min="8962" max="8962" width="18.42578125" style="1685" customWidth="1"/>
    <col min="8963" max="8963" width="47.42578125" style="1685" customWidth="1"/>
    <col min="8964" max="8964" width="15.5703125" style="1685" customWidth="1"/>
    <col min="8965" max="8965" width="17" style="1685" customWidth="1"/>
    <col min="8966" max="8966" width="22.42578125" style="1685" customWidth="1"/>
    <col min="8967" max="8968" width="15.5703125" style="1685" customWidth="1"/>
    <col min="8969" max="8969" width="25.5703125" style="1685" customWidth="1"/>
    <col min="8970" max="9217" width="11.5703125" style="1685"/>
    <col min="9218" max="9218" width="18.42578125" style="1685" customWidth="1"/>
    <col min="9219" max="9219" width="47.42578125" style="1685" customWidth="1"/>
    <col min="9220" max="9220" width="15.5703125" style="1685" customWidth="1"/>
    <col min="9221" max="9221" width="17" style="1685" customWidth="1"/>
    <col min="9222" max="9222" width="22.42578125" style="1685" customWidth="1"/>
    <col min="9223" max="9224" width="15.5703125" style="1685" customWidth="1"/>
    <col min="9225" max="9225" width="25.5703125" style="1685" customWidth="1"/>
    <col min="9226" max="9473" width="11.5703125" style="1685"/>
    <col min="9474" max="9474" width="18.42578125" style="1685" customWidth="1"/>
    <col min="9475" max="9475" width="47.42578125" style="1685" customWidth="1"/>
    <col min="9476" max="9476" width="15.5703125" style="1685" customWidth="1"/>
    <col min="9477" max="9477" width="17" style="1685" customWidth="1"/>
    <col min="9478" max="9478" width="22.42578125" style="1685" customWidth="1"/>
    <col min="9479" max="9480" width="15.5703125" style="1685" customWidth="1"/>
    <col min="9481" max="9481" width="25.5703125" style="1685" customWidth="1"/>
    <col min="9482" max="9729" width="11.5703125" style="1685"/>
    <col min="9730" max="9730" width="18.42578125" style="1685" customWidth="1"/>
    <col min="9731" max="9731" width="47.42578125" style="1685" customWidth="1"/>
    <col min="9732" max="9732" width="15.5703125" style="1685" customWidth="1"/>
    <col min="9733" max="9733" width="17" style="1685" customWidth="1"/>
    <col min="9734" max="9734" width="22.42578125" style="1685" customWidth="1"/>
    <col min="9735" max="9736" width="15.5703125" style="1685" customWidth="1"/>
    <col min="9737" max="9737" width="25.5703125" style="1685" customWidth="1"/>
    <col min="9738" max="9985" width="11.5703125" style="1685"/>
    <col min="9986" max="9986" width="18.42578125" style="1685" customWidth="1"/>
    <col min="9987" max="9987" width="47.42578125" style="1685" customWidth="1"/>
    <col min="9988" max="9988" width="15.5703125" style="1685" customWidth="1"/>
    <col min="9989" max="9989" width="17" style="1685" customWidth="1"/>
    <col min="9990" max="9990" width="22.42578125" style="1685" customWidth="1"/>
    <col min="9991" max="9992" width="15.5703125" style="1685" customWidth="1"/>
    <col min="9993" max="9993" width="25.5703125" style="1685" customWidth="1"/>
    <col min="9994" max="10241" width="11.5703125" style="1685"/>
    <col min="10242" max="10242" width="18.42578125" style="1685" customWidth="1"/>
    <col min="10243" max="10243" width="47.42578125" style="1685" customWidth="1"/>
    <col min="10244" max="10244" width="15.5703125" style="1685" customWidth="1"/>
    <col min="10245" max="10245" width="17" style="1685" customWidth="1"/>
    <col min="10246" max="10246" width="22.42578125" style="1685" customWidth="1"/>
    <col min="10247" max="10248" width="15.5703125" style="1685" customWidth="1"/>
    <col min="10249" max="10249" width="25.5703125" style="1685" customWidth="1"/>
    <col min="10250" max="10497" width="11.5703125" style="1685"/>
    <col min="10498" max="10498" width="18.42578125" style="1685" customWidth="1"/>
    <col min="10499" max="10499" width="47.42578125" style="1685" customWidth="1"/>
    <col min="10500" max="10500" width="15.5703125" style="1685" customWidth="1"/>
    <col min="10501" max="10501" width="17" style="1685" customWidth="1"/>
    <col min="10502" max="10502" width="22.42578125" style="1685" customWidth="1"/>
    <col min="10503" max="10504" width="15.5703125" style="1685" customWidth="1"/>
    <col min="10505" max="10505" width="25.5703125" style="1685" customWidth="1"/>
    <col min="10506" max="10753" width="11.5703125" style="1685"/>
    <col min="10754" max="10754" width="18.42578125" style="1685" customWidth="1"/>
    <col min="10755" max="10755" width="47.42578125" style="1685" customWidth="1"/>
    <col min="10756" max="10756" width="15.5703125" style="1685" customWidth="1"/>
    <col min="10757" max="10757" width="17" style="1685" customWidth="1"/>
    <col min="10758" max="10758" width="22.42578125" style="1685" customWidth="1"/>
    <col min="10759" max="10760" width="15.5703125" style="1685" customWidth="1"/>
    <col min="10761" max="10761" width="25.5703125" style="1685" customWidth="1"/>
    <col min="10762" max="11009" width="11.5703125" style="1685"/>
    <col min="11010" max="11010" width="18.42578125" style="1685" customWidth="1"/>
    <col min="11011" max="11011" width="47.42578125" style="1685" customWidth="1"/>
    <col min="11012" max="11012" width="15.5703125" style="1685" customWidth="1"/>
    <col min="11013" max="11013" width="17" style="1685" customWidth="1"/>
    <col min="11014" max="11014" width="22.42578125" style="1685" customWidth="1"/>
    <col min="11015" max="11016" width="15.5703125" style="1685" customWidth="1"/>
    <col min="11017" max="11017" width="25.5703125" style="1685" customWidth="1"/>
    <col min="11018" max="11265" width="11.5703125" style="1685"/>
    <col min="11266" max="11266" width="18.42578125" style="1685" customWidth="1"/>
    <col min="11267" max="11267" width="47.42578125" style="1685" customWidth="1"/>
    <col min="11268" max="11268" width="15.5703125" style="1685" customWidth="1"/>
    <col min="11269" max="11269" width="17" style="1685" customWidth="1"/>
    <col min="11270" max="11270" width="22.42578125" style="1685" customWidth="1"/>
    <col min="11271" max="11272" width="15.5703125" style="1685" customWidth="1"/>
    <col min="11273" max="11273" width="25.5703125" style="1685" customWidth="1"/>
    <col min="11274" max="11521" width="11.5703125" style="1685"/>
    <col min="11522" max="11522" width="18.42578125" style="1685" customWidth="1"/>
    <col min="11523" max="11523" width="47.42578125" style="1685" customWidth="1"/>
    <col min="11524" max="11524" width="15.5703125" style="1685" customWidth="1"/>
    <col min="11525" max="11525" width="17" style="1685" customWidth="1"/>
    <col min="11526" max="11526" width="22.42578125" style="1685" customWidth="1"/>
    <col min="11527" max="11528" width="15.5703125" style="1685" customWidth="1"/>
    <col min="11529" max="11529" width="25.5703125" style="1685" customWidth="1"/>
    <col min="11530" max="11777" width="11.5703125" style="1685"/>
    <col min="11778" max="11778" width="18.42578125" style="1685" customWidth="1"/>
    <col min="11779" max="11779" width="47.42578125" style="1685" customWidth="1"/>
    <col min="11780" max="11780" width="15.5703125" style="1685" customWidth="1"/>
    <col min="11781" max="11781" width="17" style="1685" customWidth="1"/>
    <col min="11782" max="11782" width="22.42578125" style="1685" customWidth="1"/>
    <col min="11783" max="11784" width="15.5703125" style="1685" customWidth="1"/>
    <col min="11785" max="11785" width="25.5703125" style="1685" customWidth="1"/>
    <col min="11786" max="12033" width="11.5703125" style="1685"/>
    <col min="12034" max="12034" width="18.42578125" style="1685" customWidth="1"/>
    <col min="12035" max="12035" width="47.42578125" style="1685" customWidth="1"/>
    <col min="12036" max="12036" width="15.5703125" style="1685" customWidth="1"/>
    <col min="12037" max="12037" width="17" style="1685" customWidth="1"/>
    <col min="12038" max="12038" width="22.42578125" style="1685" customWidth="1"/>
    <col min="12039" max="12040" width="15.5703125" style="1685" customWidth="1"/>
    <col min="12041" max="12041" width="25.5703125" style="1685" customWidth="1"/>
    <col min="12042" max="12289" width="11.5703125" style="1685"/>
    <col min="12290" max="12290" width="18.42578125" style="1685" customWidth="1"/>
    <col min="12291" max="12291" width="47.42578125" style="1685" customWidth="1"/>
    <col min="12292" max="12292" width="15.5703125" style="1685" customWidth="1"/>
    <col min="12293" max="12293" width="17" style="1685" customWidth="1"/>
    <col min="12294" max="12294" width="22.42578125" style="1685" customWidth="1"/>
    <col min="12295" max="12296" width="15.5703125" style="1685" customWidth="1"/>
    <col min="12297" max="12297" width="25.5703125" style="1685" customWidth="1"/>
    <col min="12298" max="12545" width="11.5703125" style="1685"/>
    <col min="12546" max="12546" width="18.42578125" style="1685" customWidth="1"/>
    <col min="12547" max="12547" width="47.42578125" style="1685" customWidth="1"/>
    <col min="12548" max="12548" width="15.5703125" style="1685" customWidth="1"/>
    <col min="12549" max="12549" width="17" style="1685" customWidth="1"/>
    <col min="12550" max="12550" width="22.42578125" style="1685" customWidth="1"/>
    <col min="12551" max="12552" width="15.5703125" style="1685" customWidth="1"/>
    <col min="12553" max="12553" width="25.5703125" style="1685" customWidth="1"/>
    <col min="12554" max="12801" width="11.5703125" style="1685"/>
    <col min="12802" max="12802" width="18.42578125" style="1685" customWidth="1"/>
    <col min="12803" max="12803" width="47.42578125" style="1685" customWidth="1"/>
    <col min="12804" max="12804" width="15.5703125" style="1685" customWidth="1"/>
    <col min="12805" max="12805" width="17" style="1685" customWidth="1"/>
    <col min="12806" max="12806" width="22.42578125" style="1685" customWidth="1"/>
    <col min="12807" max="12808" width="15.5703125" style="1685" customWidth="1"/>
    <col min="12809" max="12809" width="25.5703125" style="1685" customWidth="1"/>
    <col min="12810" max="13057" width="11.5703125" style="1685"/>
    <col min="13058" max="13058" width="18.42578125" style="1685" customWidth="1"/>
    <col min="13059" max="13059" width="47.42578125" style="1685" customWidth="1"/>
    <col min="13060" max="13060" width="15.5703125" style="1685" customWidth="1"/>
    <col min="13061" max="13061" width="17" style="1685" customWidth="1"/>
    <col min="13062" max="13062" width="22.42578125" style="1685" customWidth="1"/>
    <col min="13063" max="13064" width="15.5703125" style="1685" customWidth="1"/>
    <col min="13065" max="13065" width="25.5703125" style="1685" customWidth="1"/>
    <col min="13066" max="13313" width="11.5703125" style="1685"/>
    <col min="13314" max="13314" width="18.42578125" style="1685" customWidth="1"/>
    <col min="13315" max="13315" width="47.42578125" style="1685" customWidth="1"/>
    <col min="13316" max="13316" width="15.5703125" style="1685" customWidth="1"/>
    <col min="13317" max="13317" width="17" style="1685" customWidth="1"/>
    <col min="13318" max="13318" width="22.42578125" style="1685" customWidth="1"/>
    <col min="13319" max="13320" width="15.5703125" style="1685" customWidth="1"/>
    <col min="13321" max="13321" width="25.5703125" style="1685" customWidth="1"/>
    <col min="13322" max="13569" width="11.5703125" style="1685"/>
    <col min="13570" max="13570" width="18.42578125" style="1685" customWidth="1"/>
    <col min="13571" max="13571" width="47.42578125" style="1685" customWidth="1"/>
    <col min="13572" max="13572" width="15.5703125" style="1685" customWidth="1"/>
    <col min="13573" max="13573" width="17" style="1685" customWidth="1"/>
    <col min="13574" max="13574" width="22.42578125" style="1685" customWidth="1"/>
    <col min="13575" max="13576" width="15.5703125" style="1685" customWidth="1"/>
    <col min="13577" max="13577" width="25.5703125" style="1685" customWidth="1"/>
    <col min="13578" max="13825" width="11.5703125" style="1685"/>
    <col min="13826" max="13826" width="18.42578125" style="1685" customWidth="1"/>
    <col min="13827" max="13827" width="47.42578125" style="1685" customWidth="1"/>
    <col min="13828" max="13828" width="15.5703125" style="1685" customWidth="1"/>
    <col min="13829" max="13829" width="17" style="1685" customWidth="1"/>
    <col min="13830" max="13830" width="22.42578125" style="1685" customWidth="1"/>
    <col min="13831" max="13832" width="15.5703125" style="1685" customWidth="1"/>
    <col min="13833" max="13833" width="25.5703125" style="1685" customWidth="1"/>
    <col min="13834" max="14081" width="11.5703125" style="1685"/>
    <col min="14082" max="14082" width="18.42578125" style="1685" customWidth="1"/>
    <col min="14083" max="14083" width="47.42578125" style="1685" customWidth="1"/>
    <col min="14084" max="14084" width="15.5703125" style="1685" customWidth="1"/>
    <col min="14085" max="14085" width="17" style="1685" customWidth="1"/>
    <col min="14086" max="14086" width="22.42578125" style="1685" customWidth="1"/>
    <col min="14087" max="14088" width="15.5703125" style="1685" customWidth="1"/>
    <col min="14089" max="14089" width="25.5703125" style="1685" customWidth="1"/>
    <col min="14090" max="14337" width="11.5703125" style="1685"/>
    <col min="14338" max="14338" width="18.42578125" style="1685" customWidth="1"/>
    <col min="14339" max="14339" width="47.42578125" style="1685" customWidth="1"/>
    <col min="14340" max="14340" width="15.5703125" style="1685" customWidth="1"/>
    <col min="14341" max="14341" width="17" style="1685" customWidth="1"/>
    <col min="14342" max="14342" width="22.42578125" style="1685" customWidth="1"/>
    <col min="14343" max="14344" width="15.5703125" style="1685" customWidth="1"/>
    <col min="14345" max="14345" width="25.5703125" style="1685" customWidth="1"/>
    <col min="14346" max="14593" width="11.5703125" style="1685"/>
    <col min="14594" max="14594" width="18.42578125" style="1685" customWidth="1"/>
    <col min="14595" max="14595" width="47.42578125" style="1685" customWidth="1"/>
    <col min="14596" max="14596" width="15.5703125" style="1685" customWidth="1"/>
    <col min="14597" max="14597" width="17" style="1685" customWidth="1"/>
    <col min="14598" max="14598" width="22.42578125" style="1685" customWidth="1"/>
    <col min="14599" max="14600" width="15.5703125" style="1685" customWidth="1"/>
    <col min="14601" max="14601" width="25.5703125" style="1685" customWidth="1"/>
    <col min="14602" max="14849" width="11.5703125" style="1685"/>
    <col min="14850" max="14850" width="18.42578125" style="1685" customWidth="1"/>
    <col min="14851" max="14851" width="47.42578125" style="1685" customWidth="1"/>
    <col min="14852" max="14852" width="15.5703125" style="1685" customWidth="1"/>
    <col min="14853" max="14853" width="17" style="1685" customWidth="1"/>
    <col min="14854" max="14854" width="22.42578125" style="1685" customWidth="1"/>
    <col min="14855" max="14856" width="15.5703125" style="1685" customWidth="1"/>
    <col min="14857" max="14857" width="25.5703125" style="1685" customWidth="1"/>
    <col min="14858" max="15105" width="11.5703125" style="1685"/>
    <col min="15106" max="15106" width="18.42578125" style="1685" customWidth="1"/>
    <col min="15107" max="15107" width="47.42578125" style="1685" customWidth="1"/>
    <col min="15108" max="15108" width="15.5703125" style="1685" customWidth="1"/>
    <col min="15109" max="15109" width="17" style="1685" customWidth="1"/>
    <col min="15110" max="15110" width="22.42578125" style="1685" customWidth="1"/>
    <col min="15111" max="15112" width="15.5703125" style="1685" customWidth="1"/>
    <col min="15113" max="15113" width="25.5703125" style="1685" customWidth="1"/>
    <col min="15114" max="15361" width="11.5703125" style="1685"/>
    <col min="15362" max="15362" width="18.42578125" style="1685" customWidth="1"/>
    <col min="15363" max="15363" width="47.42578125" style="1685" customWidth="1"/>
    <col min="15364" max="15364" width="15.5703125" style="1685" customWidth="1"/>
    <col min="15365" max="15365" width="17" style="1685" customWidth="1"/>
    <col min="15366" max="15366" width="22.42578125" style="1685" customWidth="1"/>
    <col min="15367" max="15368" width="15.5703125" style="1685" customWidth="1"/>
    <col min="15369" max="15369" width="25.5703125" style="1685" customWidth="1"/>
    <col min="15370" max="15617" width="11.5703125" style="1685"/>
    <col min="15618" max="15618" width="18.42578125" style="1685" customWidth="1"/>
    <col min="15619" max="15619" width="47.42578125" style="1685" customWidth="1"/>
    <col min="15620" max="15620" width="15.5703125" style="1685" customWidth="1"/>
    <col min="15621" max="15621" width="17" style="1685" customWidth="1"/>
    <col min="15622" max="15622" width="22.42578125" style="1685" customWidth="1"/>
    <col min="15623" max="15624" width="15.5703125" style="1685" customWidth="1"/>
    <col min="15625" max="15625" width="25.5703125" style="1685" customWidth="1"/>
    <col min="15626" max="15873" width="11.5703125" style="1685"/>
    <col min="15874" max="15874" width="18.42578125" style="1685" customWidth="1"/>
    <col min="15875" max="15875" width="47.42578125" style="1685" customWidth="1"/>
    <col min="15876" max="15876" width="15.5703125" style="1685" customWidth="1"/>
    <col min="15877" max="15877" width="17" style="1685" customWidth="1"/>
    <col min="15878" max="15878" width="22.42578125" style="1685" customWidth="1"/>
    <col min="15879" max="15880" width="15.5703125" style="1685" customWidth="1"/>
    <col min="15881" max="15881" width="25.5703125" style="1685" customWidth="1"/>
    <col min="15882" max="16129" width="11.5703125" style="1685"/>
    <col min="16130" max="16130" width="18.42578125" style="1685" customWidth="1"/>
    <col min="16131" max="16131" width="47.42578125" style="1685" customWidth="1"/>
    <col min="16132" max="16132" width="15.5703125" style="1685" customWidth="1"/>
    <col min="16133" max="16133" width="17" style="1685" customWidth="1"/>
    <col min="16134" max="16134" width="22.42578125" style="1685" customWidth="1"/>
    <col min="16135" max="16136" width="15.5703125" style="1685" customWidth="1"/>
    <col min="16137" max="16137" width="25.5703125" style="1685" customWidth="1"/>
    <col min="16138" max="16384" width="11.570312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1_270126</v>
      </c>
      <c r="B2" s="1686" t="s">
        <v>2019</v>
      </c>
      <c r="C2" s="1686" t="s">
        <v>1978</v>
      </c>
      <c r="D2" s="1687" t="s">
        <v>1979</v>
      </c>
      <c r="E2" s="1688">
        <f>'Cashflow Synthesis'!E13</f>
        <v>2377195.84</v>
      </c>
      <c r="F2" s="1689" t="s">
        <v>308</v>
      </c>
      <c r="G2" s="1690" t="str">
        <f>LEFT('Cashflow Synthesis'!D13,34)</f>
        <v>Administration and Management Fee</v>
      </c>
      <c r="H2" s="1690" t="str">
        <f>G2</f>
        <v>Administration and Management Fee</v>
      </c>
      <c r="I2" s="1691">
        <f ca="1">TODAY()</f>
        <v>46050</v>
      </c>
      <c r="J2" s="1691">
        <f>'Cover Page'!$C$15</f>
        <v>46049</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2_270126</v>
      </c>
      <c r="B3" s="1686" t="s">
        <v>2019</v>
      </c>
      <c r="C3" s="1686" t="s">
        <v>1978</v>
      </c>
      <c r="D3" s="1687" t="s">
        <v>1979</v>
      </c>
      <c r="E3" s="1688">
        <f>'Cashflow Synthesis'!E14</f>
        <v>18720.95</v>
      </c>
      <c r="F3" s="1689" t="s">
        <v>308</v>
      </c>
      <c r="G3" s="1690" t="str">
        <f>LEFT('Cashflow Synthesis'!D14,34)</f>
        <v>Servicing and Recovery Fee</v>
      </c>
      <c r="H3" s="1690" t="str">
        <f t="shared" ref="H3:H23" si="1">G3</f>
        <v>Servicing and Recovery Fee</v>
      </c>
      <c r="I3" s="1691">
        <f t="shared" ref="I3:I23" ca="1" si="2">TODAY()</f>
        <v>46050</v>
      </c>
      <c r="J3" s="1691">
        <f>'Cover Page'!$C$15</f>
        <v>46049</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3_270126</v>
      </c>
      <c r="B4" s="1686" t="s">
        <v>2019</v>
      </c>
      <c r="C4" s="1686" t="s">
        <v>1978</v>
      </c>
      <c r="D4" s="1687" t="s">
        <v>1979</v>
      </c>
      <c r="E4" s="1688">
        <f>'Cashflow Synthesis'!E15</f>
        <v>5416.67</v>
      </c>
      <c r="F4" s="1689" t="s">
        <v>308</v>
      </c>
      <c r="G4" s="1690" t="str">
        <f>LEFT('Cashflow Synthesis'!D15,34)</f>
        <v>Management Company fees</v>
      </c>
      <c r="H4" s="1690" t="str">
        <f t="shared" si="1"/>
        <v>Management Company fees</v>
      </c>
      <c r="I4" s="1691">
        <f t="shared" ca="1" si="2"/>
        <v>46050</v>
      </c>
      <c r="J4" s="1691">
        <f>'Cover Page'!$C$15</f>
        <v>46049</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4_270126</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46050</v>
      </c>
      <c r="J5" s="1691">
        <f>'Cover Page'!$C$15</f>
        <v>46049</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5_270126</v>
      </c>
      <c r="B6" s="1686" t="s">
        <v>2019</v>
      </c>
      <c r="C6" s="1686" t="s">
        <v>1978</v>
      </c>
      <c r="D6" s="1687" t="s">
        <v>1979</v>
      </c>
      <c r="E6" s="1688">
        <f>'Cashflow Synthesis'!E17</f>
        <v>480</v>
      </c>
      <c r="F6" s="1689" t="s">
        <v>308</v>
      </c>
      <c r="G6" s="1690" t="str">
        <f>LEFT('Cashflow Synthesis'!D17,34)</f>
        <v xml:space="preserve">Paying Agent </v>
      </c>
      <c r="H6" s="1690" t="str">
        <f t="shared" si="1"/>
        <v xml:space="preserve">Paying Agent </v>
      </c>
      <c r="I6" s="1691">
        <f t="shared" ca="1" si="2"/>
        <v>46050</v>
      </c>
      <c r="J6" s="1691">
        <f>'Cover Page'!$C$15</f>
        <v>46049</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6_270126</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46050</v>
      </c>
      <c r="J7" s="1691">
        <f>'Cover Page'!$C$15</f>
        <v>46049</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7_270126</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46050</v>
      </c>
      <c r="J8" s="1691">
        <f>'Cover Page'!$C$15</f>
        <v>46049</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8_270126</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46050</v>
      </c>
      <c r="J9" s="1691">
        <f>'Cover Page'!$C$15</f>
        <v>46049</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9_270126</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46050</v>
      </c>
      <c r="J10" s="1691">
        <f>'Cover Page'!$C$15</f>
        <v>46049</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10_270126</v>
      </c>
      <c r="B11" s="1686" t="s">
        <v>2019</v>
      </c>
      <c r="C11" s="1686" t="s">
        <v>1978</v>
      </c>
      <c r="D11" s="1687" t="s">
        <v>1979</v>
      </c>
      <c r="E11" s="1688">
        <f>'Cashflow Synthesis'!E22</f>
        <v>5100</v>
      </c>
      <c r="F11" s="1689" t="s">
        <v>308</v>
      </c>
      <c r="G11" s="1690" t="str">
        <f>LEFT('Cashflow Synthesis'!D22,34)</f>
        <v>Issuer Statutory Auditor</v>
      </c>
      <c r="H11" s="1690" t="str">
        <f t="shared" si="1"/>
        <v>Issuer Statutory Auditor</v>
      </c>
      <c r="I11" s="1691">
        <f t="shared" ca="1" si="2"/>
        <v>46050</v>
      </c>
      <c r="J11" s="1691">
        <f>'Cover Page'!$C$15</f>
        <v>46049</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11_270126</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46050</v>
      </c>
      <c r="J12" s="1691">
        <f>'Cover Page'!$C$15</f>
        <v>46049</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12_270126</v>
      </c>
      <c r="B13" s="1686" t="s">
        <v>2019</v>
      </c>
      <c r="C13" s="1686" t="s">
        <v>1978</v>
      </c>
      <c r="D13" s="1687" t="s">
        <v>1979</v>
      </c>
      <c r="E13" s="1688">
        <f>'Cashflow Synthesis'!E24</f>
        <v>0</v>
      </c>
      <c r="F13" s="1689" t="s">
        <v>308</v>
      </c>
      <c r="G13" s="1690" t="str">
        <f>LEFT('Cashflow Synthesis'!D24,34)</f>
        <v>AMF fees</v>
      </c>
      <c r="H13" s="1690" t="str">
        <f t="shared" si="1"/>
        <v>AMF fees</v>
      </c>
      <c r="I13" s="1691">
        <f t="shared" ca="1" si="2"/>
        <v>46050</v>
      </c>
      <c r="J13" s="1691">
        <f>'Cover Page'!$C$15</f>
        <v>46049</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13_270126</v>
      </c>
      <c r="B14" s="1686" t="s">
        <v>2019</v>
      </c>
      <c r="C14" s="1686" t="s">
        <v>1978</v>
      </c>
      <c r="D14" s="1687" t="s">
        <v>1979</v>
      </c>
      <c r="E14" s="1764">
        <f>'Cashflow Synthesis'!E25</f>
        <v>3277958.44</v>
      </c>
      <c r="F14" s="1689" t="s">
        <v>308</v>
      </c>
      <c r="G14" s="1690" t="str">
        <f>LEFT('Cashflow Synthesis'!D25,34)</f>
        <v>Class A Notes Interest Amounts</v>
      </c>
      <c r="H14" s="1690" t="str">
        <f t="shared" si="1"/>
        <v>Class A Notes Interest Amounts</v>
      </c>
      <c r="I14" s="1691">
        <f t="shared" ca="1" si="2"/>
        <v>46050</v>
      </c>
      <c r="J14" s="1691">
        <f>'Cover Page'!$C$15</f>
        <v>46049</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14_270126</v>
      </c>
      <c r="B15" s="1686" t="s">
        <v>2019</v>
      </c>
      <c r="C15" s="1686" t="s">
        <v>1978</v>
      </c>
      <c r="D15" s="1687" t="s">
        <v>1979</v>
      </c>
      <c r="E15" s="1764">
        <f>'Cashflow Synthesis'!E26</f>
        <v>58047925.640000001</v>
      </c>
      <c r="F15" s="1689" t="s">
        <v>308</v>
      </c>
      <c r="G15" s="1690" t="str">
        <f>LEFT('Cashflow Synthesis'!D26,34)</f>
        <v>Class A Notes Amortisation Amount</v>
      </c>
      <c r="H15" s="1690" t="str">
        <f t="shared" si="1"/>
        <v>Class A Notes Amortisation Amount</v>
      </c>
      <c r="I15" s="1691">
        <f t="shared" ca="1" si="2"/>
        <v>46050</v>
      </c>
      <c r="J15" s="1691">
        <f>'Cover Page'!$C$15</f>
        <v>46049</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15_270126</v>
      </c>
      <c r="B16" s="1686" t="s">
        <v>2019</v>
      </c>
      <c r="C16" s="1686" t="s">
        <v>1978</v>
      </c>
      <c r="D16" s="1687" t="s">
        <v>1979</v>
      </c>
      <c r="E16" s="1764">
        <f>'Cashflow Synthesis'!E27</f>
        <v>1889525.6</v>
      </c>
      <c r="F16" s="1689" t="s">
        <v>308</v>
      </c>
      <c r="G16" s="1690" t="str">
        <f>LEFT('Cashflow Synthesis'!D27,34)</f>
        <v>Class A Notes 2025 Interest Amount</v>
      </c>
      <c r="H16" s="1690" t="str">
        <f t="shared" ref="H16" si="5">G16</f>
        <v>Class A Notes 2025 Interest Amount</v>
      </c>
      <c r="I16" s="1691">
        <f t="shared" ca="1" si="2"/>
        <v>46050</v>
      </c>
      <c r="J16" s="1691">
        <f>'Cover Page'!$C$15</f>
        <v>46049</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16_270126</v>
      </c>
      <c r="B17" s="1686" t="s">
        <v>2019</v>
      </c>
      <c r="C17" s="1686" t="s">
        <v>1978</v>
      </c>
      <c r="D17" s="1687" t="s">
        <v>1979</v>
      </c>
      <c r="E17" s="1764">
        <f>'Cashflow Synthesis'!E28</f>
        <v>33455575.600000001</v>
      </c>
      <c r="F17" s="1689" t="s">
        <v>308</v>
      </c>
      <c r="G17" s="1690" t="str">
        <f>LEFT('Cashflow Synthesis'!D28,34)</f>
        <v>Class A Notes 2025 Amortisation Am</v>
      </c>
      <c r="H17" s="1690" t="str">
        <f t="shared" ref="H17" si="8">G17</f>
        <v>Class A Notes 2025 Amortisation Am</v>
      </c>
      <c r="I17" s="1691">
        <f t="shared" ca="1" si="2"/>
        <v>46050</v>
      </c>
      <c r="J17" s="1691">
        <f>'Cover Page'!$C$15</f>
        <v>46049</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17_270126</v>
      </c>
      <c r="B18" s="1686" t="s">
        <v>2019</v>
      </c>
      <c r="C18" s="1686" t="s">
        <v>1978</v>
      </c>
      <c r="D18" s="1687" t="s">
        <v>1979</v>
      </c>
      <c r="E18" s="1688">
        <f>'Cashflow Synthesis'!E29</f>
        <v>679942.55999999994</v>
      </c>
      <c r="F18" s="1689" t="s">
        <v>308</v>
      </c>
      <c r="G18" s="1690" t="str">
        <f>LEFT('Cashflow Synthesis'!D29,34)</f>
        <v>Class B Notes Interest Amounts</v>
      </c>
      <c r="H18" s="1690" t="str">
        <f t="shared" si="1"/>
        <v>Class B Notes Interest Amounts</v>
      </c>
      <c r="I18" s="1691">
        <f t="shared" ca="1" si="2"/>
        <v>46050</v>
      </c>
      <c r="J18" s="1691">
        <f>'Cover Page'!$C$15</f>
        <v>46049</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18_270126</v>
      </c>
      <c r="B19" s="1686" t="s">
        <v>2019</v>
      </c>
      <c r="C19" s="1686" t="s">
        <v>1978</v>
      </c>
      <c r="D19" s="1687" t="s">
        <v>1979</v>
      </c>
      <c r="E19" s="1688">
        <f>'Cashflow Synthesis'!E30</f>
        <v>4815993.6000000006</v>
      </c>
      <c r="F19" s="1689" t="s">
        <v>308</v>
      </c>
      <c r="G19" s="1690" t="str">
        <f>LEFT('Cashflow Synthesis'!D30,34)</f>
        <v>Class B Notes Amortisation Amount</v>
      </c>
      <c r="H19" s="1690" t="str">
        <f t="shared" si="1"/>
        <v>Class B Notes Amortisation Amount</v>
      </c>
      <c r="I19" s="1691">
        <f t="shared" ca="1" si="2"/>
        <v>46050</v>
      </c>
      <c r="J19" s="1691">
        <f>'Cover Page'!$C$15</f>
        <v>46049</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19_270126</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46050</v>
      </c>
      <c r="J20" s="1691">
        <f>'Cover Page'!$C$15</f>
        <v>46049</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20_270126</v>
      </c>
      <c r="B21" s="1686" t="s">
        <v>2019</v>
      </c>
      <c r="C21" s="1686" t="s">
        <v>1978</v>
      </c>
      <c r="D21" s="1687" t="s">
        <v>1979</v>
      </c>
      <c r="E21" s="1688">
        <f>'Cashflow Synthesis'!E32</f>
        <v>7094831.7599999327</v>
      </c>
      <c r="F21" s="1689" t="s">
        <v>308</v>
      </c>
      <c r="G21" s="1690" t="str">
        <f>LEFT('Cashflow Synthesis'!D32,34)</f>
        <v>Final Excess Spread</v>
      </c>
      <c r="H21" s="1690" t="str">
        <f t="shared" si="1"/>
        <v>Final Excess Spread</v>
      </c>
      <c r="I21" s="1691">
        <f t="shared" ca="1" si="2"/>
        <v>46050</v>
      </c>
      <c r="J21" s="1691">
        <f>'Cover Page'!$C$15</f>
        <v>46049</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1" customFormat="1">
      <c r="A22" s="1770" t="str">
        <f t="shared" si="0"/>
        <v>21_270126</v>
      </c>
      <c r="B22" s="1770" t="s">
        <v>2019</v>
      </c>
      <c r="C22" s="1770" t="s">
        <v>1978</v>
      </c>
      <c r="D22" s="1771" t="s">
        <v>1979</v>
      </c>
      <c r="E22" s="1772">
        <f>'Cashflow Synthesis'!E33</f>
        <v>460000</v>
      </c>
      <c r="F22" s="1773" t="s">
        <v>308</v>
      </c>
      <c r="G22" s="1774" t="str">
        <f>LEFT('Cashflow Synthesis'!D33,34)</f>
        <v xml:space="preserve">Transfer from the General Reserve </v>
      </c>
      <c r="H22" s="1774" t="str">
        <f t="shared" si="1"/>
        <v xml:space="preserve">Transfer from the General Reserve </v>
      </c>
      <c r="I22" s="1775">
        <f t="shared" ca="1" si="2"/>
        <v>46050</v>
      </c>
      <c r="J22" s="1775">
        <f>'Cover Page'!$C$15</f>
        <v>46049</v>
      </c>
      <c r="K22" s="1776" t="s">
        <v>1980</v>
      </c>
      <c r="L22" s="1777" t="s">
        <v>1989</v>
      </c>
      <c r="M22" s="1770" t="s">
        <v>406</v>
      </c>
      <c r="N22" s="1770" t="s">
        <v>1985</v>
      </c>
      <c r="O22" s="1778" t="str">
        <f>'Cashflow Synthesis'!H33</f>
        <v>FR76 3000 3041 7000 0670 0231 411</v>
      </c>
      <c r="P22" s="1770" t="s">
        <v>406</v>
      </c>
      <c r="Q22" s="1770">
        <v>0</v>
      </c>
      <c r="R22" s="1779">
        <v>0</v>
      </c>
      <c r="S22" s="1771">
        <v>0</v>
      </c>
      <c r="T22" s="1771">
        <v>0</v>
      </c>
      <c r="U22" s="1770" t="str">
        <f>'Cashflow Synthesis'!J33</f>
        <v>SG</v>
      </c>
      <c r="V22" s="1770" t="str">
        <f t="shared" si="3"/>
        <v>SG</v>
      </c>
      <c r="W22" s="1770" t="str">
        <f>'Cashflow Synthesis'!I33</f>
        <v>SOGEFRPP</v>
      </c>
      <c r="X22" s="1770" t="str">
        <f>'Cashflow Synthesis'!K33</f>
        <v>FR76 3000 3071 2500 0993 8092 482</v>
      </c>
      <c r="Y22" s="1780" t="s">
        <v>1981</v>
      </c>
      <c r="Z22" s="1780" t="s">
        <v>2011</v>
      </c>
      <c r="AA22" s="1780" t="s">
        <v>963</v>
      </c>
      <c r="AB22" s="1780" t="s">
        <v>2012</v>
      </c>
      <c r="AC22" s="1780" t="s">
        <v>1984</v>
      </c>
      <c r="AD22" s="1780" t="s">
        <v>2018</v>
      </c>
      <c r="AE22" s="1780" t="s">
        <v>2017</v>
      </c>
      <c r="AF22" s="1780" t="s">
        <v>964</v>
      </c>
      <c r="AG22" s="1780" t="s">
        <v>963</v>
      </c>
    </row>
    <row r="23" spans="1:33">
      <c r="A23" s="1686" t="str">
        <f t="shared" si="0"/>
        <v>22_270126</v>
      </c>
      <c r="B23" s="1686" t="s">
        <v>2019</v>
      </c>
      <c r="C23" s="1686" t="s">
        <v>1978</v>
      </c>
      <c r="D23" s="1687" t="s">
        <v>1979</v>
      </c>
      <c r="E23" s="1688">
        <f>276072.97*0</f>
        <v>0</v>
      </c>
      <c r="F23" s="1689" t="s">
        <v>308</v>
      </c>
      <c r="G23" s="1690" t="s">
        <v>2021</v>
      </c>
      <c r="H23" s="1690" t="str">
        <f t="shared" si="1"/>
        <v>Transfer from operating acc</v>
      </c>
      <c r="I23" s="1691">
        <f t="shared" ca="1" si="2"/>
        <v>46050</v>
      </c>
      <c r="J23" s="1691">
        <f>'Cover Page'!$C$15</f>
        <v>46049</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0" t="s">
        <v>1981</v>
      </c>
      <c r="Z23" s="1780" t="s">
        <v>2011</v>
      </c>
      <c r="AA23" s="1780" t="s">
        <v>963</v>
      </c>
      <c r="AB23" s="1780" t="s">
        <v>2012</v>
      </c>
      <c r="AC23" s="1780" t="s">
        <v>1984</v>
      </c>
      <c r="AD23" s="1780" t="s">
        <v>2018</v>
      </c>
      <c r="AE23" s="1780" t="s">
        <v>2017</v>
      </c>
      <c r="AF23" s="1780" t="s">
        <v>964</v>
      </c>
      <c r="AG23" s="1780" t="s">
        <v>963</v>
      </c>
    </row>
    <row r="24" spans="1:33" ht="15">
      <c r="A24" s="1686"/>
      <c r="B24" s="1686"/>
      <c r="C24" s="1686"/>
      <c r="D24" s="1687"/>
      <c r="E24" s="1688"/>
      <c r="F24" s="1689"/>
      <c r="G24" s="1690"/>
      <c r="H24" s="1690"/>
      <c r="I24" s="1691"/>
      <c r="J24" s="1691"/>
      <c r="K24" s="1692"/>
      <c r="L24" s="1697"/>
      <c r="M24" s="1686"/>
      <c r="N24" s="1686"/>
      <c r="O24" s="1785"/>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18"/>
  <sheetViews>
    <sheetView zoomScale="85" zoomScaleNormal="85" workbookViewId="0">
      <selection sqref="A1:C1"/>
    </sheetView>
  </sheetViews>
  <sheetFormatPr defaultColWidth="9.140625" defaultRowHeight="15"/>
  <cols>
    <col min="1" max="1" width="22.85546875" customWidth="1"/>
    <col min="2" max="2" width="21.28515625" customWidth="1"/>
    <col min="3" max="3" width="11" bestFit="1" customWidth="1"/>
    <col min="4" max="4" width="14.7109375" bestFit="1" customWidth="1"/>
    <col min="5" max="5" width="23.7109375" customWidth="1"/>
    <col min="6" max="6" width="13.140625" customWidth="1"/>
    <col min="7" max="7" width="17.140625" customWidth="1"/>
    <col min="8" max="8" width="15.28515625" customWidth="1"/>
    <col min="9" max="9" width="14.140625" customWidth="1"/>
    <col min="10" max="10" width="13" bestFit="1" customWidth="1"/>
    <col min="11" max="11" width="14.140625" bestFit="1" customWidth="1"/>
    <col min="12" max="12" width="14.140625" customWidth="1"/>
    <col min="13" max="13" width="17.28515625" customWidth="1"/>
    <col min="15" max="16" width="15.7109375" bestFit="1" customWidth="1"/>
    <col min="17" max="17" width="14.140625" bestFit="1" customWidth="1"/>
    <col min="18" max="18" width="15.7109375" bestFit="1" customWidth="1"/>
    <col min="19" max="19" width="9.42578125" bestFit="1" customWidth="1"/>
    <col min="20" max="20" width="8.42578125" bestFit="1" customWidth="1"/>
    <col min="21" max="21" width="10.42578125" bestFit="1" customWidth="1"/>
    <col min="22" max="23" width="15.7109375" bestFit="1" customWidth="1"/>
    <col min="24" max="24" width="13" bestFit="1" customWidth="1"/>
    <col min="25" max="25" width="16.5703125" customWidth="1"/>
    <col min="26" max="26" width="9.5703125" bestFit="1" customWidth="1"/>
    <col min="27" max="27" width="9.28515625" bestFit="1" customWidth="1"/>
    <col min="28" max="28" width="10.42578125" bestFit="1" customWidth="1"/>
    <col min="29" max="32" width="14.140625" bestFit="1" customWidth="1"/>
    <col min="33" max="33" width="8.42578125" bestFit="1" customWidth="1"/>
    <col min="34" max="34" width="10.42578125" bestFit="1" customWidth="1"/>
    <col min="35" max="35" width="8.85546875" bestFit="1" customWidth="1"/>
    <col min="36" max="36" width="6.42578125" bestFit="1" customWidth="1"/>
    <col min="37" max="37" width="9" bestFit="1" customWidth="1"/>
    <col min="38" max="38" width="8.85546875" bestFit="1" customWidth="1"/>
    <col min="39" max="39" width="8.28515625" bestFit="1" customWidth="1"/>
    <col min="41" max="41" width="19.42578125" bestFit="1" customWidth="1"/>
    <col min="42" max="42" width="16.85546875" bestFit="1" customWidth="1"/>
    <col min="43" max="43" width="14.140625" bestFit="1" customWidth="1"/>
    <col min="44" max="44" width="8.42578125" bestFit="1" customWidth="1"/>
    <col min="45" max="45" width="19.28515625" bestFit="1" customWidth="1"/>
    <col min="46" max="46" width="12.7109375" bestFit="1" customWidth="1"/>
    <col min="47" max="47" width="19.28515625" bestFit="1" customWidth="1"/>
    <col min="48" max="49" width="8.7109375" bestFit="1" customWidth="1"/>
    <col min="50" max="50" width="19.28515625" bestFit="1" customWidth="1"/>
    <col min="51" max="51" width="17" bestFit="1" customWidth="1"/>
    <col min="52" max="52" width="16.85546875" bestFit="1" customWidth="1"/>
    <col min="53" max="53" width="14.140625" bestFit="1" customWidth="1"/>
    <col min="54" max="54" width="16.85546875" bestFit="1" customWidth="1"/>
    <col min="55" max="55" width="14.140625" bestFit="1" customWidth="1"/>
    <col min="56" max="56" width="16.85546875" bestFit="1" customWidth="1"/>
    <col min="57" max="58" width="14.140625" bestFit="1" customWidth="1"/>
    <col min="59" max="59" width="13" bestFit="1" customWidth="1"/>
    <col min="60" max="60" width="9.42578125" bestFit="1" customWidth="1"/>
    <col min="61" max="61" width="8.42578125" bestFit="1" customWidth="1"/>
    <col min="62" max="62" width="14.140625" bestFit="1" customWidth="1"/>
    <col min="63" max="63" width="12.7109375" bestFit="1" customWidth="1"/>
    <col min="64" max="64" width="9.42578125" bestFit="1" customWidth="1"/>
    <col min="65" max="65" width="8.42578125" bestFit="1" customWidth="1"/>
    <col min="66" max="66" width="13" bestFit="1" customWidth="1"/>
    <col min="67" max="67" width="8.140625" bestFit="1" customWidth="1"/>
    <col min="68" max="70" width="14.140625" bestFit="1" customWidth="1"/>
    <col min="71" max="71" width="8.85546875" bestFit="1" customWidth="1"/>
    <col min="72" max="72" width="9.42578125" bestFit="1" customWidth="1"/>
    <col min="73" max="73" width="14.140625" bestFit="1" customWidth="1"/>
    <col min="74" max="74" width="12.7109375" bestFit="1" customWidth="1"/>
    <col min="75" max="75" width="9.85546875" bestFit="1" customWidth="1"/>
    <col min="76" max="76" width="10.42578125" bestFit="1" customWidth="1"/>
    <col min="77" max="78" width="9.42578125" bestFit="1" customWidth="1"/>
    <col min="79" max="79" width="7.28515625" bestFit="1" customWidth="1"/>
    <col min="80" max="80" width="9.42578125" bestFit="1" customWidth="1"/>
    <col min="81" max="81" width="11" bestFit="1" customWidth="1"/>
    <col min="82" max="82" width="12" bestFit="1" customWidth="1"/>
    <col min="83" max="83" width="9.85546875" bestFit="1" customWidth="1"/>
    <col min="84" max="84" width="10.42578125" bestFit="1" customWidth="1"/>
    <col min="85" max="86" width="9.42578125" bestFit="1" customWidth="1"/>
    <col min="87" max="87" width="7.28515625" bestFit="1" customWidth="1"/>
    <col min="88" max="88" width="9.42578125" bestFit="1" customWidth="1"/>
    <col min="89" max="89" width="11" bestFit="1" customWidth="1"/>
    <col min="90" max="90" width="12" bestFit="1" customWidth="1"/>
    <col min="91" max="91" width="9.85546875" bestFit="1" customWidth="1"/>
    <col min="92" max="92" width="10.42578125" bestFit="1" customWidth="1"/>
    <col min="93" max="94" width="9.42578125" bestFit="1" customWidth="1"/>
    <col min="95" max="95" width="7.28515625" bestFit="1" customWidth="1"/>
    <col min="96" max="96" width="6.28515625" bestFit="1" customWidth="1"/>
    <col min="97" max="97" width="7.42578125" bestFit="1" customWidth="1"/>
    <col min="98" max="98" width="10.5703125" bestFit="1" customWidth="1"/>
    <col min="99" max="99" width="16.85546875" bestFit="1" customWidth="1"/>
    <col min="100" max="100" width="10" bestFit="1" customWidth="1"/>
    <col min="101" max="101" width="13.5703125" bestFit="1" customWidth="1"/>
    <col min="102" max="103" width="8.85546875" bestFit="1" customWidth="1"/>
    <col min="104" max="104" width="13.140625" bestFit="1" customWidth="1"/>
    <col min="105" max="106" width="13" bestFit="1" customWidth="1"/>
    <col min="107" max="107" width="12.7109375" bestFit="1" customWidth="1"/>
    <col min="108" max="108" width="14.7109375" bestFit="1" customWidth="1"/>
    <col min="109" max="109" width="13" bestFit="1" customWidth="1"/>
    <col min="110" max="110" width="9.140625" bestFit="1" customWidth="1"/>
    <col min="111" max="111" width="7.5703125" bestFit="1" customWidth="1"/>
    <col min="112" max="112" width="14.140625" bestFit="1" customWidth="1"/>
  </cols>
  <sheetData>
    <row r="1" spans="1:112" ht="15.75" customHeight="1">
      <c r="A1" s="2058" t="s">
        <v>1991</v>
      </c>
      <c r="B1" s="2058"/>
      <c r="C1" s="2058"/>
      <c r="D1" s="2059" t="s">
        <v>1992</v>
      </c>
      <c r="E1" s="2059"/>
      <c r="F1" s="2059"/>
      <c r="G1" s="2059"/>
      <c r="H1" s="2059"/>
      <c r="I1" s="2059"/>
      <c r="J1" s="2058" t="s">
        <v>269</v>
      </c>
      <c r="K1" s="2058"/>
      <c r="L1" s="2058"/>
      <c r="M1" s="2058"/>
      <c r="N1" s="2058"/>
      <c r="O1" s="2060" t="s">
        <v>118</v>
      </c>
      <c r="P1" s="2060"/>
      <c r="Q1" s="2060"/>
      <c r="R1" s="2060"/>
      <c r="S1" s="2060"/>
      <c r="T1" s="2060"/>
      <c r="U1" s="2060"/>
      <c r="V1" s="2061" t="s">
        <v>2053</v>
      </c>
      <c r="W1" s="2062"/>
      <c r="X1" s="2062"/>
      <c r="Y1" s="2062"/>
      <c r="Z1" s="2062"/>
      <c r="AA1" s="2062"/>
      <c r="AB1" s="2063"/>
      <c r="AC1" s="2060" t="s">
        <v>119</v>
      </c>
      <c r="AD1" s="2060"/>
      <c r="AE1" s="2060"/>
      <c r="AF1" s="2060"/>
      <c r="AG1" s="2060"/>
      <c r="AH1" s="2060"/>
      <c r="AI1" s="2060" t="s">
        <v>130</v>
      </c>
      <c r="AJ1" s="2060"/>
      <c r="AK1" s="2060"/>
      <c r="AL1" s="2060"/>
      <c r="AM1" s="2060"/>
      <c r="AN1" s="2060"/>
      <c r="AO1" s="2057" t="s">
        <v>1050</v>
      </c>
      <c r="AP1" s="2057"/>
      <c r="AQ1" s="2057"/>
      <c r="AR1" s="2057" t="s">
        <v>247</v>
      </c>
      <c r="AS1" s="2057"/>
      <c r="AT1" s="2057"/>
      <c r="AU1" s="2057"/>
      <c r="AV1" s="2057"/>
      <c r="AW1" s="2057" t="s">
        <v>244</v>
      </c>
      <c r="AX1" s="2057"/>
      <c r="AY1" s="2057"/>
      <c r="AZ1" s="2057" t="s">
        <v>1051</v>
      </c>
      <c r="BA1" s="2057"/>
      <c r="BB1" s="2057"/>
      <c r="BC1" s="2057" t="s">
        <v>410</v>
      </c>
      <c r="BD1" s="2057"/>
      <c r="BE1" s="2057"/>
      <c r="BF1" s="2057"/>
      <c r="BG1" s="1833"/>
      <c r="BH1" s="2068" t="s">
        <v>1094</v>
      </c>
      <c r="BI1" s="2068"/>
      <c r="BJ1" s="2068"/>
      <c r="BK1" s="2068"/>
      <c r="BL1" s="2068" t="s">
        <v>1094</v>
      </c>
      <c r="BM1" s="2068"/>
      <c r="BN1" s="2068"/>
      <c r="BO1" s="2068"/>
      <c r="BP1" s="2057" t="s">
        <v>412</v>
      </c>
      <c r="BQ1" s="2057"/>
      <c r="BR1" s="2057"/>
      <c r="BS1" s="2068" t="s">
        <v>1100</v>
      </c>
      <c r="BT1" s="2068"/>
      <c r="BU1" s="2068"/>
      <c r="BV1" s="2068"/>
      <c r="BW1" s="2064" t="s">
        <v>118</v>
      </c>
      <c r="BX1" s="2064"/>
      <c r="BY1" s="2064"/>
      <c r="BZ1" s="2064"/>
      <c r="CA1" s="2064"/>
      <c r="CB1" s="2064"/>
      <c r="CC1" s="2064"/>
      <c r="CD1" s="2064"/>
      <c r="CE1" s="2064" t="s">
        <v>118</v>
      </c>
      <c r="CF1" s="2064"/>
      <c r="CG1" s="2064"/>
      <c r="CH1" s="2064"/>
      <c r="CI1" s="2064"/>
      <c r="CJ1" s="2064"/>
      <c r="CK1" s="2064"/>
      <c r="CL1" s="2064"/>
      <c r="CM1" s="2064" t="s">
        <v>119</v>
      </c>
      <c r="CN1" s="2064"/>
      <c r="CO1" s="2064"/>
      <c r="CP1" s="2064"/>
      <c r="CQ1" s="2064"/>
      <c r="CR1" s="2064"/>
      <c r="CS1" s="2064"/>
      <c r="CT1" s="2064"/>
      <c r="CU1" s="2064" t="s">
        <v>1139</v>
      </c>
      <c r="CV1" s="2064"/>
      <c r="CW1" s="2064"/>
      <c r="CX1" s="2064"/>
      <c r="CY1" s="2064"/>
      <c r="CZ1" s="2064"/>
      <c r="DA1" s="2064"/>
      <c r="DB1" s="2064"/>
      <c r="DC1" s="2064"/>
      <c r="DD1" s="2065"/>
      <c r="DE1" s="2066"/>
      <c r="DF1" s="2066"/>
      <c r="DG1" s="2067"/>
    </row>
    <row r="2" spans="1:112" ht="171.6" customHeight="1" thickBot="1">
      <c r="A2" s="1708" t="s">
        <v>4</v>
      </c>
      <c r="B2" s="1709" t="s">
        <v>5</v>
      </c>
      <c r="C2" s="1709" t="s">
        <v>102</v>
      </c>
      <c r="D2" s="1709" t="s">
        <v>111</v>
      </c>
      <c r="E2" s="1709" t="s">
        <v>112</v>
      </c>
      <c r="F2" s="1709" t="s">
        <v>113</v>
      </c>
      <c r="G2" s="1709" t="s">
        <v>114</v>
      </c>
      <c r="H2" s="1709" t="s">
        <v>115</v>
      </c>
      <c r="I2" s="1709" t="s">
        <v>116</v>
      </c>
      <c r="J2" s="1710" t="s">
        <v>1880</v>
      </c>
      <c r="K2" s="1710" t="s">
        <v>1881</v>
      </c>
      <c r="L2" s="1710" t="s">
        <v>1882</v>
      </c>
      <c r="M2" s="1710" t="s">
        <v>1883</v>
      </c>
      <c r="N2" s="1710" t="s">
        <v>1885</v>
      </c>
      <c r="O2" s="1710" t="s">
        <v>131</v>
      </c>
      <c r="P2" s="1710" t="s">
        <v>132</v>
      </c>
      <c r="Q2" s="1710" t="s">
        <v>1048</v>
      </c>
      <c r="R2" s="1710" t="s">
        <v>134</v>
      </c>
      <c r="S2" s="1710" t="s">
        <v>135</v>
      </c>
      <c r="T2" s="1710" t="s">
        <v>136</v>
      </c>
      <c r="U2" s="1710" t="s">
        <v>137</v>
      </c>
      <c r="V2" s="1710" t="s">
        <v>131</v>
      </c>
      <c r="W2" s="1710" t="s">
        <v>132</v>
      </c>
      <c r="X2" s="1710" t="s">
        <v>1048</v>
      </c>
      <c r="Y2" s="1710" t="s">
        <v>134</v>
      </c>
      <c r="Z2" s="1710" t="s">
        <v>135</v>
      </c>
      <c r="AA2" s="1710" t="s">
        <v>136</v>
      </c>
      <c r="AB2" s="1710" t="s">
        <v>137</v>
      </c>
      <c r="AC2" s="1710" t="s">
        <v>131</v>
      </c>
      <c r="AD2" s="1710" t="s">
        <v>132</v>
      </c>
      <c r="AE2" s="1710" t="s">
        <v>133</v>
      </c>
      <c r="AF2" s="1710" t="s">
        <v>134</v>
      </c>
      <c r="AG2" s="1710" t="s">
        <v>138</v>
      </c>
      <c r="AH2" s="1710" t="s">
        <v>137</v>
      </c>
      <c r="AI2" s="1710" t="s">
        <v>139</v>
      </c>
      <c r="AJ2" s="1710" t="s">
        <v>132</v>
      </c>
      <c r="AK2" s="1710" t="s">
        <v>133</v>
      </c>
      <c r="AL2" s="1710" t="s">
        <v>140</v>
      </c>
      <c r="AM2" s="1710" t="s">
        <v>141</v>
      </c>
      <c r="AN2" s="1711" t="s">
        <v>142</v>
      </c>
      <c r="AO2" s="1712" t="s">
        <v>1086</v>
      </c>
      <c r="AP2" s="1713" t="s">
        <v>1087</v>
      </c>
      <c r="AQ2" s="1714" t="s">
        <v>1050</v>
      </c>
      <c r="AR2" s="1715">
        <v>1</v>
      </c>
      <c r="AS2" s="1713" t="s">
        <v>1089</v>
      </c>
      <c r="AT2" s="1713" t="s">
        <v>1090</v>
      </c>
      <c r="AU2" s="1713" t="s">
        <v>1091</v>
      </c>
      <c r="AV2" s="1716" t="s">
        <v>247</v>
      </c>
      <c r="AW2" s="1712" t="s">
        <v>1056</v>
      </c>
      <c r="AX2" s="1713" t="s">
        <v>1055</v>
      </c>
      <c r="AY2" s="1714" t="s">
        <v>244</v>
      </c>
      <c r="AZ2" s="1712" t="s">
        <v>1055</v>
      </c>
      <c r="BA2" s="1713" t="s">
        <v>244</v>
      </c>
      <c r="BB2" s="1714" t="s">
        <v>1051</v>
      </c>
      <c r="BC2" s="1712" t="s">
        <v>1050</v>
      </c>
      <c r="BD2" s="1713" t="s">
        <v>1054</v>
      </c>
      <c r="BE2" s="1717" t="s">
        <v>1051</v>
      </c>
      <c r="BF2" s="1714" t="s">
        <v>410</v>
      </c>
      <c r="BG2" s="1838" t="s">
        <v>2055</v>
      </c>
      <c r="BH2" s="1712" t="s">
        <v>1052</v>
      </c>
      <c r="BI2" s="1717" t="s">
        <v>1096</v>
      </c>
      <c r="BJ2" s="1717" t="s">
        <v>1097</v>
      </c>
      <c r="BK2" s="1714" t="s">
        <v>1053</v>
      </c>
      <c r="BL2" s="1712" t="s">
        <v>1052</v>
      </c>
      <c r="BM2" s="1717" t="s">
        <v>1096</v>
      </c>
      <c r="BN2" s="1717" t="s">
        <v>1097</v>
      </c>
      <c r="BO2" s="1714" t="s">
        <v>1053</v>
      </c>
      <c r="BP2" s="1718" t="s">
        <v>1093</v>
      </c>
      <c r="BQ2" s="1717" t="s">
        <v>1095</v>
      </c>
      <c r="BR2" s="1714" t="s">
        <v>412</v>
      </c>
      <c r="BS2" s="1712" t="s">
        <v>1052</v>
      </c>
      <c r="BT2" s="1717" t="s">
        <v>1098</v>
      </c>
      <c r="BU2" s="1717" t="s">
        <v>1099</v>
      </c>
      <c r="BV2" s="1719" t="s">
        <v>1053</v>
      </c>
      <c r="BW2" s="1720" t="s">
        <v>145</v>
      </c>
      <c r="BX2" s="1721" t="s">
        <v>146</v>
      </c>
      <c r="BY2" s="1722" t="s">
        <v>151</v>
      </c>
      <c r="BZ2" s="1722" t="s">
        <v>152</v>
      </c>
      <c r="CA2" s="1721" t="s">
        <v>153</v>
      </c>
      <c r="CB2" s="1723" t="s">
        <v>1076</v>
      </c>
      <c r="CC2" s="1721" t="s">
        <v>149</v>
      </c>
      <c r="CD2" s="1724" t="s">
        <v>150</v>
      </c>
      <c r="CE2" s="1720" t="s">
        <v>145</v>
      </c>
      <c r="CF2" s="1721" t="s">
        <v>146</v>
      </c>
      <c r="CG2" s="1722" t="s">
        <v>151</v>
      </c>
      <c r="CH2" s="1722" t="s">
        <v>152</v>
      </c>
      <c r="CI2" s="1721" t="s">
        <v>153</v>
      </c>
      <c r="CJ2" s="1723" t="s">
        <v>1076</v>
      </c>
      <c r="CK2" s="1721" t="s">
        <v>149</v>
      </c>
      <c r="CL2" s="1724" t="s">
        <v>150</v>
      </c>
      <c r="CM2" s="1720" t="s">
        <v>145</v>
      </c>
      <c r="CN2" s="1721" t="s">
        <v>146</v>
      </c>
      <c r="CO2" s="1722" t="s">
        <v>151</v>
      </c>
      <c r="CP2" s="1722" t="s">
        <v>152</v>
      </c>
      <c r="CQ2" s="1721" t="s">
        <v>153</v>
      </c>
      <c r="CR2" s="1723" t="s">
        <v>1076</v>
      </c>
      <c r="CS2" s="1721" t="s">
        <v>149</v>
      </c>
      <c r="CT2" s="1724" t="s">
        <v>1136</v>
      </c>
      <c r="CU2" s="1725" t="s">
        <v>1069</v>
      </c>
      <c r="CV2" s="1726" t="s">
        <v>1070</v>
      </c>
      <c r="CW2" s="1725" t="s">
        <v>1071</v>
      </c>
      <c r="CX2" s="1725" t="s">
        <v>1061</v>
      </c>
      <c r="CY2" s="1725" t="s">
        <v>1060</v>
      </c>
      <c r="CZ2" s="1725" t="s">
        <v>1074</v>
      </c>
      <c r="DA2" s="1725" t="s">
        <v>1075</v>
      </c>
      <c r="DB2" s="1727" t="s">
        <v>1101</v>
      </c>
      <c r="DC2" s="1728" t="s">
        <v>643</v>
      </c>
      <c r="DD2" s="1729" t="s">
        <v>1140</v>
      </c>
      <c r="DE2" s="1725" t="s">
        <v>1141</v>
      </c>
      <c r="DF2" s="1728" t="s">
        <v>1013</v>
      </c>
      <c r="DG2" s="1728" t="s">
        <v>1996</v>
      </c>
      <c r="DH2" s="1728" t="s">
        <v>988</v>
      </c>
    </row>
    <row r="3" spans="1:112">
      <c r="A3" s="1238">
        <f>'00 - Cover'!F19</f>
        <v>46042</v>
      </c>
      <c r="B3" s="1238">
        <f>'00 - Cover'!F20</f>
        <v>46049</v>
      </c>
      <c r="C3" s="1238">
        <f>'00 - Cover'!F17</f>
        <v>46022</v>
      </c>
      <c r="D3" s="1239">
        <f>'08 - Default &amp; Recovery Stat'!C12</f>
        <v>0</v>
      </c>
      <c r="E3" s="1239">
        <f>'08 - Default &amp; Recovery Stat'!D12</f>
        <v>12428694752.200001</v>
      </c>
      <c r="F3" s="1239">
        <f>'08 - Default &amp; Recovery Stat'!E12</f>
        <v>998490.2</v>
      </c>
      <c r="G3" s="1239">
        <f>'08 - Default &amp; Recovery Stat'!F12</f>
        <v>6916094.0900000008</v>
      </c>
      <c r="H3" s="1239">
        <f>'08 - Default &amp; Recovery Stat'!G12</f>
        <v>10317.209999999999</v>
      </c>
      <c r="I3" s="1239">
        <f>'08 - Default &amp; Recovery Stat'!H12</f>
        <v>533885.36</v>
      </c>
      <c r="J3" s="1239">
        <f>'09 -Principal Deficiency Amount'!C12</f>
        <v>96320114.010000229</v>
      </c>
      <c r="K3" s="1239">
        <f>'09 -Principal Deficiency Amount'!D12</f>
        <v>103874945.77000016</v>
      </c>
      <c r="L3" s="1239">
        <f>'09 -Principal Deficiency Amount'!E12</f>
        <v>112142835.83000016</v>
      </c>
      <c r="M3" s="1239">
        <f>'09 -Principal Deficiency Amount'!F12</f>
        <v>8267890.0599999996</v>
      </c>
      <c r="N3" s="1239">
        <f>'09 -Principal Deficiency Amount'!G12</f>
        <v>0</v>
      </c>
      <c r="O3" s="1239">
        <f>'11 - Notes Follow-up'!D25</f>
        <v>6876677200.6800003</v>
      </c>
      <c r="P3" s="1239">
        <f>'11 - Notes Follow-up'!E25</f>
        <v>0</v>
      </c>
      <c r="Q3" s="1239">
        <f>'11 - Notes Follow-up'!F25</f>
        <v>58047925.640000001</v>
      </c>
      <c r="R3" s="1239">
        <f>'11 - Notes Follow-up'!G25</f>
        <v>6818629275.04</v>
      </c>
      <c r="S3" s="1239">
        <f>'11 - Notes Follow-up'!H25</f>
        <v>77732</v>
      </c>
      <c r="T3" s="1239">
        <f>'11 - Notes Follow-up'!I25</f>
        <v>746.77</v>
      </c>
      <c r="U3" s="1239">
        <f>'11 - Notes Follow-up'!J25</f>
        <v>87719.72</v>
      </c>
      <c r="V3" s="1239">
        <f>'11 - Notes Follow-up'!L25</f>
        <v>3963336422</v>
      </c>
      <c r="W3" s="1239">
        <f>'11 - Notes Follow-up'!M25</f>
        <v>0</v>
      </c>
      <c r="X3" s="1239">
        <f>'11 - Notes Follow-up'!N25</f>
        <v>33455575.600000001</v>
      </c>
      <c r="Y3" s="1239">
        <f>'11 - Notes Follow-up'!O25</f>
        <v>3929880846.4000001</v>
      </c>
      <c r="Z3" s="1239">
        <f>'11 - Notes Follow-up'!P25</f>
        <v>40340</v>
      </c>
      <c r="AA3" s="1239">
        <f>'11 - Notes Follow-up'!Q25</f>
        <v>829.34</v>
      </c>
      <c r="AB3" s="1239">
        <f>'11 - Notes Follow-up'!R25</f>
        <v>97418.96</v>
      </c>
      <c r="AC3" s="1239">
        <f>'11 - Notes Follow-up'!T25</f>
        <v>570527041.92000008</v>
      </c>
      <c r="AD3" s="1239">
        <f>'11 - Notes Follow-up'!U25</f>
        <v>0</v>
      </c>
      <c r="AE3" s="1239">
        <f>'11 - Notes Follow-up'!V25</f>
        <v>4815993.6000000006</v>
      </c>
      <c r="AF3" s="1239">
        <f>'11 - Notes Follow-up'!W25</f>
        <v>565711048.32000005</v>
      </c>
      <c r="AG3" s="1239">
        <f>'11 - Notes Follow-up'!X25</f>
        <v>5808</v>
      </c>
      <c r="AH3" s="1239">
        <f>'11 - Notes Follow-up'!Y25</f>
        <v>97402.040000000008</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11410540664.6</v>
      </c>
      <c r="AP3" s="1239">
        <f>'11bis - Notes Calculation'!E17</f>
        <v>11314220550.59</v>
      </c>
      <c r="AQ3" s="1239">
        <f>'11bis - Notes Calculation'!F17</f>
        <v>96320114.010000229</v>
      </c>
      <c r="AR3" s="1298">
        <f>'11bis - Notes Calculation'!H17</f>
        <v>1</v>
      </c>
      <c r="AS3" s="1298">
        <f>'11bis - Notes Calculation'!I17</f>
        <v>10748510121.440001</v>
      </c>
      <c r="AT3" s="1298">
        <f>'11bis - Notes Calculation'!J17</f>
        <v>603.00550087541342</v>
      </c>
      <c r="AU3" s="1298">
        <f>'11bis - Notes Calculation'!K17</f>
        <v>11314220550.59</v>
      </c>
      <c r="AV3" s="1298">
        <f>'11bis - Notes Calculation'!L17</f>
        <v>0.05</v>
      </c>
      <c r="AW3" s="1298">
        <f>'11bis - Notes Calculation'!N17</f>
        <v>0.05</v>
      </c>
      <c r="AX3" s="1298">
        <f>'11bis - Notes Calculation'!O17</f>
        <v>11314220550.59</v>
      </c>
      <c r="AY3" s="1298">
        <f>'11bis - Notes Calculation'!P17</f>
        <v>565711027.52950001</v>
      </c>
      <c r="AZ3" s="1239">
        <f>'11bis - Notes Calculation'!R17</f>
        <v>11314220550.59</v>
      </c>
      <c r="BA3" s="1239">
        <f>'11bis - Notes Calculation'!S17</f>
        <v>565711027.52950001</v>
      </c>
      <c r="BB3" s="1239">
        <f>'11bis - Notes Calculation'!T17</f>
        <v>10748509523.060501</v>
      </c>
      <c r="BC3" s="1239">
        <f>'11bis - Notes Calculation'!V17</f>
        <v>96320114.010000229</v>
      </c>
      <c r="BD3" s="1239">
        <f>'11bis - Notes Calculation'!W17</f>
        <v>10840013622.68</v>
      </c>
      <c r="BE3" s="1239">
        <f>'11bis - Notes Calculation'!X17</f>
        <v>565711027.52950001</v>
      </c>
      <c r="BF3" s="1239">
        <f>'11bis - Notes Calculation'!Y17</f>
        <v>58048280.890129752</v>
      </c>
      <c r="BG3" s="1239">
        <f>'11bis - Notes Calculation'!Z17</f>
        <v>33455818.729369454</v>
      </c>
      <c r="BH3" s="1239">
        <f>'11bis - Notes Calculation'!AB17</f>
        <v>77732</v>
      </c>
      <c r="BI3" s="1239">
        <f>'11bis - Notes Calculation'!AC17</f>
        <v>746.77</v>
      </c>
      <c r="BJ3" s="1239">
        <f>'11bis - Notes Calculation'!AD17</f>
        <v>58047925.640000001</v>
      </c>
      <c r="BK3" s="1239">
        <f>'11bis - Notes Calculation'!AE17</f>
        <v>355.2501297518611</v>
      </c>
      <c r="BL3" s="1239">
        <f>'11bis - Notes Calculation'!AF17</f>
        <v>40340</v>
      </c>
      <c r="BM3" s="1239">
        <f>'11bis - Notes Calculation'!AG17</f>
        <v>829.34</v>
      </c>
      <c r="BN3" s="1239">
        <f>'11bis - Notes Calculation'!AH17</f>
        <v>33455575.600000001</v>
      </c>
      <c r="BO3" s="1239">
        <f>'11bis - Notes Calculation'!AI17</f>
        <v>243.12936945259571</v>
      </c>
      <c r="BP3" s="1239">
        <f>'11bis - Notes Calculation'!AK17</f>
        <v>96320114.010000229</v>
      </c>
      <c r="BQ3" s="1239">
        <f>'11bis - Notes Calculation'!AL17</f>
        <v>91503501.24000001</v>
      </c>
      <c r="BR3" s="1239">
        <f>'11bis - Notes Calculation'!AM17</f>
        <v>4816014.3905010149</v>
      </c>
      <c r="BS3" s="1239">
        <f>'11bis - Notes Calculation'!AO17</f>
        <v>5808</v>
      </c>
      <c r="BT3" s="1239">
        <f>'11bis - Notes Calculation'!AP17</f>
        <v>829.2</v>
      </c>
      <c r="BU3" s="1239">
        <f>'11bis - Notes Calculation'!AQ17</f>
        <v>4815993.6000000006</v>
      </c>
      <c r="BV3" s="1239">
        <f>'11bis - Notes Calculation'!AR17</f>
        <v>20.790501014329493</v>
      </c>
      <c r="BW3">
        <f>'12 - Notes Interest'!D17</f>
        <v>77732</v>
      </c>
      <c r="BX3">
        <f>'12 - Notes Interest'!E17</f>
        <v>88466.49</v>
      </c>
      <c r="BY3">
        <f>'12 - Notes Interest'!F17</f>
        <v>46020</v>
      </c>
      <c r="BZ3">
        <f>'12 - Notes Interest'!G17</f>
        <v>46049</v>
      </c>
      <c r="CA3">
        <f>'12 - Notes Interest'!H17</f>
        <v>29</v>
      </c>
      <c r="CB3">
        <f>'12 - Notes Interest'!I17</f>
        <v>6.0000000000000001E-3</v>
      </c>
      <c r="CC3">
        <f>'12 - Notes Interest'!J17</f>
        <v>42.17</v>
      </c>
      <c r="CD3">
        <f>'12 - Notes Interest'!K17</f>
        <v>3277958.44</v>
      </c>
      <c r="CE3">
        <f>'12 - Notes Interest'!M17</f>
        <v>40340</v>
      </c>
      <c r="CF3">
        <f>'12 - Notes Interest'!N17</f>
        <v>98248.3</v>
      </c>
      <c r="CG3">
        <f>'12 - Notes Interest'!O17</f>
        <v>46020</v>
      </c>
      <c r="CH3">
        <f>'12 - Notes Interest'!P17</f>
        <v>46049</v>
      </c>
      <c r="CI3">
        <f>'12 - Notes Interest'!Q17</f>
        <v>29</v>
      </c>
      <c r="CJ3">
        <f>'12 - Notes Interest'!R17</f>
        <v>6.0000000000000001E-3</v>
      </c>
      <c r="CK3">
        <f>'12 - Notes Interest'!S17</f>
        <v>46.84</v>
      </c>
      <c r="CL3">
        <f>'12 - Notes Interest'!T17</f>
        <v>1889525.6</v>
      </c>
      <c r="CM3">
        <f>'12 - Notes Interest'!V17</f>
        <v>5808</v>
      </c>
      <c r="CN3">
        <f>'12 - Notes Interest'!W17</f>
        <v>98231.24000000002</v>
      </c>
      <c r="CO3">
        <f>'12 - Notes Interest'!X17</f>
        <v>46020</v>
      </c>
      <c r="CP3">
        <f>'12 - Notes Interest'!Y17</f>
        <v>46049</v>
      </c>
      <c r="CQ3">
        <f>'12 - Notes Interest'!Z17</f>
        <v>29</v>
      </c>
      <c r="CR3">
        <f>'12 - Notes Interest'!AA17</f>
        <v>1.4999999999999999E-2</v>
      </c>
      <c r="CS3">
        <f>'12 - Notes Interest'!AB17</f>
        <v>117.07</v>
      </c>
      <c r="CT3">
        <f>'12 - Notes Interest'!AC17</f>
        <v>679942.55999999994</v>
      </c>
      <c r="CU3" s="1239">
        <f>'10 - Reserve calculation'!C12</f>
        <v>10748510121.440001</v>
      </c>
      <c r="CV3" s="1730">
        <f>'10 - Reserve calculation'!D12</f>
        <v>5.0000000000000001E-3</v>
      </c>
      <c r="CW3" s="1239">
        <f>'10 - Reserve calculation'!E12</f>
        <v>500000</v>
      </c>
      <c r="CX3" s="1239" t="str">
        <f>'10 - Reserve calculation'!F12</f>
        <v>Yes</v>
      </c>
      <c r="CY3" s="1239" t="str">
        <f>'10 - Reserve calculation'!G12</f>
        <v>No</v>
      </c>
      <c r="CZ3" s="1239">
        <f>'10 - Reserve calculation'!H12</f>
        <v>53750000</v>
      </c>
      <c r="DA3" s="1239">
        <f>'10 - Reserve calculation'!I12</f>
        <v>54210000</v>
      </c>
      <c r="DB3" s="1239">
        <f>'10 - Reserve calculation'!J12</f>
        <v>54210000</v>
      </c>
      <c r="DC3" s="1239">
        <f>'10 - Reserve calculation'!K12</f>
        <v>-460000</v>
      </c>
      <c r="DD3" s="1239">
        <f>'13 - Issuer Account'!I29</f>
        <v>95084.780007839203</v>
      </c>
      <c r="DE3" s="1239">
        <f>'13 - Issuer Account'!I41</f>
        <v>53750000</v>
      </c>
      <c r="DF3" s="1239">
        <f>'13 - Issuer Account'!I52</f>
        <v>0</v>
      </c>
      <c r="DG3" s="1239"/>
      <c r="DH3" s="1239">
        <f>'15 - Priority of Payments'!J21</f>
        <v>112142835.83000016</v>
      </c>
    </row>
    <row r="4" spans="1:112">
      <c r="A4" s="1238">
        <v>46009</v>
      </c>
      <c r="B4" s="1238">
        <v>46020</v>
      </c>
      <c r="C4" s="1238">
        <v>45991</v>
      </c>
      <c r="D4">
        <v>0</v>
      </c>
      <c r="E4" s="1239">
        <v>12428694752.200001</v>
      </c>
      <c r="F4">
        <v>563823.34</v>
      </c>
      <c r="G4">
        <v>5917603.8900000006</v>
      </c>
      <c r="H4">
        <v>311624.19</v>
      </c>
      <c r="I4">
        <v>523568.14999999997</v>
      </c>
      <c r="J4">
        <v>90682449.090000153</v>
      </c>
      <c r="K4">
        <v>98195782.409999922</v>
      </c>
      <c r="L4">
        <v>107147331.03999992</v>
      </c>
      <c r="M4">
        <v>8951548.629999999</v>
      </c>
      <c r="N4">
        <v>0</v>
      </c>
      <c r="O4" s="1239">
        <v>6931327460.6000004</v>
      </c>
      <c r="P4" s="1239">
        <v>0</v>
      </c>
      <c r="Q4" s="1239">
        <v>54650259.919999994</v>
      </c>
      <c r="R4" s="1239">
        <v>6876677200.6800003</v>
      </c>
      <c r="S4" s="1239">
        <v>77732</v>
      </c>
      <c r="T4" s="1239">
        <v>703.06</v>
      </c>
      <c r="U4" s="1239">
        <v>88466.49</v>
      </c>
      <c r="V4" s="1239">
        <v>3994833894</v>
      </c>
      <c r="W4" s="1239">
        <v>0</v>
      </c>
      <c r="X4" s="1239">
        <v>31497472</v>
      </c>
      <c r="Y4" s="1239">
        <v>3963336422</v>
      </c>
      <c r="Z4" s="1239">
        <v>40340</v>
      </c>
      <c r="AA4" s="1239">
        <v>780.8</v>
      </c>
      <c r="AB4" s="1239">
        <v>98248.3</v>
      </c>
      <c r="AC4" s="1239">
        <v>575061115.20000005</v>
      </c>
      <c r="AD4" s="1239">
        <v>0</v>
      </c>
      <c r="AE4" s="1239">
        <v>4534073.28</v>
      </c>
      <c r="AF4" s="1239">
        <v>570527041.92000008</v>
      </c>
      <c r="AG4" s="1239">
        <v>5808</v>
      </c>
      <c r="AH4" s="1239">
        <v>98231.24000000002</v>
      </c>
      <c r="AI4">
        <v>300</v>
      </c>
      <c r="AJ4">
        <v>0</v>
      </c>
      <c r="AK4">
        <v>0</v>
      </c>
      <c r="AL4">
        <v>300</v>
      </c>
      <c r="AM4">
        <v>2</v>
      </c>
      <c r="AN4">
        <v>150</v>
      </c>
      <c r="AO4" s="1239">
        <v>11501222469.799999</v>
      </c>
      <c r="AP4" s="1239">
        <v>11410540020.709999</v>
      </c>
      <c r="AQ4" s="1239">
        <v>90682449.090000153</v>
      </c>
      <c r="AR4" s="1239">
        <v>1</v>
      </c>
      <c r="AS4" s="1239">
        <v>10840013622.68</v>
      </c>
      <c r="AT4" s="1239">
        <v>597.14749938994646</v>
      </c>
      <c r="AU4" s="1239">
        <v>11410540020.709999</v>
      </c>
      <c r="AV4" s="1239">
        <v>0.05</v>
      </c>
      <c r="AW4" s="1239">
        <v>0.05</v>
      </c>
      <c r="AX4" s="1239">
        <v>11410540020.709999</v>
      </c>
      <c r="AY4" s="1239">
        <v>570527001.03549993</v>
      </c>
      <c r="AZ4" s="1239">
        <v>11410540020.709999</v>
      </c>
      <c r="BA4" s="1239">
        <v>570527001.03549993</v>
      </c>
      <c r="BB4" s="1239">
        <v>10840013019.6745</v>
      </c>
      <c r="BC4" s="1239">
        <v>90682449.090000153</v>
      </c>
      <c r="BD4" s="1239">
        <v>10926161354.6</v>
      </c>
      <c r="BE4" s="1239">
        <v>570527001.03549993</v>
      </c>
      <c r="BF4" s="1239">
        <v>54650695.717823811</v>
      </c>
      <c r="BG4" s="1239">
        <v>31497639.207677059</v>
      </c>
      <c r="BH4" s="1239">
        <v>77732</v>
      </c>
      <c r="BI4" s="1239">
        <v>703.06</v>
      </c>
      <c r="BJ4" s="1239">
        <v>54650259.919999994</v>
      </c>
      <c r="BK4" s="1239">
        <v>435.79782381653786</v>
      </c>
      <c r="BL4" s="1239">
        <v>40340</v>
      </c>
      <c r="BM4" s="1239">
        <v>780.8</v>
      </c>
      <c r="BN4" s="1239">
        <v>31497472</v>
      </c>
      <c r="BO4" s="1239">
        <v>167.20767705887556</v>
      </c>
      <c r="BP4" s="1239">
        <v>90682449.090000153</v>
      </c>
      <c r="BQ4" s="1239">
        <v>86147731.919999987</v>
      </c>
      <c r="BR4" s="1239">
        <v>4534114.1644992903</v>
      </c>
      <c r="BS4" s="1239">
        <v>5808</v>
      </c>
      <c r="BT4" s="1239">
        <v>780.66</v>
      </c>
      <c r="BU4" s="1239">
        <v>4534073.28</v>
      </c>
      <c r="BV4" s="1239">
        <v>40.884499290026724</v>
      </c>
      <c r="BW4" s="1239">
        <v>77732</v>
      </c>
      <c r="BX4" s="1239">
        <v>89169.55</v>
      </c>
      <c r="BY4" s="1239">
        <v>45988</v>
      </c>
      <c r="BZ4" s="1239">
        <v>46020</v>
      </c>
      <c r="CA4" s="1239">
        <v>32</v>
      </c>
      <c r="CB4" s="1239">
        <v>6.0000000000000001E-3</v>
      </c>
      <c r="CC4" s="1239">
        <v>46.91</v>
      </c>
      <c r="CD4" s="1239">
        <v>3646408.1199999996</v>
      </c>
      <c r="CE4" s="1239">
        <v>40340</v>
      </c>
      <c r="CF4" s="1239">
        <v>99029.1</v>
      </c>
      <c r="CG4" s="1239">
        <v>45988</v>
      </c>
      <c r="CH4" s="1239">
        <v>46020</v>
      </c>
      <c r="CI4" s="1239">
        <v>32</v>
      </c>
      <c r="CJ4" s="1239">
        <v>6.0000000000000001E-3</v>
      </c>
      <c r="CK4" s="1239">
        <v>52.09</v>
      </c>
      <c r="CL4" s="1239">
        <v>2101310.6</v>
      </c>
      <c r="CM4" s="1239">
        <v>5808</v>
      </c>
      <c r="CN4" s="1239">
        <v>99011.900000000009</v>
      </c>
      <c r="CO4" s="1239">
        <v>45988</v>
      </c>
      <c r="CP4" s="1239">
        <v>46020</v>
      </c>
      <c r="CQ4" s="1239">
        <v>32</v>
      </c>
      <c r="CR4" s="1239">
        <v>1.4999999999999999E-2</v>
      </c>
      <c r="CS4" s="1239">
        <v>130.21</v>
      </c>
      <c r="CT4" s="1239">
        <v>756259.68</v>
      </c>
      <c r="CU4" s="1239">
        <v>10840013622.68</v>
      </c>
      <c r="CV4">
        <v>5.0000000000000001E-3</v>
      </c>
      <c r="CW4">
        <v>500000</v>
      </c>
      <c r="CX4" t="s">
        <v>1073</v>
      </c>
      <c r="CY4" t="s">
        <v>1072</v>
      </c>
      <c r="CZ4">
        <v>54210000</v>
      </c>
      <c r="DA4">
        <v>54640000</v>
      </c>
      <c r="DB4">
        <v>54640000</v>
      </c>
      <c r="DC4">
        <v>-430000</v>
      </c>
      <c r="DD4">
        <v>94465.610007613897</v>
      </c>
      <c r="DE4" s="1239">
        <v>54210000</v>
      </c>
      <c r="DF4">
        <v>0</v>
      </c>
      <c r="DH4" s="1239">
        <v>107147331.03999992</v>
      </c>
    </row>
    <row r="5" spans="1:112">
      <c r="A5" s="1238">
        <v>45981</v>
      </c>
      <c r="B5" s="1238">
        <v>45988</v>
      </c>
      <c r="C5" s="1238">
        <v>45961</v>
      </c>
      <c r="D5">
        <v>0</v>
      </c>
      <c r="E5" s="1239">
        <v>12428694752.200001</v>
      </c>
      <c r="F5">
        <v>229091.41</v>
      </c>
      <c r="G5">
        <v>5353780.5500000007</v>
      </c>
      <c r="H5">
        <v>1137.19</v>
      </c>
      <c r="I5">
        <v>211943.95999999996</v>
      </c>
      <c r="J5">
        <v>112862034.32999992</v>
      </c>
      <c r="K5">
        <v>115311123.14000005</v>
      </c>
      <c r="L5">
        <v>124168301.46000004</v>
      </c>
      <c r="M5">
        <v>8857178.3200000003</v>
      </c>
      <c r="N5">
        <v>0</v>
      </c>
      <c r="O5" s="1239">
        <v>6999283884.2800007</v>
      </c>
      <c r="P5" s="1239">
        <v>0</v>
      </c>
      <c r="Q5" s="1239">
        <v>67956423.680000007</v>
      </c>
      <c r="R5" s="1239">
        <v>6931327460.6000004</v>
      </c>
      <c r="S5" s="1239">
        <v>77732</v>
      </c>
      <c r="T5" s="1239">
        <v>874.24000000000012</v>
      </c>
      <c r="U5" s="1239">
        <v>89169.55</v>
      </c>
      <c r="V5" s="1239">
        <v>4034000000</v>
      </c>
      <c r="W5" s="1239">
        <v>0</v>
      </c>
      <c r="X5" s="1239">
        <v>39166106</v>
      </c>
      <c r="Y5" s="1239">
        <v>3994833894</v>
      </c>
      <c r="Z5" s="1239">
        <v>40340</v>
      </c>
      <c r="AA5" s="1239">
        <v>970.9</v>
      </c>
      <c r="AB5" s="1239">
        <v>99029.1</v>
      </c>
      <c r="AC5" s="1239">
        <v>580800000</v>
      </c>
      <c r="AD5" s="1239">
        <v>0</v>
      </c>
      <c r="AE5" s="1239">
        <v>5738884.7999999998</v>
      </c>
      <c r="AF5" s="1239">
        <v>575061115.20000005</v>
      </c>
      <c r="AG5" s="1239">
        <v>5808</v>
      </c>
      <c r="AH5" s="1239">
        <v>99011.900000000009</v>
      </c>
      <c r="AI5">
        <v>300</v>
      </c>
      <c r="AJ5">
        <v>0</v>
      </c>
      <c r="AK5">
        <v>0</v>
      </c>
      <c r="AL5">
        <v>300</v>
      </c>
      <c r="AM5">
        <v>2</v>
      </c>
      <c r="AN5">
        <v>150</v>
      </c>
      <c r="AO5" s="1239">
        <v>11614083884.280001</v>
      </c>
      <c r="AP5" s="1239">
        <v>11501221849.950001</v>
      </c>
      <c r="AQ5" s="1239">
        <v>112862034.32999992</v>
      </c>
      <c r="AR5" s="1239">
        <v>1</v>
      </c>
      <c r="AS5" s="1239">
        <v>10926161354.6</v>
      </c>
      <c r="AT5" s="1239">
        <v>349.02100082486868</v>
      </c>
      <c r="AU5" s="1239">
        <v>11501221849.950001</v>
      </c>
      <c r="AV5" s="1239">
        <v>0.05</v>
      </c>
      <c r="AW5" s="1239">
        <v>0.05</v>
      </c>
      <c r="AX5" s="1239">
        <v>11501221849.950001</v>
      </c>
      <c r="AY5" s="1239">
        <v>575061092.49750006</v>
      </c>
      <c r="AZ5" s="1239">
        <v>11501221849.950001</v>
      </c>
      <c r="BA5" s="1239">
        <v>575061092.49750006</v>
      </c>
      <c r="BB5" s="1239">
        <v>10926160757.452501</v>
      </c>
      <c r="BC5" s="1239">
        <v>112862034.32999992</v>
      </c>
      <c r="BD5" s="1239">
        <v>11033283884.280001</v>
      </c>
      <c r="BE5" s="1239">
        <v>575061092.49750006</v>
      </c>
      <c r="BF5" s="1239">
        <v>67956664.860738143</v>
      </c>
      <c r="BG5" s="1239">
        <v>39166461.966761254</v>
      </c>
      <c r="BH5" s="1239">
        <v>77732</v>
      </c>
      <c r="BI5" s="1239">
        <v>874.24</v>
      </c>
      <c r="BJ5" s="1239">
        <v>67956423.680000007</v>
      </c>
      <c r="BK5" s="1239">
        <v>241.18073813617229</v>
      </c>
      <c r="BL5" s="1239">
        <v>40340</v>
      </c>
      <c r="BM5" s="1239">
        <v>970.9</v>
      </c>
      <c r="BN5" s="1239">
        <v>39166106</v>
      </c>
      <c r="BO5" s="1239">
        <v>355.96676125377417</v>
      </c>
      <c r="BP5" s="1239">
        <v>112862034.32999992</v>
      </c>
      <c r="BQ5" s="1239">
        <v>107122529.68000001</v>
      </c>
      <c r="BR5" s="1239">
        <v>5738907.5025005266</v>
      </c>
      <c r="BS5" s="1239">
        <v>5808</v>
      </c>
      <c r="BT5" s="1239">
        <v>988.1</v>
      </c>
      <c r="BU5" s="1239">
        <v>5738884.7999999998</v>
      </c>
      <c r="BV5" s="1239">
        <v>22.702500526793301</v>
      </c>
      <c r="BW5" s="1239">
        <v>77732</v>
      </c>
      <c r="BX5" s="1239">
        <v>90043.790000000008</v>
      </c>
      <c r="BY5" s="1239">
        <v>45957</v>
      </c>
      <c r="BZ5" s="1239">
        <v>45988</v>
      </c>
      <c r="CA5" s="1239">
        <v>31</v>
      </c>
      <c r="CB5" s="1239">
        <v>6.0000000000000001E-3</v>
      </c>
      <c r="CC5" s="1239">
        <v>45.89</v>
      </c>
      <c r="CD5" s="1239">
        <v>3567121.48</v>
      </c>
      <c r="CE5" s="1239">
        <v>40340</v>
      </c>
      <c r="CF5" s="1239">
        <v>100000</v>
      </c>
      <c r="CG5" s="1239">
        <v>45957</v>
      </c>
      <c r="CH5" s="1239">
        <v>45988</v>
      </c>
      <c r="CI5" s="1239">
        <v>31</v>
      </c>
      <c r="CJ5" s="1239">
        <v>6.0000000000000001E-3</v>
      </c>
      <c r="CK5" s="1239">
        <v>50.96</v>
      </c>
      <c r="CL5" s="1239">
        <v>2055726.4000000001</v>
      </c>
      <c r="CM5" s="1239">
        <v>5808</v>
      </c>
      <c r="CN5" s="1239">
        <v>100000</v>
      </c>
      <c r="CO5" s="1239">
        <v>45957</v>
      </c>
      <c r="CP5" s="1239">
        <v>45988</v>
      </c>
      <c r="CQ5" s="1239">
        <v>31</v>
      </c>
      <c r="CR5" s="1239">
        <v>1.4999999999999999E-2</v>
      </c>
      <c r="CS5" s="1239">
        <v>127.4</v>
      </c>
      <c r="CT5" s="1239">
        <v>739939.20000000007</v>
      </c>
      <c r="CU5" s="1239">
        <v>10926161354.6</v>
      </c>
      <c r="CV5">
        <v>5.0000000000000001E-3</v>
      </c>
      <c r="CW5">
        <v>500000</v>
      </c>
      <c r="CX5" t="s">
        <v>1073</v>
      </c>
      <c r="CY5" t="s">
        <v>1072</v>
      </c>
      <c r="CZ5">
        <v>54640000</v>
      </c>
      <c r="DA5">
        <v>55170000</v>
      </c>
      <c r="DB5">
        <v>55170000</v>
      </c>
      <c r="DC5">
        <v>-530000</v>
      </c>
      <c r="DD5">
        <v>93821.72000746429</v>
      </c>
      <c r="DE5">
        <v>54640000</v>
      </c>
      <c r="DF5">
        <v>0</v>
      </c>
      <c r="DH5">
        <v>124168301.46000004</v>
      </c>
    </row>
    <row r="6" spans="1:112">
      <c r="A6" s="1238">
        <v>45950</v>
      </c>
      <c r="B6" s="1238">
        <v>45957</v>
      </c>
      <c r="C6" s="1238">
        <v>45930</v>
      </c>
      <c r="D6">
        <v>4246326267.73</v>
      </c>
      <c r="E6" s="1239">
        <v>12428694752.200001</v>
      </c>
      <c r="F6">
        <v>414679.66</v>
      </c>
      <c r="G6">
        <v>5124689.1400000006</v>
      </c>
      <c r="H6">
        <v>1788.58</v>
      </c>
      <c r="I6">
        <v>210806.76999999996</v>
      </c>
      <c r="J6">
        <v>63104060.460000038</v>
      </c>
      <c r="K6">
        <v>67730339.120000198</v>
      </c>
      <c r="L6">
        <v>72988065.030000195</v>
      </c>
      <c r="M6">
        <v>5257725.91</v>
      </c>
      <c r="N6">
        <v>0</v>
      </c>
      <c r="O6" s="1239">
        <v>7059232357.3200006</v>
      </c>
      <c r="P6" s="1239">
        <v>0</v>
      </c>
      <c r="Q6" s="1239">
        <v>59948473.039999999</v>
      </c>
      <c r="R6" s="1239">
        <v>6999283884.2800007</v>
      </c>
      <c r="S6" s="1239">
        <v>77732</v>
      </c>
      <c r="T6" s="1239">
        <v>771.22</v>
      </c>
      <c r="U6" s="1239">
        <v>90043.790000000008</v>
      </c>
      <c r="V6" s="1239">
        <v>0</v>
      </c>
      <c r="W6" s="1239">
        <v>4034000000</v>
      </c>
      <c r="X6" s="1239">
        <v>0</v>
      </c>
      <c r="Y6" s="1239">
        <v>4034000000</v>
      </c>
      <c r="Z6" s="1239">
        <v>40340</v>
      </c>
      <c r="AA6" s="1239">
        <v>0</v>
      </c>
      <c r="AB6" s="1239">
        <v>100000</v>
      </c>
      <c r="AC6" s="1239">
        <v>371538582.36000001</v>
      </c>
      <c r="AD6" s="1239">
        <v>580800000</v>
      </c>
      <c r="AE6" s="1239">
        <v>371538582.36000001</v>
      </c>
      <c r="AF6" s="1239">
        <v>580800000</v>
      </c>
      <c r="AG6" s="1239">
        <v>5808</v>
      </c>
      <c r="AH6" s="1239">
        <v>100000</v>
      </c>
      <c r="AI6">
        <v>300</v>
      </c>
      <c r="AJ6">
        <v>0</v>
      </c>
      <c r="AK6">
        <v>0</v>
      </c>
      <c r="AL6">
        <v>300</v>
      </c>
      <c r="AM6">
        <v>2</v>
      </c>
      <c r="AN6">
        <v>150</v>
      </c>
      <c r="AO6" s="1239">
        <v>7430770939.6800003</v>
      </c>
      <c r="AP6" s="1239">
        <v>7367666879.2200003</v>
      </c>
      <c r="AQ6" s="1239">
        <v>63104060.460000038</v>
      </c>
      <c r="AR6" s="1239">
        <v>1</v>
      </c>
      <c r="AS6" s="1239">
        <v>6999283884.2800007</v>
      </c>
      <c r="AT6" s="1239">
        <v>4.3625001534819603</v>
      </c>
      <c r="AU6" s="1239">
        <v>7367666879.2200003</v>
      </c>
      <c r="AV6" s="1239">
        <v>0.05</v>
      </c>
      <c r="AW6" s="1239">
        <v>0.05</v>
      </c>
      <c r="AX6" s="1239">
        <v>7367666879.2200003</v>
      </c>
      <c r="AY6" s="1239">
        <v>368383343.96100003</v>
      </c>
      <c r="AZ6" s="1239">
        <v>7367666879.2200003</v>
      </c>
      <c r="BA6" s="1239">
        <v>368383343.96100003</v>
      </c>
      <c r="BB6" s="1239">
        <v>6999283535.2589998</v>
      </c>
      <c r="BC6" s="1239">
        <v>63104060.460000038</v>
      </c>
      <c r="BD6" s="1239">
        <v>7059232357.3200006</v>
      </c>
      <c r="BE6" s="1239">
        <v>368383343.96100003</v>
      </c>
      <c r="BF6" s="1239">
        <v>59948822.061000824</v>
      </c>
      <c r="BG6" s="1239">
        <v>0</v>
      </c>
      <c r="BH6" s="1239">
        <v>77732</v>
      </c>
      <c r="BI6" s="1239">
        <v>771.22</v>
      </c>
      <c r="BJ6" s="1239">
        <v>59948473.039999999</v>
      </c>
      <c r="BK6" s="1239">
        <v>349.02100082486868</v>
      </c>
      <c r="BL6" s="1239">
        <v>40340</v>
      </c>
      <c r="BM6" s="1239">
        <v>0</v>
      </c>
      <c r="BN6" s="1239">
        <v>0</v>
      </c>
      <c r="BO6" s="1239">
        <v>0</v>
      </c>
      <c r="BP6" s="1239">
        <v>63104060.460000038</v>
      </c>
      <c r="BQ6" s="1239">
        <v>59948473.039999999</v>
      </c>
      <c r="BR6" s="1239">
        <v>371538602.31899923</v>
      </c>
      <c r="BS6" s="1239">
        <v>4092</v>
      </c>
      <c r="BT6" s="1239">
        <v>90796.33</v>
      </c>
      <c r="BU6" s="1239">
        <v>371538582.36000001</v>
      </c>
      <c r="BV6" s="1239">
        <v>19.958999216556549</v>
      </c>
      <c r="BW6" s="1239">
        <v>77732</v>
      </c>
      <c r="BX6" s="1239">
        <v>90815.010000000009</v>
      </c>
      <c r="BY6" s="1239">
        <v>45929</v>
      </c>
      <c r="BZ6" s="1239">
        <v>45957</v>
      </c>
      <c r="CA6" s="1239">
        <v>28</v>
      </c>
      <c r="CB6" s="1239">
        <v>6.0000000000000001E-3</v>
      </c>
      <c r="CC6" s="1239">
        <v>41.8</v>
      </c>
      <c r="CD6" s="1239">
        <v>3249197.5999999996</v>
      </c>
      <c r="CE6" s="1239">
        <v>40340</v>
      </c>
      <c r="CF6" s="1239">
        <v>0</v>
      </c>
      <c r="CG6" s="1239">
        <v>45929</v>
      </c>
      <c r="CH6" s="1239">
        <v>45957</v>
      </c>
      <c r="CI6" s="1239">
        <v>28</v>
      </c>
      <c r="CJ6" s="1239">
        <v>6.0000000000000001E-3</v>
      </c>
      <c r="CK6" s="1239">
        <v>0</v>
      </c>
      <c r="CL6" s="1239">
        <v>0</v>
      </c>
      <c r="CM6" s="1239">
        <v>4092</v>
      </c>
      <c r="CN6" s="1239">
        <v>90796.33</v>
      </c>
      <c r="CO6" s="1239">
        <v>45929</v>
      </c>
      <c r="CP6" s="1239">
        <v>45957</v>
      </c>
      <c r="CQ6" s="1239">
        <v>28</v>
      </c>
      <c r="CR6" s="1239">
        <v>1.4999999999999999E-2</v>
      </c>
      <c r="CS6" s="1239">
        <v>104.48</v>
      </c>
      <c r="CT6" s="1239">
        <v>427532.16000000003</v>
      </c>
      <c r="CU6" s="1239">
        <v>11033283884.280001</v>
      </c>
      <c r="CV6">
        <v>5.0000000000000001E-3</v>
      </c>
      <c r="CW6">
        <v>500000</v>
      </c>
      <c r="CX6" t="s">
        <v>1073</v>
      </c>
      <c r="CY6" t="s">
        <v>1072</v>
      </c>
      <c r="CZ6">
        <v>55170000</v>
      </c>
      <c r="DA6">
        <v>35631660.869999997</v>
      </c>
      <c r="DB6">
        <v>35631660.869999997</v>
      </c>
      <c r="DC6">
        <v>19538339.130000003</v>
      </c>
      <c r="DD6">
        <v>93201.870007559657</v>
      </c>
      <c r="DE6">
        <v>55170000</v>
      </c>
      <c r="DF6">
        <v>0</v>
      </c>
      <c r="DH6">
        <v>72988065.030000195</v>
      </c>
    </row>
    <row r="7" spans="1:112">
      <c r="A7" s="1238">
        <v>45922</v>
      </c>
      <c r="B7" s="1238">
        <v>45929</v>
      </c>
      <c r="C7" s="1238">
        <v>45900</v>
      </c>
      <c r="D7">
        <v>0</v>
      </c>
      <c r="E7" s="1239">
        <v>8182368484.4700003</v>
      </c>
      <c r="F7">
        <v>325275.99</v>
      </c>
      <c r="G7">
        <v>4710009.4800000004</v>
      </c>
      <c r="H7">
        <v>2472.34</v>
      </c>
      <c r="I7">
        <v>209018.18999999997</v>
      </c>
      <c r="J7">
        <v>70631418.550000191</v>
      </c>
      <c r="K7">
        <v>74442484.812001273</v>
      </c>
      <c r="L7">
        <v>80412846.232001275</v>
      </c>
      <c r="M7">
        <v>5970361.4199999999</v>
      </c>
      <c r="N7">
        <v>0</v>
      </c>
      <c r="O7" s="1239">
        <v>7126332174.3600006</v>
      </c>
      <c r="P7" s="1239">
        <v>0</v>
      </c>
      <c r="Q7" s="1239">
        <v>67099817.039999999</v>
      </c>
      <c r="R7" s="1239">
        <v>7059232357.3200006</v>
      </c>
      <c r="S7" s="1239">
        <v>77732</v>
      </c>
      <c r="T7" s="1239">
        <v>863.22</v>
      </c>
      <c r="U7" s="1239">
        <v>90815.010000000009</v>
      </c>
      <c r="V7" s="1239"/>
      <c r="W7" s="1239"/>
      <c r="X7" s="1239"/>
      <c r="Y7" s="1239"/>
      <c r="Z7" s="1239"/>
      <c r="AA7" s="1239"/>
      <c r="AB7" s="1239"/>
      <c r="AC7" s="1239">
        <v>375070142.04000002</v>
      </c>
      <c r="AD7" s="1239">
        <v>0</v>
      </c>
      <c r="AE7" s="1239">
        <v>3531559.6799999997</v>
      </c>
      <c r="AF7" s="1239">
        <v>371538582.36000001</v>
      </c>
      <c r="AG7" s="1239">
        <v>4092</v>
      </c>
      <c r="AH7" s="1239">
        <v>90796.33</v>
      </c>
      <c r="AI7">
        <v>300</v>
      </c>
      <c r="AJ7">
        <v>0</v>
      </c>
      <c r="AK7">
        <v>0</v>
      </c>
      <c r="AL7">
        <v>300</v>
      </c>
      <c r="AM7">
        <v>2</v>
      </c>
      <c r="AN7">
        <v>150</v>
      </c>
      <c r="AO7" s="1239">
        <v>7501402316.4000006</v>
      </c>
      <c r="AP7" s="1239">
        <v>7430770897.8500004</v>
      </c>
      <c r="AQ7" s="1239">
        <v>70631418.550000191</v>
      </c>
      <c r="AR7" s="1239">
        <v>1</v>
      </c>
      <c r="AS7" s="1239">
        <v>7059232357.3200006</v>
      </c>
      <c r="AT7" s="1239">
        <v>197.90400146692991</v>
      </c>
      <c r="AU7" s="1239">
        <v>7430770897.8500004</v>
      </c>
      <c r="AV7" s="1239">
        <v>0.05</v>
      </c>
      <c r="AW7" s="1239">
        <v>0.05</v>
      </c>
      <c r="AX7" s="1239">
        <v>7430770897.8500004</v>
      </c>
      <c r="AY7" s="1239">
        <v>371538544.89250004</v>
      </c>
      <c r="AZ7" s="1239">
        <v>7430770897.8500004</v>
      </c>
      <c r="BA7" s="1239">
        <v>371538544.89250004</v>
      </c>
      <c r="BB7" s="1239">
        <v>7059232352.9575005</v>
      </c>
      <c r="BC7" s="1239">
        <v>70631418.550000191</v>
      </c>
      <c r="BD7" s="1239">
        <v>7126332174.3600006</v>
      </c>
      <c r="BE7" s="1239">
        <v>371538544.89250004</v>
      </c>
      <c r="BF7" s="1239">
        <v>67099821.402500153</v>
      </c>
      <c r="BG7" s="1239"/>
      <c r="BH7" s="1239">
        <v>77732</v>
      </c>
      <c r="BI7" s="1239">
        <v>863.22</v>
      </c>
      <c r="BJ7" s="1239">
        <v>67099817.039999999</v>
      </c>
      <c r="BK7" s="1239">
        <v>4.3625001534819603</v>
      </c>
      <c r="BL7" s="1239"/>
      <c r="BM7" s="1239"/>
      <c r="BN7" s="1239"/>
      <c r="BO7" s="1239">
        <v>0</v>
      </c>
      <c r="BP7" s="1239">
        <v>70631418.550000191</v>
      </c>
      <c r="BQ7" s="1239">
        <v>67099817.039999999</v>
      </c>
      <c r="BR7" s="1239">
        <v>3531597.1475000381</v>
      </c>
      <c r="BS7" s="1239">
        <v>4092</v>
      </c>
      <c r="BT7" s="1239">
        <v>863.04</v>
      </c>
      <c r="BU7" s="1239">
        <v>3531559.6799999997</v>
      </c>
      <c r="BV7" s="1239">
        <v>37.467500038444996</v>
      </c>
      <c r="BW7" s="1239">
        <v>77732</v>
      </c>
      <c r="BX7" s="1239">
        <v>91678.23000000001</v>
      </c>
      <c r="BY7" s="1239">
        <v>45896</v>
      </c>
      <c r="BZ7" s="1239">
        <v>45929</v>
      </c>
      <c r="CA7" s="1239">
        <v>33</v>
      </c>
      <c r="CB7" s="1239">
        <v>6.0000000000000001E-3</v>
      </c>
      <c r="CC7" s="1239">
        <v>49.73</v>
      </c>
      <c r="CD7" s="1239">
        <v>3865612.36</v>
      </c>
      <c r="CE7" s="1239"/>
      <c r="CF7" s="1239"/>
      <c r="CG7" s="1239"/>
      <c r="CH7" s="1239"/>
      <c r="CI7" s="1239"/>
      <c r="CJ7" s="1239"/>
      <c r="CK7" s="1239"/>
      <c r="CL7" s="1239"/>
      <c r="CM7" s="1239">
        <v>4092</v>
      </c>
      <c r="CN7" s="1239">
        <v>91659.37000000001</v>
      </c>
      <c r="CO7" s="1239">
        <v>45896</v>
      </c>
      <c r="CP7" s="1239">
        <v>45929</v>
      </c>
      <c r="CQ7" s="1239">
        <v>33</v>
      </c>
      <c r="CR7" s="1239">
        <v>1.4999999999999999E-2</v>
      </c>
      <c r="CS7" s="1239">
        <v>124.31</v>
      </c>
      <c r="CT7" s="1239">
        <v>508676.52</v>
      </c>
      <c r="CU7" s="1239">
        <v>7126332174.3600006</v>
      </c>
      <c r="CV7">
        <v>5.0000000000000001E-3</v>
      </c>
      <c r="CW7">
        <v>500000</v>
      </c>
      <c r="CX7" t="s">
        <v>1073</v>
      </c>
      <c r="CY7" t="s">
        <v>1072</v>
      </c>
      <c r="CZ7">
        <v>35631660.869999997</v>
      </c>
      <c r="DA7">
        <v>35957525.079999998</v>
      </c>
      <c r="DB7">
        <v>35957525.079999998</v>
      </c>
      <c r="DC7">
        <v>-325864.21000000089</v>
      </c>
      <c r="DD7">
        <v>2464.5400065928698</v>
      </c>
      <c r="DE7">
        <v>35631660.869999997</v>
      </c>
      <c r="DF7">
        <v>0</v>
      </c>
      <c r="DH7">
        <v>80412846.232001275</v>
      </c>
    </row>
    <row r="8" spans="1:112">
      <c r="A8" s="1238">
        <v>45889</v>
      </c>
      <c r="B8" s="1238">
        <v>45896</v>
      </c>
      <c r="C8" s="1238">
        <v>45869</v>
      </c>
      <c r="D8">
        <v>0</v>
      </c>
      <c r="E8" s="1239">
        <v>8182368484.4700003</v>
      </c>
      <c r="F8">
        <v>619098.98</v>
      </c>
      <c r="G8">
        <v>4384733.49</v>
      </c>
      <c r="H8">
        <v>5836.2100000000009</v>
      </c>
      <c r="I8">
        <v>206545.84999999998</v>
      </c>
      <c r="J8">
        <v>68603195.680001259</v>
      </c>
      <c r="K8">
        <v>72278019.03320092</v>
      </c>
      <c r="L8">
        <v>77901731.713200912</v>
      </c>
      <c r="M8">
        <v>5623712.6799999997</v>
      </c>
      <c r="N8">
        <v>0</v>
      </c>
      <c r="O8" s="1239">
        <v>7191505015.1200008</v>
      </c>
      <c r="P8" s="1239">
        <v>0</v>
      </c>
      <c r="Q8" s="1239">
        <v>65172840.759999998</v>
      </c>
      <c r="R8" s="1239">
        <v>7126332174.3600006</v>
      </c>
      <c r="S8" s="1239">
        <v>77732</v>
      </c>
      <c r="T8" s="1239">
        <v>838.43</v>
      </c>
      <c r="U8" s="1239">
        <v>91678.23000000001</v>
      </c>
      <c r="V8" s="1239"/>
      <c r="W8" s="1239"/>
      <c r="X8" s="1239"/>
      <c r="Y8" s="1239"/>
      <c r="Z8" s="1239"/>
      <c r="AA8" s="1239"/>
      <c r="AB8" s="1239"/>
      <c r="AC8" s="1239">
        <v>378500261.04000002</v>
      </c>
      <c r="AD8" s="1239">
        <v>0</v>
      </c>
      <c r="AE8" s="1239">
        <v>3430119</v>
      </c>
      <c r="AF8" s="1239">
        <v>375070142.04000002</v>
      </c>
      <c r="AG8" s="1239">
        <v>4092</v>
      </c>
      <c r="AH8" s="1239">
        <v>91659.37000000001</v>
      </c>
      <c r="AI8">
        <v>300</v>
      </c>
      <c r="AJ8">
        <v>0</v>
      </c>
      <c r="AK8">
        <v>0</v>
      </c>
      <c r="AL8">
        <v>300</v>
      </c>
      <c r="AM8">
        <v>2</v>
      </c>
      <c r="AN8">
        <v>150</v>
      </c>
      <c r="AO8" s="1239">
        <v>7570005276.1600008</v>
      </c>
      <c r="AP8" s="1239">
        <v>7501402080.4799995</v>
      </c>
      <c r="AQ8" s="1239">
        <v>68603195.680001259</v>
      </c>
      <c r="AR8" s="1239">
        <v>1</v>
      </c>
      <c r="AS8" s="1239">
        <v>7126332174.3600006</v>
      </c>
      <c r="AT8" s="1239">
        <v>87.479501076042652</v>
      </c>
      <c r="AU8" s="1239">
        <v>7501402080.4799995</v>
      </c>
      <c r="AV8" s="1239">
        <v>0.05</v>
      </c>
      <c r="AW8" s="1239">
        <v>0.05</v>
      </c>
      <c r="AX8" s="1239">
        <v>7501402080.4799995</v>
      </c>
      <c r="AY8" s="1239">
        <v>375070104.02399999</v>
      </c>
      <c r="AZ8" s="1239">
        <v>7501402080.4799995</v>
      </c>
      <c r="BA8" s="1239">
        <v>375070104.02399999</v>
      </c>
      <c r="BB8" s="1239">
        <v>7126331976.4559994</v>
      </c>
      <c r="BC8" s="1239">
        <v>68603195.680001259</v>
      </c>
      <c r="BD8" s="1239">
        <v>7191505015.1200008</v>
      </c>
      <c r="BE8" s="1239">
        <v>375070104.02399999</v>
      </c>
      <c r="BF8" s="1239">
        <v>65173038.664001465</v>
      </c>
      <c r="BG8" s="1239"/>
      <c r="BH8" s="1239">
        <v>77732</v>
      </c>
      <c r="BI8" s="1239">
        <v>838.43</v>
      </c>
      <c r="BJ8" s="1239">
        <v>65172840.759999998</v>
      </c>
      <c r="BK8" s="1239">
        <v>197.90400146692991</v>
      </c>
      <c r="BL8" s="1239"/>
      <c r="BM8" s="1239"/>
      <c r="BN8" s="1239"/>
      <c r="BO8" s="1239"/>
      <c r="BP8" s="1239">
        <v>68603195.680001259</v>
      </c>
      <c r="BQ8" s="1239">
        <v>65172840.759999998</v>
      </c>
      <c r="BR8" s="1239">
        <v>3430157.015999794</v>
      </c>
      <c r="BS8" s="1239">
        <v>4092</v>
      </c>
      <c r="BT8" s="1239">
        <v>838.25</v>
      </c>
      <c r="BU8" s="1239">
        <v>3430119</v>
      </c>
      <c r="BV8" s="1239">
        <v>38.015999794006348</v>
      </c>
      <c r="BW8" s="1239">
        <v>77732</v>
      </c>
      <c r="BX8" s="1239">
        <v>92516.660000000018</v>
      </c>
      <c r="BY8" s="1239">
        <v>45866</v>
      </c>
      <c r="BZ8" s="1239">
        <v>45896</v>
      </c>
      <c r="CA8" s="1239">
        <v>30</v>
      </c>
      <c r="CB8" s="1239">
        <v>6.0000000000000001E-3</v>
      </c>
      <c r="CC8" s="1239">
        <v>45.62</v>
      </c>
      <c r="CD8" s="1239">
        <v>3546133.84</v>
      </c>
      <c r="CE8" s="1239"/>
      <c r="CF8" s="1239"/>
      <c r="CG8" s="1239"/>
      <c r="CH8" s="1239"/>
      <c r="CI8" s="1239"/>
      <c r="CJ8" s="1239"/>
      <c r="CK8" s="1239"/>
      <c r="CL8" s="1239"/>
      <c r="CM8" s="1239">
        <v>4092</v>
      </c>
      <c r="CN8" s="1239">
        <v>92497.62000000001</v>
      </c>
      <c r="CO8" s="1239">
        <v>45866</v>
      </c>
      <c r="CP8" s="1239">
        <v>45896</v>
      </c>
      <c r="CQ8" s="1239">
        <v>30</v>
      </c>
      <c r="CR8" s="1239">
        <v>1.4999999999999999E-2</v>
      </c>
      <c r="CS8" s="1239">
        <v>114.04</v>
      </c>
      <c r="CT8" s="1239">
        <v>466651.68000000005</v>
      </c>
      <c r="CU8" s="1239">
        <v>7191505015.1200008</v>
      </c>
      <c r="CV8">
        <v>5.0000000000000001E-3</v>
      </c>
      <c r="CW8">
        <v>500000</v>
      </c>
      <c r="CX8" t="s">
        <v>1073</v>
      </c>
      <c r="CY8" t="s">
        <v>1072</v>
      </c>
      <c r="CZ8">
        <v>35957525.079999998</v>
      </c>
      <c r="DA8">
        <v>36267088.880000003</v>
      </c>
      <c r="DB8">
        <v>36267088.880000003</v>
      </c>
      <c r="DC8">
        <v>-309563.80000000447</v>
      </c>
      <c r="DD8">
        <v>2422.7100063860416</v>
      </c>
      <c r="DE8">
        <v>35957525.079999998</v>
      </c>
      <c r="DF8">
        <v>0</v>
      </c>
      <c r="DH8">
        <v>77901731.713200912</v>
      </c>
    </row>
    <row r="9" spans="1:112">
      <c r="A9" s="1238">
        <v>45859</v>
      </c>
      <c r="B9" s="1238">
        <v>45866</v>
      </c>
      <c r="C9" s="1238">
        <v>45838</v>
      </c>
      <c r="D9" s="1239">
        <v>0</v>
      </c>
      <c r="E9" s="1239">
        <v>8182368484.4700003</v>
      </c>
      <c r="F9">
        <v>183346.71</v>
      </c>
      <c r="G9">
        <v>3765634.51</v>
      </c>
      <c r="H9">
        <v>8765.27</v>
      </c>
      <c r="I9">
        <v>200709.63999999998</v>
      </c>
      <c r="J9">
        <v>65171391.290000916</v>
      </c>
      <c r="K9">
        <v>69614156.09000136</v>
      </c>
      <c r="L9">
        <v>75484341.880001366</v>
      </c>
      <c r="M9">
        <v>5870185.79</v>
      </c>
      <c r="N9">
        <v>0</v>
      </c>
      <c r="O9" s="1239">
        <v>7253417775.8000011</v>
      </c>
      <c r="P9" s="1239">
        <v>0</v>
      </c>
      <c r="Q9" s="1239">
        <v>61912760.68</v>
      </c>
      <c r="R9" s="1239">
        <v>7191505015.1200008</v>
      </c>
      <c r="S9" s="1239">
        <v>77732</v>
      </c>
      <c r="T9" s="1239">
        <v>796.49</v>
      </c>
      <c r="U9" s="1239">
        <v>92516.660000000018</v>
      </c>
      <c r="V9" s="1239"/>
      <c r="W9" s="1239"/>
      <c r="X9" s="1239"/>
      <c r="Y9" s="1239"/>
      <c r="Z9" s="1239"/>
      <c r="AA9" s="1239"/>
      <c r="AB9" s="1239"/>
      <c r="AC9" s="1239">
        <v>381758802.48000002</v>
      </c>
      <c r="AD9" s="1239">
        <v>0</v>
      </c>
      <c r="AE9" s="1239">
        <v>3258541.4400000004</v>
      </c>
      <c r="AF9" s="1239">
        <v>378500261.04000002</v>
      </c>
      <c r="AG9" s="1239">
        <v>4092</v>
      </c>
      <c r="AH9" s="1239">
        <v>92497.62000000001</v>
      </c>
      <c r="AI9">
        <v>300</v>
      </c>
      <c r="AJ9">
        <v>0</v>
      </c>
      <c r="AK9">
        <v>0</v>
      </c>
      <c r="AL9">
        <v>300</v>
      </c>
      <c r="AM9">
        <v>2</v>
      </c>
      <c r="AN9">
        <v>150</v>
      </c>
      <c r="AO9" s="1239">
        <v>7635176578.2800007</v>
      </c>
      <c r="AP9" s="1239">
        <v>7570005186.9899998</v>
      </c>
      <c r="AQ9" s="1239">
        <v>65171391.290000916</v>
      </c>
      <c r="AR9" s="1239">
        <v>1</v>
      </c>
      <c r="AS9" s="1239">
        <v>7191505015.1200008</v>
      </c>
      <c r="AT9" s="1239">
        <v>627.74600147455931</v>
      </c>
      <c r="AU9" s="1239">
        <v>7570005186.9899998</v>
      </c>
      <c r="AV9" s="1239">
        <v>0.05</v>
      </c>
      <c r="AW9" s="1239">
        <v>0.05</v>
      </c>
      <c r="AX9" s="1239">
        <v>7570005186.9899998</v>
      </c>
      <c r="AY9" s="1239">
        <v>378500259.3495</v>
      </c>
      <c r="AZ9" s="1239">
        <v>7570005186.9899998</v>
      </c>
      <c r="BA9" s="1239">
        <v>378500259.3495</v>
      </c>
      <c r="BB9" s="1239">
        <v>7191504927.6405001</v>
      </c>
      <c r="BC9" s="1239">
        <v>65171391.290000916</v>
      </c>
      <c r="BD9" s="1239">
        <v>7253417775.8000011</v>
      </c>
      <c r="BE9" s="1239">
        <v>378500259.3495</v>
      </c>
      <c r="BF9" s="1239">
        <v>61912848.159501076</v>
      </c>
      <c r="BG9" s="1239"/>
      <c r="BH9" s="1239">
        <v>77732</v>
      </c>
      <c r="BI9" s="1239">
        <v>796.49</v>
      </c>
      <c r="BJ9" s="1239">
        <v>61912760.68</v>
      </c>
      <c r="BK9" s="1239">
        <v>87.479501076042652</v>
      </c>
      <c r="BL9" s="1239"/>
      <c r="BM9" s="1239"/>
      <c r="BN9" s="1239"/>
      <c r="BO9" s="1239"/>
      <c r="BP9" s="1239">
        <v>65171391.290000916</v>
      </c>
      <c r="BQ9" s="1239">
        <v>61912760.68</v>
      </c>
      <c r="BR9" s="1239">
        <v>3258543.1304998398</v>
      </c>
      <c r="BS9" s="1239">
        <v>4092</v>
      </c>
      <c r="BT9" s="1239">
        <v>796.32</v>
      </c>
      <c r="BU9" s="1239">
        <v>3258541.4400000004</v>
      </c>
      <c r="BV9" s="1239">
        <v>1.6904998393729329</v>
      </c>
      <c r="BW9" s="1239">
        <v>77732</v>
      </c>
      <c r="BX9" s="1239">
        <v>93313.150000000009</v>
      </c>
      <c r="BY9" s="1239">
        <v>45835</v>
      </c>
      <c r="BZ9" s="1239">
        <v>45866</v>
      </c>
      <c r="CA9" s="1239">
        <v>31</v>
      </c>
      <c r="CB9" s="1239">
        <v>6.0000000000000001E-3</v>
      </c>
      <c r="CC9" s="1239">
        <v>47.55</v>
      </c>
      <c r="CD9" s="1239">
        <v>3696156.5999999996</v>
      </c>
      <c r="CE9" s="1239"/>
      <c r="CF9" s="1239"/>
      <c r="CG9" s="1239"/>
      <c r="CH9" s="1239"/>
      <c r="CI9" s="1239"/>
      <c r="CJ9" s="1239"/>
      <c r="CK9" s="1239"/>
      <c r="CL9" s="1239"/>
      <c r="CM9" s="1239">
        <v>4092</v>
      </c>
      <c r="CN9" s="1239">
        <v>93293.94</v>
      </c>
      <c r="CO9" s="1239">
        <v>45835</v>
      </c>
      <c r="CP9" s="1239">
        <v>45866</v>
      </c>
      <c r="CQ9" s="1239">
        <v>31</v>
      </c>
      <c r="CR9" s="1239">
        <v>1.4999999999999999E-2</v>
      </c>
      <c r="CS9" s="1239">
        <v>118.85</v>
      </c>
      <c r="CT9" s="1239">
        <v>486334.19999999995</v>
      </c>
      <c r="CU9" s="1239">
        <v>7253417775.8000011</v>
      </c>
      <c r="CV9">
        <v>5.0000000000000001E-3</v>
      </c>
      <c r="CW9">
        <v>500000</v>
      </c>
      <c r="CX9" t="s">
        <v>1073</v>
      </c>
      <c r="CY9" t="s">
        <v>1072</v>
      </c>
      <c r="CZ9">
        <v>36267088.880000003</v>
      </c>
      <c r="DA9">
        <v>36579155.649999999</v>
      </c>
      <c r="DB9">
        <v>36579155.649999999</v>
      </c>
      <c r="DC9">
        <v>-312066.76999999583</v>
      </c>
      <c r="DD9">
        <v>2186.7900051176548</v>
      </c>
      <c r="DE9">
        <v>36267088.880000003</v>
      </c>
      <c r="DF9">
        <v>0</v>
      </c>
      <c r="DH9">
        <v>75484341.880001366</v>
      </c>
    </row>
    <row r="10" spans="1:112">
      <c r="A10" s="1238">
        <v>45828</v>
      </c>
      <c r="B10">
        <v>45835</v>
      </c>
      <c r="C10">
        <v>45808</v>
      </c>
      <c r="D10">
        <v>0</v>
      </c>
      <c r="E10" s="1239">
        <v>8182368484.4700003</v>
      </c>
      <c r="F10">
        <v>723701.24</v>
      </c>
      <c r="G10">
        <v>3582287.8</v>
      </c>
      <c r="H10">
        <v>14058.619999999999</v>
      </c>
      <c r="I10">
        <v>191944.37</v>
      </c>
      <c r="J10">
        <v>65698922.560001373</v>
      </c>
      <c r="K10">
        <v>70141364.45310156</v>
      </c>
      <c r="L10">
        <v>75995489.383101568</v>
      </c>
      <c r="M10">
        <v>5854124.9300000006</v>
      </c>
      <c r="N10">
        <v>0</v>
      </c>
      <c r="O10">
        <v>7315831130.5600014</v>
      </c>
      <c r="P10">
        <v>0</v>
      </c>
      <c r="Q10">
        <v>62413354.759999998</v>
      </c>
      <c r="R10">
        <v>7253417775.8000011</v>
      </c>
      <c r="S10">
        <v>77732</v>
      </c>
      <c r="T10">
        <v>802.93</v>
      </c>
      <c r="U10">
        <v>93313.150000000009</v>
      </c>
      <c r="AC10">
        <v>385043737.31999999</v>
      </c>
      <c r="AD10">
        <v>0</v>
      </c>
      <c r="AE10">
        <v>3284934.84</v>
      </c>
      <c r="AF10">
        <v>381758802.48000002</v>
      </c>
      <c r="AG10">
        <v>4092</v>
      </c>
      <c r="AH10">
        <v>93293.94</v>
      </c>
      <c r="AI10">
        <v>300</v>
      </c>
      <c r="AJ10">
        <v>0</v>
      </c>
      <c r="AK10">
        <v>0</v>
      </c>
      <c r="AL10">
        <v>300</v>
      </c>
      <c r="AM10">
        <v>2</v>
      </c>
      <c r="AN10">
        <v>150</v>
      </c>
      <c r="AO10">
        <v>7700874867.8800011</v>
      </c>
      <c r="AP10">
        <v>7635175945.3199997</v>
      </c>
      <c r="AQ10">
        <v>65698922.560001373</v>
      </c>
      <c r="AR10">
        <v>1</v>
      </c>
      <c r="AS10">
        <v>7253417775.8000011</v>
      </c>
      <c r="AT10">
        <v>375.88050166517496</v>
      </c>
      <c r="AU10">
        <v>7635175945.3199997</v>
      </c>
      <c r="AV10">
        <v>0.05</v>
      </c>
      <c r="AW10">
        <v>0.05</v>
      </c>
      <c r="AX10">
        <v>7635175945.3199997</v>
      </c>
      <c r="AY10">
        <v>381758797.26600003</v>
      </c>
      <c r="AZ10">
        <v>7635175945.3199997</v>
      </c>
      <c r="BA10">
        <v>381758797.26600003</v>
      </c>
      <c r="BB10">
        <v>7253417148.0539999</v>
      </c>
      <c r="BC10">
        <v>65698922.560001373</v>
      </c>
      <c r="BD10">
        <v>7315831130.5600014</v>
      </c>
      <c r="BE10">
        <v>381758797.26600003</v>
      </c>
      <c r="BF10">
        <v>62413982.506001472</v>
      </c>
      <c r="BH10">
        <v>77732</v>
      </c>
      <c r="BI10">
        <v>802.93</v>
      </c>
      <c r="BJ10">
        <v>62413354.759999998</v>
      </c>
      <c r="BK10">
        <v>627.74600147455931</v>
      </c>
      <c r="BP10">
        <v>65698922.560001373</v>
      </c>
      <c r="BQ10">
        <v>62413354.759999998</v>
      </c>
      <c r="BR10">
        <v>3284940.0539999008</v>
      </c>
      <c r="BS10">
        <v>4092</v>
      </c>
      <c r="BT10">
        <v>802.77</v>
      </c>
      <c r="BU10">
        <v>3284934.84</v>
      </c>
      <c r="BV10">
        <v>5.2139999009668827</v>
      </c>
      <c r="BW10">
        <v>77732</v>
      </c>
      <c r="BX10">
        <v>94116.080000000016</v>
      </c>
      <c r="BY10">
        <v>45804</v>
      </c>
      <c r="BZ10">
        <v>45835</v>
      </c>
      <c r="CA10">
        <v>31</v>
      </c>
      <c r="CB10">
        <v>6.0000000000000001E-3</v>
      </c>
      <c r="CC10">
        <v>47.96</v>
      </c>
      <c r="CD10">
        <v>3728026.72</v>
      </c>
      <c r="CM10">
        <v>4092</v>
      </c>
      <c r="CN10">
        <v>94096.709999999992</v>
      </c>
      <c r="CO10">
        <v>45804</v>
      </c>
      <c r="CP10">
        <v>45835</v>
      </c>
      <c r="CQ10">
        <v>31</v>
      </c>
      <c r="CR10">
        <v>1.4999999999999999E-2</v>
      </c>
      <c r="CS10">
        <v>119.87</v>
      </c>
      <c r="CT10">
        <v>490508.04000000004</v>
      </c>
      <c r="CU10">
        <v>7315831130.5600014</v>
      </c>
      <c r="CV10">
        <v>5.0000000000000001E-3</v>
      </c>
      <c r="CW10">
        <v>500000</v>
      </c>
      <c r="CX10" t="s">
        <v>1073</v>
      </c>
      <c r="CY10" t="s">
        <v>1072</v>
      </c>
      <c r="CZ10">
        <v>36579155.649999999</v>
      </c>
      <c r="DA10">
        <v>36872279.140000001</v>
      </c>
      <c r="DB10">
        <v>36872279.140000001</v>
      </c>
      <c r="DC10">
        <v>-293123.49000000209</v>
      </c>
      <c r="DD10">
        <v>2097.6200042068958</v>
      </c>
      <c r="DE10">
        <v>36579155.649999999</v>
      </c>
      <c r="DF10">
        <v>0</v>
      </c>
      <c r="DH10">
        <v>75995489.383101568</v>
      </c>
    </row>
    <row r="11" spans="1:112">
      <c r="A11" s="1238">
        <v>45797</v>
      </c>
      <c r="B11" s="1238">
        <v>45804</v>
      </c>
      <c r="C11" s="1238">
        <v>45777</v>
      </c>
      <c r="D11">
        <v>0</v>
      </c>
      <c r="E11" s="1239">
        <v>8182368484.4700003</v>
      </c>
      <c r="F11">
        <v>1236920.96</v>
      </c>
      <c r="G11">
        <v>2858586.56</v>
      </c>
      <c r="H11">
        <v>5807.5</v>
      </c>
      <c r="I11">
        <v>177885.75</v>
      </c>
      <c r="J11">
        <v>61710577.110001564</v>
      </c>
      <c r="K11">
        <v>64956218.0900013</v>
      </c>
      <c r="L11">
        <v>70575142.360001296</v>
      </c>
      <c r="M11">
        <v>5618924.2699999996</v>
      </c>
      <c r="N11">
        <v>0</v>
      </c>
      <c r="O11" s="1239">
        <v>7374455827.6400013</v>
      </c>
      <c r="P11" s="1239">
        <v>0</v>
      </c>
      <c r="Q11" s="1239">
        <v>58624697.080000006</v>
      </c>
      <c r="R11" s="1239">
        <v>7315831130.5600014</v>
      </c>
      <c r="S11" s="1239">
        <v>77732</v>
      </c>
      <c r="T11" s="1239">
        <v>754.19</v>
      </c>
      <c r="U11" s="1239">
        <v>94116.080000000016</v>
      </c>
      <c r="V11" s="1239"/>
      <c r="W11" s="1239"/>
      <c r="X11" s="1239"/>
      <c r="Y11" s="1239"/>
      <c r="Z11" s="1239"/>
      <c r="AA11" s="1239"/>
      <c r="AB11" s="1239"/>
      <c r="AC11" s="1239">
        <v>388129228.07999998</v>
      </c>
      <c r="AD11" s="1239">
        <v>0</v>
      </c>
      <c r="AE11" s="1239">
        <v>3085490.76</v>
      </c>
      <c r="AF11" s="1239">
        <v>385043737.31999999</v>
      </c>
      <c r="AG11" s="1239">
        <v>4092</v>
      </c>
      <c r="AH11" s="1239">
        <v>94096.709999999992</v>
      </c>
      <c r="AI11">
        <v>300</v>
      </c>
      <c r="AJ11">
        <v>0</v>
      </c>
      <c r="AK11">
        <v>0</v>
      </c>
      <c r="AL11">
        <v>300</v>
      </c>
      <c r="AM11">
        <v>2</v>
      </c>
      <c r="AN11">
        <v>150</v>
      </c>
      <c r="AO11" s="1239">
        <v>7762585055.7200012</v>
      </c>
      <c r="AP11" s="1239">
        <v>7700874478.6099997</v>
      </c>
      <c r="AQ11" s="1239">
        <v>61710577.110001564</v>
      </c>
      <c r="AR11" s="1239">
        <v>1</v>
      </c>
      <c r="AS11" s="1239">
        <v>7315831130.5600014</v>
      </c>
      <c r="AT11" s="1239">
        <v>761.32650145888329</v>
      </c>
      <c r="AU11" s="1239">
        <v>7700874478.6099997</v>
      </c>
      <c r="AV11" s="1239">
        <v>0.05</v>
      </c>
      <c r="AW11" s="1239">
        <v>0.05</v>
      </c>
      <c r="AX11" s="1239">
        <v>7700874478.6099997</v>
      </c>
      <c r="AY11" s="1239">
        <v>385043723.93050003</v>
      </c>
      <c r="AZ11" s="1239">
        <v>7700874478.6099997</v>
      </c>
      <c r="BA11" s="1239">
        <v>385043723.93050003</v>
      </c>
      <c r="BB11" s="1239">
        <v>7315830754.6794996</v>
      </c>
      <c r="BC11" s="1239">
        <v>61710577.110001564</v>
      </c>
      <c r="BD11" s="1239">
        <v>7374455827.6400013</v>
      </c>
      <c r="BE11" s="1239">
        <v>385043723.93050003</v>
      </c>
      <c r="BF11" s="1239">
        <v>58625072.960501671</v>
      </c>
      <c r="BG11" s="1239"/>
      <c r="BH11" s="1239">
        <v>77732</v>
      </c>
      <c r="BI11" s="1239">
        <v>754.19</v>
      </c>
      <c r="BJ11" s="1239">
        <v>58624697.080000006</v>
      </c>
      <c r="BK11" s="1239">
        <v>375.88050166517496</v>
      </c>
      <c r="BL11" s="1239"/>
      <c r="BM11" s="1239"/>
      <c r="BN11" s="1239"/>
      <c r="BO11" s="1239"/>
      <c r="BP11" s="1239">
        <v>61710577.110001564</v>
      </c>
      <c r="BQ11" s="1239">
        <v>58624697.080000006</v>
      </c>
      <c r="BR11" s="1239">
        <v>3085504.1494998932</v>
      </c>
      <c r="BS11" s="1239">
        <v>4092</v>
      </c>
      <c r="BT11" s="1239">
        <v>754.03</v>
      </c>
      <c r="BU11" s="1239">
        <v>3085490.76</v>
      </c>
      <c r="BV11" s="1239">
        <v>13.389499893411994</v>
      </c>
      <c r="BW11" s="1239">
        <v>77732</v>
      </c>
      <c r="BX11" s="1239">
        <v>94870.270000000019</v>
      </c>
      <c r="BY11" s="1239">
        <v>45775</v>
      </c>
      <c r="BZ11" s="1239">
        <v>45804</v>
      </c>
      <c r="CA11" s="1239">
        <v>29</v>
      </c>
      <c r="CB11" s="1239">
        <v>6.0000000000000001E-3</v>
      </c>
      <c r="CC11" s="1239">
        <v>45.22</v>
      </c>
      <c r="CD11" s="1239">
        <v>3515041.04</v>
      </c>
      <c r="CE11" s="1239"/>
      <c r="CF11" s="1239"/>
      <c r="CG11" s="1239"/>
      <c r="CH11" s="1239"/>
      <c r="CI11" s="1239"/>
      <c r="CJ11" s="1239"/>
      <c r="CK11" s="1239"/>
      <c r="CL11" s="1239"/>
      <c r="CM11" s="1239">
        <v>4092</v>
      </c>
      <c r="CN11" s="1239">
        <v>94850.739999999991</v>
      </c>
      <c r="CO11" s="1239">
        <v>45775</v>
      </c>
      <c r="CP11" s="1239">
        <v>45804</v>
      </c>
      <c r="CQ11" s="1239">
        <v>29</v>
      </c>
      <c r="CR11" s="1239">
        <v>1.4999999999999999E-2</v>
      </c>
      <c r="CS11" s="1239">
        <v>113.04</v>
      </c>
      <c r="CT11" s="1239">
        <v>462559.68000000005</v>
      </c>
      <c r="CU11" s="1239">
        <v>7374455827.6400013</v>
      </c>
      <c r="CV11">
        <v>5.0000000000000001E-3</v>
      </c>
      <c r="CW11">
        <v>500000</v>
      </c>
      <c r="CX11" t="s">
        <v>1073</v>
      </c>
      <c r="CY11" t="s">
        <v>1072</v>
      </c>
      <c r="CZ11">
        <v>36872279.140000001</v>
      </c>
      <c r="DA11">
        <v>37153746.710000001</v>
      </c>
      <c r="DB11">
        <v>37153746.710000001</v>
      </c>
      <c r="DC11">
        <v>-281467.5700000003</v>
      </c>
      <c r="DD11">
        <v>1464.6600028574467</v>
      </c>
      <c r="DE11">
        <v>36872279.140000001</v>
      </c>
      <c r="DF11">
        <v>0</v>
      </c>
      <c r="DH11">
        <v>70575142.360001296</v>
      </c>
    </row>
    <row r="12" spans="1:112">
      <c r="A12" s="1238">
        <v>45764</v>
      </c>
      <c r="B12" s="1238">
        <v>45775</v>
      </c>
      <c r="C12" s="1238">
        <v>45747</v>
      </c>
      <c r="D12">
        <v>0</v>
      </c>
      <c r="E12" s="1239">
        <v>8182368484.4700003</v>
      </c>
      <c r="F12">
        <v>394532.89</v>
      </c>
      <c r="G12">
        <v>1621665.6</v>
      </c>
      <c r="H12">
        <v>115581.97</v>
      </c>
      <c r="I12">
        <v>172078.25</v>
      </c>
      <c r="J12">
        <v>59257102.390001297</v>
      </c>
      <c r="K12">
        <v>63181777.970000699</v>
      </c>
      <c r="L12">
        <v>69263377.490000695</v>
      </c>
      <c r="M12">
        <v>6081599.5199999996</v>
      </c>
      <c r="N12">
        <v>0</v>
      </c>
      <c r="O12" s="1239">
        <v>7430749342.0400009</v>
      </c>
      <c r="P12" s="1239">
        <v>0</v>
      </c>
      <c r="Q12" s="1239">
        <v>56293514.400000006</v>
      </c>
      <c r="R12" s="1239">
        <v>7374455827.6400013</v>
      </c>
      <c r="S12" s="1239">
        <v>77732</v>
      </c>
      <c r="T12" s="1239">
        <v>724.2</v>
      </c>
      <c r="U12" s="1239">
        <v>94870.270000000019</v>
      </c>
      <c r="V12" s="1239"/>
      <c r="W12" s="1239"/>
      <c r="X12" s="1239"/>
      <c r="Y12" s="1239"/>
      <c r="Z12" s="1239"/>
      <c r="AA12" s="1239"/>
      <c r="AB12" s="1239"/>
      <c r="AC12" s="1239">
        <v>391092040.68000001</v>
      </c>
      <c r="AD12" s="1239">
        <v>0</v>
      </c>
      <c r="AE12" s="1239">
        <v>2962812.5999999996</v>
      </c>
      <c r="AF12" s="1239">
        <v>388129228.07999998</v>
      </c>
      <c r="AG12" s="1239">
        <v>4092</v>
      </c>
      <c r="AH12" s="1239">
        <v>94850.739999999991</v>
      </c>
      <c r="AI12">
        <v>300</v>
      </c>
      <c r="AJ12">
        <v>0</v>
      </c>
      <c r="AK12">
        <v>0</v>
      </c>
      <c r="AL12">
        <v>300</v>
      </c>
      <c r="AM12">
        <v>2</v>
      </c>
      <c r="AN12">
        <v>150</v>
      </c>
      <c r="AO12" s="1239">
        <v>7821841382.7200012</v>
      </c>
      <c r="AP12" s="1239">
        <v>7762584280.3299999</v>
      </c>
      <c r="AQ12" s="1239">
        <v>59257102.390001297</v>
      </c>
      <c r="AR12" s="1239">
        <v>1</v>
      </c>
      <c r="AS12" s="1239">
        <v>7374455827.6400013</v>
      </c>
      <c r="AT12" s="1239">
        <v>688.95300125330687</v>
      </c>
      <c r="AU12" s="1239">
        <v>7762584280.3299999</v>
      </c>
      <c r="AV12" s="1239">
        <v>0.05</v>
      </c>
      <c r="AW12" s="1239">
        <v>0.05</v>
      </c>
      <c r="AX12" s="1239">
        <v>7762584280.3299999</v>
      </c>
      <c r="AY12" s="1239">
        <v>388129214.0165</v>
      </c>
      <c r="AZ12" s="1239">
        <v>7762584280.3299999</v>
      </c>
      <c r="BA12" s="1239">
        <v>388129214.0165</v>
      </c>
      <c r="BB12" s="1239">
        <v>7374455066.3134995</v>
      </c>
      <c r="BC12" s="1239">
        <v>59257102.390001297</v>
      </c>
      <c r="BD12" s="1239">
        <v>7430749342.0400009</v>
      </c>
      <c r="BE12" s="1239">
        <v>388129214.0165</v>
      </c>
      <c r="BF12" s="1239">
        <v>56294275.726501465</v>
      </c>
      <c r="BG12" s="1239"/>
      <c r="BH12" s="1239">
        <v>77732</v>
      </c>
      <c r="BI12" s="1239">
        <v>724.2</v>
      </c>
      <c r="BJ12" s="1239">
        <v>56293514.400000006</v>
      </c>
      <c r="BK12" s="1239">
        <v>761.32650145888329</v>
      </c>
      <c r="BL12" s="1239"/>
      <c r="BM12" s="1239"/>
      <c r="BN12" s="1239"/>
      <c r="BO12" s="1239"/>
      <c r="BP12" s="1239">
        <v>59257102.390001297</v>
      </c>
      <c r="BQ12" s="1239">
        <v>56293514.400000006</v>
      </c>
      <c r="BR12" s="1239">
        <v>2962826.6634998322</v>
      </c>
      <c r="BS12" s="1239">
        <v>4092</v>
      </c>
      <c r="BT12" s="1239">
        <v>724.05</v>
      </c>
      <c r="BU12" s="1239">
        <v>2962812.5999999996</v>
      </c>
      <c r="BV12" s="1239">
        <v>14.063499832525849</v>
      </c>
      <c r="BW12" s="1239">
        <v>77732</v>
      </c>
      <c r="BX12" s="1239">
        <v>95594.470000000016</v>
      </c>
      <c r="BY12" s="1239">
        <v>45743</v>
      </c>
      <c r="BZ12" s="1239">
        <v>45775</v>
      </c>
      <c r="CA12" s="1239">
        <v>32</v>
      </c>
      <c r="CB12" s="1239">
        <v>6.0000000000000001E-3</v>
      </c>
      <c r="CC12" s="1239">
        <v>50.29</v>
      </c>
      <c r="CD12" s="1239">
        <v>3909142.28</v>
      </c>
      <c r="CE12" s="1239"/>
      <c r="CF12" s="1239"/>
      <c r="CG12" s="1239"/>
      <c r="CH12" s="1239"/>
      <c r="CI12" s="1239"/>
      <c r="CJ12" s="1239"/>
      <c r="CK12" s="1239"/>
      <c r="CL12" s="1239"/>
      <c r="CM12" s="1239">
        <v>4092</v>
      </c>
      <c r="CN12" s="1239">
        <v>95574.790000000008</v>
      </c>
      <c r="CO12" s="1239">
        <v>45743</v>
      </c>
      <c r="CP12" s="1239">
        <v>45775</v>
      </c>
      <c r="CQ12" s="1239">
        <v>32</v>
      </c>
      <c r="CR12" s="1239">
        <v>1.4999999999999999E-2</v>
      </c>
      <c r="CS12" s="1239">
        <v>125.69</v>
      </c>
      <c r="CT12" s="1239">
        <v>514323.48</v>
      </c>
      <c r="CU12" s="1239">
        <v>7430749342.0400009</v>
      </c>
      <c r="CV12">
        <v>5.0000000000000001E-3</v>
      </c>
      <c r="CW12">
        <v>500000</v>
      </c>
      <c r="CX12" t="s">
        <v>1073</v>
      </c>
      <c r="CY12" t="s">
        <v>1072</v>
      </c>
      <c r="CZ12">
        <v>37153746.710000001</v>
      </c>
      <c r="DA12">
        <v>37439967.590000004</v>
      </c>
      <c r="DB12">
        <v>37439967.590000004</v>
      </c>
      <c r="DC12">
        <v>-286220.88000000268</v>
      </c>
      <c r="DD12">
        <v>1075.3900012969971</v>
      </c>
      <c r="DE12">
        <v>37153746.710000001</v>
      </c>
      <c r="DH12">
        <v>69263377.490000695</v>
      </c>
    </row>
    <row r="13" spans="1:112">
      <c r="A13" s="1238">
        <v>45736</v>
      </c>
      <c r="B13" s="1238">
        <v>45743</v>
      </c>
      <c r="C13" s="1238">
        <v>45716</v>
      </c>
      <c r="D13">
        <v>0</v>
      </c>
      <c r="E13" s="1239">
        <v>8182368484.4700003</v>
      </c>
      <c r="F13">
        <v>208258.58</v>
      </c>
      <c r="G13">
        <v>1227132.71</v>
      </c>
      <c r="H13">
        <v>3590.35</v>
      </c>
      <c r="I13">
        <v>56496.279999999992</v>
      </c>
      <c r="J13">
        <v>60257729.780000687</v>
      </c>
      <c r="K13">
        <v>64963948.510000482</v>
      </c>
      <c r="L13">
        <v>70534542.850000486</v>
      </c>
      <c r="M13">
        <v>5570594.3399999999</v>
      </c>
      <c r="N13">
        <v>0</v>
      </c>
      <c r="O13" s="1239">
        <v>7487993518.8000011</v>
      </c>
      <c r="P13" s="1239">
        <v>0</v>
      </c>
      <c r="Q13" s="1239">
        <v>57244176.759999998</v>
      </c>
      <c r="R13" s="1239">
        <v>7430749342.0400009</v>
      </c>
      <c r="S13" s="1239">
        <v>77732</v>
      </c>
      <c r="T13" s="1239">
        <v>736.43</v>
      </c>
      <c r="U13" s="1239">
        <v>95594.470000000016</v>
      </c>
      <c r="V13" s="1239"/>
      <c r="W13" s="1239"/>
      <c r="X13" s="1239"/>
      <c r="Y13" s="1239"/>
      <c r="Z13" s="1239"/>
      <c r="AA13" s="1239"/>
      <c r="AB13" s="1239"/>
      <c r="AC13" s="1239">
        <v>394104898.44</v>
      </c>
      <c r="AD13" s="1239">
        <v>0</v>
      </c>
      <c r="AE13" s="1239">
        <v>3012857.76</v>
      </c>
      <c r="AF13" s="1239">
        <v>391092040.68000001</v>
      </c>
      <c r="AG13" s="1239">
        <v>4092</v>
      </c>
      <c r="AH13" s="1239">
        <v>95574.790000000008</v>
      </c>
      <c r="AI13">
        <v>300</v>
      </c>
      <c r="AJ13">
        <v>0</v>
      </c>
      <c r="AK13">
        <v>0</v>
      </c>
      <c r="AL13">
        <v>300</v>
      </c>
      <c r="AM13">
        <v>2</v>
      </c>
      <c r="AN13">
        <v>150</v>
      </c>
      <c r="AO13" s="1239">
        <v>7882098417.2400007</v>
      </c>
      <c r="AP13" s="1239">
        <v>7821840687.46</v>
      </c>
      <c r="AQ13" s="1239">
        <v>60257729.780000687</v>
      </c>
      <c r="AR13" s="1239">
        <v>1</v>
      </c>
      <c r="AS13" s="1239">
        <v>7430749342.0400009</v>
      </c>
      <c r="AT13" s="1239">
        <v>678.18800121545792</v>
      </c>
      <c r="AU13" s="1239">
        <v>7821840687.46</v>
      </c>
      <c r="AV13" s="1239">
        <v>0.05</v>
      </c>
      <c r="AW13" s="1239">
        <v>0.05</v>
      </c>
      <c r="AX13" s="1239">
        <v>7821840687.46</v>
      </c>
      <c r="AY13" s="1239">
        <v>391092034.37300003</v>
      </c>
      <c r="AZ13" s="1239">
        <v>7821840687.46</v>
      </c>
      <c r="BA13" s="1239">
        <v>391092034.37300003</v>
      </c>
      <c r="BB13" s="1239">
        <v>7430748653.0869999</v>
      </c>
      <c r="BC13" s="1239">
        <v>60257729.780000687</v>
      </c>
      <c r="BD13" s="1239">
        <v>7487993518.8000011</v>
      </c>
      <c r="BE13" s="1239">
        <v>391092034.37300003</v>
      </c>
      <c r="BF13" s="1239">
        <v>57244865.713001251</v>
      </c>
      <c r="BG13" s="1239"/>
      <c r="BH13" s="1239">
        <v>77732</v>
      </c>
      <c r="BI13" s="1239">
        <v>736.43</v>
      </c>
      <c r="BJ13" s="1239">
        <v>57244176.759999998</v>
      </c>
      <c r="BK13" s="1239">
        <v>688.95300125330687</v>
      </c>
      <c r="BL13" s="1239"/>
      <c r="BM13" s="1239"/>
      <c r="BN13" s="1239"/>
      <c r="BO13" s="1239"/>
      <c r="BP13" s="1239">
        <v>60257729.780000687</v>
      </c>
      <c r="BQ13" s="1239">
        <v>57244176.759999998</v>
      </c>
      <c r="BR13" s="1239">
        <v>3012864.0669994354</v>
      </c>
      <c r="BS13" s="1239">
        <v>4092</v>
      </c>
      <c r="BT13" s="1239">
        <v>736.28</v>
      </c>
      <c r="BU13" s="1239">
        <v>3012857.76</v>
      </c>
      <c r="BV13" s="1239">
        <v>6.3069994356483221</v>
      </c>
      <c r="BW13" s="1239">
        <v>77732</v>
      </c>
      <c r="BX13" s="1239">
        <v>96330.900000000009</v>
      </c>
      <c r="BY13" s="1239">
        <v>45715</v>
      </c>
      <c r="BZ13" s="1239">
        <v>45743</v>
      </c>
      <c r="CA13" s="1239">
        <v>28</v>
      </c>
      <c r="CB13" s="1239">
        <v>6.0000000000000001E-3</v>
      </c>
      <c r="CC13" s="1239">
        <v>44.34</v>
      </c>
      <c r="CD13" s="1239">
        <v>3446636.8800000004</v>
      </c>
      <c r="CE13" s="1239"/>
      <c r="CF13" s="1239"/>
      <c r="CG13" s="1239"/>
      <c r="CH13" s="1239"/>
      <c r="CI13" s="1239"/>
      <c r="CJ13" s="1239"/>
      <c r="CK13" s="1239"/>
      <c r="CL13" s="1239"/>
      <c r="CM13" s="1239">
        <v>4092</v>
      </c>
      <c r="CN13" s="1239">
        <v>96311.069999999992</v>
      </c>
      <c r="CO13" s="1239">
        <v>45715</v>
      </c>
      <c r="CP13" s="1239">
        <v>45743</v>
      </c>
      <c r="CQ13" s="1239">
        <v>28</v>
      </c>
      <c r="CR13" s="1239">
        <v>1.4999999999999999E-2</v>
      </c>
      <c r="CS13" s="1239">
        <v>110.82</v>
      </c>
      <c r="CT13" s="1239">
        <v>453475.43999999994</v>
      </c>
      <c r="CU13" s="1239">
        <v>7487993518.8000011</v>
      </c>
      <c r="CV13">
        <v>5.0000000000000001E-3</v>
      </c>
      <c r="CW13">
        <v>500000</v>
      </c>
      <c r="CX13" t="s">
        <v>1073</v>
      </c>
      <c r="CY13" t="s">
        <v>1072</v>
      </c>
      <c r="CZ13">
        <v>37439967.590000004</v>
      </c>
      <c r="DA13">
        <v>37725601.600000001</v>
      </c>
      <c r="DB13">
        <v>37725601.600000001</v>
      </c>
      <c r="DC13">
        <v>-285634.00999999791</v>
      </c>
    </row>
    <row r="14" spans="1:112">
      <c r="A14" s="1238">
        <v>45708</v>
      </c>
      <c r="B14" s="1238">
        <v>45715</v>
      </c>
      <c r="C14" s="1238">
        <v>45688</v>
      </c>
      <c r="D14">
        <v>0</v>
      </c>
      <c r="E14" s="1239">
        <v>8182368484.4700003</v>
      </c>
      <c r="F14">
        <v>411919.03</v>
      </c>
      <c r="G14">
        <v>1018874.13</v>
      </c>
      <c r="H14">
        <v>1637.84</v>
      </c>
      <c r="I14">
        <v>52905.929999999993</v>
      </c>
      <c r="J14">
        <v>60134211.480000496</v>
      </c>
      <c r="K14">
        <v>64375085.400000304</v>
      </c>
      <c r="L14">
        <v>70408226.130000308</v>
      </c>
      <c r="M14">
        <v>6033140.7300000004</v>
      </c>
      <c r="N14">
        <v>0</v>
      </c>
      <c r="O14" s="1239">
        <v>7545120320.2400007</v>
      </c>
      <c r="P14" s="1239">
        <v>0</v>
      </c>
      <c r="Q14" s="1239">
        <v>57126801.439999998</v>
      </c>
      <c r="R14" s="1239">
        <v>7487993518.8000011</v>
      </c>
      <c r="S14" s="1239">
        <v>77732</v>
      </c>
      <c r="T14" s="1239">
        <v>734.92</v>
      </c>
      <c r="U14" s="1239">
        <v>96330.900000000009</v>
      </c>
      <c r="V14" s="1239"/>
      <c r="W14" s="1239"/>
      <c r="X14" s="1239"/>
      <c r="Y14" s="1239"/>
      <c r="Z14" s="1239"/>
      <c r="AA14" s="1239"/>
      <c r="AB14" s="1239"/>
      <c r="AC14" s="1239">
        <v>397111618.19999999</v>
      </c>
      <c r="AD14" s="1239">
        <v>0</v>
      </c>
      <c r="AE14" s="1239">
        <v>3006719.76</v>
      </c>
      <c r="AF14" s="1239">
        <v>394104898.44</v>
      </c>
      <c r="AG14" s="1239">
        <v>4092</v>
      </c>
      <c r="AH14" s="1239">
        <v>96311.069999999992</v>
      </c>
      <c r="AI14">
        <v>300</v>
      </c>
      <c r="AJ14">
        <v>0</v>
      </c>
      <c r="AK14">
        <v>0</v>
      </c>
      <c r="AL14">
        <v>300</v>
      </c>
      <c r="AM14">
        <v>2</v>
      </c>
      <c r="AN14">
        <v>150</v>
      </c>
      <c r="AO14" s="1239">
        <v>7942231938.4400005</v>
      </c>
      <c r="AP14" s="1239">
        <v>7882097726.96</v>
      </c>
      <c r="AQ14" s="1239">
        <v>60134211.480000496</v>
      </c>
      <c r="AR14" s="1239">
        <v>1</v>
      </c>
      <c r="AS14" s="1239">
        <v>7487993518.8000011</v>
      </c>
      <c r="AT14" s="1239">
        <v>225.95000049471855</v>
      </c>
      <c r="AU14" s="1239">
        <v>7882097726.96</v>
      </c>
      <c r="AV14" s="1239">
        <v>0.05</v>
      </c>
      <c r="AW14" s="1239">
        <v>0.05</v>
      </c>
      <c r="AX14" s="1239">
        <v>7882097726.96</v>
      </c>
      <c r="AY14" s="1239">
        <v>394104886.34800005</v>
      </c>
      <c r="AZ14" s="1239">
        <v>7882097726.96</v>
      </c>
      <c r="BA14" s="1239">
        <v>394104886.34800005</v>
      </c>
      <c r="BB14" s="1239">
        <v>7487992840.6119995</v>
      </c>
      <c r="BC14" s="1239">
        <v>60134211.480000496</v>
      </c>
      <c r="BD14" s="1239">
        <v>7545120320.2400007</v>
      </c>
      <c r="BE14" s="1239">
        <v>394104886.34800005</v>
      </c>
      <c r="BF14" s="1239">
        <v>57127479.628001213</v>
      </c>
      <c r="BG14" s="1239"/>
      <c r="BH14" s="1239">
        <v>77732</v>
      </c>
      <c r="BI14" s="1239">
        <v>734.92</v>
      </c>
      <c r="BJ14" s="1239">
        <v>57126801.439999998</v>
      </c>
      <c r="BK14" s="1239">
        <v>678.18800121545792</v>
      </c>
      <c r="BL14" s="1239"/>
      <c r="BM14" s="1239"/>
      <c r="BN14" s="1239"/>
      <c r="BO14" s="1239"/>
      <c r="BP14" s="1239">
        <v>60134211.480000496</v>
      </c>
      <c r="BQ14" s="1239">
        <v>57126801.439999998</v>
      </c>
      <c r="BR14" s="1239">
        <v>3006731.8519992828</v>
      </c>
      <c r="BS14" s="1239">
        <v>4092</v>
      </c>
      <c r="BT14" s="1239">
        <v>734.78</v>
      </c>
      <c r="BU14" s="1239">
        <v>3006719.76</v>
      </c>
      <c r="BV14" s="1239">
        <v>12.091999283060431</v>
      </c>
      <c r="BW14" s="1239">
        <v>77732</v>
      </c>
      <c r="BX14" s="1239">
        <v>97065.82</v>
      </c>
      <c r="BY14" s="1239">
        <v>45684</v>
      </c>
      <c r="BZ14" s="1239">
        <v>45715</v>
      </c>
      <c r="CA14" s="1239">
        <v>31</v>
      </c>
      <c r="CB14" s="1239">
        <v>6.0000000000000001E-3</v>
      </c>
      <c r="CC14" s="1239">
        <v>49.46</v>
      </c>
      <c r="CD14" s="1239">
        <v>3844624.72</v>
      </c>
      <c r="CE14" s="1239"/>
      <c r="CF14" s="1239"/>
      <c r="CG14" s="1239"/>
      <c r="CH14" s="1239"/>
      <c r="CI14" s="1239"/>
      <c r="CJ14" s="1239"/>
      <c r="CK14" s="1239"/>
      <c r="CL14" s="1239"/>
      <c r="CM14" s="1239">
        <v>4092</v>
      </c>
      <c r="CN14" s="1239">
        <v>97045.849999999991</v>
      </c>
      <c r="CO14" s="1239">
        <v>45684</v>
      </c>
      <c r="CP14" s="1239">
        <v>45715</v>
      </c>
      <c r="CQ14" s="1239">
        <v>31</v>
      </c>
      <c r="CR14" s="1239">
        <v>1.4999999999999999E-2</v>
      </c>
      <c r="CS14" s="1239">
        <v>123.63</v>
      </c>
      <c r="CT14" s="1239">
        <v>505893.95999999996</v>
      </c>
      <c r="CU14" s="1239">
        <v>7545120320.2400007</v>
      </c>
      <c r="CV14">
        <v>5.0000000000000001E-3</v>
      </c>
      <c r="CW14">
        <v>500000</v>
      </c>
      <c r="CX14" t="s">
        <v>1073</v>
      </c>
      <c r="CY14" t="s">
        <v>1072</v>
      </c>
      <c r="CZ14">
        <v>37725601.600000001</v>
      </c>
      <c r="DA14">
        <v>38297724.670000002</v>
      </c>
      <c r="DB14">
        <v>38297724.670000002</v>
      </c>
      <c r="DC14">
        <v>-572123.0700000003</v>
      </c>
    </row>
    <row r="15" spans="1:112">
      <c r="A15" s="1238">
        <v>45677</v>
      </c>
      <c r="B15" s="1238">
        <v>45684</v>
      </c>
      <c r="C15" s="1238">
        <v>45657</v>
      </c>
      <c r="D15">
        <v>0</v>
      </c>
      <c r="E15" s="1239">
        <v>8182368484.4700003</v>
      </c>
      <c r="F15">
        <v>282412.90999999997</v>
      </c>
      <c r="G15">
        <v>606955.1</v>
      </c>
      <c r="H15">
        <v>50914.85</v>
      </c>
      <c r="I15">
        <v>51268.09</v>
      </c>
      <c r="J15">
        <v>120447192.68000031</v>
      </c>
      <c r="K15">
        <v>124639603.96999994</v>
      </c>
      <c r="L15">
        <v>130762231.67999993</v>
      </c>
      <c r="M15">
        <v>6122627.71</v>
      </c>
      <c r="N15">
        <v>0</v>
      </c>
      <c r="O15" s="1239">
        <v>7659544933.5200005</v>
      </c>
      <c r="P15" s="1239">
        <v>0</v>
      </c>
      <c r="Q15" s="1239">
        <v>114424613.28</v>
      </c>
      <c r="R15" s="1239">
        <v>7545120320.2400007</v>
      </c>
      <c r="S15" s="1239">
        <v>77732</v>
      </c>
      <c r="T15" s="1239">
        <v>1472.04</v>
      </c>
      <c r="U15" s="1239">
        <v>97065.82</v>
      </c>
      <c r="V15" s="1239"/>
      <c r="W15" s="1239"/>
      <c r="X15" s="1239"/>
      <c r="Y15" s="1239"/>
      <c r="Z15" s="1239"/>
      <c r="AA15" s="1239"/>
      <c r="AB15" s="1239"/>
      <c r="AC15" s="1239">
        <v>403133937.36000001</v>
      </c>
      <c r="AD15" s="1239">
        <v>0</v>
      </c>
      <c r="AE15" s="1239">
        <v>6022319.1600000001</v>
      </c>
      <c r="AF15" s="1239">
        <v>397111618.19999999</v>
      </c>
      <c r="AG15" s="1239">
        <v>4092</v>
      </c>
      <c r="AH15" s="1239">
        <v>97045.849999999991</v>
      </c>
      <c r="AI15">
        <v>300</v>
      </c>
      <c r="AJ15">
        <v>0</v>
      </c>
      <c r="AK15">
        <v>0</v>
      </c>
      <c r="AL15">
        <v>300</v>
      </c>
      <c r="AM15">
        <v>2</v>
      </c>
      <c r="AN15">
        <v>150</v>
      </c>
      <c r="AO15" s="1239">
        <v>8062678870.8800001</v>
      </c>
      <c r="AP15" s="1239">
        <v>7942231678.1999998</v>
      </c>
      <c r="AQ15" s="1239">
        <v>120447192.68000031</v>
      </c>
      <c r="AR15" s="1239">
        <v>1</v>
      </c>
      <c r="AS15" s="1239">
        <v>7545120320.2400007</v>
      </c>
      <c r="AT15" s="1239">
        <v>423.66149974614382</v>
      </c>
      <c r="AU15" s="1239">
        <v>7942231678.1999998</v>
      </c>
      <c r="AV15" s="1239">
        <v>0.05</v>
      </c>
      <c r="AW15" s="1239">
        <v>0.05</v>
      </c>
      <c r="AX15" s="1239">
        <v>7942231678.1999998</v>
      </c>
      <c r="AY15" s="1239">
        <v>397111583.91000003</v>
      </c>
      <c r="AZ15" s="1239">
        <v>7942231678.1999998</v>
      </c>
      <c r="BA15" s="1239">
        <v>397111583.91000003</v>
      </c>
      <c r="BB15" s="1239">
        <v>7545120094.29</v>
      </c>
      <c r="BC15" s="1239">
        <v>120447192.68000031</v>
      </c>
      <c r="BD15" s="1239">
        <v>7659544933.5200005</v>
      </c>
      <c r="BE15" s="1239">
        <v>397111583.91000003</v>
      </c>
      <c r="BF15" s="1239">
        <v>114424839.2300005</v>
      </c>
      <c r="BG15" s="1239"/>
      <c r="BH15" s="1239">
        <v>77732</v>
      </c>
      <c r="BI15" s="1239">
        <v>1472.04</v>
      </c>
      <c r="BJ15" s="1239">
        <v>114424613.28</v>
      </c>
      <c r="BK15" s="1239">
        <v>225.95000049471855</v>
      </c>
      <c r="BL15" s="1239"/>
      <c r="BM15" s="1239"/>
      <c r="BN15" s="1239"/>
      <c r="BO15" s="1239"/>
      <c r="BP15" s="1239">
        <v>120447192.68000031</v>
      </c>
      <c r="BQ15" s="1239">
        <v>114424613.28</v>
      </c>
      <c r="BR15" s="1239">
        <v>6022353.4499998093</v>
      </c>
      <c r="BS15" s="1239">
        <v>4092</v>
      </c>
      <c r="BT15" s="1239">
        <v>1471.73</v>
      </c>
      <c r="BU15" s="1239">
        <v>6022319.1600000001</v>
      </c>
      <c r="BV15" s="1239">
        <v>34.289999809116125</v>
      </c>
      <c r="BW15" s="1239">
        <v>77732</v>
      </c>
      <c r="BX15" s="1239">
        <v>98537.86</v>
      </c>
      <c r="BY15" s="1239">
        <v>45653</v>
      </c>
      <c r="BZ15" s="1239">
        <v>45684</v>
      </c>
      <c r="CA15" s="1239">
        <v>31</v>
      </c>
      <c r="CB15" s="1239">
        <v>6.0000000000000001E-3</v>
      </c>
      <c r="CC15" s="1239">
        <v>50.21</v>
      </c>
      <c r="CD15" s="1239">
        <v>3902923.72</v>
      </c>
      <c r="CE15" s="1239"/>
      <c r="CF15" s="1239"/>
      <c r="CG15" s="1239"/>
      <c r="CH15" s="1239"/>
      <c r="CI15" s="1239"/>
      <c r="CJ15" s="1239"/>
      <c r="CK15" s="1239"/>
      <c r="CL15" s="1239"/>
      <c r="CM15" s="1239">
        <v>4092</v>
      </c>
      <c r="CN15" s="1239">
        <v>98517.58</v>
      </c>
      <c r="CO15" s="1239">
        <v>45653</v>
      </c>
      <c r="CP15" s="1239">
        <v>45684</v>
      </c>
      <c r="CQ15" s="1239">
        <v>31</v>
      </c>
      <c r="CR15" s="1239">
        <v>1.4999999999999999E-2</v>
      </c>
      <c r="CS15" s="1239">
        <v>125.51</v>
      </c>
      <c r="CT15" s="1239">
        <v>513586.92000000004</v>
      </c>
      <c r="CU15" s="1239">
        <v>7659544933.5200005</v>
      </c>
      <c r="CV15">
        <v>5.0000000000000001E-3</v>
      </c>
      <c r="CW15">
        <v>500000</v>
      </c>
      <c r="CX15" t="s">
        <v>1073</v>
      </c>
      <c r="CY15" t="s">
        <v>1072</v>
      </c>
      <c r="CZ15">
        <v>38297724.670000002</v>
      </c>
      <c r="DA15">
        <v>38573797.640000001</v>
      </c>
      <c r="DB15">
        <v>38573797.640000001</v>
      </c>
      <c r="DC15">
        <v>-276072.96999999881</v>
      </c>
    </row>
    <row r="16" spans="1:112">
      <c r="A16" s="1238">
        <v>45644</v>
      </c>
      <c r="B16" s="1238">
        <v>45653</v>
      </c>
      <c r="C16" s="1238">
        <v>45626</v>
      </c>
      <c r="D16">
        <v>0</v>
      </c>
      <c r="E16" s="1239">
        <v>8182368484.4700003</v>
      </c>
      <c r="F16">
        <v>259157.33</v>
      </c>
      <c r="G16">
        <v>324542.19</v>
      </c>
      <c r="H16">
        <v>-558.57000000000005</v>
      </c>
      <c r="I16">
        <v>353.2399999999999</v>
      </c>
      <c r="J16">
        <v>58121049.329999924</v>
      </c>
      <c r="K16">
        <v>62148473.950000137</v>
      </c>
      <c r="L16">
        <v>68164591.890000135</v>
      </c>
      <c r="M16">
        <v>6016117.9400000004</v>
      </c>
      <c r="N16">
        <v>0</v>
      </c>
      <c r="O16" s="1239">
        <v>7714759527.7600002</v>
      </c>
      <c r="P16" s="1239">
        <v>0</v>
      </c>
      <c r="Q16" s="1239">
        <v>55214594.240000002</v>
      </c>
      <c r="R16" s="1239">
        <v>7659544933.5200005</v>
      </c>
      <c r="S16" s="1239">
        <v>77732</v>
      </c>
      <c r="T16" s="1239">
        <v>710.32</v>
      </c>
      <c r="U16" s="1239">
        <v>98537.86</v>
      </c>
      <c r="V16" s="1239"/>
      <c r="W16" s="1239"/>
      <c r="X16" s="1239"/>
      <c r="Y16" s="1239"/>
      <c r="Z16" s="1239"/>
      <c r="AA16" s="1239"/>
      <c r="AB16" s="1239"/>
      <c r="AC16" s="1239">
        <v>406039953</v>
      </c>
      <c r="AD16" s="1239">
        <v>0</v>
      </c>
      <c r="AE16" s="1239">
        <v>2906015.6399999997</v>
      </c>
      <c r="AF16" s="1239">
        <v>403133937.36000001</v>
      </c>
      <c r="AG16" s="1239">
        <v>4092</v>
      </c>
      <c r="AH16" s="1239">
        <v>98517.58</v>
      </c>
      <c r="AI16">
        <v>300</v>
      </c>
      <c r="AJ16">
        <v>0</v>
      </c>
      <c r="AK16">
        <v>0</v>
      </c>
      <c r="AL16">
        <v>300</v>
      </c>
      <c r="AM16">
        <v>2</v>
      </c>
      <c r="AN16">
        <v>150</v>
      </c>
      <c r="AO16" s="1239">
        <v>8120799480.7600002</v>
      </c>
      <c r="AP16" s="1239">
        <v>8062678431.4300003</v>
      </c>
      <c r="AQ16" s="1239">
        <v>58121049.329999924</v>
      </c>
      <c r="AR16" s="1239">
        <v>1</v>
      </c>
      <c r="AS16" s="1239">
        <v>7659544933.5200005</v>
      </c>
      <c r="AT16" s="1239">
        <v>542.6830003336072</v>
      </c>
      <c r="AU16" s="1239">
        <v>8062678431.4300003</v>
      </c>
      <c r="AV16" s="1239">
        <v>0.05</v>
      </c>
      <c r="AW16" s="1239">
        <v>0.05</v>
      </c>
      <c r="AX16" s="1239">
        <v>8062678431.4300003</v>
      </c>
      <c r="AY16" s="1239">
        <v>403133921.57150006</v>
      </c>
      <c r="AZ16" s="1239">
        <v>8062678431.4300003</v>
      </c>
      <c r="BA16" s="1239">
        <v>403133921.57150006</v>
      </c>
      <c r="BB16" s="1239">
        <v>7659544509.8585005</v>
      </c>
      <c r="BC16" s="1239">
        <v>58121049.329999924</v>
      </c>
      <c r="BD16" s="1239">
        <v>7714759527.7600002</v>
      </c>
      <c r="BE16" s="1239">
        <v>403133921.57150006</v>
      </c>
      <c r="BF16" s="1239">
        <v>55215017.901499748</v>
      </c>
      <c r="BG16" s="1239"/>
      <c r="BH16" s="1239">
        <v>77732</v>
      </c>
      <c r="BI16" s="1239">
        <v>710.32</v>
      </c>
      <c r="BJ16" s="1239">
        <v>55214594.240000002</v>
      </c>
      <c r="BK16" s="1239">
        <v>423.66149974614382</v>
      </c>
      <c r="BL16" s="1239"/>
      <c r="BM16" s="1239"/>
      <c r="BN16" s="1239"/>
      <c r="BO16" s="1239"/>
      <c r="BP16" s="1239">
        <v>58121049.329999924</v>
      </c>
      <c r="BQ16" s="1239">
        <v>55214594.240000002</v>
      </c>
      <c r="BR16" s="1239">
        <v>2906031.4285001755</v>
      </c>
      <c r="BS16" s="1239">
        <v>4092</v>
      </c>
      <c r="BT16" s="1239">
        <v>710.17</v>
      </c>
      <c r="BU16" s="1239">
        <v>2906015.6399999997</v>
      </c>
      <c r="BV16" s="1239">
        <v>15.78850017581135</v>
      </c>
      <c r="BW16" s="1239">
        <v>77732</v>
      </c>
      <c r="BX16" s="1239">
        <v>99248.180000000008</v>
      </c>
      <c r="BY16" s="1239">
        <v>45623</v>
      </c>
      <c r="BZ16" s="1239">
        <v>45653</v>
      </c>
      <c r="CA16" s="1239">
        <v>30</v>
      </c>
      <c r="CB16" s="1239">
        <v>6.0000000000000001E-3</v>
      </c>
      <c r="CC16" s="1239">
        <v>48.94</v>
      </c>
      <c r="CD16" s="1239">
        <v>3804204.0799999996</v>
      </c>
      <c r="CE16" s="1239"/>
      <c r="CF16" s="1239"/>
      <c r="CG16" s="1239"/>
      <c r="CH16" s="1239"/>
      <c r="CI16" s="1239"/>
      <c r="CJ16" s="1239"/>
      <c r="CK16" s="1239"/>
      <c r="CL16" s="1239"/>
      <c r="CM16" s="1239">
        <v>4092</v>
      </c>
      <c r="CN16" s="1239">
        <v>99227.75</v>
      </c>
      <c r="CO16" s="1239">
        <v>45623</v>
      </c>
      <c r="CP16" s="1239">
        <v>45653</v>
      </c>
      <c r="CQ16" s="1239">
        <v>30</v>
      </c>
      <c r="CR16" s="1239">
        <v>1.4999999999999999E-2</v>
      </c>
      <c r="CS16" s="1239">
        <v>122.34</v>
      </c>
      <c r="CT16" s="1239">
        <v>500615.28</v>
      </c>
      <c r="CU16" s="1239">
        <v>7714759527.7600002</v>
      </c>
      <c r="CV16">
        <v>5.0000000000000001E-3</v>
      </c>
      <c r="CW16">
        <v>500000</v>
      </c>
      <c r="CX16" t="s">
        <v>1073</v>
      </c>
      <c r="CY16" t="s">
        <v>1072</v>
      </c>
      <c r="CZ16">
        <v>38573797.640000001</v>
      </c>
      <c r="DA16">
        <v>38866000</v>
      </c>
      <c r="DB16">
        <v>38866000</v>
      </c>
      <c r="DC16">
        <v>-292202.3599999994</v>
      </c>
    </row>
    <row r="17" spans="1:107">
      <c r="A17" s="1238">
        <v>45616</v>
      </c>
      <c r="B17" s="1238">
        <v>45623</v>
      </c>
      <c r="C17" s="1238">
        <v>45596</v>
      </c>
      <c r="D17">
        <v>0</v>
      </c>
      <c r="E17" s="1239">
        <v>8182368484.4700003</v>
      </c>
      <c r="F17">
        <v>65384.86</v>
      </c>
      <c r="G17">
        <v>65384.86</v>
      </c>
      <c r="H17">
        <v>911.81</v>
      </c>
      <c r="I17">
        <v>911.81</v>
      </c>
      <c r="J17">
        <v>61601068.340000153</v>
      </c>
      <c r="K17">
        <v>65347050.329999737</v>
      </c>
      <c r="L17">
        <v>72163327.339999735</v>
      </c>
      <c r="M17">
        <v>6816277.0100000007</v>
      </c>
      <c r="N17">
        <v>0</v>
      </c>
      <c r="O17" s="1239">
        <v>7773200000</v>
      </c>
      <c r="P17" s="1239">
        <v>0</v>
      </c>
      <c r="Q17" s="1239">
        <v>58440472.240000002</v>
      </c>
      <c r="R17" s="1239">
        <v>7714759527.7600002</v>
      </c>
      <c r="S17" s="1239">
        <v>77732</v>
      </c>
      <c r="T17" s="1239">
        <v>751.82</v>
      </c>
      <c r="U17" s="1239">
        <v>99248.180000000008</v>
      </c>
      <c r="V17" s="1239"/>
      <c r="W17" s="1239"/>
      <c r="X17" s="1239"/>
      <c r="Y17" s="1239"/>
      <c r="Z17" s="1239"/>
      <c r="AA17" s="1239"/>
      <c r="AB17" s="1239"/>
      <c r="AC17" s="1239">
        <v>409200000</v>
      </c>
      <c r="AD17" s="1239">
        <v>0</v>
      </c>
      <c r="AE17" s="1239">
        <v>3160047</v>
      </c>
      <c r="AF17" s="1239">
        <v>406039953</v>
      </c>
      <c r="AG17" s="1239">
        <v>4092</v>
      </c>
      <c r="AH17" s="1239">
        <v>99227.75</v>
      </c>
      <c r="AI17">
        <v>300</v>
      </c>
      <c r="AJ17">
        <v>0</v>
      </c>
      <c r="AK17">
        <v>0</v>
      </c>
      <c r="AL17">
        <v>300</v>
      </c>
      <c r="AM17">
        <v>2</v>
      </c>
      <c r="AN17">
        <v>150</v>
      </c>
      <c r="AO17" s="1239">
        <v>8182400000</v>
      </c>
      <c r="AP17" s="1239">
        <v>8120798931.6599998</v>
      </c>
      <c r="AQ17" s="1239">
        <v>61601068.340000153</v>
      </c>
      <c r="AR17" s="1239">
        <v>1</v>
      </c>
      <c r="AS17" s="1239">
        <v>7714759527.7600002</v>
      </c>
      <c r="AT17" s="1239">
        <v>0</v>
      </c>
      <c r="AU17" s="1239">
        <v>8120798931.6599998</v>
      </c>
      <c r="AV17" s="1239">
        <v>0.05</v>
      </c>
      <c r="AW17" s="1239">
        <v>0.05</v>
      </c>
      <c r="AX17" s="1239">
        <v>8120798931.6599998</v>
      </c>
      <c r="AY17" s="1239">
        <v>406039946.583</v>
      </c>
      <c r="AZ17" s="1239">
        <v>8120798931.6599998</v>
      </c>
      <c r="BA17" s="1239">
        <v>406039946.583</v>
      </c>
      <c r="BB17" s="1239">
        <v>7714758985.0769997</v>
      </c>
      <c r="BC17" s="1239">
        <v>61601068.340000153</v>
      </c>
      <c r="BD17" s="1239">
        <v>7773200000</v>
      </c>
      <c r="BE17" s="1239">
        <v>406039946.583</v>
      </c>
      <c r="BF17" s="1239">
        <v>58441014.923000336</v>
      </c>
      <c r="BG17" s="1239"/>
      <c r="BH17" s="1239">
        <v>77732</v>
      </c>
      <c r="BI17" s="1239">
        <v>751.82</v>
      </c>
      <c r="BJ17" s="1239">
        <v>58440472.240000002</v>
      </c>
      <c r="BK17" s="1239">
        <v>542.6830003336072</v>
      </c>
      <c r="BL17" s="1239"/>
      <c r="BM17" s="1239"/>
      <c r="BN17" s="1239"/>
      <c r="BO17" s="1239"/>
      <c r="BP17" s="1239">
        <v>61601068.340000153</v>
      </c>
      <c r="BQ17" s="1239">
        <v>58440472.240000002</v>
      </c>
      <c r="BR17" s="1239">
        <v>3160053.4169998169</v>
      </c>
      <c r="BS17" s="1239">
        <v>4092</v>
      </c>
      <c r="BT17" s="1239">
        <v>772.25</v>
      </c>
      <c r="BU17" s="1239">
        <v>3160047</v>
      </c>
      <c r="BV17" s="1239">
        <v>6.4169998168945313</v>
      </c>
      <c r="BW17" s="1239">
        <v>77732</v>
      </c>
      <c r="BX17" s="1239">
        <v>100000</v>
      </c>
      <c r="BY17" s="1239">
        <v>45588</v>
      </c>
      <c r="BZ17" s="1239">
        <v>45623</v>
      </c>
      <c r="CA17" s="1239">
        <v>35</v>
      </c>
      <c r="CB17" s="1239">
        <v>6.0000000000000001E-3</v>
      </c>
      <c r="CC17" s="1239">
        <v>57.53</v>
      </c>
      <c r="CD17" s="1239">
        <v>4471921.96</v>
      </c>
      <c r="CE17" s="1239"/>
      <c r="CF17" s="1239"/>
      <c r="CG17" s="1239"/>
      <c r="CH17" s="1239"/>
      <c r="CI17" s="1239"/>
      <c r="CJ17" s="1239"/>
      <c r="CK17" s="1239"/>
      <c r="CL17" s="1239"/>
      <c r="CM17" s="1239">
        <v>4092</v>
      </c>
      <c r="CN17" s="1239">
        <v>100000</v>
      </c>
      <c r="CO17" s="1239">
        <v>45588</v>
      </c>
      <c r="CP17" s="1239">
        <v>45623</v>
      </c>
      <c r="CQ17" s="1239">
        <v>35</v>
      </c>
      <c r="CR17" s="1239">
        <v>1.4999999999999999E-2</v>
      </c>
      <c r="CS17" s="1239">
        <v>143.84</v>
      </c>
      <c r="CT17" s="1239">
        <v>588593.28</v>
      </c>
      <c r="CU17" s="1239">
        <v>7773200000</v>
      </c>
      <c r="CV17">
        <v>5.0000000000000001E-3</v>
      </c>
      <c r="CW17">
        <v>500000</v>
      </c>
      <c r="CX17" t="s">
        <v>1073</v>
      </c>
      <c r="CY17" t="s">
        <v>1072</v>
      </c>
      <c r="CZ17">
        <v>38866000</v>
      </c>
      <c r="DA17">
        <v>38866000</v>
      </c>
      <c r="DB17">
        <v>38866000</v>
      </c>
      <c r="DC17">
        <v>0</v>
      </c>
    </row>
    <row r="18" spans="1:107">
      <c r="A18" s="1238">
        <v>45588</v>
      </c>
      <c r="B18" s="1238">
        <v>45588</v>
      </c>
      <c r="C18" s="1238">
        <v>45565</v>
      </c>
      <c r="D18">
        <v>8182368484.4700003</v>
      </c>
      <c r="E18" s="1239">
        <v>8182368484.4700003</v>
      </c>
      <c r="F18">
        <v>0</v>
      </c>
      <c r="G18">
        <v>0</v>
      </c>
      <c r="H18">
        <v>0</v>
      </c>
      <c r="I18">
        <v>0</v>
      </c>
      <c r="J18">
        <v>0</v>
      </c>
      <c r="K18">
        <v>0</v>
      </c>
      <c r="L18">
        <v>0</v>
      </c>
      <c r="M18">
        <v>0</v>
      </c>
      <c r="N18">
        <v>0</v>
      </c>
      <c r="O18" s="1239">
        <v>0</v>
      </c>
      <c r="P18" s="1239">
        <v>7773200000</v>
      </c>
      <c r="Q18" s="1239">
        <v>0</v>
      </c>
      <c r="R18" s="1239">
        <v>7773200000</v>
      </c>
      <c r="S18" s="1239">
        <v>77732</v>
      </c>
      <c r="T18" s="1239">
        <v>0</v>
      </c>
      <c r="U18" s="1239">
        <v>100000</v>
      </c>
      <c r="V18" s="1239"/>
      <c r="W18" s="1239"/>
      <c r="X18" s="1239"/>
      <c r="Y18" s="1239"/>
      <c r="Z18" s="1239"/>
      <c r="AA18" s="1239"/>
      <c r="AB18" s="1239"/>
      <c r="AC18" s="1239">
        <v>0</v>
      </c>
      <c r="AD18" s="1239">
        <v>409200000</v>
      </c>
      <c r="AE18" s="1239">
        <v>0</v>
      </c>
      <c r="AF18" s="1239">
        <v>409200000</v>
      </c>
      <c r="AG18" s="1239">
        <v>4092</v>
      </c>
      <c r="AH18" s="1239">
        <v>100000</v>
      </c>
      <c r="AI18">
        <v>0</v>
      </c>
      <c r="AJ18">
        <v>300</v>
      </c>
      <c r="AK18">
        <v>0</v>
      </c>
      <c r="AL18">
        <v>300</v>
      </c>
      <c r="AM18">
        <v>2</v>
      </c>
      <c r="AN18">
        <v>150</v>
      </c>
      <c r="AO18" s="1239">
        <v>0</v>
      </c>
      <c r="AP18" s="1239">
        <v>0</v>
      </c>
      <c r="AQ18" s="1239">
        <v>0</v>
      </c>
      <c r="AR18" s="1239">
        <v>0</v>
      </c>
      <c r="AS18" s="1239">
        <v>0</v>
      </c>
      <c r="AT18" s="1239">
        <v>0</v>
      </c>
      <c r="AU18" s="1239">
        <v>0</v>
      </c>
      <c r="AV18" s="1239">
        <v>0</v>
      </c>
      <c r="AW18" s="1239">
        <v>0</v>
      </c>
      <c r="AX18" s="1239">
        <v>0</v>
      </c>
      <c r="AY18" s="1239">
        <v>0</v>
      </c>
      <c r="AZ18" s="1239">
        <v>0</v>
      </c>
      <c r="BA18" s="1239">
        <v>0</v>
      </c>
      <c r="BB18" s="1239">
        <v>0</v>
      </c>
      <c r="BC18" s="1239">
        <v>0</v>
      </c>
      <c r="BD18" s="1239">
        <v>0</v>
      </c>
      <c r="BE18" s="1239">
        <v>0</v>
      </c>
      <c r="BF18" s="1239">
        <v>0</v>
      </c>
      <c r="BG18" s="1239"/>
      <c r="BH18" s="1239">
        <v>0</v>
      </c>
      <c r="BI18" s="1239">
        <v>0</v>
      </c>
      <c r="BJ18" s="1239">
        <v>0</v>
      </c>
      <c r="BK18" s="1239">
        <v>0</v>
      </c>
      <c r="BL18" s="1239"/>
      <c r="BM18" s="1239"/>
      <c r="BN18" s="1239"/>
      <c r="BO18" s="1239"/>
      <c r="BP18" s="1239">
        <v>0</v>
      </c>
      <c r="BQ18" s="1239">
        <v>0</v>
      </c>
      <c r="BR18" s="1239">
        <v>0</v>
      </c>
      <c r="BS18" s="1239">
        <v>0</v>
      </c>
      <c r="BT18" s="1239">
        <v>0</v>
      </c>
      <c r="BU18" s="1239">
        <v>0</v>
      </c>
      <c r="BV18" s="1239">
        <v>0</v>
      </c>
      <c r="BW18" s="1239"/>
      <c r="BX18" s="1239"/>
      <c r="BY18" s="1239"/>
      <c r="BZ18" s="1239"/>
      <c r="CA18" s="1239"/>
      <c r="CB18" s="1239"/>
      <c r="CC18" s="1239"/>
      <c r="CD18" s="1239"/>
      <c r="CE18" s="1239"/>
      <c r="CF18" s="1239"/>
      <c r="CG18" s="1239"/>
      <c r="CH18" s="1239"/>
      <c r="CI18" s="1239"/>
      <c r="CJ18" s="1239"/>
      <c r="CK18" s="1239"/>
      <c r="CL18" s="1239"/>
      <c r="CM18" s="1239"/>
      <c r="CN18" s="1239"/>
      <c r="CO18" s="1239"/>
      <c r="CP18" s="1239"/>
      <c r="CQ18" s="1239"/>
      <c r="CR18" s="1239"/>
      <c r="CS18" s="1239"/>
      <c r="CT18" s="1239"/>
      <c r="CU18" s="1239">
        <v>7773200000</v>
      </c>
      <c r="CV18">
        <v>5.0000000000000001E-3</v>
      </c>
      <c r="CW18">
        <v>500000</v>
      </c>
      <c r="CX18" t="s">
        <v>1073</v>
      </c>
      <c r="CY18" t="s">
        <v>1072</v>
      </c>
      <c r="CZ18">
        <v>38866000</v>
      </c>
      <c r="DA18">
        <v>0</v>
      </c>
      <c r="DB18">
        <v>0</v>
      </c>
      <c r="DC18">
        <v>38866000</v>
      </c>
    </row>
  </sheetData>
  <mergeCells count="21">
    <mergeCell ref="CM1:CT1"/>
    <mergeCell ref="CU1:DC1"/>
    <mergeCell ref="DD1:DG1"/>
    <mergeCell ref="AZ1:BB1"/>
    <mergeCell ref="BC1:BF1"/>
    <mergeCell ref="BH1:BK1"/>
    <mergeCell ref="BP1:BR1"/>
    <mergeCell ref="BS1:BV1"/>
    <mergeCell ref="BW1:CD1"/>
    <mergeCell ref="BL1:BO1"/>
    <mergeCell ref="CE1:CL1"/>
    <mergeCell ref="AW1:AY1"/>
    <mergeCell ref="A1:C1"/>
    <mergeCell ref="D1:I1"/>
    <mergeCell ref="J1:N1"/>
    <mergeCell ref="O1:U1"/>
    <mergeCell ref="AC1:AH1"/>
    <mergeCell ref="AI1:AN1"/>
    <mergeCell ref="AO1:AQ1"/>
    <mergeCell ref="AR1:AV1"/>
    <mergeCell ref="V1:AB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0"/>
  <sheetViews>
    <sheetView showGridLines="0" view="pageBreakPreview" zoomScale="85" zoomScaleNormal="80" zoomScaleSheetLayoutView="85" workbookViewId="0"/>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497"/>
      <c r="B1" s="497"/>
      <c r="C1" s="497"/>
    </row>
    <row r="2" spans="1:7" ht="50.1" customHeight="1">
      <c r="A2" s="2070" t="s">
        <v>204</v>
      </c>
      <c r="B2" s="2070"/>
      <c r="C2" s="2070"/>
      <c r="D2" s="2070"/>
      <c r="E2" s="2070"/>
      <c r="F2" s="2070"/>
      <c r="G2" s="2070"/>
    </row>
    <row r="3" spans="1:7" ht="50.1" customHeight="1">
      <c r="A3" s="2071"/>
      <c r="B3" s="2071"/>
      <c r="C3" s="2071"/>
      <c r="D3" s="2071"/>
      <c r="E3" s="2071"/>
      <c r="F3" s="2071"/>
      <c r="G3" s="2071"/>
    </row>
    <row r="4" spans="1:7" ht="50.1" customHeight="1">
      <c r="A4" s="2072"/>
      <c r="B4" s="2072"/>
      <c r="C4" s="2072"/>
      <c r="D4" s="2072"/>
      <c r="E4" s="2072"/>
      <c r="F4" s="2072"/>
      <c r="G4" s="2072"/>
    </row>
    <row r="5" spans="1:7" ht="50.1" customHeight="1">
      <c r="A5" s="2069" t="s">
        <v>1311</v>
      </c>
      <c r="B5" s="2069"/>
      <c r="C5" s="2069"/>
      <c r="D5" s="2069"/>
      <c r="E5" s="2069"/>
      <c r="F5" s="2069"/>
      <c r="G5" s="2069"/>
    </row>
    <row r="6" spans="1:7" ht="50.1" customHeight="1">
      <c r="A6" s="2069" t="s">
        <v>2064</v>
      </c>
      <c r="B6" s="2069"/>
      <c r="C6" s="2069"/>
      <c r="D6" s="2069"/>
      <c r="E6" s="2069"/>
      <c r="F6" s="2069"/>
      <c r="G6" s="2069"/>
    </row>
    <row r="7" spans="1:7" ht="50.1" customHeight="1">
      <c r="A7" s="2069" t="s">
        <v>2065</v>
      </c>
      <c r="B7" s="2069"/>
      <c r="C7" s="2069"/>
      <c r="D7" s="2069"/>
      <c r="E7" s="2069"/>
      <c r="F7" s="2069"/>
      <c r="G7" s="2069"/>
    </row>
    <row r="8" spans="1:7" ht="42" customHeight="1">
      <c r="A8" s="2069"/>
      <c r="B8" s="2069"/>
      <c r="C8" s="2069"/>
    </row>
    <row r="9" spans="1:7" ht="26.25">
      <c r="A9" s="498"/>
      <c r="B9" s="499" t="s">
        <v>205</v>
      </c>
      <c r="C9" s="1184" t="s">
        <v>1068</v>
      </c>
    </row>
    <row r="10" spans="1:7" ht="26.25">
      <c r="A10" s="498"/>
      <c r="B10" s="500"/>
      <c r="C10" s="1523"/>
    </row>
    <row r="11" spans="1:7" ht="20.25">
      <c r="A11" s="497"/>
      <c r="B11" s="499" t="s">
        <v>206</v>
      </c>
      <c r="C11" s="501">
        <f>'00 - Cover'!F13</f>
        <v>45588</v>
      </c>
    </row>
    <row r="12" spans="1:7" ht="20.25">
      <c r="A12" s="497"/>
      <c r="B12" s="499" t="s">
        <v>207</v>
      </c>
      <c r="C12" s="501">
        <f>C11</f>
        <v>45588</v>
      </c>
    </row>
    <row r="13" spans="1:7" ht="20.25">
      <c r="A13" s="497"/>
      <c r="B13" s="499" t="s">
        <v>208</v>
      </c>
      <c r="C13" s="501">
        <v>45565</v>
      </c>
    </row>
    <row r="14" spans="1:7" ht="20.25">
      <c r="A14" s="497"/>
      <c r="B14" s="499" t="s">
        <v>209</v>
      </c>
      <c r="C14" s="501">
        <v>59471</v>
      </c>
    </row>
    <row r="15" spans="1:7" ht="20.25">
      <c r="A15" s="497"/>
      <c r="B15" s="499" t="s">
        <v>213</v>
      </c>
      <c r="C15" s="501">
        <f>'00 - Cover'!F20</f>
        <v>46049</v>
      </c>
    </row>
    <row r="16" spans="1:7" ht="20.25">
      <c r="A16" s="497"/>
      <c r="B16" s="499" t="s">
        <v>210</v>
      </c>
      <c r="C16" s="501">
        <f>'00 - Cover'!F16</f>
        <v>46022</v>
      </c>
    </row>
    <row r="17" spans="1:11" ht="20.25" hidden="1">
      <c r="A17" s="497"/>
      <c r="B17" s="499" t="s">
        <v>211</v>
      </c>
      <c r="C17" s="501">
        <f>'00 - Cover'!F18</f>
        <v>46037</v>
      </c>
    </row>
    <row r="18" spans="1:11" ht="20.25" hidden="1">
      <c r="A18" s="497"/>
      <c r="B18" s="499" t="s">
        <v>212</v>
      </c>
      <c r="C18" s="501">
        <f>'00 - Cover'!F19</f>
        <v>46042</v>
      </c>
    </row>
    <row r="19" spans="1:11" ht="20.25" hidden="1">
      <c r="A19" s="497"/>
      <c r="B19" s="499" t="s">
        <v>213</v>
      </c>
      <c r="C19" s="501">
        <f>'00 - Cover'!F20</f>
        <v>46049</v>
      </c>
    </row>
    <row r="20" spans="1:11" ht="15.75">
      <c r="A20" s="497"/>
      <c r="B20" s="502"/>
      <c r="C20" s="500"/>
    </row>
    <row r="23" spans="1:11" ht="15.75">
      <c r="B23" s="13" t="s">
        <v>13</v>
      </c>
      <c r="D23" s="18"/>
      <c r="E23" s="18"/>
      <c r="F23" s="18"/>
      <c r="G23" s="11"/>
    </row>
    <row r="24" spans="1:11" ht="15.75">
      <c r="B24" s="1859" t="s">
        <v>14</v>
      </c>
      <c r="C24" s="31" t="s">
        <v>15</v>
      </c>
      <c r="D24" s="32" t="s">
        <v>1995</v>
      </c>
      <c r="F24" s="33"/>
      <c r="G24" s="11"/>
    </row>
    <row r="25" spans="1:11" ht="15.75">
      <c r="B25" s="1859" t="s">
        <v>13</v>
      </c>
      <c r="C25" s="31" t="s">
        <v>15</v>
      </c>
      <c r="D25" s="1877" t="s">
        <v>1993</v>
      </c>
      <c r="E25" s="1877"/>
      <c r="F25" s="1877"/>
      <c r="G25" s="1877"/>
      <c r="H25" s="1877"/>
      <c r="I25" s="1877"/>
      <c r="J25" s="1877"/>
      <c r="K25" s="1877"/>
    </row>
    <row r="26" spans="1:11" ht="15.75">
      <c r="B26" s="11"/>
      <c r="C26" s="34"/>
      <c r="D26" s="1875" t="s">
        <v>16</v>
      </c>
      <c r="E26" s="1876"/>
      <c r="F26" s="1876"/>
      <c r="G26" s="11"/>
    </row>
    <row r="27" spans="1:11" ht="15.75">
      <c r="B27" s="11"/>
      <c r="C27" s="34"/>
      <c r="D27" s="1877" t="s">
        <v>2105</v>
      </c>
      <c r="E27" s="1877"/>
      <c r="F27" s="1877"/>
      <c r="G27" s="11"/>
    </row>
    <row r="28" spans="1:11" ht="15.75">
      <c r="B28" s="11"/>
      <c r="C28" s="34"/>
      <c r="D28" s="1875" t="s">
        <v>2106</v>
      </c>
      <c r="E28" s="1876"/>
      <c r="G28" s="11"/>
    </row>
    <row r="29" spans="1:11">
      <c r="D29" s="1877" t="s">
        <v>2107</v>
      </c>
      <c r="E29" s="1877" t="s">
        <v>2107</v>
      </c>
      <c r="F29" s="1877"/>
    </row>
    <row r="30" spans="1:11">
      <c r="D30" s="1875" t="s">
        <v>2108</v>
      </c>
      <c r="E30" s="1876" t="s">
        <v>2108</v>
      </c>
    </row>
  </sheetData>
  <mergeCells count="13">
    <mergeCell ref="A8:C8"/>
    <mergeCell ref="A2:G2"/>
    <mergeCell ref="A3:G3"/>
    <mergeCell ref="A4:G4"/>
    <mergeCell ref="A5:G5"/>
    <mergeCell ref="A7:G7"/>
    <mergeCell ref="A6:G6"/>
    <mergeCell ref="D30:E30"/>
    <mergeCell ref="D25:K25"/>
    <mergeCell ref="D26:F26"/>
    <mergeCell ref="D27:F27"/>
    <mergeCell ref="D28:E28"/>
    <mergeCell ref="D29:F29"/>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s>
  <printOptions horizontalCentered="1" verticalCentered="1"/>
  <pageMargins left="0.19685039370078741" right="0.19685039370078741" top="0.19685039370078741" bottom="0.19685039370078741" header="0.19685039370078741" footer="0.19685039370078741"/>
  <pageSetup paperSize="9" scale="69"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zoomScale="85" zoomScaleNormal="100" zoomScaleSheetLayoutView="85" workbookViewId="0"/>
  </sheetViews>
  <sheetFormatPr defaultColWidth="11.42578125" defaultRowHeight="15.75" customHeight="1"/>
  <cols>
    <col min="1" max="1" width="9.140625" style="497" customWidth="1"/>
    <col min="2" max="2" width="43" style="497" customWidth="1"/>
    <col min="3" max="3" width="35.5703125" style="497" customWidth="1"/>
    <col min="4" max="4" width="18.140625" style="497" bestFit="1" customWidth="1"/>
    <col min="5" max="5" width="21.28515625" style="497" bestFit="1" customWidth="1"/>
    <col min="6" max="6" width="4.28515625" style="497" customWidth="1"/>
    <col min="7" max="16384" width="11.42578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875" t="s">
        <v>2106</v>
      </c>
      <c r="D22" s="1876"/>
      <c r="E22" s="511"/>
    </row>
    <row r="23" spans="2:9" ht="14.25" customHeight="1">
      <c r="B23" s="1207"/>
      <c r="C23" s="1875" t="s">
        <v>2108</v>
      </c>
      <c r="D23" s="1876" t="s">
        <v>2108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8"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zoomScale="85" zoomScaleNormal="100" zoomScaleSheetLayoutView="85" workbookViewId="0">
      <selection activeCell="E35" sqref="E35"/>
    </sheetView>
  </sheetViews>
  <sheetFormatPr defaultColWidth="11.42578125" defaultRowHeight="12.75"/>
  <cols>
    <col min="1" max="1" width="2.7109375" style="497" customWidth="1"/>
    <col min="2" max="2" width="1.28515625" style="497" customWidth="1"/>
    <col min="3" max="3" width="31.140625" style="497" customWidth="1"/>
    <col min="4" max="4" width="29.5703125" style="497" customWidth="1"/>
    <col min="5" max="5" width="25" style="497" customWidth="1"/>
    <col min="6" max="6" width="23.85546875" style="497" customWidth="1"/>
    <col min="7" max="7" width="21" style="497" customWidth="1"/>
    <col min="8" max="8" width="20.28515625" style="497" bestFit="1" customWidth="1"/>
    <col min="9" max="9" width="5.85546875" style="497" customWidth="1"/>
    <col min="10" max="16384" width="11.42578125" style="497"/>
  </cols>
  <sheetData>
    <row r="1" spans="2:8" ht="13.5" thickBot="1"/>
    <row r="2" spans="2:8" ht="28.5" thickTop="1">
      <c r="B2" s="530"/>
      <c r="C2" s="531"/>
      <c r="D2" s="532"/>
      <c r="E2" s="533"/>
      <c r="F2" s="533"/>
      <c r="G2" s="534"/>
      <c r="H2" s="535"/>
    </row>
    <row r="3" spans="2:8" ht="14.25">
      <c r="B3" s="536"/>
      <c r="C3" s="537"/>
      <c r="D3" s="538"/>
      <c r="E3" s="539"/>
      <c r="F3" s="539"/>
      <c r="G3" s="540"/>
      <c r="H3" s="541"/>
    </row>
    <row r="4" spans="2:8">
      <c r="B4" s="536"/>
      <c r="C4" s="2082"/>
      <c r="D4" s="2082"/>
      <c r="E4" s="2083"/>
      <c r="F4" s="516"/>
      <c r="G4" s="540"/>
      <c r="H4" s="541"/>
    </row>
    <row r="5" spans="2:8" ht="14.25">
      <c r="B5" s="536"/>
      <c r="C5" s="2082"/>
      <c r="D5" s="2082"/>
      <c r="E5" s="2083"/>
      <c r="F5" s="539"/>
      <c r="G5" s="540"/>
      <c r="H5" s="541"/>
    </row>
    <row r="6" spans="2:8" ht="14.25">
      <c r="B6" s="536"/>
      <c r="C6" s="538"/>
      <c r="D6" s="538"/>
      <c r="E6" s="539"/>
      <c r="F6" s="539"/>
      <c r="G6" s="540"/>
      <c r="H6" s="543"/>
    </row>
    <row r="7" spans="2:8" ht="14.25">
      <c r="B7" s="536"/>
      <c r="C7" s="538"/>
      <c r="D7" s="544"/>
      <c r="E7" s="545"/>
      <c r="F7" s="545"/>
      <c r="G7" s="545"/>
      <c r="H7" s="546"/>
    </row>
    <row r="8" spans="2:8" ht="15.75">
      <c r="B8" s="536"/>
      <c r="C8" s="548"/>
      <c r="D8" s="538"/>
      <c r="E8" s="539"/>
      <c r="F8" s="539"/>
      <c r="G8" s="539"/>
      <c r="H8" s="549"/>
    </row>
    <row r="9" spans="2:8" ht="18">
      <c r="B9" s="536"/>
      <c r="C9" s="1211" t="s">
        <v>637</v>
      </c>
      <c r="D9" s="538"/>
      <c r="E9" s="539"/>
      <c r="F9" s="539"/>
      <c r="G9" s="539"/>
      <c r="H9" s="549"/>
    </row>
    <row r="10" spans="2:8" ht="14.25">
      <c r="B10" s="536"/>
      <c r="D10" s="538"/>
      <c r="E10" s="539"/>
      <c r="F10" s="539"/>
      <c r="G10" s="539"/>
      <c r="H10" s="549"/>
    </row>
    <row r="11" spans="2:8" ht="15">
      <c r="B11" s="536"/>
      <c r="C11" s="2081" t="s">
        <v>237</v>
      </c>
      <c r="D11" s="2081"/>
      <c r="E11" s="539"/>
      <c r="F11" s="539"/>
      <c r="G11" s="539"/>
      <c r="H11" s="549"/>
    </row>
    <row r="12" spans="2:8" ht="15.75">
      <c r="B12" s="536"/>
      <c r="C12" s="550"/>
      <c r="D12" s="538"/>
      <c r="E12" s="2084" t="s">
        <v>238</v>
      </c>
      <c r="F12" s="2084"/>
      <c r="G12" s="539"/>
      <c r="H12" s="549"/>
    </row>
    <row r="13" spans="2:8" ht="14.25">
      <c r="B13" s="536"/>
      <c r="C13" s="1209" t="s">
        <v>239</v>
      </c>
      <c r="D13" s="551" t="s">
        <v>240</v>
      </c>
      <c r="E13" s="552" t="s">
        <v>241</v>
      </c>
      <c r="F13" s="552" t="s">
        <v>242</v>
      </c>
      <c r="G13" s="551" t="s">
        <v>243</v>
      </c>
      <c r="H13" s="549"/>
    </row>
    <row r="14" spans="2:8" ht="14.25">
      <c r="B14" s="536"/>
      <c r="C14" s="553" t="s">
        <v>118</v>
      </c>
      <c r="D14" s="554">
        <f>'11 - Notes Follow-up'!E16+'11 - Notes Follow-up'!M16</f>
        <v>11807200000</v>
      </c>
      <c r="E14" s="554">
        <f>'11 - Notes Follow-up'!D25+'11 - Notes Follow-up'!L25</f>
        <v>10840013622.68</v>
      </c>
      <c r="F14" s="554">
        <f>'11 - Notes Follow-up'!G25+'11 - Notes Follow-up'!O25</f>
        <v>10748510121.440001</v>
      </c>
      <c r="G14" s="555">
        <f>'12 - Notes Interest'!K17+'12 - Notes Interest'!T17</f>
        <v>5167484.04</v>
      </c>
      <c r="H14" s="549"/>
    </row>
    <row r="15" spans="2:8" ht="14.25">
      <c r="B15" s="536"/>
      <c r="C15" s="553" t="s">
        <v>119</v>
      </c>
      <c r="D15" s="554">
        <f>'11 - Notes Follow-up'!U16</f>
        <v>580800000</v>
      </c>
      <c r="E15" s="554">
        <f>'11 - Notes Follow-up'!T25</f>
        <v>570527041.92000008</v>
      </c>
      <c r="F15" s="554">
        <f>'11 - Notes Follow-up'!W25</f>
        <v>565711048.32000005</v>
      </c>
      <c r="G15" s="555">
        <f>'12 - Notes Interest'!AC17</f>
        <v>679942.55999999994</v>
      </c>
      <c r="H15" s="549"/>
    </row>
    <row r="16" spans="2:8" ht="14.25">
      <c r="B16" s="536"/>
      <c r="C16" s="553" t="s">
        <v>155</v>
      </c>
      <c r="D16" s="554">
        <f>'11 - Notes Follow-up'!AB15</f>
        <v>300</v>
      </c>
      <c r="E16" s="554">
        <f>'11 - Notes Follow-up'!AA25</f>
        <v>300</v>
      </c>
      <c r="F16" s="554">
        <f>'11 - Notes Follow-up'!AD25</f>
        <v>300</v>
      </c>
      <c r="G16" s="555">
        <f>'15 - Priority of Payments'!J35</f>
        <v>7094831.7599999327</v>
      </c>
      <c r="H16" s="549"/>
    </row>
    <row r="17" spans="2:9" ht="14.25">
      <c r="B17" s="536"/>
      <c r="C17" s="556" t="s">
        <v>96</v>
      </c>
      <c r="D17" s="557"/>
      <c r="E17" s="557">
        <f>SUM(E14:E16)</f>
        <v>11410540964.6</v>
      </c>
      <c r="F17" s="557">
        <f>SUM(F14:F16)</f>
        <v>11314221469.76</v>
      </c>
      <c r="G17" s="924">
        <f>SUM(G14:G16)</f>
        <v>12942258.359999932</v>
      </c>
      <c r="H17" s="1155"/>
    </row>
    <row r="18" spans="2:9" ht="18">
      <c r="B18" s="536"/>
      <c r="C18" s="558"/>
      <c r="D18" s="575"/>
      <c r="E18" s="575"/>
      <c r="F18" s="560"/>
      <c r="G18" s="561"/>
      <c r="H18" s="562"/>
    </row>
    <row r="19" spans="2:9" ht="14.25">
      <c r="B19" s="536"/>
      <c r="C19" s="2085" t="s">
        <v>244</v>
      </c>
      <c r="D19" s="2085"/>
      <c r="E19" s="552" t="s">
        <v>241</v>
      </c>
      <c r="F19" s="552" t="s">
        <v>242</v>
      </c>
      <c r="G19" s="561"/>
      <c r="H19" s="562"/>
    </row>
    <row r="20" spans="2:9" ht="14.25">
      <c r="B20" s="536"/>
      <c r="C20" s="2080" t="s">
        <v>245</v>
      </c>
      <c r="D20" s="2080"/>
      <c r="E20" s="1394">
        <v>0.05</v>
      </c>
      <c r="F20" s="1394">
        <v>0.05</v>
      </c>
      <c r="G20" s="561"/>
      <c r="H20" s="549"/>
    </row>
    <row r="21" spans="2:9" ht="14.25">
      <c r="B21" s="536"/>
      <c r="C21" s="2080" t="s">
        <v>246</v>
      </c>
      <c r="D21" s="2080"/>
      <c r="E21" s="554">
        <f>'02 - Monthly Asset Follow up'!C17</f>
        <v>11410540020.709999</v>
      </c>
      <c r="F21" s="554">
        <f>'16 - Simplified Balance Sheet'!E14</f>
        <v>11314220550.59</v>
      </c>
      <c r="G21" s="561"/>
      <c r="H21" s="563"/>
      <c r="I21" s="564"/>
    </row>
    <row r="22" spans="2:9" ht="14.25">
      <c r="B22" s="536"/>
      <c r="C22" s="2077" t="s">
        <v>247</v>
      </c>
      <c r="D22" s="2077"/>
      <c r="E22" s="586">
        <f>E20</f>
        <v>0.05</v>
      </c>
      <c r="F22" s="586">
        <f>F20</f>
        <v>0.05</v>
      </c>
      <c r="G22" s="561"/>
      <c r="H22" s="1155"/>
    </row>
    <row r="23" spans="2:9" ht="14.25">
      <c r="B23" s="536"/>
      <c r="C23" s="566" t="s">
        <v>244</v>
      </c>
      <c r="D23" s="565"/>
      <c r="E23" s="557">
        <f>'11bis - Notes Calculation'!P18</f>
        <v>570527001.03549993</v>
      </c>
      <c r="F23" s="557">
        <f>'11bis - Notes Calculation'!P17</f>
        <v>565711027.52950001</v>
      </c>
      <c r="G23" s="581"/>
      <c r="H23" s="549"/>
    </row>
    <row r="24" spans="2:9" ht="18">
      <c r="B24" s="536"/>
      <c r="C24" s="558"/>
      <c r="D24" s="567"/>
      <c r="E24" s="568"/>
      <c r="F24" s="569"/>
      <c r="G24" s="570"/>
      <c r="H24" s="571"/>
    </row>
    <row r="25" spans="2:9" ht="15.75">
      <c r="B25" s="547"/>
      <c r="C25" s="1210" t="s">
        <v>248</v>
      </c>
      <c r="D25" s="538"/>
      <c r="E25" s="539"/>
      <c r="F25" s="539"/>
      <c r="G25" s="539"/>
      <c r="H25" s="549"/>
    </row>
    <row r="26" spans="2:9" ht="15.75">
      <c r="B26" s="536"/>
      <c r="C26" s="550"/>
      <c r="D26" s="538"/>
      <c r="E26" s="539"/>
      <c r="F26" s="539"/>
      <c r="G26" s="539"/>
      <c r="H26" s="549"/>
    </row>
    <row r="27" spans="2:9" ht="14.25">
      <c r="B27" s="536"/>
      <c r="C27" s="2074" t="s">
        <v>249</v>
      </c>
      <c r="D27" s="2074"/>
      <c r="E27" s="552" t="s">
        <v>241</v>
      </c>
      <c r="F27" s="1337" t="s">
        <v>242</v>
      </c>
      <c r="G27" s="539"/>
      <c r="H27" s="562"/>
    </row>
    <row r="28" spans="2:9" ht="18.75" customHeight="1">
      <c r="B28" s="536"/>
      <c r="C28" s="2078" t="s">
        <v>250</v>
      </c>
      <c r="D28" s="2078"/>
      <c r="E28" s="1404">
        <f>'07 - Delinquent Home Loans Stat'!D14</f>
        <v>75498</v>
      </c>
      <c r="F28" s="1404">
        <f>'07 - Delinquent Home Loans Stat'!D13</f>
        <v>75171</v>
      </c>
      <c r="G28" s="1185"/>
      <c r="H28" s="562"/>
    </row>
    <row r="29" spans="2:9" ht="27" customHeight="1">
      <c r="B29" s="536"/>
      <c r="C29" s="2075" t="s">
        <v>251</v>
      </c>
      <c r="D29" s="2075"/>
      <c r="E29" s="1594">
        <f>INPUT_DATA!DS5</f>
        <v>1.6775999999999999E-2</v>
      </c>
      <c r="F29" s="1595">
        <f>INPUT_DATA!DS4</f>
        <v>1.6782999999999999E-2</v>
      </c>
      <c r="G29" s="539"/>
      <c r="H29" s="562"/>
    </row>
    <row r="30" spans="2:9" ht="14.25">
      <c r="B30" s="536"/>
      <c r="C30" s="2073" t="s">
        <v>246</v>
      </c>
      <c r="D30" s="2073"/>
      <c r="E30" s="572">
        <f>E21</f>
        <v>11410540020.709999</v>
      </c>
      <c r="F30" s="1338">
        <f>'07 - Delinquent Home Loans Stat'!C13</f>
        <v>11314220550.59</v>
      </c>
      <c r="G30" s="539"/>
      <c r="H30" s="562"/>
    </row>
    <row r="31" spans="2:9" ht="18">
      <c r="B31" s="536"/>
      <c r="C31" s="573"/>
      <c r="D31" s="574"/>
      <c r="E31" s="575"/>
      <c r="F31" s="576"/>
      <c r="G31" s="577"/>
      <c r="H31" s="562"/>
    </row>
    <row r="32" spans="2:9" ht="14.25">
      <c r="B32" s="536"/>
      <c r="C32" s="2079" t="s">
        <v>252</v>
      </c>
      <c r="D32" s="2079"/>
      <c r="E32" s="552" t="s">
        <v>241</v>
      </c>
      <c r="F32" s="552" t="s">
        <v>242</v>
      </c>
      <c r="G32" s="577"/>
      <c r="H32" s="562"/>
    </row>
    <row r="33" spans="2:8" ht="14.25">
      <c r="B33" s="536"/>
      <c r="C33" s="2075" t="s">
        <v>253</v>
      </c>
      <c r="D33" s="2075"/>
      <c r="E33" s="578">
        <f>INPUT_DATA!DP5</f>
        <v>7</v>
      </c>
      <c r="F33" s="578">
        <f>INPUT_DATA!DP4</f>
        <v>7</v>
      </c>
      <c r="G33" s="539"/>
      <c r="H33" s="562"/>
    </row>
    <row r="34" spans="2:8" ht="24.75" customHeight="1">
      <c r="B34" s="536"/>
      <c r="C34" s="2075" t="s">
        <v>254</v>
      </c>
      <c r="D34" s="2075"/>
      <c r="E34" s="578">
        <f>INPUT_DATA!DR5</f>
        <v>66</v>
      </c>
      <c r="F34" s="578">
        <f>E34+F33</f>
        <v>73</v>
      </c>
      <c r="G34" s="539"/>
      <c r="H34" s="562"/>
    </row>
    <row r="35" spans="2:8" ht="27" customHeight="1">
      <c r="B35" s="536"/>
      <c r="C35" s="2075" t="s">
        <v>255</v>
      </c>
      <c r="D35" s="2075"/>
      <c r="E35" s="1403">
        <f>'02 - Monthly Asset Follow up'!BH18</f>
        <v>563823.34</v>
      </c>
      <c r="F35" s="1403">
        <f>'02 - Monthly Asset Follow up'!BH17</f>
        <v>998490.2</v>
      </c>
      <c r="G35" s="539"/>
      <c r="H35" s="562"/>
    </row>
    <row r="36" spans="2:8" ht="46.5" customHeight="1">
      <c r="B36" s="536"/>
      <c r="C36" s="2073" t="s">
        <v>256</v>
      </c>
      <c r="D36" s="2073"/>
      <c r="E36" s="572">
        <f>'08 - Default &amp; Recovery Stat'!F13</f>
        <v>5917603.8900000006</v>
      </c>
      <c r="F36" s="572">
        <f>'08 - Default &amp; Recovery Stat'!F12</f>
        <v>6916094.0900000008</v>
      </c>
      <c r="G36" s="1783"/>
      <c r="H36" s="562"/>
    </row>
    <row r="37" spans="2:8" ht="18">
      <c r="B37" s="536"/>
      <c r="C37" s="579"/>
      <c r="D37" s="559"/>
      <c r="E37" s="575"/>
      <c r="F37" s="580"/>
      <c r="G37" s="581"/>
      <c r="H37" s="562"/>
    </row>
    <row r="38" spans="2:8" ht="14.25">
      <c r="B38" s="536"/>
      <c r="E38" s="552" t="s">
        <v>241</v>
      </c>
      <c r="F38" s="552" t="s">
        <v>242</v>
      </c>
      <c r="G38" s="539"/>
      <c r="H38" s="562"/>
    </row>
    <row r="39" spans="2:8" ht="14.25">
      <c r="B39" s="536"/>
      <c r="C39" s="2074" t="s">
        <v>257</v>
      </c>
      <c r="D39" s="2074"/>
      <c r="E39" s="572">
        <f>'03 - Monthly Collection'!AR14</f>
        <v>100029966.05</v>
      </c>
      <c r="F39" s="572">
        <f>'15 - Priority of Payments'!J11</f>
        <v>102920096.20999999</v>
      </c>
      <c r="G39" s="581"/>
      <c r="H39" s="562"/>
    </row>
    <row r="40" spans="2:8" ht="14.25">
      <c r="B40" s="536"/>
      <c r="C40" s="2074" t="s">
        <v>258</v>
      </c>
      <c r="D40" s="2074"/>
      <c r="E40" s="582">
        <f>'Historical DATA'!DH4</f>
        <v>107147331.03999992</v>
      </c>
      <c r="F40" s="582">
        <f>'15 - Priority of Payments'!J21</f>
        <v>112142835.83000016</v>
      </c>
      <c r="G40" s="561"/>
      <c r="H40" s="562"/>
    </row>
    <row r="41" spans="2:8" ht="15.75">
      <c r="B41" s="536"/>
      <c r="C41" s="2073"/>
      <c r="D41" s="2073"/>
      <c r="E41" s="572"/>
      <c r="F41" s="572"/>
      <c r="G41" s="583"/>
      <c r="H41" s="584"/>
    </row>
    <row r="42" spans="2:8" ht="14.25">
      <c r="B42" s="536"/>
      <c r="C42" s="2074" t="s">
        <v>259</v>
      </c>
      <c r="D42" s="2074"/>
      <c r="E42" s="552" t="s">
        <v>241</v>
      </c>
      <c r="F42" s="552" t="s">
        <v>242</v>
      </c>
      <c r="G42" s="561"/>
      <c r="H42" s="562"/>
    </row>
    <row r="43" spans="2:8" ht="14.25">
      <c r="B43" s="536"/>
      <c r="C43" s="2075" t="s">
        <v>260</v>
      </c>
      <c r="D43" s="2075"/>
      <c r="E43" s="1856">
        <f>'Prepayment Analysis'!G11</f>
        <v>2.50785179838309E-2</v>
      </c>
      <c r="F43" s="1597">
        <f>'Prepayment Analysis'!G10</f>
        <v>2.9761868439498192E-2</v>
      </c>
      <c r="G43" s="561"/>
      <c r="H43" s="562"/>
    </row>
    <row r="44" spans="2:8" ht="14.25">
      <c r="B44" s="536"/>
      <c r="C44" s="585" t="s">
        <v>261</v>
      </c>
      <c r="D44" s="585"/>
      <c r="E44" s="1857">
        <f>'Prepayment Analysis'!H11</f>
        <v>2.5368796083804268E-2</v>
      </c>
      <c r="F44" s="1596">
        <f>'Prepayment Analysis'!H10</f>
        <v>3.0171220906261009E-2</v>
      </c>
      <c r="G44" s="561"/>
      <c r="H44" s="562"/>
    </row>
    <row r="45" spans="2:8" ht="14.25">
      <c r="B45" s="536"/>
      <c r="C45" s="2073" t="s">
        <v>262</v>
      </c>
      <c r="D45" s="2073"/>
      <c r="E45" s="1749">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1.1442286829810874E-3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1.2894652958872377E-3</v>
      </c>
      <c r="G45" s="561"/>
      <c r="H45" s="562"/>
    </row>
    <row r="46" spans="2:8" ht="18.75" thickBot="1">
      <c r="B46" s="587"/>
      <c r="C46" s="2076"/>
      <c r="D46" s="2076"/>
      <c r="E46" s="588"/>
      <c r="F46" s="589"/>
      <c r="G46" s="590"/>
      <c r="H46" s="591"/>
    </row>
    <row r="47" spans="2:8" ht="13.5"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85" zoomScaleNormal="100" zoomScaleSheetLayoutView="85" workbookViewId="0"/>
  </sheetViews>
  <sheetFormatPr defaultColWidth="11.42578125" defaultRowHeight="12.75"/>
  <cols>
    <col min="1" max="1" width="2.42578125" style="592" customWidth="1"/>
    <col min="2" max="2" width="7.85546875" style="592" customWidth="1"/>
    <col min="3" max="3" width="27.7109375" style="592" customWidth="1"/>
    <col min="4" max="4" width="65.28515625" style="592" customWidth="1"/>
    <col min="5" max="5" width="18.85546875" style="592" bestFit="1" customWidth="1"/>
    <col min="6" max="8" width="11.42578125" style="592"/>
    <col min="9" max="9" width="16.42578125" style="592" bestFit="1" customWidth="1"/>
    <col min="10" max="10" width="15.7109375" style="592" customWidth="1"/>
    <col min="11" max="11" width="4.7109375" style="592" customWidth="1"/>
    <col min="12" max="16384" width="11.42578125" style="592"/>
  </cols>
  <sheetData>
    <row r="1" spans="2:10" ht="13.5" thickBot="1"/>
    <row r="2" spans="2:10" ht="28.5" thickTop="1">
      <c r="B2" s="593"/>
      <c r="C2" s="531"/>
      <c r="D2" s="531"/>
      <c r="E2" s="532"/>
      <c r="F2" s="533"/>
      <c r="G2" s="533"/>
      <c r="H2" s="533"/>
      <c r="I2" s="534" t="s">
        <v>232</v>
      </c>
      <c r="J2" s="535">
        <f>'Cover Page'!$C$16</f>
        <v>46022</v>
      </c>
    </row>
    <row r="3" spans="2:10" ht="14.25">
      <c r="B3" s="594"/>
      <c r="D3" s="537"/>
      <c r="E3" s="595"/>
      <c r="F3" s="596"/>
      <c r="G3" s="596"/>
      <c r="H3" s="596"/>
      <c r="I3" s="540" t="s">
        <v>233</v>
      </c>
      <c r="J3" s="541">
        <f>'Cover Page'!$C$17</f>
        <v>46037</v>
      </c>
    </row>
    <row r="4" spans="2:10" ht="23.25">
      <c r="B4" s="594"/>
      <c r="D4" s="2082"/>
      <c r="E4" s="2082"/>
      <c r="F4" s="2083"/>
      <c r="G4" s="542"/>
      <c r="H4" s="516"/>
      <c r="I4" s="540" t="s">
        <v>234</v>
      </c>
      <c r="J4" s="541">
        <f>'Cover Page'!$C$18</f>
        <v>46042</v>
      </c>
    </row>
    <row r="5" spans="2:10" ht="23.25">
      <c r="B5" s="594"/>
      <c r="D5" s="2082"/>
      <c r="E5" s="2082"/>
      <c r="F5" s="2083"/>
      <c r="G5" s="542"/>
      <c r="H5" s="596"/>
      <c r="I5" s="540" t="s">
        <v>235</v>
      </c>
      <c r="J5" s="541">
        <f>'Cover Page'!$C$19</f>
        <v>46049</v>
      </c>
    </row>
    <row r="6" spans="2:10" ht="14.25">
      <c r="B6" s="594"/>
      <c r="D6" s="595"/>
      <c r="E6" s="595"/>
      <c r="F6" s="596"/>
      <c r="G6" s="596"/>
      <c r="H6" s="596"/>
      <c r="I6" s="540" t="s">
        <v>236</v>
      </c>
      <c r="J6" s="543">
        <f>'00 - Cover'!$F$29</f>
        <v>15</v>
      </c>
    </row>
    <row r="7" spans="2:10" ht="14.25">
      <c r="B7" s="597"/>
      <c r="C7" s="598"/>
      <c r="D7" s="598"/>
      <c r="E7" s="598"/>
      <c r="F7" s="599"/>
      <c r="G7" s="599"/>
      <c r="H7" s="599"/>
      <c r="I7" s="599"/>
      <c r="J7" s="600"/>
    </row>
    <row r="8" spans="2:10">
      <c r="B8" s="601"/>
      <c r="J8" s="602"/>
    </row>
    <row r="9" spans="2:10">
      <c r="B9" s="594"/>
      <c r="J9" s="603"/>
    </row>
    <row r="10" spans="2:10">
      <c r="B10" s="594"/>
      <c r="D10" s="607" t="s">
        <v>264</v>
      </c>
      <c r="E10" s="605" t="s">
        <v>265</v>
      </c>
      <c r="J10" s="603"/>
    </row>
    <row r="11" spans="2:10">
      <c r="B11" s="594"/>
      <c r="D11" s="606" t="s">
        <v>266</v>
      </c>
      <c r="E11" s="604" t="str">
        <f>'17 - Events'!F10</f>
        <v>No</v>
      </c>
      <c r="J11" s="603"/>
    </row>
    <row r="12" spans="2:10">
      <c r="B12" s="594"/>
      <c r="D12" s="606" t="s">
        <v>263</v>
      </c>
      <c r="E12" s="604" t="str">
        <f>'17 - Events'!F22</f>
        <v>No</v>
      </c>
      <c r="J12" s="603"/>
    </row>
    <row r="13" spans="2:10">
      <c r="B13" s="594"/>
      <c r="D13" s="608" t="s">
        <v>267</v>
      </c>
      <c r="E13" s="604" t="str">
        <f>'17 - Events'!F47</f>
        <v>No</v>
      </c>
      <c r="J13" s="603"/>
    </row>
    <row r="14" spans="2:10">
      <c r="B14" s="594"/>
      <c r="D14" s="606" t="s">
        <v>268</v>
      </c>
      <c r="E14" s="604" t="str">
        <f>'17 - Events'!F37</f>
        <v>No</v>
      </c>
      <c r="J14" s="603"/>
    </row>
    <row r="15" spans="2:10">
      <c r="B15" s="594"/>
      <c r="J15" s="603"/>
    </row>
    <row r="16" spans="2:10">
      <c r="B16" s="594"/>
      <c r="J16" s="603"/>
    </row>
    <row r="17" spans="2:10" ht="15">
      <c r="B17" s="594"/>
      <c r="C17" s="609" t="s">
        <v>269</v>
      </c>
      <c r="J17" s="603"/>
    </row>
    <row r="18" spans="2:10">
      <c r="B18" s="594"/>
      <c r="J18" s="603"/>
    </row>
    <row r="19" spans="2:10" ht="15">
      <c r="B19" s="594"/>
      <c r="C19" s="2089" t="s">
        <v>1880</v>
      </c>
      <c r="D19" s="2089"/>
      <c r="E19" s="610">
        <f>'09 -Principal Deficiency Amount'!C12</f>
        <v>96320114.010000229</v>
      </c>
      <c r="J19" s="603"/>
    </row>
    <row r="20" spans="2:10" ht="15">
      <c r="B20" s="594"/>
      <c r="C20" s="2089" t="s">
        <v>1881</v>
      </c>
      <c r="D20" s="2089"/>
      <c r="E20" s="610">
        <f>'09 -Principal Deficiency Amount'!D12</f>
        <v>103874945.77000016</v>
      </c>
      <c r="H20" s="605" t="s">
        <v>270</v>
      </c>
      <c r="I20" s="611">
        <f>'09 -Principal Deficiency Amount'!G12</f>
        <v>0</v>
      </c>
      <c r="J20" s="603"/>
    </row>
    <row r="21" spans="2:10" ht="15">
      <c r="B21" s="594"/>
      <c r="C21" s="2090" t="s">
        <v>1882</v>
      </c>
      <c r="D21" s="2090"/>
      <c r="E21" s="610">
        <f>'09 -Principal Deficiency Amount'!E12</f>
        <v>112142835.83000016</v>
      </c>
      <c r="H21" s="605" t="s">
        <v>271</v>
      </c>
      <c r="I21" s="611">
        <f>'09 -Principal Deficiency Amount'!G13</f>
        <v>0</v>
      </c>
      <c r="J21" s="603"/>
    </row>
    <row r="22" spans="2:10" ht="15">
      <c r="B22" s="594"/>
      <c r="C22" s="2087" t="s">
        <v>1883</v>
      </c>
      <c r="D22" s="2088"/>
      <c r="E22" s="610">
        <f>'09 -Principal Deficiency Amount'!F12</f>
        <v>8267890.0599999996</v>
      </c>
      <c r="H22" s="605" t="s">
        <v>272</v>
      </c>
      <c r="I22" s="611">
        <f>'09 -Principal Deficiency Amount'!G14</f>
        <v>0</v>
      </c>
      <c r="J22" s="603"/>
    </row>
    <row r="23" spans="2:10" ht="15">
      <c r="B23" s="594"/>
      <c r="C23" s="2086" t="s">
        <v>1884</v>
      </c>
      <c r="D23" s="2086"/>
      <c r="E23" s="1402">
        <f>'09 -Principal Deficiency Amount'!G12</f>
        <v>0</v>
      </c>
      <c r="H23" s="605" t="s">
        <v>273</v>
      </c>
      <c r="I23" s="611">
        <f>'09 -Principal Deficiency Amount'!G15</f>
        <v>0</v>
      </c>
      <c r="J23" s="603"/>
    </row>
    <row r="24" spans="2:10" ht="15">
      <c r="B24" s="594"/>
      <c r="H24" s="605" t="s">
        <v>274</v>
      </c>
      <c r="I24" s="611">
        <f>'09 -Principal Deficiency Amount'!G16</f>
        <v>0</v>
      </c>
      <c r="J24" s="603"/>
    </row>
    <row r="25" spans="2:10">
      <c r="B25" s="594"/>
      <c r="J25" s="603"/>
    </row>
    <row r="26" spans="2:10">
      <c r="B26" s="594"/>
      <c r="J26" s="603"/>
    </row>
    <row r="27" spans="2:10" ht="13.5" thickBot="1">
      <c r="B27" s="612"/>
      <c r="C27" s="613"/>
      <c r="D27" s="613"/>
      <c r="E27" s="613"/>
      <c r="F27" s="613"/>
      <c r="G27" s="613"/>
      <c r="H27" s="613"/>
      <c r="I27" s="613"/>
      <c r="J27" s="614"/>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heetViews>
  <sheetFormatPr defaultColWidth="11.42578125" defaultRowHeight="12.75"/>
  <cols>
    <col min="1" max="1" width="2.7109375" style="592" customWidth="1"/>
    <col min="2" max="2" width="23.7109375" style="592" customWidth="1"/>
    <col min="3" max="3" width="23.5703125" style="592" customWidth="1"/>
    <col min="4" max="8" width="12.7109375" style="592" customWidth="1"/>
    <col min="9" max="9" width="3.7109375" style="592" customWidth="1"/>
    <col min="10" max="11" width="12.7109375" style="592" customWidth="1"/>
    <col min="12" max="12" width="17.140625" style="592" customWidth="1"/>
    <col min="13" max="13" width="12.7109375" style="592" customWidth="1"/>
    <col min="14" max="14" width="14.7109375" style="592" customWidth="1"/>
    <col min="15" max="15" width="3.7109375" style="592" customWidth="1"/>
    <col min="16" max="16" width="5" style="592" customWidth="1"/>
    <col min="17" max="16384" width="11.42578125" style="592"/>
  </cols>
  <sheetData>
    <row r="1" spans="2:15" ht="13.5" thickBot="1"/>
    <row r="2" spans="2:15" ht="28.5" thickTop="1">
      <c r="B2" s="615"/>
      <c r="C2" s="616"/>
      <c r="D2" s="508"/>
      <c r="E2" s="508"/>
      <c r="F2" s="617"/>
      <c r="G2" s="533"/>
      <c r="H2" s="533"/>
      <c r="I2" s="533"/>
      <c r="J2" s="533"/>
      <c r="K2" s="533"/>
      <c r="L2" s="533"/>
      <c r="M2" s="534"/>
      <c r="N2" s="618"/>
      <c r="O2" s="619"/>
    </row>
    <row r="3" spans="2:15" ht="14.25">
      <c r="B3" s="620"/>
      <c r="C3" s="596"/>
      <c r="D3" s="596"/>
      <c r="E3" s="596"/>
      <c r="G3" s="596"/>
      <c r="H3" s="596"/>
      <c r="I3" s="596"/>
      <c r="J3" s="596"/>
      <c r="K3" s="596"/>
      <c r="M3" s="540"/>
      <c r="N3" s="621"/>
      <c r="O3" s="603"/>
    </row>
    <row r="4" spans="2:15" ht="23.25">
      <c r="B4" s="2103"/>
      <c r="C4" s="2104"/>
      <c r="G4" s="622"/>
      <c r="H4" s="2105"/>
      <c r="I4" s="2105"/>
      <c r="J4" s="622"/>
      <c r="K4" s="516"/>
      <c r="M4" s="540"/>
      <c r="N4" s="621"/>
      <c r="O4" s="603"/>
    </row>
    <row r="5" spans="2:15" ht="14.25">
      <c r="B5" s="2103"/>
      <c r="C5" s="2104"/>
      <c r="G5" s="596"/>
      <c r="H5" s="2105"/>
      <c r="I5" s="2105"/>
      <c r="J5" s="596"/>
      <c r="K5" s="596"/>
      <c r="M5" s="540"/>
      <c r="N5" s="621"/>
      <c r="O5" s="603"/>
    </row>
    <row r="6" spans="2:15" ht="14.25">
      <c r="B6" s="623"/>
      <c r="C6" s="596"/>
      <c r="D6" s="596"/>
      <c r="E6" s="596"/>
      <c r="G6" s="596"/>
      <c r="H6" s="596"/>
      <c r="I6" s="596"/>
      <c r="J6" s="596"/>
      <c r="K6" s="596"/>
      <c r="M6" s="540"/>
      <c r="N6" s="624"/>
      <c r="O6" s="603"/>
    </row>
    <row r="7" spans="2:15" ht="14.25">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75">
      <c r="B11" s="631"/>
      <c r="C11" s="629"/>
      <c r="D11" s="2097" t="s">
        <v>222</v>
      </c>
      <c r="E11" s="2098"/>
      <c r="F11" s="2098"/>
      <c r="G11" s="2099"/>
      <c r="H11" s="632"/>
      <c r="I11" s="633"/>
      <c r="J11" s="2097" t="s">
        <v>275</v>
      </c>
      <c r="K11" s="2098"/>
      <c r="L11" s="2098"/>
      <c r="M11" s="2099"/>
      <c r="N11" s="632"/>
      <c r="O11" s="634"/>
    </row>
    <row r="12" spans="2:15" ht="15">
      <c r="B12" s="635"/>
      <c r="C12" s="636"/>
      <c r="D12" s="2100" t="s">
        <v>276</v>
      </c>
      <c r="E12" s="2101"/>
      <c r="F12" s="2100" t="s">
        <v>277</v>
      </c>
      <c r="G12" s="2102"/>
      <c r="H12" s="640"/>
      <c r="J12" s="2100" t="s">
        <v>276</v>
      </c>
      <c r="K12" s="2101"/>
      <c r="L12" s="2100" t="s">
        <v>277</v>
      </c>
      <c r="M12" s="2102"/>
      <c r="N12" s="640"/>
      <c r="O12" s="641"/>
    </row>
    <row r="13" spans="2:15" ht="38.25">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75" hidden="1">
      <c r="B17" s="631"/>
      <c r="C17" s="629"/>
      <c r="D17" s="2097" t="s">
        <v>282</v>
      </c>
      <c r="E17" s="2098"/>
      <c r="F17" s="2098"/>
      <c r="G17" s="2099"/>
      <c r="H17" s="632"/>
      <c r="I17" s="633"/>
      <c r="J17" s="2097" t="s">
        <v>283</v>
      </c>
      <c r="K17" s="2098"/>
      <c r="L17" s="2098"/>
      <c r="M17" s="2099"/>
      <c r="N17" s="632"/>
      <c r="O17" s="657"/>
    </row>
    <row r="18" spans="2:15" ht="31.5" hidden="1" customHeight="1">
      <c r="B18" s="635"/>
      <c r="C18" s="636"/>
      <c r="D18" s="2100" t="s">
        <v>276</v>
      </c>
      <c r="E18" s="2101"/>
      <c r="F18" s="2091" t="s">
        <v>284</v>
      </c>
      <c r="G18" s="2102"/>
      <c r="H18" s="640"/>
      <c r="J18" s="2100" t="s">
        <v>276</v>
      </c>
      <c r="K18" s="2101"/>
      <c r="L18" s="2091" t="s">
        <v>285</v>
      </c>
      <c r="M18" s="2102"/>
      <c r="N18" s="640"/>
      <c r="O18" s="657"/>
    </row>
    <row r="19" spans="2:15" ht="15.75" hidden="1">
      <c r="B19" s="642"/>
      <c r="C19" s="629"/>
      <c r="D19" s="637" t="s">
        <v>278</v>
      </c>
      <c r="E19" s="638" t="s">
        <v>279</v>
      </c>
      <c r="F19" s="2091" t="s">
        <v>278</v>
      </c>
      <c r="G19" s="2092"/>
      <c r="H19" s="643" t="s">
        <v>280</v>
      </c>
      <c r="J19" s="637" t="s">
        <v>278</v>
      </c>
      <c r="K19" s="638" t="s">
        <v>279</v>
      </c>
      <c r="L19" s="2091" t="s">
        <v>278</v>
      </c>
      <c r="M19" s="2092"/>
      <c r="N19" s="643" t="s">
        <v>280</v>
      </c>
      <c r="O19" s="657"/>
    </row>
    <row r="20" spans="2:15" hidden="1">
      <c r="B20" s="646" t="s">
        <v>281</v>
      </c>
      <c r="C20" s="647" t="s">
        <v>216</v>
      </c>
      <c r="D20" s="658"/>
      <c r="E20" s="648"/>
      <c r="F20" s="2093"/>
      <c r="G20" s="2094"/>
      <c r="H20" s="650"/>
      <c r="I20" s="651"/>
      <c r="J20" s="658"/>
      <c r="K20" s="648"/>
      <c r="L20" s="2093"/>
      <c r="M20" s="2094"/>
      <c r="N20" s="650" t="s">
        <v>1353</v>
      </c>
      <c r="O20" s="657"/>
    </row>
    <row r="21" spans="2:15" ht="19.5" hidden="1" customHeight="1">
      <c r="B21" s="646" t="s">
        <v>183</v>
      </c>
      <c r="C21" s="647" t="s">
        <v>216</v>
      </c>
      <c r="D21" s="653"/>
      <c r="E21" s="654"/>
      <c r="F21" s="2095"/>
      <c r="G21" s="2096"/>
      <c r="H21" s="655"/>
      <c r="I21" s="651"/>
      <c r="J21" s="653"/>
      <c r="K21" s="654"/>
      <c r="L21" s="2095"/>
      <c r="M21" s="2096"/>
      <c r="N21" s="655" t="s">
        <v>1354</v>
      </c>
      <c r="O21" s="657"/>
    </row>
    <row r="22" spans="2:15" ht="13.5" thickBot="1">
      <c r="B22" s="659"/>
      <c r="C22" s="660"/>
      <c r="D22" s="660"/>
      <c r="E22" s="661"/>
      <c r="F22" s="661"/>
      <c r="G22" s="661"/>
      <c r="H22" s="661"/>
      <c r="I22" s="661"/>
      <c r="J22" s="660"/>
      <c r="K22" s="661"/>
      <c r="L22" s="661"/>
      <c r="M22" s="661"/>
      <c r="N22" s="661"/>
      <c r="O22" s="662"/>
    </row>
    <row r="23" spans="2:15" ht="13.5"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heetViews>
  <sheetFormatPr defaultColWidth="11.42578125" defaultRowHeight="12.75"/>
  <cols>
    <col min="1" max="1" width="3.42578125" style="664" customWidth="1"/>
    <col min="2" max="2" width="56.140625" style="663" customWidth="1"/>
    <col min="3" max="3" width="35.140625" style="664" bestFit="1" customWidth="1"/>
    <col min="4" max="4" width="35.140625" style="664" customWidth="1"/>
    <col min="5" max="5" width="35.140625" style="664" bestFit="1" customWidth="1"/>
    <col min="6" max="6" width="25.5703125" style="664" customWidth="1"/>
    <col min="7" max="7" width="3.85546875" style="664" customWidth="1"/>
    <col min="8" max="8" width="1.7109375" style="664" customWidth="1"/>
    <col min="9" max="9" width="1.85546875" style="664" customWidth="1"/>
    <col min="10" max="16384" width="11.42578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0999999999999996"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1" t="s">
        <v>2061</v>
      </c>
      <c r="E24" s="683" t="s">
        <v>1306</v>
      </c>
      <c r="F24" s="683" t="s">
        <v>1306</v>
      </c>
      <c r="G24" s="693"/>
      <c r="H24" s="676"/>
    </row>
    <row r="25" spans="2:10" s="677" customFormat="1" ht="1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0999999999999996"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58">
        <f>'12 - Notes Interest'!I17</f>
        <v>6.0000000000000001E-3</v>
      </c>
      <c r="D34" s="1858">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00000000000001" customHeight="1" thickTop="1">
      <c r="B37" s="703"/>
      <c r="C37" s="697"/>
      <c r="D37" s="697"/>
    </row>
    <row r="38" spans="2:8" ht="20.100000000000001" customHeight="1">
      <c r="B38" s="703"/>
    </row>
    <row r="43" spans="2:8" ht="20.100000000000001" customHeight="1">
      <c r="C43" s="697"/>
      <c r="D43" s="697"/>
    </row>
    <row r="55" spans="3:4" ht="20.100000000000001" customHeight="1">
      <c r="C55" s="697"/>
      <c r="D55" s="697"/>
    </row>
    <row r="61" spans="3:4" ht="20.100000000000001"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zoomScale="85" zoomScaleNormal="85" workbookViewId="0"/>
  </sheetViews>
  <sheetFormatPr defaultColWidth="9.140625" defaultRowHeight="15"/>
  <cols>
    <col min="1" max="1" width="14.85546875" style="36" customWidth="1"/>
    <col min="2" max="2" width="23.140625" style="77"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21.140625" style="36" customWidth="1"/>
    <col min="13" max="13" width="22.85546875" style="36" customWidth="1"/>
    <col min="14" max="14" width="19.140625" style="36" customWidth="1"/>
    <col min="15" max="15" width="24" style="36" customWidth="1"/>
    <col min="16" max="16384" width="9.140625" style="36"/>
  </cols>
  <sheetData>
    <row r="1" spans="1:16">
      <c r="A1" s="35"/>
      <c r="B1" s="35"/>
      <c r="C1" s="35"/>
      <c r="D1" s="35"/>
      <c r="E1" s="35"/>
      <c r="F1" s="35"/>
      <c r="G1" s="35"/>
      <c r="H1" s="35"/>
      <c r="I1" s="35"/>
      <c r="J1" s="35"/>
      <c r="K1" s="35"/>
      <c r="L1" s="35"/>
    </row>
    <row r="2" spans="1:16">
      <c r="A2" s="35"/>
      <c r="B2" s="37"/>
      <c r="C2" s="37"/>
      <c r="D2" s="37"/>
      <c r="E2" s="37"/>
      <c r="F2" s="37"/>
      <c r="G2" s="37"/>
      <c r="H2" s="37"/>
      <c r="I2" s="37"/>
      <c r="J2" s="37"/>
      <c r="K2" s="37"/>
      <c r="L2" s="37"/>
    </row>
    <row r="3" spans="1:16" ht="14.45" customHeight="1">
      <c r="A3" s="35"/>
      <c r="B3" s="37"/>
      <c r="C3" s="37"/>
      <c r="D3" s="37"/>
      <c r="E3" s="1900"/>
      <c r="F3" s="1900"/>
      <c r="G3" s="1900"/>
      <c r="H3" s="37"/>
      <c r="I3" s="12"/>
      <c r="L3" s="39"/>
    </row>
    <row r="4" spans="1:16" ht="14.45" customHeight="1">
      <c r="A4" s="35"/>
      <c r="B4" s="37"/>
      <c r="C4" s="37"/>
      <c r="D4" s="37"/>
      <c r="E4" s="1900"/>
      <c r="F4" s="1900"/>
      <c r="G4" s="1900"/>
      <c r="H4" s="37"/>
      <c r="I4" s="12"/>
      <c r="J4" s="1812" t="s">
        <v>4</v>
      </c>
      <c r="K4" s="1812">
        <f>'00 - Cover'!F19</f>
        <v>46042</v>
      </c>
      <c r="L4" s="39"/>
    </row>
    <row r="5" spans="1:16" ht="14.45" customHeight="1">
      <c r="A5" s="35"/>
      <c r="B5" s="37"/>
      <c r="C5" s="37"/>
      <c r="D5" s="37"/>
      <c r="E5" s="1900"/>
      <c r="F5" s="1900"/>
      <c r="G5" s="1900"/>
      <c r="H5" s="37"/>
      <c r="I5" s="12"/>
      <c r="J5" s="1812" t="s">
        <v>5</v>
      </c>
      <c r="K5" s="1812">
        <f>'00 - Cover'!F20</f>
        <v>46049</v>
      </c>
      <c r="L5" s="39"/>
    </row>
    <row r="6" spans="1:16" ht="14.45" customHeight="1">
      <c r="A6" s="35"/>
      <c r="B6" s="37"/>
      <c r="C6" s="37"/>
      <c r="D6" s="37"/>
      <c r="E6" s="1900"/>
      <c r="F6" s="1900"/>
      <c r="G6" s="1900"/>
      <c r="H6" s="37"/>
      <c r="I6" s="37"/>
      <c r="J6" s="37"/>
      <c r="K6" s="37"/>
      <c r="L6" s="37"/>
    </row>
    <row r="7" spans="1:16">
      <c r="A7" s="35"/>
      <c r="B7" s="37"/>
      <c r="C7" s="37"/>
      <c r="D7" s="37"/>
      <c r="E7" s="37"/>
      <c r="F7" s="37"/>
      <c r="G7" s="37"/>
      <c r="H7" s="37"/>
      <c r="I7" s="40"/>
      <c r="J7" s="40"/>
      <c r="K7" s="41"/>
      <c r="L7" s="37"/>
    </row>
    <row r="8" spans="1:16">
      <c r="B8" s="36"/>
    </row>
    <row r="9" spans="1:16" ht="17.25" customHeight="1">
      <c r="A9" s="1765" t="s">
        <v>638</v>
      </c>
      <c r="B9" s="44"/>
      <c r="C9" s="1407"/>
      <c r="D9" s="1407"/>
      <c r="E9" s="1407"/>
      <c r="F9" s="1407"/>
      <c r="G9" s="1407"/>
      <c r="H9" s="1407"/>
      <c r="I9" s="1407"/>
      <c r="J9" s="1407"/>
      <c r="K9" s="1407"/>
      <c r="L9" s="1407"/>
    </row>
    <row r="10" spans="1:16" ht="11.1" customHeight="1">
      <c r="B10" s="36"/>
    </row>
    <row r="11" spans="1:16" ht="7.5" customHeight="1" thickBot="1">
      <c r="B11" s="36"/>
      <c r="C11" s="36"/>
      <c r="D11" s="36"/>
      <c r="E11" s="36"/>
      <c r="F11" s="36"/>
    </row>
    <row r="12" spans="1:16" ht="18.75" customHeight="1" thickBot="1">
      <c r="B12" s="1901" t="s">
        <v>162</v>
      </c>
      <c r="C12" s="1902"/>
      <c r="D12" s="1902"/>
      <c r="E12" s="1902"/>
      <c r="F12" s="1902"/>
      <c r="G12" s="1903"/>
      <c r="H12" s="1813">
        <v>45957</v>
      </c>
      <c r="L12" s="1813">
        <v>45583</v>
      </c>
    </row>
    <row r="13" spans="1:16" ht="39" customHeight="1" thickBot="1">
      <c r="B13" s="48"/>
      <c r="C13" s="49"/>
      <c r="D13" s="49"/>
      <c r="E13" s="49"/>
      <c r="F13" s="49"/>
      <c r="G13" s="50"/>
      <c r="H13" s="46" t="s">
        <v>17</v>
      </c>
      <c r="I13" s="47" t="s">
        <v>18</v>
      </c>
      <c r="L13" s="46" t="s">
        <v>17</v>
      </c>
      <c r="M13" s="47" t="s">
        <v>18</v>
      </c>
    </row>
    <row r="14" spans="1:16" ht="21.95" customHeight="1" thickBot="1">
      <c r="B14" s="1904" t="s">
        <v>19</v>
      </c>
      <c r="C14" s="1905"/>
      <c r="D14" s="1905"/>
      <c r="E14" s="1905"/>
      <c r="F14" s="1905"/>
      <c r="G14" s="1906"/>
      <c r="H14" s="1814">
        <v>4246326267.73</v>
      </c>
      <c r="I14" s="1815">
        <v>21828</v>
      </c>
      <c r="K14" s="42"/>
      <c r="L14" s="1814">
        <v>8182368484.4700003</v>
      </c>
      <c r="M14" s="1815">
        <v>56971</v>
      </c>
      <c r="O14" s="42"/>
      <c r="P14" s="53"/>
    </row>
    <row r="15" spans="1:16" ht="21.95"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6" ht="21.95"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1.95"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891" t="s">
        <v>648</v>
      </c>
      <c r="C18" s="1892"/>
      <c r="D18" s="1892"/>
      <c r="E18" s="1892"/>
      <c r="F18" s="1892"/>
      <c r="G18" s="1893"/>
      <c r="H18" s="59" t="s">
        <v>23</v>
      </c>
      <c r="I18" s="60" t="s">
        <v>24</v>
      </c>
      <c r="J18" s="59" t="s">
        <v>25</v>
      </c>
      <c r="K18" s="60" t="s">
        <v>26</v>
      </c>
      <c r="L18" s="59" t="s">
        <v>23</v>
      </c>
      <c r="M18" s="60" t="s">
        <v>24</v>
      </c>
      <c r="N18" s="59" t="s">
        <v>25</v>
      </c>
      <c r="O18" s="60" t="s">
        <v>26</v>
      </c>
    </row>
    <row r="19" spans="1:15" ht="54" customHeight="1">
      <c r="A19" s="61"/>
      <c r="B19" s="62">
        <v>1</v>
      </c>
      <c r="C19" s="1907" t="s">
        <v>649</v>
      </c>
      <c r="D19" s="1908"/>
      <c r="E19" s="1908"/>
      <c r="F19" s="1908"/>
      <c r="G19" s="1909"/>
      <c r="H19" s="1816"/>
      <c r="I19" s="1817"/>
      <c r="J19" s="1816"/>
      <c r="K19" s="1817"/>
      <c r="L19" s="1816"/>
      <c r="M19" s="1817"/>
      <c r="N19" s="1816"/>
      <c r="O19" s="1817"/>
    </row>
    <row r="20" spans="1:15" ht="48" customHeight="1">
      <c r="A20" s="61"/>
      <c r="B20" s="63">
        <v>2</v>
      </c>
      <c r="C20" s="1888" t="s">
        <v>650</v>
      </c>
      <c r="D20" s="1889"/>
      <c r="E20" s="1889"/>
      <c r="F20" s="1889"/>
      <c r="G20" s="1890"/>
      <c r="H20" s="1221"/>
      <c r="I20" s="1224"/>
      <c r="J20" s="1221"/>
      <c r="K20" s="74"/>
      <c r="L20" s="1221"/>
      <c r="M20" s="1224"/>
      <c r="N20" s="1221"/>
      <c r="O20" s="74"/>
    </row>
    <row r="21" spans="1:15" ht="48" customHeight="1">
      <c r="A21" s="61"/>
      <c r="B21" s="63">
        <v>3</v>
      </c>
      <c r="C21" s="1894" t="s">
        <v>651</v>
      </c>
      <c r="D21" s="1895"/>
      <c r="E21" s="1895"/>
      <c r="F21" s="1895"/>
      <c r="G21" s="1896"/>
      <c r="H21" s="1221"/>
      <c r="I21" s="74"/>
      <c r="J21" s="1221"/>
      <c r="K21" s="74"/>
      <c r="L21" s="1221"/>
      <c r="M21" s="74"/>
      <c r="N21" s="1221"/>
      <c r="O21" s="74"/>
    </row>
    <row r="22" spans="1:15" ht="48" customHeight="1">
      <c r="A22" s="61"/>
      <c r="B22" s="63">
        <v>4</v>
      </c>
      <c r="C22" s="1894" t="s">
        <v>652</v>
      </c>
      <c r="D22" s="1895"/>
      <c r="E22" s="1895"/>
      <c r="F22" s="1895"/>
      <c r="G22" s="1896"/>
      <c r="H22" s="1221"/>
      <c r="I22" s="74"/>
      <c r="J22" s="1221"/>
      <c r="K22" s="74"/>
      <c r="L22" s="1221"/>
      <c r="M22" s="74"/>
      <c r="N22" s="1221"/>
      <c r="O22" s="74"/>
    </row>
    <row r="23" spans="1:15" ht="48" customHeight="1">
      <c r="A23" s="61"/>
      <c r="B23" s="63">
        <v>5</v>
      </c>
      <c r="C23" s="1894" t="s">
        <v>653</v>
      </c>
      <c r="D23" s="1895"/>
      <c r="E23" s="1895"/>
      <c r="F23" s="1895"/>
      <c r="G23" s="1896"/>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894" t="s">
        <v>654</v>
      </c>
      <c r="D24" s="1895"/>
      <c r="E24" s="1895"/>
      <c r="F24" s="1895"/>
      <c r="G24" s="1896"/>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894" t="s">
        <v>655</v>
      </c>
      <c r="D25" s="1895"/>
      <c r="E25" s="1895"/>
      <c r="F25" s="1895"/>
      <c r="G25" s="1896"/>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894" t="s">
        <v>1186</v>
      </c>
      <c r="D26" s="1895"/>
      <c r="E26" s="1895"/>
      <c r="F26" s="1895"/>
      <c r="G26" s="1896"/>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894" t="s">
        <v>656</v>
      </c>
      <c r="D27" s="1895"/>
      <c r="E27" s="1895"/>
      <c r="F27" s="1895"/>
      <c r="G27" s="1896"/>
      <c r="H27" s="1226"/>
      <c r="I27" s="69"/>
      <c r="J27" s="1226"/>
      <c r="K27" s="69"/>
      <c r="L27" s="1226"/>
      <c r="M27" s="69"/>
      <c r="N27" s="1226"/>
      <c r="O27" s="69"/>
    </row>
    <row r="28" spans="1:15" ht="48" customHeight="1" thickBot="1">
      <c r="A28" s="61"/>
      <c r="B28" s="1891" t="s">
        <v>657</v>
      </c>
      <c r="C28" s="1892"/>
      <c r="D28" s="1892"/>
      <c r="E28" s="1892"/>
      <c r="F28" s="1892"/>
      <c r="G28" s="1893"/>
      <c r="H28" s="71"/>
      <c r="I28" s="53"/>
      <c r="L28" s="71"/>
      <c r="M28" s="53"/>
    </row>
    <row r="29" spans="1:15" ht="48" customHeight="1">
      <c r="A29" s="61"/>
      <c r="B29" s="63">
        <v>1</v>
      </c>
      <c r="C29" s="1897" t="s">
        <v>1191</v>
      </c>
      <c r="D29" s="1898"/>
      <c r="E29" s="1898"/>
      <c r="F29" s="1898"/>
      <c r="G29" s="1899"/>
      <c r="H29" s="1228"/>
      <c r="I29" s="1229"/>
      <c r="J29" s="1228"/>
      <c r="K29" s="1229"/>
      <c r="L29" s="1228"/>
      <c r="M29" s="1229"/>
      <c r="N29" s="1228"/>
      <c r="O29" s="1229"/>
    </row>
    <row r="30" spans="1:15" ht="48" customHeight="1">
      <c r="A30" s="61"/>
      <c r="B30" s="63">
        <v>2</v>
      </c>
      <c r="C30" s="1888" t="s">
        <v>1187</v>
      </c>
      <c r="D30" s="1889"/>
      <c r="E30" s="1889"/>
      <c r="F30" s="1889"/>
      <c r="G30" s="1890"/>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88" t="s">
        <v>658</v>
      </c>
      <c r="D31" s="1889"/>
      <c r="E31" s="1889"/>
      <c r="F31" s="1889"/>
      <c r="G31" s="1890"/>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88" t="s">
        <v>659</v>
      </c>
      <c r="D32" s="1889"/>
      <c r="E32" s="1889"/>
      <c r="F32" s="1889"/>
      <c r="G32" s="1890"/>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88" t="s">
        <v>660</v>
      </c>
      <c r="D33" s="1889"/>
      <c r="E33" s="1889"/>
      <c r="F33" s="1889"/>
      <c r="G33" s="1890"/>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88" t="s">
        <v>1192</v>
      </c>
      <c r="D34" s="1889"/>
      <c r="E34" s="1889"/>
      <c r="F34" s="1889"/>
      <c r="G34" s="1890"/>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88" t="s">
        <v>661</v>
      </c>
      <c r="D35" s="1889"/>
      <c r="E35" s="1889"/>
      <c r="F35" s="1889"/>
      <c r="G35" s="1890"/>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88" t="s">
        <v>1188</v>
      </c>
      <c r="D36" s="1889"/>
      <c r="E36" s="1889"/>
      <c r="F36" s="1889"/>
      <c r="G36" s="1890"/>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88" t="s">
        <v>662</v>
      </c>
      <c r="D37" s="1889"/>
      <c r="E37" s="1889"/>
      <c r="F37" s="1889"/>
      <c r="G37" s="1890"/>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88" t="s">
        <v>1189</v>
      </c>
      <c r="D38" s="1889"/>
      <c r="E38" s="1889"/>
      <c r="F38" s="1889"/>
      <c r="G38" s="1890"/>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88" t="s">
        <v>663</v>
      </c>
      <c r="D39" s="1889"/>
      <c r="E39" s="1889"/>
      <c r="F39" s="1889"/>
      <c r="G39" s="1890"/>
      <c r="H39" s="1221"/>
      <c r="I39" s="74"/>
      <c r="J39" s="1221"/>
      <c r="K39" s="74"/>
      <c r="L39" s="1221"/>
      <c r="M39" s="74"/>
      <c r="N39" s="1221"/>
      <c r="O39" s="74"/>
    </row>
    <row r="40" spans="1:15" ht="48" customHeight="1">
      <c r="A40" s="61"/>
      <c r="B40" s="63">
        <v>12</v>
      </c>
      <c r="C40" s="1888" t="s">
        <v>664</v>
      </c>
      <c r="D40" s="1889"/>
      <c r="E40" s="1889"/>
      <c r="F40" s="1889"/>
      <c r="G40" s="1890"/>
      <c r="H40" s="1221"/>
      <c r="I40" s="74"/>
      <c r="J40" s="1221"/>
      <c r="K40" s="74"/>
      <c r="L40" s="1221"/>
      <c r="M40" s="74"/>
      <c r="N40" s="1221"/>
      <c r="O40" s="74"/>
    </row>
    <row r="41" spans="1:15" ht="48" customHeight="1">
      <c r="A41" s="61"/>
      <c r="B41" s="63">
        <v>13</v>
      </c>
      <c r="C41" s="1888" t="s">
        <v>665</v>
      </c>
      <c r="D41" s="1889"/>
      <c r="E41" s="1889"/>
      <c r="F41" s="1889"/>
      <c r="G41" s="1890"/>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88" t="s">
        <v>666</v>
      </c>
      <c r="D42" s="1889"/>
      <c r="E42" s="1889"/>
      <c r="F42" s="1889"/>
      <c r="G42" s="1890"/>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88" t="s">
        <v>667</v>
      </c>
      <c r="D43" s="1889"/>
      <c r="E43" s="1889"/>
      <c r="F43" s="1889"/>
      <c r="G43" s="1890"/>
      <c r="H43" s="1221"/>
      <c r="I43" s="74"/>
      <c r="J43" s="1221"/>
      <c r="K43" s="74"/>
      <c r="L43" s="1221"/>
      <c r="M43" s="74"/>
      <c r="N43" s="1221"/>
      <c r="O43" s="74"/>
    </row>
    <row r="44" spans="1:15" ht="48" customHeight="1">
      <c r="A44" s="61"/>
      <c r="B44" s="63">
        <v>16</v>
      </c>
      <c r="C44" s="1888" t="s">
        <v>668</v>
      </c>
      <c r="D44" s="1889"/>
      <c r="E44" s="1889"/>
      <c r="F44" s="1889"/>
      <c r="G44" s="1890"/>
      <c r="H44" s="1221"/>
      <c r="I44" s="74"/>
      <c r="J44" s="1221"/>
      <c r="K44" s="74"/>
      <c r="L44" s="1221"/>
      <c r="M44" s="74"/>
      <c r="N44" s="1221"/>
      <c r="O44" s="74"/>
    </row>
    <row r="45" spans="1:15" ht="48" customHeight="1">
      <c r="A45" s="61"/>
      <c r="B45" s="63">
        <v>17</v>
      </c>
      <c r="C45" s="1888" t="s">
        <v>669</v>
      </c>
      <c r="D45" s="1889"/>
      <c r="E45" s="1889"/>
      <c r="F45" s="1889"/>
      <c r="G45" s="1890"/>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88" t="s">
        <v>1190</v>
      </c>
      <c r="D46" s="1889"/>
      <c r="E46" s="1889"/>
      <c r="F46" s="1889"/>
      <c r="G46" s="1890"/>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88" t="s">
        <v>670</v>
      </c>
      <c r="D47" s="1889"/>
      <c r="E47" s="1889"/>
      <c r="F47" s="1889"/>
      <c r="G47" s="1890"/>
      <c r="H47" s="1221"/>
      <c r="I47" s="74"/>
      <c r="J47" s="1221"/>
      <c r="K47" s="74"/>
      <c r="L47" s="1221"/>
      <c r="M47" s="74"/>
      <c r="N47" s="1221"/>
      <c r="O47" s="74"/>
    </row>
    <row r="48" spans="1:15" ht="48" customHeight="1" thickBot="1">
      <c r="A48" s="61"/>
      <c r="B48" s="63">
        <v>20</v>
      </c>
      <c r="C48" s="1888" t="s">
        <v>671</v>
      </c>
      <c r="D48" s="1889"/>
      <c r="E48" s="1889"/>
      <c r="F48" s="1889"/>
      <c r="G48" s="1890"/>
      <c r="H48" s="68"/>
      <c r="I48" s="69"/>
      <c r="J48" s="68"/>
      <c r="K48" s="70"/>
      <c r="L48" s="68"/>
      <c r="M48" s="69"/>
      <c r="N48" s="68"/>
      <c r="O48" s="70"/>
    </row>
    <row r="49" spans="2:39" ht="32.1" customHeight="1" thickBot="1">
      <c r="B49" s="1891" t="s">
        <v>37</v>
      </c>
      <c r="C49" s="1892"/>
      <c r="D49" s="1892"/>
      <c r="E49" s="1892"/>
      <c r="F49" s="1892"/>
      <c r="G49" s="1893"/>
      <c r="H49" s="71"/>
      <c r="I49" s="53"/>
      <c r="L49" s="71"/>
      <c r="M49" s="53"/>
    </row>
    <row r="50" spans="2:39" ht="37.5" customHeight="1">
      <c r="B50" s="72" t="s">
        <v>27</v>
      </c>
      <c r="C50" s="1885" t="s">
        <v>672</v>
      </c>
      <c r="D50" s="1886"/>
      <c r="E50" s="1886"/>
      <c r="F50" s="1886"/>
      <c r="G50" s="1887"/>
      <c r="H50" s="1228"/>
      <c r="I50" s="1229"/>
      <c r="J50" s="1818"/>
      <c r="K50" s="1819"/>
      <c r="L50" s="1228"/>
      <c r="M50" s="1229"/>
      <c r="N50" s="1818"/>
      <c r="O50" s="1819"/>
    </row>
    <row r="51" spans="2:39" ht="37.5" customHeight="1">
      <c r="B51" s="73" t="s">
        <v>28</v>
      </c>
      <c r="C51" s="1882" t="s">
        <v>673</v>
      </c>
      <c r="D51" s="1883"/>
      <c r="E51" s="1883"/>
      <c r="F51" s="1883"/>
      <c r="G51" s="1884"/>
      <c r="H51" s="1221"/>
      <c r="I51" s="74"/>
      <c r="J51" s="1222"/>
      <c r="K51" s="1223"/>
      <c r="L51" s="1221"/>
      <c r="M51" s="74"/>
      <c r="N51" s="1222"/>
      <c r="O51" s="1223"/>
    </row>
    <row r="52" spans="2:39" ht="37.5" customHeight="1">
      <c r="B52" s="73" t="s">
        <v>29</v>
      </c>
      <c r="C52" s="1882" t="s">
        <v>674</v>
      </c>
      <c r="D52" s="1883"/>
      <c r="E52" s="1883"/>
      <c r="F52" s="1883"/>
      <c r="G52" s="1884"/>
      <c r="H52" s="66"/>
      <c r="I52" s="67"/>
      <c r="J52" s="66"/>
      <c r="K52" s="67"/>
      <c r="L52" s="66"/>
      <c r="M52" s="67"/>
      <c r="N52" s="66"/>
      <c r="O52" s="67"/>
    </row>
    <row r="53" spans="2:39" ht="37.5" customHeight="1">
      <c r="B53" s="73" t="s">
        <v>30</v>
      </c>
      <c r="C53" s="1882" t="s">
        <v>675</v>
      </c>
      <c r="D53" s="1883"/>
      <c r="E53" s="1883"/>
      <c r="F53" s="1883"/>
      <c r="G53" s="1884"/>
      <c r="H53" s="66"/>
      <c r="I53" s="67"/>
      <c r="J53" s="66"/>
      <c r="K53" s="67"/>
      <c r="L53" s="66"/>
      <c r="M53" s="67"/>
      <c r="N53" s="66"/>
      <c r="O53" s="67"/>
    </row>
    <row r="54" spans="2:39" ht="37.5" customHeight="1">
      <c r="B54" s="73" t="s">
        <v>31</v>
      </c>
      <c r="C54" s="1882" t="s">
        <v>676</v>
      </c>
      <c r="D54" s="1883"/>
      <c r="E54" s="1883"/>
      <c r="F54" s="1883"/>
      <c r="G54" s="1884"/>
      <c r="H54" s="66"/>
      <c r="I54" s="67"/>
      <c r="J54" s="66"/>
      <c r="K54" s="67"/>
      <c r="L54" s="66"/>
      <c r="M54" s="67"/>
      <c r="N54" s="66"/>
      <c r="O54" s="67"/>
    </row>
    <row r="55" spans="2:39" ht="37.5" customHeight="1">
      <c r="B55" s="73" t="s">
        <v>32</v>
      </c>
      <c r="C55" s="1882" t="s">
        <v>677</v>
      </c>
      <c r="D55" s="1883"/>
      <c r="E55" s="1883"/>
      <c r="F55" s="1883"/>
      <c r="G55" s="1884"/>
      <c r="H55" s="66"/>
      <c r="I55" s="67"/>
      <c r="J55" s="66"/>
      <c r="K55" s="67"/>
      <c r="L55" s="66"/>
      <c r="M55" s="67"/>
      <c r="N55" s="66"/>
      <c r="O55" s="67"/>
    </row>
    <row r="56" spans="2:39" ht="37.5" customHeight="1">
      <c r="B56" s="73" t="s">
        <v>33</v>
      </c>
      <c r="C56" s="1882" t="s">
        <v>678</v>
      </c>
      <c r="D56" s="1883"/>
      <c r="E56" s="1883"/>
      <c r="F56" s="1883"/>
      <c r="G56" s="1884"/>
      <c r="H56" s="66"/>
      <c r="I56" s="67"/>
      <c r="J56" s="66"/>
      <c r="K56" s="67"/>
      <c r="L56" s="66"/>
      <c r="M56" s="67"/>
      <c r="N56" s="66"/>
      <c r="O56" s="67"/>
    </row>
    <row r="57" spans="2:39" ht="37.5" customHeight="1" thickBot="1">
      <c r="B57" s="75" t="s">
        <v>34</v>
      </c>
      <c r="C57" s="1879" t="s">
        <v>679</v>
      </c>
      <c r="D57" s="1880"/>
      <c r="E57" s="1880"/>
      <c r="F57" s="1880"/>
      <c r="G57" s="1881"/>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26:G26"/>
    <mergeCell ref="E3:G6"/>
    <mergeCell ref="B12:G12"/>
    <mergeCell ref="B14:G14"/>
    <mergeCell ref="B18:G18"/>
    <mergeCell ref="C19:G19"/>
    <mergeCell ref="C20:G20"/>
    <mergeCell ref="C21:G21"/>
    <mergeCell ref="C22:G22"/>
    <mergeCell ref="C23:G23"/>
    <mergeCell ref="C24:G24"/>
    <mergeCell ref="C25:G25"/>
    <mergeCell ref="C38:G38"/>
    <mergeCell ref="C27:G27"/>
    <mergeCell ref="B28:G28"/>
    <mergeCell ref="C29:G29"/>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B49:G49"/>
    <mergeCell ref="C57:G57"/>
    <mergeCell ref="C51:G51"/>
    <mergeCell ref="C52:G52"/>
    <mergeCell ref="C53:G53"/>
    <mergeCell ref="C54:G54"/>
    <mergeCell ref="C55:G55"/>
    <mergeCell ref="C56:G56"/>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zoomScale="85" zoomScaleNormal="100" zoomScaleSheetLayoutView="85" workbookViewId="0"/>
  </sheetViews>
  <sheetFormatPr defaultColWidth="11.42578125" defaultRowHeight="12.75"/>
  <cols>
    <col min="1" max="1" width="9.140625" style="707" customWidth="1"/>
    <col min="2" max="2" width="11.28515625" style="607" customWidth="1"/>
    <col min="3" max="3" width="47.42578125" style="607" customWidth="1"/>
    <col min="4" max="4" width="19.28515625" style="707" customWidth="1"/>
    <col min="5" max="7" width="24.85546875" style="708" customWidth="1"/>
    <col min="8" max="8" width="17.28515625" style="708" bestFit="1" customWidth="1"/>
    <col min="9" max="9" width="30" style="707" customWidth="1"/>
    <col min="10" max="10" width="2.7109375" style="707" customWidth="1"/>
    <col min="11" max="16384" width="11.42578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46022</v>
      </c>
    </row>
    <row r="3" spans="2:10" s="664" customFormat="1" ht="16.5" customHeight="1">
      <c r="B3" s="704"/>
      <c r="C3" s="704"/>
      <c r="D3" s="705"/>
      <c r="E3" s="706"/>
      <c r="F3" s="706"/>
      <c r="H3" s="537" t="s">
        <v>233</v>
      </c>
      <c r="I3" s="621">
        <f>'Cover Page'!$C$17</f>
        <v>46037</v>
      </c>
    </row>
    <row r="4" spans="2:10" s="664" customFormat="1" ht="16.5" customHeight="1">
      <c r="B4" s="704"/>
      <c r="C4" s="667"/>
      <c r="D4" s="705"/>
      <c r="E4" s="706"/>
      <c r="F4" s="706"/>
      <c r="G4" s="668"/>
      <c r="H4" s="537" t="s">
        <v>234</v>
      </c>
      <c r="I4" s="621">
        <f>'Cover Page'!$C$18</f>
        <v>46042</v>
      </c>
    </row>
    <row r="5" spans="2:10" ht="16.5" customHeight="1">
      <c r="G5" s="668"/>
      <c r="H5" s="537" t="s">
        <v>235</v>
      </c>
      <c r="I5" s="621">
        <f>'Cover Page'!$C$19</f>
        <v>46049</v>
      </c>
    </row>
    <row r="6" spans="2:10" ht="16.5" customHeight="1" thickBot="1">
      <c r="B6" s="709" t="s">
        <v>302</v>
      </c>
      <c r="C6" s="710"/>
      <c r="H6" s="537" t="s">
        <v>236</v>
      </c>
      <c r="I6" s="624">
        <f>'00 - Cover'!$F$29</f>
        <v>15</v>
      </c>
    </row>
    <row r="7" spans="2:10" s="716" customFormat="1" ht="20.100000000000001" customHeight="1" thickTop="1">
      <c r="B7" s="711"/>
      <c r="C7" s="712"/>
      <c r="D7" s="713"/>
      <c r="E7" s="714"/>
      <c r="F7" s="714"/>
      <c r="G7" s="714"/>
      <c r="H7" s="714"/>
      <c r="I7" s="714"/>
      <c r="J7" s="715"/>
    </row>
    <row r="8" spans="2:10" ht="20.100000000000001" customHeight="1">
      <c r="B8" s="1159" t="s">
        <v>303</v>
      </c>
      <c r="C8" s="1160"/>
      <c r="D8" s="1372">
        <f>I4</f>
        <v>46042</v>
      </c>
      <c r="E8" s="699"/>
      <c r="F8" s="699"/>
      <c r="G8" s="699"/>
      <c r="H8" s="699"/>
      <c r="I8" s="699"/>
      <c r="J8" s="717"/>
    </row>
    <row r="9" spans="2:10" ht="20.100000000000001" customHeight="1">
      <c r="B9" s="1159" t="s">
        <v>304</v>
      </c>
      <c r="C9" s="1160"/>
      <c r="D9" s="1373">
        <f>I4</f>
        <v>46042</v>
      </c>
      <c r="E9" s="699"/>
      <c r="F9" s="699"/>
      <c r="G9" s="699"/>
      <c r="H9" s="699"/>
      <c r="I9" s="699"/>
      <c r="J9" s="717"/>
    </row>
    <row r="10" spans="2:10" ht="20.100000000000001" customHeight="1">
      <c r="B10" s="1159" t="s">
        <v>305</v>
      </c>
      <c r="C10" s="1160"/>
      <c r="D10" s="1373">
        <f>'12 - Notes Interest'!F17</f>
        <v>46020</v>
      </c>
      <c r="E10" s="1373">
        <f>'12 - Notes Interest'!G17</f>
        <v>46049</v>
      </c>
      <c r="F10" s="1373"/>
      <c r="G10" s="699"/>
      <c r="H10" s="699"/>
      <c r="I10" s="699"/>
      <c r="J10" s="717"/>
    </row>
    <row r="11" spans="2:10" ht="20.100000000000001" customHeight="1">
      <c r="B11" s="1159" t="s">
        <v>306</v>
      </c>
      <c r="C11" s="1160"/>
      <c r="D11" s="1374">
        <f>'12 - Notes Interest'!H17</f>
        <v>29</v>
      </c>
      <c r="E11" s="699"/>
      <c r="F11" s="699"/>
      <c r="G11" s="718"/>
      <c r="H11" s="699"/>
      <c r="I11" s="699"/>
      <c r="J11" s="717"/>
    </row>
    <row r="12" spans="2:10" ht="20.100000000000001" customHeight="1">
      <c r="B12" s="1159" t="s">
        <v>307</v>
      </c>
      <c r="C12" s="1160"/>
      <c r="D12" s="719" t="s">
        <v>308</v>
      </c>
      <c r="E12" s="699"/>
      <c r="F12" s="699"/>
      <c r="G12" s="699"/>
      <c r="H12" s="699"/>
      <c r="I12" s="699"/>
      <c r="J12" s="717"/>
    </row>
    <row r="13" spans="2:10" ht="20.100000000000001" customHeight="1">
      <c r="B13" s="1159" t="s">
        <v>309</v>
      </c>
      <c r="C13" s="1161"/>
      <c r="D13" s="699" t="s">
        <v>301</v>
      </c>
      <c r="E13" s="699"/>
      <c r="F13" s="699"/>
      <c r="G13" s="699"/>
      <c r="H13" s="699"/>
      <c r="I13" s="699"/>
      <c r="J13" s="717"/>
    </row>
    <row r="14" spans="2:10" s="716" customFormat="1" ht="20.100000000000001" customHeight="1">
      <c r="B14" s="720"/>
      <c r="C14" s="721"/>
      <c r="D14" s="722"/>
      <c r="E14" s="723"/>
      <c r="F14" s="1832"/>
      <c r="G14" s="723"/>
      <c r="H14" s="723"/>
      <c r="I14" s="723"/>
      <c r="J14" s="724"/>
    </row>
    <row r="15" spans="2:10" s="716" customFormat="1" ht="20.100000000000001" customHeight="1">
      <c r="B15" s="725"/>
      <c r="C15" s="726"/>
      <c r="D15" s="719"/>
      <c r="E15" s="699"/>
      <c r="F15" s="699"/>
      <c r="G15" s="699"/>
      <c r="H15" s="699"/>
      <c r="I15" s="699"/>
      <c r="J15" s="717"/>
    </row>
    <row r="16" spans="2:10" s="716" customFormat="1" ht="19.5" customHeight="1">
      <c r="B16" s="1158" t="s">
        <v>310</v>
      </c>
      <c r="C16" s="642"/>
      <c r="D16" s="719"/>
      <c r="E16" s="674" t="s">
        <v>118</v>
      </c>
      <c r="F16" s="1830" t="s">
        <v>2053</v>
      </c>
      <c r="G16" s="674" t="s">
        <v>119</v>
      </c>
      <c r="H16" s="674"/>
      <c r="I16" s="727"/>
      <c r="J16" s="717"/>
    </row>
    <row r="17" spans="2:10" s="716" customFormat="1" ht="9.9499999999999993" customHeight="1">
      <c r="B17" s="694"/>
      <c r="D17" s="719"/>
      <c r="E17" s="699"/>
      <c r="F17" s="699"/>
      <c r="G17" s="699"/>
      <c r="H17" s="699"/>
      <c r="I17" s="699"/>
      <c r="J17" s="717"/>
    </row>
    <row r="18" spans="2:10" s="716" customFormat="1" ht="20.100000000000001" customHeight="1">
      <c r="B18" s="694" t="s">
        <v>311</v>
      </c>
      <c r="D18" s="719"/>
      <c r="E18" s="736">
        <f>+'12 - Notes Interest'!K17</f>
        <v>3277958.44</v>
      </c>
      <c r="F18" s="736">
        <f>+'12 - Notes Interest'!T17</f>
        <v>1889525.6</v>
      </c>
      <c r="G18" s="736">
        <f>'15 - Priority of Payments'!I32</f>
        <v>679942.55999999994</v>
      </c>
      <c r="H18" s="728"/>
      <c r="I18" s="729"/>
      <c r="J18" s="717"/>
    </row>
    <row r="19" spans="2:10" s="716" customFormat="1" ht="20.100000000000001" customHeight="1">
      <c r="B19" s="694" t="s">
        <v>312</v>
      </c>
      <c r="D19" s="719"/>
      <c r="E19" s="736">
        <f>MIN('15 - Priority of Payments'!J29,E18)</f>
        <v>3277958.44</v>
      </c>
      <c r="F19" s="736">
        <f>MIN('15 - Priority of Payments'!J29,F18)</f>
        <v>1889525.6</v>
      </c>
      <c r="G19" s="736">
        <f>'15 - Priority of Payments'!J32</f>
        <v>679942.55999999994</v>
      </c>
      <c r="H19" s="728"/>
      <c r="I19" s="729"/>
      <c r="J19" s="717"/>
    </row>
    <row r="20" spans="2:10" s="716" customFormat="1" ht="20.100000000000001" customHeight="1">
      <c r="B20" s="1158" t="s">
        <v>313</v>
      </c>
      <c r="C20" s="730"/>
      <c r="E20" s="736"/>
      <c r="F20" s="736"/>
      <c r="G20" s="736"/>
      <c r="H20" s="731"/>
      <c r="I20" s="732"/>
      <c r="J20" s="717"/>
    </row>
    <row r="21" spans="2:10" s="716" customFormat="1" ht="20.100000000000001" customHeight="1">
      <c r="B21" s="694" t="s">
        <v>314</v>
      </c>
      <c r="C21" s="726"/>
      <c r="E21" s="736">
        <v>0</v>
      </c>
      <c r="F21" s="736">
        <v>0</v>
      </c>
      <c r="G21" s="736">
        <v>0</v>
      </c>
      <c r="H21" s="733"/>
      <c r="I21" s="729"/>
      <c r="J21" s="717"/>
    </row>
    <row r="22" spans="2:10" s="716" customFormat="1" ht="20.100000000000001" customHeight="1">
      <c r="B22" s="694" t="s">
        <v>1085</v>
      </c>
      <c r="C22" s="726"/>
      <c r="E22" s="736">
        <f>MAX(E18-E19,0)</f>
        <v>0</v>
      </c>
      <c r="F22" s="736">
        <f>MAX(F18-F19,0)</f>
        <v>0</v>
      </c>
      <c r="G22" s="736">
        <f>MAX(G18-G19,0)</f>
        <v>0</v>
      </c>
      <c r="H22" s="733"/>
      <c r="I22" s="729"/>
      <c r="J22" s="717"/>
    </row>
    <row r="23" spans="2:10" s="716" customFormat="1" ht="20.100000000000001" customHeight="1">
      <c r="B23" s="694" t="s">
        <v>1084</v>
      </c>
      <c r="C23" s="726"/>
      <c r="E23" s="736">
        <f>MAX(E19-E18,0)</f>
        <v>0</v>
      </c>
      <c r="F23" s="736">
        <f>MAX(F19-F18,0)</f>
        <v>0</v>
      </c>
      <c r="G23" s="736">
        <f>MAX(G19-G18,0)</f>
        <v>0</v>
      </c>
      <c r="H23" s="733"/>
      <c r="I23" s="729"/>
      <c r="J23" s="717"/>
    </row>
    <row r="24" spans="2:10" s="716" customFormat="1" ht="20.100000000000001" customHeight="1">
      <c r="B24" s="694" t="s">
        <v>315</v>
      </c>
      <c r="C24" s="726"/>
      <c r="E24" s="736">
        <f>E21+E22-E23</f>
        <v>0</v>
      </c>
      <c r="F24" s="736">
        <f>F21+F22-F23</f>
        <v>0</v>
      </c>
      <c r="G24" s="736">
        <f>G21+G22-G23</f>
        <v>0</v>
      </c>
      <c r="H24" s="728"/>
      <c r="I24" s="729"/>
      <c r="J24" s="717"/>
    </row>
    <row r="25" spans="2:10" s="716" customFormat="1" ht="20.100000000000001" customHeight="1">
      <c r="B25" s="720"/>
      <c r="C25" s="721"/>
      <c r="D25" s="722"/>
      <c r="E25" s="723"/>
      <c r="F25" s="1832"/>
      <c r="G25" s="723"/>
      <c r="H25" s="723"/>
      <c r="I25" s="723"/>
      <c r="J25" s="724"/>
    </row>
    <row r="26" spans="2:10" s="716" customFormat="1" ht="20.100000000000001" customHeight="1">
      <c r="B26" s="725"/>
      <c r="D26" s="719"/>
      <c r="E26" s="699"/>
      <c r="F26" s="699"/>
      <c r="G26" s="699"/>
      <c r="H26" s="699"/>
      <c r="I26" s="699"/>
      <c r="J26" s="717"/>
    </row>
    <row r="27" spans="2:10" s="716" customFormat="1" ht="20.100000000000001" customHeight="1">
      <c r="B27" s="1158" t="s">
        <v>316</v>
      </c>
      <c r="C27" s="730"/>
      <c r="E27" s="674" t="s">
        <v>118</v>
      </c>
      <c r="F27" s="1830" t="s">
        <v>2053</v>
      </c>
      <c r="G27" s="674" t="s">
        <v>119</v>
      </c>
      <c r="H27" s="674"/>
      <c r="I27" s="727" t="s">
        <v>317</v>
      </c>
      <c r="J27" s="717"/>
    </row>
    <row r="28" spans="2:10" s="716" customFormat="1" ht="9.9499999999999993"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6876677200.6800003</v>
      </c>
      <c r="F30" s="738">
        <f>+'11 - Notes Follow-up'!L25</f>
        <v>3963336422</v>
      </c>
      <c r="G30" s="738">
        <f>'11 - Notes Follow-up'!T25</f>
        <v>570527041.92000008</v>
      </c>
      <c r="H30" s="738"/>
      <c r="I30" s="737">
        <f>E30+F30+G30</f>
        <v>11410540664.6</v>
      </c>
      <c r="J30" s="717"/>
    </row>
    <row r="31" spans="2:10" s="716" customFormat="1" ht="21" customHeight="1">
      <c r="B31" s="694" t="s">
        <v>320</v>
      </c>
      <c r="C31" s="726"/>
      <c r="D31" s="735"/>
      <c r="E31" s="738">
        <f>'11 - Notes Follow-up'!J26</f>
        <v>88466.49</v>
      </c>
      <c r="F31" s="738">
        <f>+'11 - Notes Follow-up'!R26</f>
        <v>98248.3</v>
      </c>
      <c r="G31" s="738">
        <f>'11 - Notes Follow-up'!Y26</f>
        <v>98231.24000000002</v>
      </c>
      <c r="H31" s="738"/>
      <c r="I31" s="1350"/>
      <c r="J31" s="717"/>
    </row>
    <row r="32" spans="2:10" s="716" customFormat="1" ht="21" customHeight="1">
      <c r="B32" s="694" t="s">
        <v>1083</v>
      </c>
      <c r="C32" s="726"/>
      <c r="D32" s="735"/>
      <c r="E32" s="737">
        <f>'11 - Notes Follow-up'!F25</f>
        <v>58047925.640000001</v>
      </c>
      <c r="F32" s="737">
        <f>+'11 - Notes Follow-up'!N25</f>
        <v>33455575.600000001</v>
      </c>
      <c r="G32" s="737">
        <f>'11 - Notes Follow-up'!V25</f>
        <v>4815993.6000000006</v>
      </c>
      <c r="H32" s="737"/>
      <c r="I32" s="737">
        <f>E32+F32+G32</f>
        <v>96319494.840000004</v>
      </c>
      <c r="J32" s="717"/>
    </row>
    <row r="33" spans="2:10" s="716" customFormat="1" ht="21" customHeight="1">
      <c r="B33" s="694" t="s">
        <v>321</v>
      </c>
      <c r="C33" s="726"/>
      <c r="D33" s="735"/>
      <c r="E33" s="737">
        <f>'11 - Notes Follow-up'!G25</f>
        <v>6818629275.04</v>
      </c>
      <c r="F33" s="737">
        <f>+'11 - Notes Follow-up'!O25</f>
        <v>3929880846.4000001</v>
      </c>
      <c r="G33" s="737">
        <f>'11 - Notes Follow-up'!W25</f>
        <v>565711048.32000005</v>
      </c>
      <c r="H33" s="737"/>
      <c r="I33" s="737">
        <f>E33+F33+G33</f>
        <v>11314221169.76</v>
      </c>
      <c r="J33" s="717"/>
    </row>
    <row r="34" spans="2:10" s="716" customFormat="1" ht="21" customHeight="1">
      <c r="B34" s="694" t="s">
        <v>322</v>
      </c>
      <c r="C34" s="726"/>
      <c r="D34" s="735"/>
      <c r="E34" s="737">
        <f>'11 - Notes Follow-up'!J25</f>
        <v>87719.72</v>
      </c>
      <c r="F34" s="737">
        <f>+'11 - Notes Follow-up'!R25</f>
        <v>97418.96</v>
      </c>
      <c r="G34" s="737">
        <f>'11 - Notes Follow-up'!Y25</f>
        <v>97402.040000000008</v>
      </c>
      <c r="H34" s="737"/>
      <c r="I34" s="1350"/>
      <c r="J34" s="717"/>
    </row>
    <row r="35" spans="2:10" s="716" customFormat="1" ht="20.100000000000001" customHeight="1">
      <c r="B35" s="739"/>
      <c r="C35" s="740"/>
      <c r="D35" s="721"/>
      <c r="E35" s="723"/>
      <c r="F35" s="1832"/>
      <c r="G35" s="723"/>
      <c r="H35" s="723"/>
      <c r="I35" s="723"/>
      <c r="J35" s="724"/>
    </row>
    <row r="36" spans="2:10" s="716" customFormat="1" ht="20.100000000000001" customHeight="1">
      <c r="B36" s="741"/>
      <c r="C36" s="742"/>
      <c r="E36" s="699"/>
      <c r="F36" s="699"/>
      <c r="G36" s="699"/>
      <c r="H36" s="699"/>
      <c r="I36" s="699"/>
      <c r="J36" s="717"/>
    </row>
    <row r="37" spans="2:10" s="716" customFormat="1" ht="20.100000000000001" customHeight="1">
      <c r="B37" s="1158" t="s">
        <v>323</v>
      </c>
      <c r="C37" s="743"/>
      <c r="D37" s="744"/>
      <c r="E37" s="674" t="s">
        <v>118</v>
      </c>
      <c r="F37" s="674" t="s">
        <v>2053</v>
      </c>
      <c r="G37" s="674" t="s">
        <v>119</v>
      </c>
      <c r="H37" s="674"/>
      <c r="I37" s="734"/>
      <c r="J37" s="717"/>
    </row>
    <row r="38" spans="2:10" s="716" customFormat="1" ht="9.9499999999999993" customHeight="1">
      <c r="B38" s="642"/>
      <c r="C38" s="726"/>
      <c r="D38" s="744"/>
      <c r="E38" s="734"/>
      <c r="F38" s="734"/>
      <c r="G38" s="734"/>
      <c r="H38" s="734"/>
      <c r="I38" s="734"/>
      <c r="J38" s="717"/>
    </row>
    <row r="39" spans="2:10" s="716" customFormat="1" ht="20.100000000000001" customHeight="1">
      <c r="B39" s="694" t="s">
        <v>324</v>
      </c>
      <c r="C39" s="730"/>
      <c r="D39" s="744"/>
      <c r="E39" s="737">
        <f>E19/'11 - Notes Follow-up'!H26</f>
        <v>42.17</v>
      </c>
      <c r="F39" s="737">
        <f>F19/'11 - Notes Follow-up'!P25</f>
        <v>46.84</v>
      </c>
      <c r="G39" s="737">
        <f>G18/'11 - Notes Follow-up'!X26</f>
        <v>117.07</v>
      </c>
      <c r="H39" s="737"/>
      <c r="I39" s="745"/>
      <c r="J39" s="717"/>
    </row>
    <row r="40" spans="2:10" s="716" customFormat="1" ht="20.100000000000001" customHeight="1">
      <c r="B40" s="694" t="s">
        <v>325</v>
      </c>
      <c r="C40" s="726"/>
      <c r="E40" s="737">
        <f>'11bis - Notes Calculation'!AC17</f>
        <v>746.77</v>
      </c>
      <c r="F40" s="737">
        <f>'11bis - Notes Calculation'!AG17</f>
        <v>829.34</v>
      </c>
      <c r="G40" s="737">
        <f>'11bis - Notes Calculation'!AP17</f>
        <v>829.2</v>
      </c>
      <c r="H40" s="737"/>
      <c r="I40" s="745"/>
      <c r="J40" s="717"/>
    </row>
    <row r="41" spans="2:10" s="716" customFormat="1" ht="20.100000000000001" customHeight="1">
      <c r="B41" s="694" t="s">
        <v>326</v>
      </c>
      <c r="C41" s="726"/>
      <c r="E41" s="746">
        <f>E40/E31</f>
        <v>8.4412753348753859E-3</v>
      </c>
      <c r="F41" s="746">
        <f>F40/F31</f>
        <v>8.4412656503980218E-3</v>
      </c>
      <c r="G41" s="746">
        <f>G40/G31</f>
        <v>8.4413064520004015E-3</v>
      </c>
      <c r="H41" s="746"/>
      <c r="I41" s="747"/>
      <c r="J41" s="717"/>
    </row>
    <row r="42" spans="2:10" ht="20.100000000000001" customHeight="1" thickBot="1">
      <c r="B42" s="748"/>
      <c r="C42" s="749"/>
      <c r="D42" s="750"/>
      <c r="E42" s="751"/>
      <c r="F42" s="751"/>
      <c r="G42" s="751"/>
      <c r="H42" s="751"/>
      <c r="I42" s="751"/>
      <c r="J42" s="752"/>
    </row>
    <row r="43" spans="2:10" ht="20.100000000000001" customHeight="1" thickTop="1">
      <c r="E43" s="753"/>
      <c r="F43" s="753"/>
    </row>
    <row r="45" spans="2:10" ht="20.100000000000001" customHeight="1">
      <c r="C45" s="726"/>
    </row>
    <row r="51" spans="3:3" ht="20.100000000000001" customHeight="1">
      <c r="C51" s="726"/>
    </row>
    <row r="63" spans="3:3" ht="20.100000000000001" customHeight="1">
      <c r="C63" s="726"/>
    </row>
    <row r="69" spans="3:3" ht="20.100000000000001"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85" zoomScaleNormal="85" workbookViewId="0">
      <selection activeCell="W12" sqref="W12"/>
    </sheetView>
  </sheetViews>
  <sheetFormatPr defaultColWidth="11.42578125" defaultRowHeight="12.75"/>
  <cols>
    <col min="1" max="1" width="2.7109375" style="592" customWidth="1"/>
    <col min="2" max="2" width="1.28515625" style="592" customWidth="1"/>
    <col min="3" max="3" width="23.42578125" style="592" customWidth="1"/>
    <col min="4" max="4" width="2.140625" style="592" customWidth="1"/>
    <col min="5" max="5" width="16.42578125" style="592" customWidth="1"/>
    <col min="6" max="6" width="3" style="592" customWidth="1"/>
    <col min="7" max="7" width="25.28515625" style="592" customWidth="1"/>
    <col min="8" max="8" width="22" style="592" customWidth="1"/>
    <col min="9" max="9" width="19.5703125" style="592" customWidth="1"/>
    <col min="10" max="10" width="2.7109375" style="592" customWidth="1"/>
    <col min="11" max="11" width="20.85546875" style="592" customWidth="1"/>
    <col min="12" max="12" width="27.28515625" style="592" customWidth="1"/>
    <col min="13" max="13" width="24.5703125" style="592" customWidth="1"/>
    <col min="14" max="14" width="5.5703125" style="592" customWidth="1"/>
    <col min="15" max="15" width="23.42578125" style="592" customWidth="1"/>
    <col min="16" max="16" width="2.140625" style="592" customWidth="1"/>
    <col min="17" max="17" width="16.42578125" style="592" customWidth="1"/>
    <col min="18" max="18" width="3" style="592" customWidth="1"/>
    <col min="19" max="19" width="25.28515625" style="592" customWidth="1"/>
    <col min="20" max="20" width="22" style="592" customWidth="1"/>
    <col min="21" max="21" width="19.5703125" style="592" customWidth="1"/>
    <col min="22" max="22" width="2.7109375" style="592" customWidth="1"/>
    <col min="23" max="23" width="20.85546875" style="592" customWidth="1"/>
    <col min="24" max="24" width="27.28515625" style="592" customWidth="1"/>
    <col min="25" max="25" width="24.5703125" style="592" customWidth="1"/>
    <col min="26" max="27" width="5.5703125" style="592" customWidth="1"/>
    <col min="28" max="28" width="22.7109375" style="592" customWidth="1"/>
    <col min="29" max="29" width="1.7109375" style="592" customWidth="1"/>
    <col min="30" max="30" width="24.5703125" style="592" customWidth="1"/>
    <col min="31" max="31" width="2.140625" style="592" customWidth="1"/>
    <col min="32" max="33" width="24.5703125" style="592" customWidth="1"/>
    <col min="34" max="34" width="19.140625" style="592" customWidth="1"/>
    <col min="35" max="35" width="2.28515625" style="592" customWidth="1"/>
    <col min="36" max="37" width="24.5703125" style="592" customWidth="1"/>
    <col min="38" max="38" width="23.7109375" style="592" customWidth="1"/>
    <col min="39" max="39" width="13" style="592" customWidth="1"/>
    <col min="40" max="40" width="13.7109375" style="592" customWidth="1"/>
    <col min="41" max="41" width="6.42578125" style="592" customWidth="1"/>
    <col min="42" max="16384" width="11.42578125" style="592"/>
  </cols>
  <sheetData>
    <row r="1" spans="1:40" ht="1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46022</v>
      </c>
    </row>
    <row r="3" spans="1:40" ht="14.25">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46037</v>
      </c>
    </row>
    <row r="4" spans="1:40" ht="14.25">
      <c r="A4" s="596"/>
      <c r="B4" s="759"/>
      <c r="C4" s="2107"/>
      <c r="D4" s="2107"/>
      <c r="E4" s="2107"/>
      <c r="F4" s="2107"/>
      <c r="G4" s="596"/>
      <c r="H4" s="2083"/>
      <c r="I4" s="2083"/>
      <c r="J4" s="2083"/>
      <c r="K4" s="2083"/>
      <c r="L4" s="596"/>
      <c r="M4" s="540"/>
      <c r="N4" s="540"/>
      <c r="O4" s="2107"/>
      <c r="P4" s="2107"/>
      <c r="Q4" s="2107"/>
      <c r="R4" s="2107"/>
      <c r="S4" s="596"/>
      <c r="T4" s="2083"/>
      <c r="U4" s="2083"/>
      <c r="V4" s="2083"/>
      <c r="W4" s="2083"/>
      <c r="X4" s="596"/>
      <c r="Y4" s="540"/>
      <c r="Z4" s="540"/>
      <c r="AA4" s="540"/>
      <c r="AB4" s="540"/>
      <c r="AC4" s="540"/>
      <c r="AD4" s="540"/>
      <c r="AE4" s="540"/>
      <c r="AF4" s="540"/>
      <c r="AG4" s="540"/>
      <c r="AH4" s="540"/>
      <c r="AI4" s="540"/>
      <c r="AJ4" s="540"/>
      <c r="AK4" s="540"/>
      <c r="AL4" s="540"/>
      <c r="AM4" s="540" t="s">
        <v>234</v>
      </c>
      <c r="AN4" s="541">
        <f>'Cover Page'!$C$18</f>
        <v>46042</v>
      </c>
    </row>
    <row r="5" spans="1:40" ht="14.25">
      <c r="A5" s="596"/>
      <c r="B5" s="759"/>
      <c r="C5" s="2107"/>
      <c r="D5" s="2107"/>
      <c r="E5" s="2107"/>
      <c r="F5" s="2107"/>
      <c r="G5" s="596"/>
      <c r="H5" s="2083"/>
      <c r="I5" s="2083"/>
      <c r="J5" s="2083"/>
      <c r="K5" s="2083"/>
      <c r="L5" s="596"/>
      <c r="M5" s="540"/>
      <c r="N5" s="540"/>
      <c r="O5" s="2107"/>
      <c r="P5" s="2107"/>
      <c r="Q5" s="2107"/>
      <c r="R5" s="2107"/>
      <c r="S5" s="596"/>
      <c r="T5" s="2083"/>
      <c r="U5" s="2083"/>
      <c r="V5" s="2083"/>
      <c r="W5" s="2083"/>
      <c r="X5" s="596"/>
      <c r="Y5" s="540"/>
      <c r="Z5" s="540"/>
      <c r="AA5" s="540"/>
      <c r="AB5" s="540"/>
      <c r="AC5" s="540"/>
      <c r="AD5" s="540"/>
      <c r="AE5" s="540"/>
      <c r="AF5" s="540"/>
      <c r="AG5" s="540"/>
      <c r="AH5" s="540"/>
      <c r="AI5" s="540"/>
      <c r="AJ5" s="540"/>
      <c r="AK5" s="540"/>
      <c r="AL5" s="540"/>
      <c r="AM5" s="540" t="s">
        <v>235</v>
      </c>
      <c r="AN5" s="541">
        <f>'Cover Page'!$C$19</f>
        <v>46049</v>
      </c>
    </row>
    <row r="6" spans="1:40" ht="14.25">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15</v>
      </c>
    </row>
    <row r="7" spans="1:40" ht="14.25">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7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106" t="s">
        <v>329</v>
      </c>
      <c r="H9" s="2106"/>
      <c r="I9" s="2106"/>
      <c r="J9" s="769"/>
      <c r="K9" s="2106" t="s">
        <v>330</v>
      </c>
      <c r="L9" s="2106"/>
      <c r="M9" s="2106"/>
      <c r="N9" s="769"/>
      <c r="O9" s="629"/>
      <c r="P9" s="629"/>
      <c r="Q9" s="629"/>
      <c r="R9" s="629"/>
      <c r="S9" s="2106" t="s">
        <v>329</v>
      </c>
      <c r="T9" s="2106"/>
      <c r="U9" s="2106"/>
      <c r="V9" s="769"/>
      <c r="W9" s="2106" t="s">
        <v>330</v>
      </c>
      <c r="X9" s="2106"/>
      <c r="Y9" s="2106"/>
      <c r="Z9" s="769"/>
      <c r="AA9" s="770"/>
      <c r="AB9" s="629"/>
      <c r="AC9" s="771"/>
      <c r="AD9" s="629"/>
      <c r="AE9" s="771"/>
      <c r="AF9" s="2106" t="s">
        <v>329</v>
      </c>
      <c r="AG9" s="2106"/>
      <c r="AH9" s="2106"/>
      <c r="AI9" s="769"/>
      <c r="AJ9" s="2106" t="s">
        <v>330</v>
      </c>
      <c r="AK9" s="2106"/>
      <c r="AL9" s="2106"/>
      <c r="AM9" s="769"/>
      <c r="AN9" s="772"/>
    </row>
    <row r="10" spans="1:40" ht="25.5">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46049</v>
      </c>
      <c r="D11" s="775"/>
      <c r="E11" s="1527">
        <f>'12 - Notes Interest'!I17</f>
        <v>6.0000000000000001E-3</v>
      </c>
      <c r="F11" s="777"/>
      <c r="G11" s="1485">
        <f>'11 - Notes Follow-up'!G25</f>
        <v>6818629275.04</v>
      </c>
      <c r="H11" s="1485">
        <f>'11 - Notes Follow-up'!F25</f>
        <v>58047925.640000001</v>
      </c>
      <c r="I11" s="1485">
        <f>'12 - Notes Interest'!K17</f>
        <v>3277958.44</v>
      </c>
      <c r="J11" s="1485"/>
      <c r="K11" s="1485">
        <f>'11 - Notes Follow-up'!J25</f>
        <v>87719.72</v>
      </c>
      <c r="L11" s="1485">
        <f>'11bis - Notes Calculation'!AC17</f>
        <v>746.77</v>
      </c>
      <c r="M11" s="1485">
        <f>'12 - Notes Interest'!J17</f>
        <v>42.17</v>
      </c>
      <c r="N11" s="778"/>
      <c r="O11" s="775">
        <f>+C11</f>
        <v>46049</v>
      </c>
      <c r="P11" s="775"/>
      <c r="Q11" s="1527">
        <f t="shared" ref="Q11:Q13" si="0">+E11</f>
        <v>6.0000000000000001E-3</v>
      </c>
      <c r="R11" s="777"/>
      <c r="S11" s="1485">
        <f>+'Notes Information II'!F33</f>
        <v>3929880846.4000001</v>
      </c>
      <c r="T11" s="1485">
        <f>+'Notes Information II'!F32</f>
        <v>33455575.600000001</v>
      </c>
      <c r="U11" s="1485">
        <f>+'Notes Information II'!F18</f>
        <v>1889525.6</v>
      </c>
      <c r="V11" s="1485"/>
      <c r="W11" s="1485">
        <f>'11 - Notes Follow-up'!R25</f>
        <v>97418.96</v>
      </c>
      <c r="X11" s="1485">
        <f>+'Notes Information II'!F40</f>
        <v>829.34</v>
      </c>
      <c r="Y11" s="1485">
        <f>+'Notes Information II'!F39</f>
        <v>46.84</v>
      </c>
      <c r="Z11" s="778"/>
      <c r="AA11" s="779"/>
      <c r="AB11" s="775">
        <f>C11</f>
        <v>46049</v>
      </c>
      <c r="AC11" s="775"/>
      <c r="AD11" s="776">
        <f>'12 - Notes Interest'!AA17</f>
        <v>1.4999999999999999E-2</v>
      </c>
      <c r="AE11" s="777"/>
      <c r="AF11" s="1485">
        <f>'11 - Notes Follow-up'!W25</f>
        <v>565711048.32000005</v>
      </c>
      <c r="AG11" s="1485">
        <f>'11bis - Notes Calculation'!AQ17</f>
        <v>4815993.6000000006</v>
      </c>
      <c r="AH11" s="1485">
        <f>'12 - Notes Interest'!AC17</f>
        <v>679942.55999999994</v>
      </c>
      <c r="AI11" s="778"/>
      <c r="AJ11" s="1485">
        <f>'11 - Notes Follow-up'!Y25</f>
        <v>97402.040000000008</v>
      </c>
      <c r="AK11" s="1485">
        <f>'11bis - Notes Calculation'!AP17</f>
        <v>829.2</v>
      </c>
      <c r="AL11" s="1485">
        <f>'12 - Notes Interest'!AB17</f>
        <v>117.07</v>
      </c>
      <c r="AM11" s="778"/>
      <c r="AN11" s="772"/>
    </row>
    <row r="12" spans="1:40">
      <c r="A12" s="629"/>
      <c r="B12" s="767"/>
      <c r="C12" s="775">
        <f>'11 - Notes Follow-up'!B26</f>
        <v>46020</v>
      </c>
      <c r="D12" s="775"/>
      <c r="E12" s="776">
        <f>'12 - Notes Interest'!I18</f>
        <v>6.0000000000000001E-3</v>
      </c>
      <c r="F12" s="775"/>
      <c r="G12" s="1485">
        <f>'11 - Notes Follow-up'!G26</f>
        <v>6876677200.6800003</v>
      </c>
      <c r="H12" s="1485">
        <f>'11 - Notes Follow-up'!F26</f>
        <v>54650259.919999994</v>
      </c>
      <c r="I12" s="1485">
        <f>'12 - Notes Interest'!K18</f>
        <v>3646408.1199999996</v>
      </c>
      <c r="J12" s="1485"/>
      <c r="K12" s="1485">
        <f>'11 - Notes Follow-up'!J26</f>
        <v>88466.49</v>
      </c>
      <c r="L12" s="1485">
        <f>'11 - Notes Follow-up'!I26</f>
        <v>703.06</v>
      </c>
      <c r="M12" s="1485">
        <f>'12 - Notes Interest'!J18</f>
        <v>46.91</v>
      </c>
      <c r="N12" s="778"/>
      <c r="O12" s="775">
        <f>'11 - Notes Follow-up'!B26</f>
        <v>46020</v>
      </c>
      <c r="P12" s="775"/>
      <c r="Q12" s="1527">
        <f t="shared" si="0"/>
        <v>6.0000000000000001E-3</v>
      </c>
      <c r="R12" s="775"/>
      <c r="S12" s="1485">
        <f>'11 - Notes Follow-up'!O26</f>
        <v>3963336422</v>
      </c>
      <c r="T12" s="1485">
        <f>'11 - Notes Follow-up'!N26</f>
        <v>31497472</v>
      </c>
      <c r="U12" s="1485">
        <f>'12 - Notes Interest'!T18</f>
        <v>2101310.6</v>
      </c>
      <c r="V12" s="1485"/>
      <c r="W12" s="1485">
        <f>'11 - Notes Follow-up'!R26</f>
        <v>98248.3</v>
      </c>
      <c r="X12" s="1485">
        <f>'11 - Notes Follow-up'!Q26</f>
        <v>780.8</v>
      </c>
      <c r="Y12" s="1485">
        <f>'12 - Notes Interest'!S18</f>
        <v>52.09</v>
      </c>
      <c r="Z12" s="778"/>
      <c r="AA12" s="779"/>
      <c r="AB12" s="775">
        <f t="shared" ref="AB12:AB35" si="1">C12</f>
        <v>46020</v>
      </c>
      <c r="AC12" s="778"/>
      <c r="AD12" s="586">
        <f>'12 - Notes Interest'!AA18</f>
        <v>1.4999999999999999E-2</v>
      </c>
      <c r="AE12" s="778"/>
      <c r="AF12" s="1485">
        <f>'11 - Notes Follow-up'!W26</f>
        <v>570527041.92000008</v>
      </c>
      <c r="AG12" s="1485">
        <f>'11 - Notes Follow-up'!V26</f>
        <v>4534073.28</v>
      </c>
      <c r="AH12" s="1485">
        <f>'12 - Notes Interest'!AC18</f>
        <v>756259.68</v>
      </c>
      <c r="AI12" s="778"/>
      <c r="AJ12" s="1485">
        <f>'11 - Notes Follow-up'!Y26</f>
        <v>98231.24000000002</v>
      </c>
      <c r="AK12" s="1485">
        <f>'11bis - Notes Calculation'!AP18</f>
        <v>780.66</v>
      </c>
      <c r="AL12" s="1485">
        <f>'12 - Notes Interest'!AB18</f>
        <v>130.21</v>
      </c>
      <c r="AM12" s="778"/>
      <c r="AN12" s="772"/>
    </row>
    <row r="13" spans="1:40">
      <c r="A13" s="629"/>
      <c r="B13" s="767"/>
      <c r="C13" s="775">
        <f>'11 - Notes Follow-up'!B27</f>
        <v>45988</v>
      </c>
      <c r="D13" s="775"/>
      <c r="E13" s="776">
        <f>'12 - Notes Interest'!I19</f>
        <v>6.0000000000000001E-3</v>
      </c>
      <c r="F13" s="775"/>
      <c r="G13" s="1485">
        <f>'11 - Notes Follow-up'!G27</f>
        <v>6931327460.6000004</v>
      </c>
      <c r="H13" s="1485">
        <f>'11 - Notes Follow-up'!F27</f>
        <v>67956423.680000007</v>
      </c>
      <c r="I13" s="1485">
        <f>'12 - Notes Interest'!K19</f>
        <v>3567121.48</v>
      </c>
      <c r="J13" s="1485"/>
      <c r="K13" s="1485">
        <f>'11 - Notes Follow-up'!J27</f>
        <v>89169.55</v>
      </c>
      <c r="L13" s="1485">
        <f>'11 - Notes Follow-up'!I27</f>
        <v>874.24000000000012</v>
      </c>
      <c r="M13" s="1485">
        <f>'12 - Notes Interest'!J19</f>
        <v>45.89</v>
      </c>
      <c r="N13" s="778"/>
      <c r="O13" s="775">
        <f>'11 - Notes Follow-up'!B27</f>
        <v>45988</v>
      </c>
      <c r="P13" s="775"/>
      <c r="Q13" s="1527">
        <f t="shared" si="0"/>
        <v>6.0000000000000001E-3</v>
      </c>
      <c r="R13" s="775"/>
      <c r="S13" s="1485">
        <f>'11 - Notes Follow-up'!O27</f>
        <v>3994833894</v>
      </c>
      <c r="T13" s="1485">
        <f>'11 - Notes Follow-up'!N27</f>
        <v>39166106</v>
      </c>
      <c r="U13" s="1485">
        <f>'12 - Notes Interest'!T19</f>
        <v>2055726.4000000001</v>
      </c>
      <c r="V13" s="1485"/>
      <c r="W13" s="1485">
        <f>'11 - Notes Follow-up'!R27</f>
        <v>99029.1</v>
      </c>
      <c r="X13" s="1485">
        <f>'11 - Notes Follow-up'!Q27</f>
        <v>970.9</v>
      </c>
      <c r="Y13" s="1485">
        <f>'12 - Notes Interest'!S19</f>
        <v>50.96</v>
      </c>
      <c r="Z13" s="778"/>
      <c r="AA13" s="779"/>
      <c r="AB13" s="775">
        <f t="shared" si="1"/>
        <v>45988</v>
      </c>
      <c r="AC13" s="778"/>
      <c r="AD13" s="586">
        <f>'12 - Notes Interest'!AA19</f>
        <v>1.4999999999999999E-2</v>
      </c>
      <c r="AE13" s="778"/>
      <c r="AF13" s="1485">
        <f>'11 - Notes Follow-up'!W27</f>
        <v>575061115.20000005</v>
      </c>
      <c r="AG13" s="1485">
        <f>'11 - Notes Follow-up'!V27</f>
        <v>5738884.7999999998</v>
      </c>
      <c r="AH13" s="1485">
        <f>'12 - Notes Interest'!AC19</f>
        <v>739939.20000000007</v>
      </c>
      <c r="AI13" s="778"/>
      <c r="AJ13" s="1485">
        <f>'11 - Notes Follow-up'!Y27</f>
        <v>99011.900000000009</v>
      </c>
      <c r="AK13" s="1485">
        <f>'11bis - Notes Calculation'!AP19</f>
        <v>988.1</v>
      </c>
      <c r="AL13" s="1485">
        <f>'12 - Notes Interest'!AB19</f>
        <v>127.4</v>
      </c>
      <c r="AM13" s="778"/>
      <c r="AN13" s="772"/>
    </row>
    <row r="14" spans="1:40">
      <c r="A14" s="629"/>
      <c r="B14" s="767"/>
      <c r="C14" s="775">
        <f>'11 - Notes Follow-up'!B28</f>
        <v>45957</v>
      </c>
      <c r="D14" s="775"/>
      <c r="E14" s="776">
        <f>'12 - Notes Interest'!I20</f>
        <v>6.0000000000000001E-3</v>
      </c>
      <c r="F14" s="775"/>
      <c r="G14" s="1485">
        <f>'11 - Notes Follow-up'!G28</f>
        <v>6999283884.2800007</v>
      </c>
      <c r="H14" s="1485">
        <f>'11 - Notes Follow-up'!F28</f>
        <v>59948473.039999999</v>
      </c>
      <c r="I14" s="1485">
        <f>'12 - Notes Interest'!K20</f>
        <v>3249197.5999999996</v>
      </c>
      <c r="J14" s="1485"/>
      <c r="K14" s="1485">
        <f>'11 - Notes Follow-up'!J28</f>
        <v>90043.790000000008</v>
      </c>
      <c r="L14" s="1485">
        <f>'11 - Notes Follow-up'!I28</f>
        <v>771.22</v>
      </c>
      <c r="M14" s="1485">
        <f>'12 - Notes Interest'!J20</f>
        <v>41.8</v>
      </c>
      <c r="N14" s="778"/>
      <c r="O14" s="775">
        <f>'11 - Notes Follow-up'!B28</f>
        <v>45957</v>
      </c>
      <c r="P14" s="775"/>
      <c r="Q14" s="1527">
        <f t="shared" ref="Q14" si="2">+E14</f>
        <v>6.0000000000000001E-3</v>
      </c>
      <c r="R14" s="775"/>
      <c r="S14" s="1485">
        <f>'11 - Notes Follow-up'!O28</f>
        <v>4034000000</v>
      </c>
      <c r="T14" s="1485">
        <f>'11 - Notes Follow-up'!N28</f>
        <v>0</v>
      </c>
      <c r="U14" s="1485">
        <f>'12 - Notes Interest'!T20</f>
        <v>0</v>
      </c>
      <c r="V14" s="1485"/>
      <c r="W14" s="1485">
        <f>'11 - Notes Follow-up'!R28</f>
        <v>100000</v>
      </c>
      <c r="X14" s="1485">
        <f>'11 - Notes Follow-up'!Q28</f>
        <v>0</v>
      </c>
      <c r="Y14" s="1485">
        <f>'12 - Notes Interest'!S20</f>
        <v>0</v>
      </c>
      <c r="Z14" s="778"/>
      <c r="AA14" s="779"/>
      <c r="AB14" s="775">
        <f t="shared" si="1"/>
        <v>45957</v>
      </c>
      <c r="AC14" s="778"/>
      <c r="AD14" s="586">
        <f>'12 - Notes Interest'!AA20</f>
        <v>1.4999999999999999E-2</v>
      </c>
      <c r="AE14" s="778"/>
      <c r="AF14" s="1485">
        <f>'11 - Notes Follow-up'!W28</f>
        <v>580800000</v>
      </c>
      <c r="AG14" s="1485">
        <f>'11 - Notes Follow-up'!V28</f>
        <v>371538582.36000001</v>
      </c>
      <c r="AH14" s="1485">
        <f>'12 - Notes Interest'!AC20</f>
        <v>427532.16000000003</v>
      </c>
      <c r="AI14" s="778"/>
      <c r="AJ14" s="1485">
        <f>'11 - Notes Follow-up'!Y28</f>
        <v>100000</v>
      </c>
      <c r="AK14" s="1485">
        <f>'11bis - Notes Calculation'!AP20</f>
        <v>90796.33</v>
      </c>
      <c r="AL14" s="1485">
        <f>'12 - Notes Interest'!AB20</f>
        <v>104.48</v>
      </c>
      <c r="AM14" s="778"/>
      <c r="AN14" s="772"/>
    </row>
    <row r="15" spans="1:40">
      <c r="A15" s="629"/>
      <c r="B15" s="767"/>
      <c r="C15" s="775">
        <f>'11 - Notes Follow-up'!B29</f>
        <v>45929</v>
      </c>
      <c r="D15" s="775"/>
      <c r="E15" s="776">
        <f>'12 - Notes Interest'!I21</f>
        <v>6.0000000000000001E-3</v>
      </c>
      <c r="F15" s="775"/>
      <c r="G15" s="1485">
        <f>'11 - Notes Follow-up'!G29</f>
        <v>7059232357.3200006</v>
      </c>
      <c r="H15" s="1485">
        <f>'11 - Notes Follow-up'!F29</f>
        <v>67099817.039999999</v>
      </c>
      <c r="I15" s="1485">
        <f>'12 - Notes Interest'!K21</f>
        <v>3865612.36</v>
      </c>
      <c r="J15" s="1485"/>
      <c r="K15" s="1485">
        <f>'11 - Notes Follow-up'!J29</f>
        <v>90815.010000000009</v>
      </c>
      <c r="L15" s="1485">
        <f>'11 - Notes Follow-up'!I29</f>
        <v>863.22</v>
      </c>
      <c r="M15" s="1485">
        <f>'12 - Notes Interest'!J21</f>
        <v>49.73</v>
      </c>
      <c r="N15" s="778"/>
      <c r="O15" s="775"/>
      <c r="P15" s="775"/>
      <c r="Q15" s="776"/>
      <c r="R15" s="775"/>
      <c r="S15" s="1485"/>
      <c r="T15" s="1485"/>
      <c r="U15" s="1485"/>
      <c r="V15" s="1485"/>
      <c r="W15" s="1485"/>
      <c r="X15" s="1485"/>
      <c r="Y15" s="1485"/>
      <c r="Z15" s="778"/>
      <c r="AA15" s="779"/>
      <c r="AB15" s="775">
        <f t="shared" si="1"/>
        <v>45929</v>
      </c>
      <c r="AC15" s="778"/>
      <c r="AD15" s="586">
        <f>'12 - Notes Interest'!AA21</f>
        <v>1.4999999999999999E-2</v>
      </c>
      <c r="AE15" s="778"/>
      <c r="AF15" s="1485">
        <f>'11 - Notes Follow-up'!W29</f>
        <v>371538582.36000001</v>
      </c>
      <c r="AG15" s="1485">
        <f>'11 - Notes Follow-up'!V29</f>
        <v>3531559.6799999997</v>
      </c>
      <c r="AH15" s="1485">
        <f>'12 - Notes Interest'!AC21</f>
        <v>508676.52</v>
      </c>
      <c r="AI15" s="778"/>
      <c r="AJ15" s="1485">
        <f>'11 - Notes Follow-up'!Y29</f>
        <v>90796.33</v>
      </c>
      <c r="AK15" s="1485">
        <f>'11bis - Notes Calculation'!AP21</f>
        <v>863.04</v>
      </c>
      <c r="AL15" s="1485">
        <f>'12 - Notes Interest'!AB21</f>
        <v>124.31</v>
      </c>
      <c r="AM15" s="778"/>
      <c r="AN15" s="772"/>
    </row>
    <row r="16" spans="1:40">
      <c r="A16" s="629"/>
      <c r="B16" s="767"/>
      <c r="C16" s="775">
        <f>'11 - Notes Follow-up'!B30</f>
        <v>45896</v>
      </c>
      <c r="D16" s="775"/>
      <c r="E16" s="776">
        <f>'12 - Notes Interest'!I22</f>
        <v>6.0000000000000001E-3</v>
      </c>
      <c r="F16" s="775"/>
      <c r="G16" s="1485">
        <f>'11 - Notes Follow-up'!G30</f>
        <v>7126332174.3600006</v>
      </c>
      <c r="H16" s="1485">
        <f>'11 - Notes Follow-up'!F30</f>
        <v>65172840.759999998</v>
      </c>
      <c r="I16" s="1485">
        <f>'12 - Notes Interest'!K22</f>
        <v>3546133.84</v>
      </c>
      <c r="J16" s="1485"/>
      <c r="K16" s="1485">
        <f>'11 - Notes Follow-up'!J30</f>
        <v>91678.23000000001</v>
      </c>
      <c r="L16" s="1485">
        <f>'11 - Notes Follow-up'!I30</f>
        <v>838.43</v>
      </c>
      <c r="M16" s="1485">
        <f>'12 - Notes Interest'!J22</f>
        <v>45.62</v>
      </c>
      <c r="N16" s="778"/>
      <c r="O16" s="775"/>
      <c r="P16" s="775"/>
      <c r="Q16" s="776"/>
      <c r="R16" s="775"/>
      <c r="S16" s="1485"/>
      <c r="T16" s="1485"/>
      <c r="U16" s="1485"/>
      <c r="V16" s="1485"/>
      <c r="W16" s="1485"/>
      <c r="X16" s="1485"/>
      <c r="Y16" s="1485"/>
      <c r="Z16" s="778"/>
      <c r="AA16" s="779"/>
      <c r="AB16" s="775">
        <f t="shared" si="1"/>
        <v>45896</v>
      </c>
      <c r="AC16" s="778"/>
      <c r="AD16" s="586">
        <f>'12 - Notes Interest'!AA22</f>
        <v>1.4999999999999999E-2</v>
      </c>
      <c r="AE16" s="778"/>
      <c r="AF16" s="1485">
        <f>'11 - Notes Follow-up'!W30</f>
        <v>375070142.04000002</v>
      </c>
      <c r="AG16" s="1485">
        <f>'11 - Notes Follow-up'!V30</f>
        <v>3430119</v>
      </c>
      <c r="AH16" s="1485">
        <f>'12 - Notes Interest'!AC22</f>
        <v>466651.68000000005</v>
      </c>
      <c r="AI16" s="778"/>
      <c r="AJ16" s="1485">
        <f>'11 - Notes Follow-up'!Y30</f>
        <v>91659.37000000001</v>
      </c>
      <c r="AK16" s="1485">
        <f>'11bis - Notes Calculation'!AP22</f>
        <v>838.25</v>
      </c>
      <c r="AL16" s="1485">
        <f>'12 - Notes Interest'!AB22</f>
        <v>114.04</v>
      </c>
      <c r="AM16" s="778"/>
      <c r="AN16" s="772"/>
    </row>
    <row r="17" spans="1:40">
      <c r="A17" s="629"/>
      <c r="B17" s="767"/>
      <c r="C17" s="775">
        <f>'11 - Notes Follow-up'!B31</f>
        <v>45866</v>
      </c>
      <c r="D17" s="775" t="s">
        <v>143</v>
      </c>
      <c r="E17" s="776">
        <f>'12 - Notes Interest'!I23</f>
        <v>6.0000000000000001E-3</v>
      </c>
      <c r="F17" s="775" t="s">
        <v>143</v>
      </c>
      <c r="G17" s="1485">
        <f>'11 - Notes Follow-up'!G31</f>
        <v>7191505015.1200008</v>
      </c>
      <c r="H17" s="1485">
        <f>'11 - Notes Follow-up'!F31</f>
        <v>61912760.68</v>
      </c>
      <c r="I17" s="1485">
        <f>'12 - Notes Interest'!K23</f>
        <v>3696156.5999999996</v>
      </c>
      <c r="J17" s="1485" t="s">
        <v>143</v>
      </c>
      <c r="K17" s="1485">
        <f>'11 - Notes Follow-up'!J31</f>
        <v>92516.660000000018</v>
      </c>
      <c r="L17" s="1485">
        <f>'11 - Notes Follow-up'!I31</f>
        <v>796.49</v>
      </c>
      <c r="M17" s="1485">
        <f>'12 - Notes Interest'!J23</f>
        <v>47.55</v>
      </c>
      <c r="N17" s="778"/>
      <c r="O17" s="775"/>
      <c r="P17" s="775"/>
      <c r="Q17" s="776"/>
      <c r="R17" s="775"/>
      <c r="S17" s="1485"/>
      <c r="T17" s="1485"/>
      <c r="U17" s="1485"/>
      <c r="V17" s="1485"/>
      <c r="W17" s="1485"/>
      <c r="X17" s="1485"/>
      <c r="Y17" s="1485"/>
      <c r="Z17" s="778"/>
      <c r="AA17" s="779"/>
      <c r="AB17" s="775">
        <f t="shared" si="1"/>
        <v>45866</v>
      </c>
      <c r="AC17" s="778"/>
      <c r="AD17" s="586">
        <f>'12 - Notes Interest'!AA23</f>
        <v>1.4999999999999999E-2</v>
      </c>
      <c r="AE17" s="778"/>
      <c r="AF17" s="1485">
        <f>'11 - Notes Follow-up'!W31</f>
        <v>378500261.04000002</v>
      </c>
      <c r="AG17" s="1485">
        <f>'11 - Notes Follow-up'!V31</f>
        <v>3258541.4400000004</v>
      </c>
      <c r="AH17" s="1485">
        <f>'12 - Notes Interest'!AC23</f>
        <v>486334.19999999995</v>
      </c>
      <c r="AI17" s="778"/>
      <c r="AJ17" s="1485">
        <f>'11 - Notes Follow-up'!Y31</f>
        <v>92497.62000000001</v>
      </c>
      <c r="AK17" s="1485">
        <f>'11bis - Notes Calculation'!AP23</f>
        <v>796.32</v>
      </c>
      <c r="AL17" s="1485">
        <f>'12 - Notes Interest'!AB23</f>
        <v>118.85</v>
      </c>
      <c r="AM17" s="778"/>
      <c r="AN17" s="772"/>
    </row>
    <row r="18" spans="1:40">
      <c r="A18" s="629"/>
      <c r="B18" s="767"/>
      <c r="C18" s="775">
        <f>'11 - Notes Follow-up'!B32</f>
        <v>45835</v>
      </c>
      <c r="D18" s="775"/>
      <c r="E18" s="776">
        <f>'12 - Notes Interest'!I24</f>
        <v>6.0000000000000001E-3</v>
      </c>
      <c r="F18" s="777"/>
      <c r="G18" s="1485">
        <f>'11 - Notes Follow-up'!G32</f>
        <v>7253417775.8000011</v>
      </c>
      <c r="H18" s="1485">
        <f>'11 - Notes Follow-up'!F32</f>
        <v>62413354.759999998</v>
      </c>
      <c r="I18" s="1485">
        <f>'12 - Notes Interest'!K24</f>
        <v>3728026.72</v>
      </c>
      <c r="J18" s="1485"/>
      <c r="K18" s="1485">
        <f>'11 - Notes Follow-up'!J32</f>
        <v>93313.150000000009</v>
      </c>
      <c r="L18" s="1485">
        <f>'11 - Notes Follow-up'!I32</f>
        <v>802.93</v>
      </c>
      <c r="M18" s="1485">
        <f>'12 - Notes Interest'!J24</f>
        <v>47.96</v>
      </c>
      <c r="N18" s="778"/>
      <c r="O18" s="775"/>
      <c r="P18" s="775"/>
      <c r="Q18" s="776"/>
      <c r="R18" s="777"/>
      <c r="S18" s="1485"/>
      <c r="T18" s="1485"/>
      <c r="U18" s="1485"/>
      <c r="V18" s="1485"/>
      <c r="W18" s="1485"/>
      <c r="X18" s="1485"/>
      <c r="Y18" s="1485"/>
      <c r="Z18" s="778"/>
      <c r="AA18" s="779"/>
      <c r="AB18" s="775">
        <f t="shared" si="1"/>
        <v>45835</v>
      </c>
      <c r="AC18" s="778"/>
      <c r="AD18" s="586">
        <f>'12 - Notes Interest'!AA24</f>
        <v>1.4999999999999999E-2</v>
      </c>
      <c r="AE18" s="778"/>
      <c r="AF18" s="1485">
        <f>'11 - Notes Follow-up'!W32</f>
        <v>381758802.48000002</v>
      </c>
      <c r="AG18" s="1485">
        <f>'11 - Notes Follow-up'!V32</f>
        <v>3284934.84</v>
      </c>
      <c r="AH18" s="1485">
        <f>'12 - Notes Interest'!AC24</f>
        <v>490508.04000000004</v>
      </c>
      <c r="AI18" s="778"/>
      <c r="AJ18" s="1485">
        <f>'11 - Notes Follow-up'!Y32</f>
        <v>93293.94</v>
      </c>
      <c r="AK18" s="1485">
        <f>'11bis - Notes Calculation'!AP24</f>
        <v>802.77</v>
      </c>
      <c r="AL18" s="1485">
        <f>'12 - Notes Interest'!AB24</f>
        <v>119.87</v>
      </c>
      <c r="AM18" s="778"/>
      <c r="AN18" s="772"/>
    </row>
    <row r="19" spans="1:40">
      <c r="A19" s="629"/>
      <c r="B19" s="767"/>
      <c r="C19" s="775">
        <f>'11 - Notes Follow-up'!B33</f>
        <v>45804</v>
      </c>
      <c r="D19" s="775"/>
      <c r="E19" s="776">
        <f>'12 - Notes Interest'!I25</f>
        <v>6.0000000000000001E-3</v>
      </c>
      <c r="F19" s="777"/>
      <c r="G19" s="1485">
        <f>'11 - Notes Follow-up'!G33</f>
        <v>7315831130.5600014</v>
      </c>
      <c r="H19" s="1485">
        <f>'11 - Notes Follow-up'!F33</f>
        <v>58624697.080000006</v>
      </c>
      <c r="I19" s="1485">
        <f>'12 - Notes Interest'!K25</f>
        <v>3515041.04</v>
      </c>
      <c r="J19" s="1485"/>
      <c r="K19" s="1485">
        <f>'11 - Notes Follow-up'!J33</f>
        <v>94116.080000000016</v>
      </c>
      <c r="L19" s="1485">
        <f>'11 - Notes Follow-up'!I33</f>
        <v>754.19</v>
      </c>
      <c r="M19" s="1485">
        <f>'12 - Notes Interest'!J25</f>
        <v>45.22</v>
      </c>
      <c r="N19" s="778"/>
      <c r="O19" s="775"/>
      <c r="P19" s="775"/>
      <c r="Q19" s="776"/>
      <c r="R19" s="777"/>
      <c r="S19" s="1485"/>
      <c r="T19" s="1485"/>
      <c r="U19" s="1485"/>
      <c r="V19" s="1485"/>
      <c r="W19" s="1485"/>
      <c r="X19" s="1485"/>
      <c r="Y19" s="1485"/>
      <c r="Z19" s="778"/>
      <c r="AA19" s="779"/>
      <c r="AB19" s="775">
        <f t="shared" si="1"/>
        <v>45804</v>
      </c>
      <c r="AC19" s="778"/>
      <c r="AD19" s="586">
        <f>'12 - Notes Interest'!AA25</f>
        <v>1.4999999999999999E-2</v>
      </c>
      <c r="AE19" s="778"/>
      <c r="AF19" s="1485">
        <f>'11 - Notes Follow-up'!W33</f>
        <v>385043737.31999999</v>
      </c>
      <c r="AG19" s="1485">
        <f>'11 - Notes Follow-up'!V33</f>
        <v>3085490.76</v>
      </c>
      <c r="AH19" s="1485">
        <f>'12 - Notes Interest'!AC25</f>
        <v>462559.68000000005</v>
      </c>
      <c r="AI19" s="778"/>
      <c r="AJ19" s="1485">
        <f>'11 - Notes Follow-up'!Y33</f>
        <v>94096.709999999992</v>
      </c>
      <c r="AK19" s="1485">
        <f>'11bis - Notes Calculation'!AP25</f>
        <v>754.03</v>
      </c>
      <c r="AL19" s="1485">
        <f>'12 - Notes Interest'!AB25</f>
        <v>113.04</v>
      </c>
      <c r="AM19" s="778"/>
      <c r="AN19" s="772"/>
    </row>
    <row r="20" spans="1:40">
      <c r="A20" s="629"/>
      <c r="B20" s="767"/>
      <c r="C20" s="775">
        <f>'11 - Notes Follow-up'!B34</f>
        <v>45775</v>
      </c>
      <c r="D20" s="775"/>
      <c r="E20" s="776">
        <f>'12 - Notes Interest'!I26</f>
        <v>6.0000000000000001E-3</v>
      </c>
      <c r="F20" s="777"/>
      <c r="G20" s="1485">
        <f>'11 - Notes Follow-up'!G34</f>
        <v>7374455827.6400013</v>
      </c>
      <c r="H20" s="1485">
        <f>'11 - Notes Follow-up'!F34</f>
        <v>56293514.400000006</v>
      </c>
      <c r="I20" s="1485">
        <f>'12 - Notes Interest'!K26</f>
        <v>3909142.28</v>
      </c>
      <c r="J20" s="1485"/>
      <c r="K20" s="1485">
        <f>'11 - Notes Follow-up'!J34</f>
        <v>94870.270000000019</v>
      </c>
      <c r="L20" s="1485">
        <f>'11 - Notes Follow-up'!I34</f>
        <v>724.2</v>
      </c>
      <c r="M20" s="1485">
        <f>'12 - Notes Interest'!J26</f>
        <v>50.29</v>
      </c>
      <c r="N20" s="778"/>
      <c r="O20" s="775"/>
      <c r="P20" s="775"/>
      <c r="Q20" s="776"/>
      <c r="R20" s="777"/>
      <c r="S20" s="1485"/>
      <c r="T20" s="1485"/>
      <c r="U20" s="1485"/>
      <c r="V20" s="1485"/>
      <c r="W20" s="1485"/>
      <c r="X20" s="1485"/>
      <c r="Y20" s="1485"/>
      <c r="Z20" s="778"/>
      <c r="AA20" s="779"/>
      <c r="AB20" s="775">
        <f t="shared" si="1"/>
        <v>45775</v>
      </c>
      <c r="AC20" s="778"/>
      <c r="AD20" s="586">
        <f>'12 - Notes Interest'!AA26</f>
        <v>1.4999999999999999E-2</v>
      </c>
      <c r="AE20" s="778"/>
      <c r="AF20" s="1485">
        <f>'11 - Notes Follow-up'!W34</f>
        <v>388129228.07999998</v>
      </c>
      <c r="AG20" s="1485">
        <f>'11 - Notes Follow-up'!V34</f>
        <v>2962812.5999999996</v>
      </c>
      <c r="AH20" s="1485">
        <f>'12 - Notes Interest'!AC26</f>
        <v>514323.48</v>
      </c>
      <c r="AI20" s="778"/>
      <c r="AJ20" s="1485">
        <f>'11 - Notes Follow-up'!Y34</f>
        <v>94850.739999999991</v>
      </c>
      <c r="AK20" s="1485">
        <f>'11bis - Notes Calculation'!AP26</f>
        <v>724.05</v>
      </c>
      <c r="AL20" s="1485">
        <f>'12 - Notes Interest'!AB26</f>
        <v>125.69</v>
      </c>
      <c r="AM20" s="778"/>
      <c r="AN20" s="772"/>
    </row>
    <row r="21" spans="1:40">
      <c r="A21" s="629"/>
      <c r="B21" s="767"/>
      <c r="C21" s="775">
        <f>'11 - Notes Follow-up'!B35</f>
        <v>45743</v>
      </c>
      <c r="D21" s="775"/>
      <c r="E21" s="776">
        <f>'12 - Notes Interest'!I27</f>
        <v>6.0000000000000001E-3</v>
      </c>
      <c r="F21" s="777"/>
      <c r="G21" s="1485">
        <f>'11 - Notes Follow-up'!G35</f>
        <v>7430749342.0400009</v>
      </c>
      <c r="H21" s="1485">
        <f>'11 - Notes Follow-up'!F35</f>
        <v>57244176.759999998</v>
      </c>
      <c r="I21" s="1485">
        <f>'12 - Notes Interest'!K27</f>
        <v>3446636.8800000004</v>
      </c>
      <c r="J21" s="1485"/>
      <c r="K21" s="1485">
        <f>'11 - Notes Follow-up'!J35</f>
        <v>95594.470000000016</v>
      </c>
      <c r="L21" s="1485">
        <f>'11 - Notes Follow-up'!I35</f>
        <v>736.43</v>
      </c>
      <c r="M21" s="1485">
        <f>'12 - Notes Interest'!J27</f>
        <v>44.34</v>
      </c>
      <c r="N21" s="778"/>
      <c r="O21" s="775"/>
      <c r="P21" s="775"/>
      <c r="Q21" s="776"/>
      <c r="R21" s="777"/>
      <c r="S21" s="1485"/>
      <c r="T21" s="1485"/>
      <c r="U21" s="1485"/>
      <c r="V21" s="1485"/>
      <c r="W21" s="1485"/>
      <c r="X21" s="1485"/>
      <c r="Y21" s="1485"/>
      <c r="Z21" s="778"/>
      <c r="AA21" s="779"/>
      <c r="AB21" s="775">
        <f t="shared" si="1"/>
        <v>45743</v>
      </c>
      <c r="AC21" s="778"/>
      <c r="AD21" s="586">
        <f>'12 - Notes Interest'!AA27</f>
        <v>1.4999999999999999E-2</v>
      </c>
      <c r="AE21" s="778"/>
      <c r="AF21" s="1485">
        <f>'11 - Notes Follow-up'!W35</f>
        <v>391092040.68000001</v>
      </c>
      <c r="AG21" s="1485">
        <f>'11 - Notes Follow-up'!V35</f>
        <v>3012857.76</v>
      </c>
      <c r="AH21" s="1485">
        <f>'12 - Notes Interest'!AC27</f>
        <v>453475.43999999994</v>
      </c>
      <c r="AI21" s="778"/>
      <c r="AJ21" s="1485">
        <f>'11 - Notes Follow-up'!Y35</f>
        <v>95574.790000000008</v>
      </c>
      <c r="AK21" s="1485">
        <f>'11bis - Notes Calculation'!AP27</f>
        <v>736.28</v>
      </c>
      <c r="AL21" s="1485">
        <f>'12 - Notes Interest'!AB27</f>
        <v>110.82</v>
      </c>
      <c r="AM21" s="778"/>
      <c r="AN21" s="772"/>
    </row>
    <row r="22" spans="1:40">
      <c r="A22" s="629"/>
      <c r="B22" s="767"/>
      <c r="C22" s="775">
        <f>'11 - Notes Follow-up'!B36</f>
        <v>45715</v>
      </c>
      <c r="D22" s="775"/>
      <c r="E22" s="776">
        <f>'12 - Notes Interest'!I28</f>
        <v>6.0000000000000001E-3</v>
      </c>
      <c r="F22" s="777"/>
      <c r="G22" s="1485">
        <f>'11 - Notes Follow-up'!G36</f>
        <v>7487993518.8000011</v>
      </c>
      <c r="H22" s="1485">
        <f>'11 - Notes Follow-up'!F36</f>
        <v>57126801.439999998</v>
      </c>
      <c r="I22" s="1485">
        <f>'12 - Notes Interest'!K28</f>
        <v>3844624.72</v>
      </c>
      <c r="J22" s="1485"/>
      <c r="K22" s="1485">
        <f>'11 - Notes Follow-up'!J36</f>
        <v>96330.900000000009</v>
      </c>
      <c r="L22" s="1485">
        <f>'11 - Notes Follow-up'!I36</f>
        <v>734.92</v>
      </c>
      <c r="M22" s="1485">
        <f>'12 - Notes Interest'!J28</f>
        <v>49.46</v>
      </c>
      <c r="N22" s="778"/>
      <c r="O22" s="775"/>
      <c r="P22" s="775"/>
      <c r="Q22" s="776"/>
      <c r="R22" s="777"/>
      <c r="S22" s="1485"/>
      <c r="T22" s="1485"/>
      <c r="U22" s="1485"/>
      <c r="V22" s="1485"/>
      <c r="W22" s="1485"/>
      <c r="X22" s="1485"/>
      <c r="Y22" s="1485"/>
      <c r="Z22" s="778"/>
      <c r="AA22" s="779"/>
      <c r="AB22" s="775">
        <f t="shared" si="1"/>
        <v>45715</v>
      </c>
      <c r="AC22" s="778"/>
      <c r="AD22" s="586">
        <f>'12 - Notes Interest'!AA28</f>
        <v>1.4999999999999999E-2</v>
      </c>
      <c r="AE22" s="778"/>
      <c r="AF22" s="1485">
        <f>'11 - Notes Follow-up'!W36</f>
        <v>394104898.44</v>
      </c>
      <c r="AG22" s="1485">
        <f>'11 - Notes Follow-up'!V36</f>
        <v>3006719.76</v>
      </c>
      <c r="AH22" s="1485">
        <f>'12 - Notes Interest'!AC28</f>
        <v>505893.95999999996</v>
      </c>
      <c r="AI22" s="778"/>
      <c r="AJ22" s="1485">
        <f>'11 - Notes Follow-up'!Y36</f>
        <v>96311.069999999992</v>
      </c>
      <c r="AK22" s="1485">
        <f>'11bis - Notes Calculation'!AP28</f>
        <v>734.78</v>
      </c>
      <c r="AL22" s="1485">
        <f>'12 - Notes Interest'!AB28</f>
        <v>123.63</v>
      </c>
      <c r="AM22" s="778"/>
      <c r="AN22" s="772"/>
    </row>
    <row r="23" spans="1:40">
      <c r="A23" s="629"/>
      <c r="B23" s="767"/>
      <c r="C23" s="775">
        <f>'11 - Notes Follow-up'!B37</f>
        <v>45684</v>
      </c>
      <c r="D23" s="775"/>
      <c r="E23" s="776">
        <f>'12 - Notes Interest'!I29</f>
        <v>6.0000000000000001E-3</v>
      </c>
      <c r="F23" s="777"/>
      <c r="G23" s="1485">
        <f>'11 - Notes Follow-up'!G37</f>
        <v>7545120320.2400007</v>
      </c>
      <c r="H23" s="1485">
        <f>'11 - Notes Follow-up'!F37</f>
        <v>114424613.28</v>
      </c>
      <c r="I23" s="1485">
        <f>'12 - Notes Interest'!K29</f>
        <v>3902923.72</v>
      </c>
      <c r="J23" s="1485"/>
      <c r="K23" s="1485">
        <f>'11 - Notes Follow-up'!J37</f>
        <v>97065.82</v>
      </c>
      <c r="L23" s="1485">
        <f>'11 - Notes Follow-up'!I37</f>
        <v>1472.04</v>
      </c>
      <c r="M23" s="1485">
        <f>'12 - Notes Interest'!J29</f>
        <v>50.21</v>
      </c>
      <c r="N23" s="778"/>
      <c r="O23" s="775"/>
      <c r="P23" s="775"/>
      <c r="Q23" s="776"/>
      <c r="R23" s="777"/>
      <c r="S23" s="1485"/>
      <c r="T23" s="1485"/>
      <c r="U23" s="1485"/>
      <c r="V23" s="1485"/>
      <c r="W23" s="1485"/>
      <c r="X23" s="1485"/>
      <c r="Y23" s="1485"/>
      <c r="Z23" s="778"/>
      <c r="AA23" s="779"/>
      <c r="AB23" s="775">
        <f t="shared" si="1"/>
        <v>45684</v>
      </c>
      <c r="AC23" s="778"/>
      <c r="AD23" s="586">
        <f>'12 - Notes Interest'!AA29</f>
        <v>1.4999999999999999E-2</v>
      </c>
      <c r="AE23" s="778"/>
      <c r="AF23" s="1485">
        <f>'11 - Notes Follow-up'!W37</f>
        <v>397111618.19999999</v>
      </c>
      <c r="AG23" s="1485">
        <f>'11 - Notes Follow-up'!V37</f>
        <v>6022319.1600000001</v>
      </c>
      <c r="AH23" s="1485">
        <f>'12 - Notes Interest'!AC29</f>
        <v>513586.92000000004</v>
      </c>
      <c r="AI23" s="778"/>
      <c r="AJ23" s="1485">
        <f>'11 - Notes Follow-up'!Y37</f>
        <v>97045.849999999991</v>
      </c>
      <c r="AK23" s="1485">
        <f>'11bis - Notes Calculation'!AP29</f>
        <v>1471.73</v>
      </c>
      <c r="AL23" s="1485">
        <f>'12 - Notes Interest'!AB29</f>
        <v>125.51</v>
      </c>
      <c r="AM23" s="778"/>
      <c r="AN23" s="772"/>
    </row>
    <row r="24" spans="1:40">
      <c r="A24" s="629"/>
      <c r="B24" s="767"/>
      <c r="C24" s="775">
        <f>'11 - Notes Follow-up'!B38</f>
        <v>45653</v>
      </c>
      <c r="D24" s="775"/>
      <c r="E24" s="776">
        <f>'12 - Notes Interest'!I30</f>
        <v>6.0000000000000001E-3</v>
      </c>
      <c r="F24" s="777"/>
      <c r="G24" s="1485">
        <f>'11 - Notes Follow-up'!G38</f>
        <v>7659544933.5200005</v>
      </c>
      <c r="H24" s="1485">
        <f>'11 - Notes Follow-up'!F38</f>
        <v>55214594.240000002</v>
      </c>
      <c r="I24" s="1485">
        <f>'12 - Notes Interest'!K30</f>
        <v>3804204.0799999996</v>
      </c>
      <c r="J24" s="1485"/>
      <c r="K24" s="1485">
        <f>'11 - Notes Follow-up'!J38</f>
        <v>98537.86</v>
      </c>
      <c r="L24" s="1485">
        <f>'11 - Notes Follow-up'!I38</f>
        <v>710.32</v>
      </c>
      <c r="M24" s="1485">
        <f>'12 - Notes Interest'!J30</f>
        <v>48.94</v>
      </c>
      <c r="N24" s="778"/>
      <c r="O24" s="775"/>
      <c r="P24" s="775"/>
      <c r="Q24" s="776"/>
      <c r="R24" s="777"/>
      <c r="S24" s="1485"/>
      <c r="T24" s="1485"/>
      <c r="U24" s="1485"/>
      <c r="V24" s="1485"/>
      <c r="W24" s="1485"/>
      <c r="X24" s="1485"/>
      <c r="Y24" s="1485"/>
      <c r="Z24" s="778"/>
      <c r="AA24" s="779"/>
      <c r="AB24" s="775">
        <f t="shared" si="1"/>
        <v>45653</v>
      </c>
      <c r="AC24" s="778"/>
      <c r="AD24" s="586">
        <f>'12 - Notes Interest'!AA30</f>
        <v>1.4999999999999999E-2</v>
      </c>
      <c r="AE24" s="778"/>
      <c r="AF24" s="1485">
        <f>'11 - Notes Follow-up'!W38</f>
        <v>403133937.36000001</v>
      </c>
      <c r="AG24" s="1485">
        <f>'11 - Notes Follow-up'!V38</f>
        <v>2906015.6399999997</v>
      </c>
      <c r="AH24" s="1485">
        <f>'12 - Notes Interest'!AC30</f>
        <v>500615.28</v>
      </c>
      <c r="AI24" s="778"/>
      <c r="AJ24" s="1485">
        <f>'11 - Notes Follow-up'!Y38</f>
        <v>98517.58</v>
      </c>
      <c r="AK24" s="1485">
        <f>'11bis - Notes Calculation'!AP30</f>
        <v>710.17</v>
      </c>
      <c r="AL24" s="1485">
        <f>'12 - Notes Interest'!AB30</f>
        <v>122.34</v>
      </c>
      <c r="AM24" s="778"/>
      <c r="AN24" s="772"/>
    </row>
    <row r="25" spans="1:40">
      <c r="A25" s="629"/>
      <c r="B25" s="767"/>
      <c r="C25" s="775">
        <f>'11 - Notes Follow-up'!B39</f>
        <v>45623</v>
      </c>
      <c r="D25" s="775"/>
      <c r="E25" s="776">
        <f>'12 - Notes Interest'!I31</f>
        <v>6.0000000000000001E-3</v>
      </c>
      <c r="F25" s="777"/>
      <c r="G25" s="1485">
        <f>'11 - Notes Follow-up'!G39</f>
        <v>7714759527.7600002</v>
      </c>
      <c r="H25" s="1485">
        <f>'11 - Notes Follow-up'!F39</f>
        <v>58440472.240000002</v>
      </c>
      <c r="I25" s="1485">
        <f>'12 - Notes Interest'!K31</f>
        <v>4471921.96</v>
      </c>
      <c r="J25" s="1485"/>
      <c r="K25" s="1485">
        <f>'11 - Notes Follow-up'!J39</f>
        <v>99248.180000000008</v>
      </c>
      <c r="L25" s="1485">
        <f>'11 - Notes Follow-up'!I39</f>
        <v>751.82</v>
      </c>
      <c r="M25" s="1485">
        <f>'12 - Notes Interest'!J31</f>
        <v>57.53</v>
      </c>
      <c r="N25" s="778"/>
      <c r="O25" s="775"/>
      <c r="P25" s="775"/>
      <c r="Q25" s="776"/>
      <c r="R25" s="777"/>
      <c r="S25" s="1485"/>
      <c r="T25" s="1485"/>
      <c r="U25" s="1485"/>
      <c r="V25" s="1485"/>
      <c r="W25" s="1485"/>
      <c r="X25" s="1485"/>
      <c r="Y25" s="1485"/>
      <c r="Z25" s="778"/>
      <c r="AA25" s="779"/>
      <c r="AB25" s="775">
        <f t="shared" si="1"/>
        <v>45623</v>
      </c>
      <c r="AC25" s="778"/>
      <c r="AD25" s="586">
        <f>'12 - Notes Interest'!AA31</f>
        <v>1.4999999999999999E-2</v>
      </c>
      <c r="AE25" s="778"/>
      <c r="AF25" s="1485">
        <f>'11 - Notes Follow-up'!W39</f>
        <v>406039953</v>
      </c>
      <c r="AG25" s="1485">
        <f>'11 - Notes Follow-up'!V39</f>
        <v>3160047</v>
      </c>
      <c r="AH25" s="1485">
        <f>'12 - Notes Interest'!AC31</f>
        <v>588593.28</v>
      </c>
      <c r="AI25" s="778"/>
      <c r="AJ25" s="1485">
        <f>'11 - Notes Follow-up'!Y39</f>
        <v>99227.75</v>
      </c>
      <c r="AK25" s="1485">
        <f>'11bis - Notes Calculation'!AP31</f>
        <v>772.25</v>
      </c>
      <c r="AL25" s="1485">
        <f>'12 - Notes Interest'!AB31</f>
        <v>143.84</v>
      </c>
      <c r="AM25" s="778"/>
      <c r="AN25" s="772"/>
    </row>
    <row r="26" spans="1:40">
      <c r="A26" s="629"/>
      <c r="B26" s="767"/>
      <c r="C26" s="775">
        <f>'11 - Notes Follow-up'!B40</f>
        <v>45588</v>
      </c>
      <c r="D26" s="775"/>
      <c r="E26" s="776" t="str">
        <f>'12 - Notes Interest'!I32</f>
        <v/>
      </c>
      <c r="F26" s="777"/>
      <c r="G26" s="1485">
        <f>'11 - Notes Follow-up'!G40</f>
        <v>7773200000</v>
      </c>
      <c r="H26" s="1485">
        <f>'11 - Notes Follow-up'!F40</f>
        <v>0</v>
      </c>
      <c r="I26" s="1485" t="str">
        <f>'12 - Notes Interest'!K32</f>
        <v/>
      </c>
      <c r="J26" s="1485"/>
      <c r="K26" s="1485">
        <f>'11 - Notes Follow-up'!J40</f>
        <v>100000</v>
      </c>
      <c r="L26" s="1485">
        <f>'11 - Notes Follow-up'!I40</f>
        <v>0</v>
      </c>
      <c r="M26" s="1485" t="str">
        <f>'12 - Notes Interest'!J32</f>
        <v/>
      </c>
      <c r="N26" s="778"/>
      <c r="O26" s="775"/>
      <c r="P26" s="775"/>
      <c r="Q26" s="776"/>
      <c r="R26" s="777"/>
      <c r="S26" s="1485"/>
      <c r="T26" s="1485"/>
      <c r="U26" s="1485"/>
      <c r="V26" s="1485"/>
      <c r="W26" s="1485"/>
      <c r="X26" s="1485"/>
      <c r="Y26" s="1485"/>
      <c r="Z26" s="778"/>
      <c r="AA26" s="779"/>
      <c r="AB26" s="775">
        <f t="shared" si="1"/>
        <v>45588</v>
      </c>
      <c r="AC26" s="778"/>
      <c r="AD26" s="586" t="str">
        <f>'12 - Notes Interest'!AA32</f>
        <v/>
      </c>
      <c r="AE26" s="778"/>
      <c r="AF26" s="1485">
        <f>'11 - Notes Follow-up'!W40</f>
        <v>409200000</v>
      </c>
      <c r="AG26" s="1485">
        <f>'11 - Notes Follow-up'!V40</f>
        <v>0</v>
      </c>
      <c r="AH26" s="1485" t="str">
        <f>'12 - Notes Interest'!AC32</f>
        <v/>
      </c>
      <c r="AI26" s="778"/>
      <c r="AJ26" s="1485">
        <f>'11 - Notes Follow-up'!Y40</f>
        <v>100000</v>
      </c>
      <c r="AK26" s="1485">
        <f>'11bis - Notes Calculation'!AP32</f>
        <v>0</v>
      </c>
      <c r="AL26" s="1485" t="str">
        <f>'12 - Notes Interest'!AB32</f>
        <v/>
      </c>
      <c r="AM26" s="778"/>
      <c r="AN26" s="772"/>
    </row>
    <row r="27" spans="1:40">
      <c r="A27" s="629"/>
      <c r="B27" s="767"/>
      <c r="C27" s="775" t="str">
        <f>'11 - Notes Follow-up'!B41</f>
        <v/>
      </c>
      <c r="D27" s="775"/>
      <c r="E27" s="776" t="str">
        <f>'12 - Notes Interest'!I33</f>
        <v/>
      </c>
      <c r="F27" s="777"/>
      <c r="G27" s="1485" t="str">
        <f>'11 - Notes Follow-up'!G41</f>
        <v/>
      </c>
      <c r="H27" s="1485" t="str">
        <f>'11 - Notes Follow-up'!F41</f>
        <v/>
      </c>
      <c r="I27" s="1485" t="str">
        <f>'12 - Notes Interest'!K33</f>
        <v/>
      </c>
      <c r="J27" s="1485"/>
      <c r="K27" s="1485" t="str">
        <f>'11 - Notes Follow-up'!J41</f>
        <v/>
      </c>
      <c r="L27" s="1485" t="str">
        <f>'11 - Notes Follow-up'!I41</f>
        <v/>
      </c>
      <c r="M27" s="1485" t="str">
        <f>'12 - Notes Interest'!J33</f>
        <v/>
      </c>
      <c r="N27" s="778"/>
      <c r="O27" s="775"/>
      <c r="P27" s="775"/>
      <c r="Q27" s="776"/>
      <c r="R27" s="777"/>
      <c r="S27" s="1485"/>
      <c r="T27" s="1485"/>
      <c r="U27" s="1485"/>
      <c r="V27" s="1485"/>
      <c r="W27" s="1485"/>
      <c r="X27" s="1485"/>
      <c r="Y27" s="1485"/>
      <c r="Z27" s="778"/>
      <c r="AA27" s="779"/>
      <c r="AB27" s="775" t="str">
        <f t="shared" si="1"/>
        <v/>
      </c>
      <c r="AC27" s="778"/>
      <c r="AD27" s="586" t="str">
        <f>'12 - Notes Interest'!AA33</f>
        <v/>
      </c>
      <c r="AE27" s="778"/>
      <c r="AF27" s="1485" t="str">
        <f>'11 - Notes Follow-up'!W41</f>
        <v/>
      </c>
      <c r="AG27" s="1485" t="str">
        <f>'11 - Notes Follow-up'!V41</f>
        <v/>
      </c>
      <c r="AH27" s="1485" t="str">
        <f>'12 - Notes Interest'!AC33</f>
        <v/>
      </c>
      <c r="AI27" s="778"/>
      <c r="AJ27" s="1485" t="str">
        <f>'11 - Notes Follow-up'!Y41</f>
        <v/>
      </c>
      <c r="AK27" s="1485" t="str">
        <f>'11bis - Notes Calculation'!AP33</f>
        <v/>
      </c>
      <c r="AL27" s="1485" t="str">
        <f>'12 - Notes Interest'!AB33</f>
        <v/>
      </c>
      <c r="AM27" s="778"/>
      <c r="AN27" s="772"/>
    </row>
    <row r="28" spans="1:40">
      <c r="A28" s="629"/>
      <c r="B28" s="767"/>
      <c r="C28" s="775" t="str">
        <f>'11 - Notes Follow-up'!B42</f>
        <v/>
      </c>
      <c r="D28" s="775"/>
      <c r="E28" s="776" t="str">
        <f>'12 - Notes Interest'!I34</f>
        <v/>
      </c>
      <c r="F28" s="777"/>
      <c r="G28" s="1485" t="str">
        <f>'11 - Notes Follow-up'!G42</f>
        <v/>
      </c>
      <c r="H28" s="1485" t="str">
        <f>'11 - Notes Follow-up'!F42</f>
        <v/>
      </c>
      <c r="I28" s="1485" t="str">
        <f>'12 - Notes Interest'!K34</f>
        <v/>
      </c>
      <c r="J28" s="1485"/>
      <c r="K28" s="1485" t="str">
        <f>'11 - Notes Follow-up'!J42</f>
        <v/>
      </c>
      <c r="L28" s="1485" t="str">
        <f>'11 - Notes Follow-up'!I42</f>
        <v/>
      </c>
      <c r="M28" s="1485" t="str">
        <f>'12 - Notes Interest'!J34</f>
        <v/>
      </c>
      <c r="N28" s="778"/>
      <c r="O28" s="775"/>
      <c r="P28" s="775"/>
      <c r="Q28" s="776"/>
      <c r="R28" s="777"/>
      <c r="S28" s="1485"/>
      <c r="T28" s="1485"/>
      <c r="U28" s="1485"/>
      <c r="V28" s="1485"/>
      <c r="W28" s="1485"/>
      <c r="X28" s="1485"/>
      <c r="Y28" s="1485"/>
      <c r="Z28" s="778"/>
      <c r="AA28" s="779"/>
      <c r="AB28" s="775" t="str">
        <f t="shared" si="1"/>
        <v/>
      </c>
      <c r="AC28" s="778"/>
      <c r="AD28" s="586" t="str">
        <f>'12 - Notes Interest'!AA34</f>
        <v/>
      </c>
      <c r="AE28" s="778"/>
      <c r="AF28" s="1485" t="str">
        <f>'11 - Notes Follow-up'!W42</f>
        <v/>
      </c>
      <c r="AG28" s="1485" t="str">
        <f>'11 - Notes Follow-up'!V42</f>
        <v/>
      </c>
      <c r="AH28" s="1485" t="str">
        <f>'12 - Notes Interest'!AC34</f>
        <v/>
      </c>
      <c r="AI28" s="778"/>
      <c r="AJ28" s="1485" t="str">
        <f>'11 - Notes Follow-up'!Y42</f>
        <v/>
      </c>
      <c r="AK28" s="1485" t="str">
        <f>'11bis - Notes Calculation'!AP34</f>
        <v/>
      </c>
      <c r="AL28" s="1485" t="str">
        <f>'12 - Notes Interest'!AB34</f>
        <v/>
      </c>
      <c r="AM28" s="778"/>
      <c r="AN28" s="772"/>
    </row>
    <row r="29" spans="1:40">
      <c r="A29" s="629"/>
      <c r="B29" s="767"/>
      <c r="C29" s="775" t="str">
        <f>'11 - Notes Follow-up'!B43</f>
        <v/>
      </c>
      <c r="D29" s="775"/>
      <c r="E29" s="776" t="str">
        <f>'12 - Notes Interest'!I35</f>
        <v/>
      </c>
      <c r="F29" s="777"/>
      <c r="G29" s="1485" t="str">
        <f>'11 - Notes Follow-up'!G43</f>
        <v/>
      </c>
      <c r="H29" s="1485" t="str">
        <f>'11 - Notes Follow-up'!F43</f>
        <v/>
      </c>
      <c r="I29" s="1485" t="str">
        <f>'12 - Notes Interest'!K35</f>
        <v/>
      </c>
      <c r="J29" s="1485"/>
      <c r="K29" s="1485" t="str">
        <f>'11 - Notes Follow-up'!J43</f>
        <v/>
      </c>
      <c r="L29" s="1485" t="str">
        <f>'11 - Notes Follow-up'!I43</f>
        <v/>
      </c>
      <c r="M29" s="1485" t="str">
        <f>'12 - Notes Interest'!J35</f>
        <v/>
      </c>
      <c r="N29" s="778"/>
      <c r="O29" s="775"/>
      <c r="P29" s="775"/>
      <c r="Q29" s="776"/>
      <c r="R29" s="777"/>
      <c r="S29" s="1485"/>
      <c r="T29" s="1485"/>
      <c r="U29" s="1485"/>
      <c r="V29" s="1485"/>
      <c r="W29" s="1485"/>
      <c r="X29" s="1485"/>
      <c r="Y29" s="1485"/>
      <c r="Z29" s="778"/>
      <c r="AA29" s="779"/>
      <c r="AB29" s="775" t="str">
        <f t="shared" si="1"/>
        <v/>
      </c>
      <c r="AC29" s="778"/>
      <c r="AD29" s="586" t="str">
        <f>'12 - Notes Interest'!AA35</f>
        <v/>
      </c>
      <c r="AE29" s="778"/>
      <c r="AF29" s="1485" t="str">
        <f>'11 - Notes Follow-up'!W43</f>
        <v/>
      </c>
      <c r="AG29" s="1485" t="str">
        <f>'11 - Notes Follow-up'!V43</f>
        <v/>
      </c>
      <c r="AH29" s="1485" t="str">
        <f>'12 - Notes Interest'!AC35</f>
        <v/>
      </c>
      <c r="AI29" s="778"/>
      <c r="AJ29" s="1485" t="str">
        <f>'11 - Notes Follow-up'!Y43</f>
        <v/>
      </c>
      <c r="AK29" s="1485" t="str">
        <f>'11bis - Notes Calculation'!AP35</f>
        <v/>
      </c>
      <c r="AL29" s="1485" t="str">
        <f>'12 - Notes Interest'!AB35</f>
        <v/>
      </c>
      <c r="AM29" s="778"/>
      <c r="AN29" s="772"/>
    </row>
    <row r="30" spans="1:40">
      <c r="A30" s="629"/>
      <c r="B30" s="767"/>
      <c r="C30" s="775" t="str">
        <f>'11 - Notes Follow-up'!B44</f>
        <v/>
      </c>
      <c r="D30" s="775"/>
      <c r="E30" s="776" t="str">
        <f>'12 - Notes Interest'!I36</f>
        <v/>
      </c>
      <c r="F30" s="777"/>
      <c r="G30" s="1485" t="str">
        <f>'11 - Notes Follow-up'!G44</f>
        <v/>
      </c>
      <c r="H30" s="1485" t="str">
        <f>'11 - Notes Follow-up'!F44</f>
        <v/>
      </c>
      <c r="I30" s="1485" t="str">
        <f>'12 - Notes Interest'!K36</f>
        <v/>
      </c>
      <c r="J30" s="1485"/>
      <c r="K30" s="1485" t="str">
        <f>'11 - Notes Follow-up'!J44</f>
        <v/>
      </c>
      <c r="L30" s="1485" t="str">
        <f>'11 - Notes Follow-up'!I44</f>
        <v/>
      </c>
      <c r="M30" s="1485" t="str">
        <f>'12 - Notes Interest'!J36</f>
        <v/>
      </c>
      <c r="N30" s="778"/>
      <c r="O30" s="775"/>
      <c r="P30" s="775"/>
      <c r="Q30" s="776"/>
      <c r="R30" s="777"/>
      <c r="S30" s="1485"/>
      <c r="T30" s="1485"/>
      <c r="U30" s="1485"/>
      <c r="V30" s="1485"/>
      <c r="W30" s="1485"/>
      <c r="X30" s="1485"/>
      <c r="Y30" s="1485"/>
      <c r="Z30" s="778"/>
      <c r="AA30" s="779"/>
      <c r="AB30" s="775" t="str">
        <f t="shared" si="1"/>
        <v/>
      </c>
      <c r="AC30" s="778"/>
      <c r="AD30" s="586" t="str">
        <f>'12 - Notes Interest'!AA36</f>
        <v/>
      </c>
      <c r="AE30" s="778"/>
      <c r="AF30" s="1485" t="str">
        <f>'11 - Notes Follow-up'!W44</f>
        <v/>
      </c>
      <c r="AG30" s="1485" t="str">
        <f>'11 - Notes Follow-up'!V44</f>
        <v/>
      </c>
      <c r="AH30" s="1485" t="str">
        <f>'12 - Notes Interest'!AC36</f>
        <v/>
      </c>
      <c r="AI30" s="778"/>
      <c r="AJ30" s="1485" t="str">
        <f>'11 - Notes Follow-up'!Y44</f>
        <v/>
      </c>
      <c r="AK30" s="1485" t="str">
        <f>'11bis - Notes Calculation'!AP36</f>
        <v/>
      </c>
      <c r="AL30" s="1485" t="str">
        <f>'12 - Notes Interest'!AB36</f>
        <v/>
      </c>
      <c r="AM30" s="778"/>
      <c r="AN30" s="772"/>
    </row>
    <row r="31" spans="1:40">
      <c r="A31" s="629"/>
      <c r="B31" s="767"/>
      <c r="C31" s="775" t="str">
        <f>'11 - Notes Follow-up'!B45</f>
        <v/>
      </c>
      <c r="D31" s="775"/>
      <c r="E31" s="776" t="str">
        <f>'12 - Notes Interest'!I37</f>
        <v/>
      </c>
      <c r="F31" s="777"/>
      <c r="G31" s="1485" t="str">
        <f>'11 - Notes Follow-up'!G45</f>
        <v/>
      </c>
      <c r="H31" s="1485" t="str">
        <f>'11 - Notes Follow-up'!F45</f>
        <v/>
      </c>
      <c r="I31" s="1485" t="str">
        <f>'12 - Notes Interest'!K37</f>
        <v/>
      </c>
      <c r="J31" s="1485"/>
      <c r="K31" s="1485" t="str">
        <f>'11 - Notes Follow-up'!J45</f>
        <v/>
      </c>
      <c r="L31" s="1485" t="str">
        <f>'11 - Notes Follow-up'!I45</f>
        <v/>
      </c>
      <c r="M31" s="1485" t="str">
        <f>'12 - Notes Interest'!J37</f>
        <v/>
      </c>
      <c r="N31" s="778"/>
      <c r="O31" s="775"/>
      <c r="P31" s="775"/>
      <c r="Q31" s="776"/>
      <c r="R31" s="777"/>
      <c r="S31" s="1485"/>
      <c r="T31" s="1485"/>
      <c r="U31" s="1485"/>
      <c r="V31" s="1485"/>
      <c r="W31" s="1485"/>
      <c r="X31" s="1485"/>
      <c r="Y31" s="1485"/>
      <c r="Z31" s="778"/>
      <c r="AA31" s="779"/>
      <c r="AB31" s="775" t="str">
        <f t="shared" si="1"/>
        <v/>
      </c>
      <c r="AC31" s="778"/>
      <c r="AD31" s="586" t="str">
        <f>'12 - Notes Interest'!AA37</f>
        <v/>
      </c>
      <c r="AE31" s="778"/>
      <c r="AF31" s="1485" t="str">
        <f>'11 - Notes Follow-up'!W45</f>
        <v/>
      </c>
      <c r="AG31" s="1485" t="str">
        <f>'11 - Notes Follow-up'!V45</f>
        <v/>
      </c>
      <c r="AH31" s="1485" t="str">
        <f>'12 - Notes Interest'!AC37</f>
        <v/>
      </c>
      <c r="AI31" s="778"/>
      <c r="AJ31" s="1485" t="str">
        <f>'11 - Notes Follow-up'!Y45</f>
        <v/>
      </c>
      <c r="AK31" s="1485" t="str">
        <f>'11bis - Notes Calculation'!AP37</f>
        <v/>
      </c>
      <c r="AL31" s="1485" t="str">
        <f>'12 - Notes Interest'!AB37</f>
        <v/>
      </c>
      <c r="AM31" s="778"/>
      <c r="AN31" s="772"/>
    </row>
    <row r="32" spans="1:40">
      <c r="A32" s="629"/>
      <c r="B32" s="767"/>
      <c r="C32" s="775" t="str">
        <f>'11 - Notes Follow-up'!B46</f>
        <v/>
      </c>
      <c r="D32" s="775"/>
      <c r="E32" s="776" t="str">
        <f>'12 - Notes Interest'!I38</f>
        <v/>
      </c>
      <c r="F32" s="777"/>
      <c r="G32" s="1485" t="str">
        <f>'11 - Notes Follow-up'!G46</f>
        <v/>
      </c>
      <c r="H32" s="1485" t="str">
        <f>'11 - Notes Follow-up'!F46</f>
        <v/>
      </c>
      <c r="I32" s="1485" t="str">
        <f>'12 - Notes Interest'!K38</f>
        <v/>
      </c>
      <c r="J32" s="1485"/>
      <c r="K32" s="1485" t="str">
        <f>'11 - Notes Follow-up'!J46</f>
        <v/>
      </c>
      <c r="L32" s="1485" t="str">
        <f>'11 - Notes Follow-up'!I46</f>
        <v/>
      </c>
      <c r="M32" s="1485" t="str">
        <f>'12 - Notes Interest'!J38</f>
        <v/>
      </c>
      <c r="N32" s="778"/>
      <c r="O32" s="775"/>
      <c r="P32" s="775"/>
      <c r="Q32" s="776"/>
      <c r="R32" s="777"/>
      <c r="S32" s="1485"/>
      <c r="T32" s="1485"/>
      <c r="U32" s="1485"/>
      <c r="V32" s="1485"/>
      <c r="W32" s="1485"/>
      <c r="X32" s="1485"/>
      <c r="Y32" s="1485"/>
      <c r="Z32" s="778"/>
      <c r="AA32" s="779"/>
      <c r="AB32" s="775" t="str">
        <f t="shared" si="1"/>
        <v/>
      </c>
      <c r="AC32" s="778"/>
      <c r="AD32" s="586" t="str">
        <f>'12 - Notes Interest'!AA38</f>
        <v/>
      </c>
      <c r="AE32" s="778"/>
      <c r="AF32" s="1485" t="str">
        <f>'11 - Notes Follow-up'!W46</f>
        <v/>
      </c>
      <c r="AG32" s="1485" t="str">
        <f>'11 - Notes Follow-up'!V46</f>
        <v/>
      </c>
      <c r="AH32" s="1485" t="str">
        <f>'12 - Notes Interest'!AC38</f>
        <v/>
      </c>
      <c r="AI32" s="778"/>
      <c r="AJ32" s="1485" t="str">
        <f>'11 - Notes Follow-up'!Y46</f>
        <v/>
      </c>
      <c r="AK32" s="1485" t="str">
        <f>'11bis - Notes Calculation'!AP38</f>
        <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5"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3">IF(C36="","",1.5%)</f>
        <v/>
      </c>
      <c r="AE36" s="782"/>
      <c r="AF36" s="782" t="s">
        <v>143</v>
      </c>
      <c r="AG36" s="782" t="s">
        <v>143</v>
      </c>
      <c r="AH36" s="782" t="s">
        <v>143</v>
      </c>
      <c r="AI36" s="782"/>
      <c r="AJ36" s="782" t="s">
        <v>143</v>
      </c>
      <c r="AK36" s="782" t="s">
        <v>143</v>
      </c>
      <c r="AL36" s="782" t="s">
        <v>143</v>
      </c>
      <c r="AM36" s="782"/>
      <c r="AN36" s="784"/>
    </row>
    <row r="37" spans="1:40" ht="13.5" thickTop="1">
      <c r="I37" s="592" t="s">
        <v>143</v>
      </c>
      <c r="M37" s="592" t="s">
        <v>143</v>
      </c>
      <c r="U37" s="592" t="s">
        <v>143</v>
      </c>
      <c r="Y37" s="592" t="s">
        <v>143</v>
      </c>
      <c r="AD37" s="592" t="str">
        <f t="shared" si="3"/>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3"/>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3"/>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3"/>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3"/>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3"/>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3"/>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3"/>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3"/>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3"/>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3"/>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3"/>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3"/>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3"/>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3"/>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3"/>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3"/>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3"/>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3"/>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3"/>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3"/>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3"/>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3"/>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3"/>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3"/>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3"/>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3"/>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3"/>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3"/>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3"/>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3"/>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3"/>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3"/>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3"/>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3"/>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3"/>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3"/>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3"/>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3"/>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3"/>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4">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4"/>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4"/>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4"/>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4"/>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4"/>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4"/>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4"/>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4"/>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4"/>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4"/>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4"/>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4"/>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4"/>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4"/>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4"/>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4"/>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4"/>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4"/>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4"/>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4"/>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4"/>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4"/>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4"/>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4"/>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4"/>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4"/>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4"/>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4"/>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4"/>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4"/>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4"/>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4"/>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4"/>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4"/>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4"/>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4"/>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4"/>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4"/>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4"/>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4"/>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4"/>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4"/>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4"/>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4"/>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4"/>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4"/>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4"/>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4"/>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4"/>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4"/>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4"/>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4"/>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4"/>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4"/>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4"/>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4"/>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4"/>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4"/>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4"/>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4"/>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4"/>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4"/>
        <v/>
      </c>
      <c r="AF139" s="592" t="s">
        <v>143</v>
      </c>
      <c r="AG139" s="592" t="s">
        <v>143</v>
      </c>
      <c r="AH139" s="592" t="s">
        <v>143</v>
      </c>
      <c r="AJ139" s="592" t="s">
        <v>143</v>
      </c>
      <c r="AK139" s="592" t="s">
        <v>143</v>
      </c>
      <c r="AL139" s="592" t="s">
        <v>143</v>
      </c>
    </row>
    <row r="140" spans="9:38">
      <c r="M140" s="592" t="s">
        <v>143</v>
      </c>
      <c r="Y140" s="592" t="s">
        <v>143</v>
      </c>
      <c r="AD140" s="592" t="str">
        <f t="shared" si="4"/>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85" zoomScaleNormal="85" workbookViewId="0"/>
  </sheetViews>
  <sheetFormatPr defaultColWidth="11.42578125" defaultRowHeight="12.75"/>
  <cols>
    <col min="1" max="1" width="2.7109375" style="592" customWidth="1"/>
    <col min="2" max="2" width="4.5703125" style="592" bestFit="1" customWidth="1"/>
    <col min="3" max="4" width="55" style="592" customWidth="1"/>
    <col min="5" max="5" width="24.28515625" style="592" customWidth="1"/>
    <col min="6" max="6" width="13.7109375" style="592" customWidth="1"/>
    <col min="7" max="7" width="6.42578125" style="592" customWidth="1"/>
    <col min="8" max="8" width="5.42578125" style="592" customWidth="1"/>
    <col min="9" max="9" width="18" style="592" bestFit="1" customWidth="1"/>
    <col min="10" max="11" width="11.42578125" style="592"/>
    <col min="12" max="12" width="13.140625" style="592" bestFit="1" customWidth="1"/>
    <col min="13" max="16384" width="11.42578125" style="592"/>
  </cols>
  <sheetData>
    <row r="1" spans="1:7" ht="15" thickBot="1">
      <c r="A1" s="785" t="s">
        <v>203</v>
      </c>
      <c r="B1" s="596"/>
      <c r="C1" s="596"/>
      <c r="D1" s="596"/>
      <c r="E1" s="596"/>
      <c r="F1" s="596"/>
    </row>
    <row r="2" spans="1:7" ht="28.5" thickTop="1">
      <c r="A2" s="596"/>
      <c r="B2" s="786"/>
      <c r="C2" s="1186"/>
      <c r="D2" s="757"/>
      <c r="E2" s="534"/>
      <c r="F2" s="535"/>
    </row>
    <row r="3" spans="1:7" ht="14.25">
      <c r="A3" s="596"/>
      <c r="B3" s="623"/>
      <c r="C3" s="761"/>
      <c r="D3" s="596"/>
      <c r="E3" s="540"/>
      <c r="F3" s="541"/>
    </row>
    <row r="4" spans="1:7" ht="14.25">
      <c r="A4" s="596"/>
      <c r="B4" s="2103"/>
      <c r="C4" s="2104"/>
      <c r="D4" s="2105" t="s">
        <v>333</v>
      </c>
      <c r="E4" s="540"/>
      <c r="F4" s="541"/>
    </row>
    <row r="5" spans="1:7" ht="14.25">
      <c r="A5" s="596"/>
      <c r="B5" s="2103"/>
      <c r="C5" s="2104"/>
      <c r="D5" s="2105"/>
      <c r="E5" s="540"/>
      <c r="F5" s="541"/>
    </row>
    <row r="6" spans="1:7" ht="14.25">
      <c r="A6" s="596"/>
      <c r="B6" s="759"/>
      <c r="C6" s="596"/>
      <c r="D6" s="596"/>
      <c r="E6" s="540"/>
      <c r="F6" s="543"/>
    </row>
    <row r="7" spans="1:7" ht="14.25">
      <c r="A7" s="785"/>
      <c r="B7" s="762"/>
      <c r="C7" s="599"/>
      <c r="D7" s="599"/>
      <c r="E7" s="599"/>
      <c r="F7" s="627"/>
    </row>
    <row r="8" spans="1:7" ht="27" customHeight="1">
      <c r="A8" s="596"/>
      <c r="B8" s="2109" t="s">
        <v>633</v>
      </c>
      <c r="C8" s="2110"/>
      <c r="D8" s="2110"/>
      <c r="E8" s="596"/>
      <c r="F8" s="766"/>
    </row>
    <row r="9" spans="1:7" ht="23.25" customHeight="1">
      <c r="A9" s="629"/>
      <c r="B9" s="2111" t="s">
        <v>334</v>
      </c>
      <c r="C9" s="2112"/>
      <c r="D9" s="2112"/>
      <c r="E9" s="771"/>
      <c r="F9" s="787"/>
    </row>
    <row r="10" spans="1:7" ht="26.25" customHeight="1">
      <c r="A10" s="629" t="s">
        <v>335</v>
      </c>
      <c r="B10" s="788"/>
      <c r="C10" s="789" t="s">
        <v>336</v>
      </c>
      <c r="D10" s="789"/>
      <c r="E10" s="790">
        <f>'02 - Monthly Asset Follow up'!C17</f>
        <v>11410540020.709999</v>
      </c>
      <c r="F10" s="787"/>
      <c r="G10" s="791"/>
    </row>
    <row r="11" spans="1:7" ht="27.75" customHeight="1">
      <c r="A11" s="629" t="s">
        <v>337</v>
      </c>
      <c r="B11" s="792" t="s">
        <v>125</v>
      </c>
      <c r="C11" s="793" t="s">
        <v>338</v>
      </c>
      <c r="D11" s="793"/>
      <c r="E11" s="794">
        <f>'02 - Monthly Asset Follow up'!E17</f>
        <v>58524038.359999999</v>
      </c>
      <c r="F11" s="787"/>
      <c r="G11" s="795"/>
    </row>
    <row r="12" spans="1:7" ht="18.75" customHeight="1">
      <c r="A12" s="796" t="s">
        <v>339</v>
      </c>
      <c r="B12" s="792" t="s">
        <v>125</v>
      </c>
      <c r="C12" s="793" t="s">
        <v>48</v>
      </c>
      <c r="D12" s="793"/>
      <c r="E12" s="794">
        <f>'02 - Monthly Asset Follow up'!F17</f>
        <v>28299915.91</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6666114.5899999999</v>
      </c>
      <c r="F14" s="787"/>
      <c r="G14" s="795"/>
    </row>
    <row r="15" spans="1:7" ht="38.25" customHeight="1">
      <c r="A15" s="629" t="s">
        <v>345</v>
      </c>
      <c r="B15" s="792" t="s">
        <v>125</v>
      </c>
      <c r="C15" s="2108" t="s">
        <v>346</v>
      </c>
      <c r="D15" s="2108"/>
      <c r="E15" s="794">
        <f>'02 - Monthly Asset Follow up'!N17</f>
        <v>1830911.06</v>
      </c>
      <c r="F15" s="787"/>
      <c r="G15" s="795"/>
    </row>
    <row r="16" spans="1:7" ht="24" customHeight="1">
      <c r="A16" s="629"/>
      <c r="B16" s="792" t="s">
        <v>341</v>
      </c>
      <c r="C16" s="2108" t="s">
        <v>347</v>
      </c>
      <c r="D16" s="2108"/>
      <c r="E16" s="794">
        <f>'02 - Monthly Asset Follow up'!D17</f>
        <v>0</v>
      </c>
      <c r="F16" s="787"/>
      <c r="G16" s="795"/>
    </row>
    <row r="17" spans="1:12" ht="31.5" customHeight="1">
      <c r="A17" s="629" t="s">
        <v>348</v>
      </c>
      <c r="B17" s="792" t="s">
        <v>125</v>
      </c>
      <c r="C17" s="798" t="s">
        <v>349</v>
      </c>
      <c r="D17" s="798"/>
      <c r="E17" s="799">
        <f>'02 - Monthly Asset Follow up'!K17+'02 - Monthly Asset Follow up'!L17</f>
        <v>998490.2</v>
      </c>
      <c r="F17" s="787"/>
      <c r="G17" s="791"/>
    </row>
    <row r="18" spans="1:12" ht="21" customHeight="1">
      <c r="A18" s="629" t="s">
        <v>350</v>
      </c>
      <c r="B18" s="800"/>
      <c r="C18" s="801" t="s">
        <v>351</v>
      </c>
      <c r="D18" s="801"/>
      <c r="E18" s="802">
        <f>E10-E11-E12+E13-E14-E15+E16-E17</f>
        <v>11314220550.589998</v>
      </c>
      <c r="F18" s="787"/>
      <c r="G18" s="803"/>
      <c r="I18" s="807"/>
      <c r="L18" s="807"/>
    </row>
    <row r="19" spans="1:12" ht="13.5" thickBot="1">
      <c r="A19" s="629"/>
      <c r="B19" s="804"/>
      <c r="C19" s="805"/>
      <c r="D19" s="805"/>
      <c r="E19" s="805"/>
      <c r="F19" s="806"/>
    </row>
    <row r="20" spans="1:12" ht="13.5"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zoomScale="85" zoomScaleNormal="80" zoomScaleSheetLayoutView="85" workbookViewId="0"/>
  </sheetViews>
  <sheetFormatPr defaultColWidth="11.42578125" defaultRowHeight="12.75"/>
  <cols>
    <col min="1" max="1" width="2.7109375" style="592" customWidth="1"/>
    <col min="2" max="2" width="1.28515625" style="592" customWidth="1"/>
    <col min="3" max="3" width="4.5703125" style="592" bestFit="1" customWidth="1"/>
    <col min="4" max="4" width="31.140625" style="592" customWidth="1"/>
    <col min="5" max="6" width="30.7109375" style="592" customWidth="1"/>
    <col min="7" max="7" width="21" style="592" customWidth="1"/>
    <col min="8" max="8" width="21.28515625" style="592" customWidth="1"/>
    <col min="9" max="9" width="13.7109375" style="592" customWidth="1"/>
    <col min="10" max="10" width="16.140625" style="592" customWidth="1"/>
    <col min="11" max="16384" width="11.42578125" style="592"/>
  </cols>
  <sheetData>
    <row r="1" spans="1:9" ht="15" thickBot="1">
      <c r="A1" s="785"/>
      <c r="B1" s="785"/>
      <c r="C1" s="596"/>
      <c r="D1" s="596"/>
      <c r="E1" s="596"/>
      <c r="F1" s="596"/>
      <c r="G1" s="596"/>
      <c r="H1" s="596"/>
      <c r="I1" s="596"/>
    </row>
    <row r="2" spans="1:9" ht="28.5" thickTop="1">
      <c r="A2" s="808"/>
      <c r="B2" s="809"/>
      <c r="C2" s="1186"/>
      <c r="D2" s="810"/>
      <c r="E2" s="811"/>
      <c r="F2" s="811"/>
      <c r="G2" s="534"/>
      <c r="H2" s="534" t="s">
        <v>232</v>
      </c>
      <c r="I2" s="535">
        <f>'Cover Page'!$C$16</f>
        <v>46022</v>
      </c>
    </row>
    <row r="3" spans="1:9" ht="14.25">
      <c r="A3" s="596"/>
      <c r="B3" s="759"/>
      <c r="C3" s="596"/>
      <c r="D3" s="596"/>
      <c r="E3" s="596"/>
      <c r="F3" s="596"/>
      <c r="G3" s="540"/>
      <c r="H3" s="540" t="s">
        <v>233</v>
      </c>
      <c r="I3" s="541">
        <f>'Cover Page'!$C$17</f>
        <v>46037</v>
      </c>
    </row>
    <row r="4" spans="1:9" ht="14.25">
      <c r="A4" s="596"/>
      <c r="B4" s="759"/>
      <c r="C4" s="2115"/>
      <c r="D4" s="2115"/>
      <c r="E4" s="2115"/>
      <c r="F4" s="2116" t="s">
        <v>352</v>
      </c>
      <c r="G4" s="540"/>
      <c r="H4" s="540" t="s">
        <v>234</v>
      </c>
      <c r="I4" s="541">
        <f>'Cover Page'!$C$18</f>
        <v>46042</v>
      </c>
    </row>
    <row r="5" spans="1:9" ht="14.25">
      <c r="A5" s="596"/>
      <c r="B5" s="759"/>
      <c r="C5" s="2115"/>
      <c r="D5" s="2115"/>
      <c r="E5" s="2115"/>
      <c r="F5" s="2116"/>
      <c r="G5" s="540"/>
      <c r="H5" s="540" t="s">
        <v>235</v>
      </c>
      <c r="I5" s="541">
        <f>'Cover Page'!$C$19</f>
        <v>46049</v>
      </c>
    </row>
    <row r="6" spans="1:9" ht="14.25">
      <c r="A6" s="596"/>
      <c r="B6" s="759"/>
      <c r="C6" s="596"/>
      <c r="D6" s="596"/>
      <c r="E6" s="596"/>
      <c r="F6" s="596"/>
      <c r="G6" s="540"/>
      <c r="H6" s="540" t="s">
        <v>236</v>
      </c>
      <c r="I6" s="543">
        <f>'00 - Cover'!$F$29</f>
        <v>15</v>
      </c>
    </row>
    <row r="7" spans="1:9" ht="14.25">
      <c r="A7" s="785"/>
      <c r="B7" s="812"/>
      <c r="C7" s="599"/>
      <c r="D7" s="599"/>
      <c r="E7" s="599"/>
      <c r="F7" s="599"/>
      <c r="G7" s="599"/>
      <c r="H7" s="599"/>
      <c r="I7" s="627"/>
    </row>
    <row r="8" spans="1:9" ht="22.5" customHeight="1">
      <c r="A8" s="813"/>
      <c r="B8" s="814"/>
      <c r="C8" s="1174" t="s">
        <v>353</v>
      </c>
      <c r="D8" s="1187"/>
      <c r="E8" s="1188"/>
      <c r="F8" s="816"/>
      <c r="G8" s="629"/>
      <c r="H8" s="629"/>
      <c r="I8" s="772"/>
    </row>
    <row r="9" spans="1:9">
      <c r="A9" s="813"/>
      <c r="B9" s="817"/>
      <c r="C9" s="2117" t="s">
        <v>354</v>
      </c>
      <c r="D9" s="2117"/>
      <c r="E9" s="2117"/>
      <c r="F9" s="818"/>
      <c r="G9" s="819"/>
      <c r="H9" s="771"/>
      <c r="I9" s="772"/>
    </row>
    <row r="10" spans="1:9" ht="66.75" customHeight="1">
      <c r="A10" s="813"/>
      <c r="B10" s="817"/>
      <c r="C10" s="820" t="s">
        <v>27</v>
      </c>
      <c r="D10" s="2118" t="s">
        <v>355</v>
      </c>
      <c r="E10" s="2118"/>
      <c r="F10" s="2118"/>
      <c r="G10" s="2118"/>
      <c r="H10" s="821">
        <f>'03 - Monthly Collection'!T13</f>
        <v>102909779</v>
      </c>
      <c r="I10" s="772"/>
    </row>
    <row r="11" spans="1:9" ht="25.5" customHeight="1">
      <c r="A11" s="813"/>
      <c r="B11" s="817"/>
      <c r="C11" s="820" t="s">
        <v>28</v>
      </c>
      <c r="D11" s="2119" t="s">
        <v>356</v>
      </c>
      <c r="E11" s="2119"/>
      <c r="F11" s="2119"/>
      <c r="G11" s="2119"/>
      <c r="H11" s="822">
        <f>'03 - Monthly Collection'!AN13</f>
        <v>10317.209999999999</v>
      </c>
      <c r="I11" s="772"/>
    </row>
    <row r="12" spans="1:9">
      <c r="A12" s="813"/>
      <c r="B12" s="817"/>
      <c r="C12" s="819"/>
      <c r="D12" s="2120" t="s">
        <v>357</v>
      </c>
      <c r="E12" s="2120"/>
      <c r="F12" s="823"/>
      <c r="G12" s="819"/>
      <c r="H12" s="824">
        <f>H10+H11</f>
        <v>102920096.20999999</v>
      </c>
      <c r="I12" s="772"/>
    </row>
    <row r="13" spans="1:9" ht="32.25" customHeight="1">
      <c r="A13" s="813"/>
      <c r="B13" s="817"/>
      <c r="C13" s="825"/>
      <c r="D13" s="825"/>
      <c r="E13" s="825"/>
      <c r="F13" s="825"/>
      <c r="G13" s="825"/>
      <c r="H13" s="825"/>
      <c r="I13" s="826"/>
    </row>
    <row r="14" spans="1:9" ht="15.75">
      <c r="A14" s="813"/>
      <c r="B14" s="814"/>
      <c r="C14" s="1174" t="s">
        <v>358</v>
      </c>
      <c r="D14" s="1189"/>
      <c r="E14" s="1189"/>
      <c r="F14" s="827"/>
      <c r="G14" s="629"/>
      <c r="H14" s="629"/>
      <c r="I14" s="772"/>
    </row>
    <row r="15" spans="1:9">
      <c r="A15" s="813"/>
      <c r="B15" s="817"/>
      <c r="C15" s="2117" t="s">
        <v>359</v>
      </c>
      <c r="D15" s="2117"/>
      <c r="E15" s="2117"/>
      <c r="F15" s="818"/>
      <c r="G15" s="819"/>
      <c r="H15" s="771"/>
      <c r="I15" s="772"/>
    </row>
    <row r="16" spans="1:9">
      <c r="A16" s="813"/>
      <c r="B16" s="817"/>
      <c r="C16" s="828"/>
      <c r="D16" s="2121" t="s">
        <v>360</v>
      </c>
      <c r="E16" s="2121"/>
      <c r="F16" s="829"/>
      <c r="G16" s="830"/>
      <c r="H16" s="831"/>
      <c r="I16" s="772"/>
    </row>
    <row r="17" spans="1:9" ht="21.75" customHeight="1">
      <c r="A17" s="813"/>
      <c r="B17" s="817"/>
      <c r="C17" s="832" t="s">
        <v>27</v>
      </c>
      <c r="D17" s="2114" t="str">
        <f>'15 - Priority of Payments'!F11</f>
        <v xml:space="preserve">(a)	 the Available Collections in relation to the immediately preceding Collection Period; </v>
      </c>
      <c r="E17" s="2114"/>
      <c r="F17" s="2114"/>
      <c r="G17" s="2114"/>
      <c r="H17" s="834">
        <f>'15 - Priority of Payments'!J11</f>
        <v>102920096.20999999</v>
      </c>
      <c r="I17" s="772"/>
    </row>
    <row r="18" spans="1:9" ht="25.5" customHeight="1">
      <c r="A18" s="813"/>
      <c r="B18" s="817"/>
      <c r="C18" s="828" t="s">
        <v>28</v>
      </c>
      <c r="D18" s="2114" t="str">
        <f>'15 - Priority of Payments'!F12</f>
        <v>(b) 	any amounts standing to the credit of the Operating Account and which were debited from the General Reserve Account on or before such Payment Date;</v>
      </c>
      <c r="E18" s="2114"/>
      <c r="F18" s="2114"/>
      <c r="G18" s="2114"/>
      <c r="H18" s="834">
        <f>'15 - Priority of Payments'!J12</f>
        <v>460000</v>
      </c>
      <c r="I18" s="772"/>
    </row>
    <row r="19" spans="1:9" ht="22.5" customHeight="1">
      <c r="A19" s="813"/>
      <c r="B19" s="817"/>
      <c r="C19" s="832" t="s">
        <v>29</v>
      </c>
      <c r="D19" s="2114" t="str">
        <f>'15 - Priority of Payments'!F13</f>
        <v>(c) 	any amounts standing to the credit of the Operating Account which were debited from the Commingling Reserve Account on the preceding Settlement Date;</v>
      </c>
      <c r="E19" s="2114"/>
      <c r="F19" s="2114"/>
      <c r="G19" s="2114"/>
      <c r="H19" s="834">
        <f>'15 - Priority of Payments'!J13</f>
        <v>0</v>
      </c>
      <c r="I19" s="772"/>
    </row>
    <row r="20" spans="1:9" ht="31.5" customHeight="1">
      <c r="A20" s="813"/>
      <c r="B20" s="817"/>
      <c r="C20" s="832" t="s">
        <v>30</v>
      </c>
      <c r="D20" s="2114" t="str">
        <f>'15 - Priority of Payments'!F14</f>
        <v>(d) 	any Financial Income (positive or negative) in relation to the immediately preceding calendar month;</v>
      </c>
      <c r="E20" s="2114"/>
      <c r="F20" s="2114"/>
      <c r="G20" s="2114"/>
      <c r="H20" s="834">
        <f>'15 - Priority of Payments'!J14</f>
        <v>0</v>
      </c>
      <c r="I20" s="772"/>
    </row>
    <row r="21" spans="1:9" ht="30" customHeight="1">
      <c r="A21" s="813"/>
      <c r="B21" s="817"/>
      <c r="C21" s="836" t="s">
        <v>31</v>
      </c>
      <c r="D21" s="2114" t="str">
        <f>'15 - Priority of Payments'!F15</f>
        <v>(e) 	any Repurchased Amount of Repurchased Home Loan Receivables paid by the Seller to the Issuer with respect to loans to be repurchased on the Repurchase Date falling on such Payment Date;</v>
      </c>
      <c r="E21" s="2114"/>
      <c r="F21" s="2114"/>
      <c r="G21" s="2114"/>
      <c r="H21" s="834">
        <f>'15 - Priority of Payments'!J15</f>
        <v>6929596.1399999997</v>
      </c>
      <c r="I21" s="772"/>
    </row>
    <row r="22" spans="1:9" ht="36.75" customHeight="1">
      <c r="A22" s="813"/>
      <c r="B22" s="817"/>
      <c r="C22" s="828" t="s">
        <v>32</v>
      </c>
      <c r="D22" s="2114" t="str">
        <f>'15 - Priority of Payments'!F16</f>
        <v>(f) 	any Rescission Amount with respect to Rescinded Purchased Home Loan Receivables, the Rescission Date of which will be on such Payment Date;</v>
      </c>
      <c r="E22" s="2114"/>
      <c r="F22" s="2114"/>
      <c r="G22" s="2114"/>
      <c r="H22" s="834">
        <f>'15 - Priority of Payments'!J16</f>
        <v>1832499.59</v>
      </c>
      <c r="I22" s="772"/>
    </row>
    <row r="23" spans="1:9" ht="34.5" customHeight="1">
      <c r="A23" s="813"/>
      <c r="B23" s="817"/>
      <c r="C23" s="828" t="s">
        <v>33</v>
      </c>
      <c r="D23" s="2114" t="str">
        <f>'15 - Priority of Payments'!F17</f>
        <v>(g) 	any other amount standing to the credit of the Operating Account at the end of the Collection Period immediately preceding such Payment Date;</v>
      </c>
      <c r="E23" s="2114"/>
      <c r="F23" s="2114"/>
      <c r="G23" s="2114"/>
      <c r="H23" s="834">
        <f>'15 - Priority of Payments'!J17</f>
        <v>0</v>
      </c>
      <c r="I23" s="772"/>
    </row>
    <row r="24" spans="1:9" ht="47.25" customHeight="1">
      <c r="A24" s="813"/>
      <c r="B24" s="817"/>
      <c r="C24" s="828" t="s">
        <v>34</v>
      </c>
      <c r="D24" s="2114"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14"/>
      <c r="F24" s="2114"/>
      <c r="G24" s="2114"/>
      <c r="H24" s="834">
        <f>'15 - Priority of Payments'!J18</f>
        <v>0</v>
      </c>
      <c r="I24" s="772"/>
    </row>
    <row r="25" spans="1:9" ht="45" customHeight="1">
      <c r="A25" s="813"/>
      <c r="B25" s="817"/>
      <c r="C25" s="828" t="s">
        <v>35</v>
      </c>
      <c r="D25" s="2114" t="str">
        <f>'15 - Priority of Payments'!F19</f>
        <v>(i)	 any amount payable under item (D) or item (F) of the relevant Priority of Payments which has been kept on the Operating Account (due to the rounding of payments on a single Note) on the immediately preceding Payment Date; and</v>
      </c>
      <c r="E25" s="2114"/>
      <c r="F25" s="2114"/>
      <c r="G25" s="2114"/>
      <c r="H25" s="834">
        <f>'15 - Priority of Payments'!J19</f>
        <v>643.89000016544014</v>
      </c>
      <c r="I25" s="772"/>
    </row>
    <row r="26" spans="1:9" ht="47.25" customHeight="1">
      <c r="A26" s="813"/>
      <c r="B26" s="817"/>
      <c r="C26" s="828" t="s">
        <v>36</v>
      </c>
      <c r="D26" s="2114"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14"/>
      <c r="F26" s="2114"/>
      <c r="G26" s="2114"/>
      <c r="H26" s="834">
        <f>'15 - Priority of Payments'!J20</f>
        <v>0</v>
      </c>
      <c r="I26" s="772"/>
    </row>
    <row r="27" spans="1:9">
      <c r="A27" s="813"/>
      <c r="B27" s="817"/>
      <c r="C27" s="828"/>
      <c r="D27" s="837"/>
      <c r="E27" s="837"/>
      <c r="F27" s="837"/>
      <c r="G27" s="837"/>
      <c r="H27" s="838"/>
      <c r="I27" s="772"/>
    </row>
    <row r="28" spans="1:9">
      <c r="A28" s="813"/>
      <c r="B28" s="817"/>
      <c r="C28" s="819"/>
      <c r="D28" s="2113" t="s">
        <v>361</v>
      </c>
      <c r="E28" s="2113"/>
      <c r="F28" s="839"/>
      <c r="G28" s="819"/>
      <c r="H28" s="824">
        <f>SUM(H17:H26)</f>
        <v>112142835.83000016</v>
      </c>
      <c r="I28" s="772"/>
    </row>
    <row r="29" spans="1:9" ht="13.5" thickBot="1">
      <c r="B29" s="612"/>
      <c r="C29" s="613"/>
      <c r="D29" s="613"/>
      <c r="E29" s="613"/>
      <c r="F29" s="613"/>
      <c r="G29" s="613"/>
      <c r="H29" s="613"/>
      <c r="I29" s="614"/>
    </row>
    <row r="30" spans="1:9" ht="13.5"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heetViews>
  <sheetFormatPr defaultColWidth="11.42578125" defaultRowHeight="12.75"/>
  <cols>
    <col min="1" max="1" width="3.7109375" style="592" customWidth="1"/>
    <col min="2" max="2" width="3.85546875" style="592" customWidth="1"/>
    <col min="3" max="3" width="10.7109375" style="592" customWidth="1"/>
    <col min="4" max="4" width="17.7109375" style="592" customWidth="1"/>
    <col min="5" max="5" width="20.7109375" style="592" customWidth="1"/>
    <col min="6" max="6" width="26.28515625" style="592" bestFit="1" customWidth="1"/>
    <col min="7" max="7" width="32.7109375" style="592" customWidth="1"/>
    <col min="8" max="8" width="20.7109375" style="592" customWidth="1"/>
    <col min="9" max="9" width="14.85546875" style="592" customWidth="1"/>
    <col min="10" max="10" width="4.7109375" style="592" customWidth="1"/>
    <col min="11" max="11" width="11.42578125" style="592"/>
    <col min="12" max="12" width="14.7109375" style="592" bestFit="1" customWidth="1"/>
    <col min="13" max="16384" width="11.42578125" style="592"/>
  </cols>
  <sheetData>
    <row r="1" spans="1:12" ht="15" thickBot="1">
      <c r="A1" s="785"/>
      <c r="B1" s="785"/>
      <c r="C1" s="596"/>
      <c r="D1" s="596"/>
      <c r="E1" s="596"/>
      <c r="F1" s="596"/>
      <c r="G1" s="596"/>
      <c r="H1" s="596"/>
      <c r="I1" s="596"/>
    </row>
    <row r="2" spans="1:12" ht="28.5" thickTop="1">
      <c r="A2" s="808"/>
      <c r="B2" s="809"/>
      <c r="C2" s="755"/>
      <c r="D2" s="810"/>
      <c r="E2" s="811"/>
      <c r="F2" s="811"/>
      <c r="G2" s="534"/>
      <c r="H2" s="534" t="s">
        <v>232</v>
      </c>
      <c r="I2" s="535">
        <f>'Cover Page'!$C$16</f>
        <v>46022</v>
      </c>
    </row>
    <row r="3" spans="1:12" ht="14.25">
      <c r="A3" s="596"/>
      <c r="B3" s="759"/>
      <c r="C3" s="596"/>
      <c r="D3" s="596"/>
      <c r="E3" s="596"/>
      <c r="F3" s="596"/>
      <c r="G3" s="540"/>
      <c r="H3" s="540" t="s">
        <v>233</v>
      </c>
      <c r="I3" s="541">
        <f>'Cover Page'!$C$17</f>
        <v>46037</v>
      </c>
    </row>
    <row r="4" spans="1:12" ht="14.25">
      <c r="A4" s="596"/>
      <c r="B4" s="759"/>
      <c r="C4" s="2124"/>
      <c r="D4" s="2124"/>
      <c r="E4" s="2124"/>
      <c r="F4" s="2116"/>
      <c r="G4" s="540"/>
      <c r="H4" s="540" t="s">
        <v>234</v>
      </c>
      <c r="I4" s="541">
        <f>'Cover Page'!$C$18</f>
        <v>46042</v>
      </c>
    </row>
    <row r="5" spans="1:12" ht="14.25">
      <c r="A5" s="596"/>
      <c r="B5" s="759"/>
      <c r="C5" s="2124"/>
      <c r="D5" s="2124"/>
      <c r="E5" s="2124"/>
      <c r="F5" s="2116"/>
      <c r="G5" s="540"/>
      <c r="H5" s="540" t="s">
        <v>235</v>
      </c>
      <c r="I5" s="541">
        <f>'Cover Page'!$C$19</f>
        <v>46049</v>
      </c>
    </row>
    <row r="6" spans="1:12" ht="14.25">
      <c r="A6" s="596"/>
      <c r="B6" s="759"/>
      <c r="C6" s="596"/>
      <c r="D6" s="596"/>
      <c r="E6" s="596"/>
      <c r="F6" s="596"/>
      <c r="G6" s="540"/>
      <c r="H6" s="540" t="s">
        <v>236</v>
      </c>
      <c r="I6" s="543">
        <f>'00 - Cover'!$F$29</f>
        <v>15</v>
      </c>
    </row>
    <row r="7" spans="1:12" ht="14.25">
      <c r="A7" s="785"/>
      <c r="B7" s="812"/>
      <c r="C7" s="599"/>
      <c r="D7" s="599"/>
      <c r="E7" s="599"/>
      <c r="F7" s="599"/>
      <c r="G7" s="599"/>
      <c r="H7" s="599"/>
      <c r="I7" s="627"/>
    </row>
    <row r="8" spans="1:12" ht="22.5" customHeight="1">
      <c r="A8" s="813"/>
      <c r="B8" s="814"/>
      <c r="C8" s="1174" t="s">
        <v>1105</v>
      </c>
      <c r="D8" s="815"/>
      <c r="E8" s="816"/>
      <c r="F8" s="816"/>
      <c r="G8" s="629"/>
      <c r="H8" s="629"/>
      <c r="I8" s="772"/>
    </row>
    <row r="9" spans="1:12">
      <c r="A9" s="813"/>
      <c r="B9" s="817"/>
      <c r="C9" s="2125"/>
      <c r="D9" s="2125"/>
      <c r="E9" s="2125"/>
      <c r="F9" s="818"/>
      <c r="G9" s="819"/>
      <c r="H9" s="771"/>
      <c r="I9" s="772"/>
    </row>
    <row r="10" spans="1:12" ht="28.5" customHeight="1">
      <c r="A10" s="813"/>
      <c r="B10" s="817"/>
      <c r="C10" s="820" t="s">
        <v>27</v>
      </c>
      <c r="D10" s="2118" t="s">
        <v>1137</v>
      </c>
      <c r="E10" s="2118"/>
      <c r="F10" s="2118"/>
      <c r="G10" s="2118"/>
      <c r="H10" s="922">
        <f>'10 - Reserve calculation'!H13</f>
        <v>54210000</v>
      </c>
      <c r="I10" s="772"/>
    </row>
    <row r="11" spans="1:12" ht="34.5" customHeight="1">
      <c r="A11" s="813"/>
      <c r="B11" s="817"/>
      <c r="C11" s="820"/>
      <c r="D11" s="2126" t="s">
        <v>1106</v>
      </c>
      <c r="E11" s="2126"/>
      <c r="F11" s="2126"/>
      <c r="G11" s="2126"/>
      <c r="H11" s="821">
        <f>'10 - Reserve calculation'!I12</f>
        <v>54210000</v>
      </c>
      <c r="I11" s="772"/>
    </row>
    <row r="12" spans="1:12" ht="34.5" customHeight="1">
      <c r="A12" s="813"/>
      <c r="B12" s="817"/>
      <c r="C12" s="820"/>
      <c r="D12" s="2127" t="s">
        <v>1107</v>
      </c>
      <c r="E12" s="2127"/>
      <c r="F12" s="2127"/>
      <c r="G12" s="2127"/>
      <c r="H12" s="821">
        <f>'10 - Reserve calculation'!H12</f>
        <v>53750000</v>
      </c>
      <c r="I12" s="772"/>
      <c r="L12" s="807"/>
    </row>
    <row r="13" spans="1:12" ht="25.5" customHeight="1">
      <c r="A13" s="813"/>
      <c r="B13" s="817"/>
      <c r="C13" s="820"/>
      <c r="D13" s="2122"/>
      <c r="E13" s="2122"/>
      <c r="F13" s="2122"/>
      <c r="G13" s="2122"/>
      <c r="H13" s="822"/>
      <c r="I13" s="772"/>
    </row>
    <row r="14" spans="1:12">
      <c r="A14" s="813"/>
      <c r="B14" s="817"/>
      <c r="C14" s="819"/>
      <c r="D14" s="923" t="s">
        <v>1887</v>
      </c>
      <c r="E14" s="923"/>
      <c r="F14" s="823"/>
      <c r="G14" s="819"/>
      <c r="H14" s="824">
        <f>H12</f>
        <v>53750000</v>
      </c>
      <c r="I14" s="772"/>
    </row>
    <row r="15" spans="1:12">
      <c r="A15" s="813"/>
      <c r="B15" s="817"/>
      <c r="C15" s="819"/>
      <c r="D15" s="823"/>
      <c r="E15" s="823"/>
      <c r="F15" s="823"/>
      <c r="G15" s="819"/>
      <c r="H15" s="924"/>
      <c r="I15" s="772"/>
    </row>
    <row r="16" spans="1:12">
      <c r="A16" s="813"/>
      <c r="B16" s="817"/>
      <c r="C16" s="819"/>
      <c r="D16" s="925" t="s">
        <v>386</v>
      </c>
      <c r="E16" s="823"/>
      <c r="F16" s="823"/>
      <c r="G16" s="819"/>
      <c r="H16" s="924">
        <f>H11-H12</f>
        <v>460000</v>
      </c>
      <c r="I16" s="772"/>
    </row>
    <row r="17" spans="1:9">
      <c r="A17" s="813"/>
      <c r="B17" s="817"/>
      <c r="C17" s="819"/>
      <c r="D17" s="823"/>
      <c r="E17" s="823"/>
      <c r="F17" s="823"/>
      <c r="G17" s="819"/>
      <c r="H17" s="924"/>
      <c r="I17" s="772"/>
    </row>
    <row r="18" spans="1:9" ht="15.75">
      <c r="A18" s="813"/>
      <c r="B18" s="817"/>
      <c r="C18" s="1174" t="s">
        <v>387</v>
      </c>
      <c r="D18" s="823"/>
      <c r="E18" s="823"/>
      <c r="F18" s="823"/>
      <c r="G18" s="819"/>
      <c r="H18" s="924"/>
      <c r="I18" s="772"/>
    </row>
    <row r="19" spans="1:9" ht="51.75" customHeight="1">
      <c r="A19" s="813"/>
      <c r="B19" s="817"/>
      <c r="C19" s="926" t="s">
        <v>388</v>
      </c>
      <c r="D19" s="2123" t="str">
        <f>'13 - Issuer Account'!K37</f>
        <v>(A) Available Distribution Amount (without considering any use of the General Reserve Deposit)</v>
      </c>
      <c r="E19" s="2123"/>
      <c r="F19" s="2123"/>
      <c r="G19" s="2123"/>
      <c r="H19" s="924">
        <f>'13 - Issuer Account'!M37</f>
        <v>0</v>
      </c>
      <c r="I19" s="772"/>
    </row>
    <row r="20" spans="1:9" ht="61.5" customHeight="1">
      <c r="A20" s="813"/>
      <c r="B20" s="817"/>
      <c r="C20" s="926" t="s">
        <v>389</v>
      </c>
      <c r="D20" s="2123"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23"/>
      <c r="F20" s="2123"/>
      <c r="G20" s="2123"/>
      <c r="H20" s="924">
        <f>'13 - Issuer Account'!M38</f>
        <v>0</v>
      </c>
      <c r="I20" s="772"/>
    </row>
    <row r="21" spans="1:9" ht="27" customHeight="1">
      <c r="A21" s="813"/>
      <c r="B21" s="817"/>
      <c r="C21" s="926" t="s">
        <v>390</v>
      </c>
      <c r="D21" s="2123" t="str">
        <f>'13 - Issuer Account'!K39</f>
        <v>(C)	 on a pro rata and pari passu basis, any due and payable Class A Notes Interest Amounts on the Class A Notes;</v>
      </c>
      <c r="E21" s="2123"/>
      <c r="F21" s="2123"/>
      <c r="G21" s="2123"/>
      <c r="H21" s="924">
        <f>'13 - Issuer Account'!M39</f>
        <v>0</v>
      </c>
      <c r="I21" s="772"/>
    </row>
    <row r="22" spans="1:9">
      <c r="A22" s="813"/>
      <c r="B22" s="817"/>
      <c r="C22" s="819"/>
      <c r="D22" s="823"/>
      <c r="E22" s="823"/>
      <c r="F22" s="823"/>
      <c r="G22" s="819"/>
      <c r="H22" s="924"/>
      <c r="I22" s="772"/>
    </row>
    <row r="23" spans="1:9">
      <c r="A23" s="813"/>
      <c r="B23" s="817"/>
      <c r="C23" s="819"/>
      <c r="D23" s="923" t="str">
        <f>'13 - Issuer Account'!K40</f>
        <v>Liquidity Shortfall Max (B+C-A;0)</v>
      </c>
      <c r="E23" s="923"/>
      <c r="F23" s="823"/>
      <c r="G23" s="819"/>
      <c r="H23" s="824">
        <v>0</v>
      </c>
      <c r="I23" s="772"/>
    </row>
    <row r="24" spans="1:9">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zoomScale="85" zoomScaleNormal="100" zoomScaleSheetLayoutView="85" workbookViewId="0"/>
  </sheetViews>
  <sheetFormatPr defaultColWidth="9.140625" defaultRowHeight="12.75"/>
  <cols>
    <col min="1" max="1" width="2.5703125" style="841" customWidth="1"/>
    <col min="2" max="2" width="4.42578125" style="842" bestFit="1" customWidth="1"/>
    <col min="3" max="3" width="40.28515625" style="842" customWidth="1"/>
    <col min="4" max="4" width="38" style="843" customWidth="1"/>
    <col min="5" max="6" width="20.28515625" style="843" customWidth="1"/>
    <col min="7" max="8" width="20.28515625" style="842" customWidth="1"/>
    <col min="9" max="9" width="1.7109375" style="844" customWidth="1"/>
    <col min="10" max="10" width="17" style="842" bestFit="1" customWidth="1"/>
    <col min="11" max="11" width="20" style="845" customWidth="1"/>
    <col min="12" max="12" width="11.28515625" style="846" bestFit="1" customWidth="1"/>
    <col min="13" max="13" width="14.85546875" style="846" customWidth="1"/>
    <col min="14" max="14" width="3.42578125" style="846" customWidth="1"/>
    <col min="15" max="15" width="12.42578125" style="846" customWidth="1"/>
    <col min="16" max="17" width="9.140625" style="846"/>
    <col min="18" max="18" width="3.5703125" style="846" customWidth="1"/>
    <col min="19" max="19" width="22.28515625" style="846" customWidth="1"/>
    <col min="20" max="16384" width="9.140625" style="841"/>
  </cols>
  <sheetData>
    <row r="1" spans="1:19" s="592" customFormat="1" ht="1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46022</v>
      </c>
    </row>
    <row r="3" spans="1:19" s="592" customFormat="1" ht="14.25">
      <c r="A3" s="596"/>
      <c r="B3" s="759"/>
      <c r="C3" s="516"/>
      <c r="D3" s="596"/>
      <c r="E3" s="596"/>
      <c r="F3" s="596"/>
      <c r="G3" s="596"/>
      <c r="H3" s="596"/>
      <c r="I3" s="596"/>
      <c r="J3" s="540" t="s">
        <v>233</v>
      </c>
      <c r="K3" s="541">
        <f>'Cover Page'!$C$17</f>
        <v>46037</v>
      </c>
    </row>
    <row r="4" spans="1:19" s="592" customFormat="1" ht="14.25" customHeight="1">
      <c r="A4" s="596"/>
      <c r="B4" s="759"/>
      <c r="C4" s="760"/>
      <c r="D4" s="760"/>
      <c r="E4" s="760" t="s">
        <v>362</v>
      </c>
      <c r="F4" s="760"/>
      <c r="G4" s="596"/>
      <c r="H4" s="840"/>
      <c r="I4" s="840"/>
      <c r="J4" s="540" t="s">
        <v>234</v>
      </c>
      <c r="K4" s="541">
        <f>'Cover Page'!$C$18</f>
        <v>46042</v>
      </c>
    </row>
    <row r="5" spans="1:19" s="592" customFormat="1" ht="14.25" customHeight="1">
      <c r="A5" s="596"/>
      <c r="B5" s="759"/>
      <c r="C5" s="760"/>
      <c r="D5" s="760"/>
      <c r="E5" s="760"/>
      <c r="F5" s="760"/>
      <c r="G5" s="596"/>
      <c r="H5" s="840"/>
      <c r="I5" s="840"/>
      <c r="J5" s="540" t="s">
        <v>235</v>
      </c>
      <c r="K5" s="541">
        <f>'Cover Page'!$C$19</f>
        <v>46049</v>
      </c>
    </row>
    <row r="6" spans="1:19" s="592" customFormat="1" ht="14.25">
      <c r="A6" s="596"/>
      <c r="B6" s="759"/>
      <c r="C6" s="761"/>
      <c r="D6" s="596"/>
      <c r="E6" s="596"/>
      <c r="F6" s="596"/>
      <c r="G6" s="596"/>
      <c r="H6" s="596"/>
      <c r="I6" s="596"/>
      <c r="J6" s="540" t="s">
        <v>236</v>
      </c>
      <c r="K6" s="543">
        <f>'00 - Cover'!$F$29</f>
        <v>15</v>
      </c>
    </row>
    <row r="7" spans="1:19" s="592" customFormat="1" ht="14.25">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28" t="s">
        <v>368</v>
      </c>
      <c r="I12" s="2128"/>
      <c r="J12" s="1172" t="s">
        <v>189</v>
      </c>
      <c r="K12" s="1173" t="s">
        <v>369</v>
      </c>
      <c r="L12" s="855"/>
      <c r="M12" s="847"/>
      <c r="N12" s="855"/>
      <c r="O12" s="855"/>
      <c r="P12" s="855"/>
      <c r="Q12" s="855"/>
      <c r="R12" s="855"/>
      <c r="S12" s="855"/>
    </row>
    <row r="13" spans="1:19" s="842" customFormat="1">
      <c r="B13" s="856"/>
      <c r="C13" s="857" t="s">
        <v>370</v>
      </c>
      <c r="D13" s="858" t="s">
        <v>216</v>
      </c>
      <c r="E13" s="859">
        <f>'02 - Monthly Asset Follow up'!C17</f>
        <v>11410540020.709999</v>
      </c>
      <c r="F13" s="860">
        <v>2.5000000000000001E-3</v>
      </c>
      <c r="G13" s="865" t="s">
        <v>1306</v>
      </c>
      <c r="H13" s="861" t="s">
        <v>1368</v>
      </c>
      <c r="I13" s="862"/>
      <c r="J13" s="859">
        <f>'14 - Fees'!J53</f>
        <v>2377195.84</v>
      </c>
      <c r="K13" s="863">
        <f>J13</f>
        <v>2377195.84</v>
      </c>
      <c r="L13" s="864"/>
      <c r="M13" s="847"/>
      <c r="N13" s="864"/>
      <c r="O13" s="864"/>
      <c r="P13" s="864"/>
      <c r="Q13" s="864"/>
      <c r="R13" s="864"/>
      <c r="S13" s="864"/>
    </row>
    <row r="14" spans="1:19" s="842" customFormat="1">
      <c r="B14" s="856"/>
      <c r="C14" s="857" t="s">
        <v>371</v>
      </c>
      <c r="D14" s="858" t="s">
        <v>216</v>
      </c>
      <c r="E14" s="859">
        <f>'14 - Fees'!E54</f>
        <v>18720.953358333332</v>
      </c>
      <c r="F14" s="860">
        <v>3.5000000000000001E-3</v>
      </c>
      <c r="G14" s="865">
        <v>0.2</v>
      </c>
      <c r="H14" s="861" t="s">
        <v>1368</v>
      </c>
      <c r="I14" s="862"/>
      <c r="J14" s="866">
        <f>'14 - Fees'!J54</f>
        <v>18720.95</v>
      </c>
      <c r="K14" s="867">
        <f>J14</f>
        <v>18720.95</v>
      </c>
      <c r="L14" s="864"/>
      <c r="M14" s="864"/>
      <c r="N14" s="864"/>
      <c r="O14" s="864"/>
      <c r="P14" s="864"/>
      <c r="Q14" s="864"/>
      <c r="R14" s="864"/>
      <c r="S14" s="864"/>
    </row>
    <row r="15" spans="1:19" s="842" customFormat="1">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c r="B16" s="856"/>
      <c r="C16" s="857" t="s">
        <v>374</v>
      </c>
      <c r="D16" s="869" t="s">
        <v>1350</v>
      </c>
      <c r="E16" s="1608" t="s">
        <v>1306</v>
      </c>
      <c r="F16" s="1602" t="s">
        <v>1306</v>
      </c>
      <c r="G16" s="865" t="s">
        <v>1306</v>
      </c>
      <c r="H16" s="861" t="s">
        <v>1368</v>
      </c>
      <c r="I16" s="870"/>
      <c r="J16" s="866">
        <f>'14 - Fees'!J18+'14 - Fees'!J28</f>
        <v>5416.67</v>
      </c>
      <c r="K16" s="867">
        <f t="shared" si="0"/>
        <v>5416.67</v>
      </c>
      <c r="L16" s="864"/>
      <c r="M16" s="864"/>
      <c r="N16" s="864"/>
      <c r="O16" s="864"/>
      <c r="P16" s="864"/>
      <c r="Q16" s="864"/>
      <c r="R16" s="864"/>
      <c r="S16" s="864"/>
    </row>
    <row r="17" spans="2:19" s="842" customFormat="1">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c r="B19" s="877"/>
      <c r="C19" s="857" t="s">
        <v>377</v>
      </c>
      <c r="D19" s="878" t="s">
        <v>230</v>
      </c>
      <c r="E19" s="1608" t="s">
        <v>1306</v>
      </c>
      <c r="F19" s="1599">
        <v>0.2</v>
      </c>
      <c r="G19" s="1603">
        <f t="shared" ref="G19:G24" si="1">J19-(J19/(1+F19))</f>
        <v>80</v>
      </c>
      <c r="H19" s="861" t="s">
        <v>1368</v>
      </c>
      <c r="I19" s="880"/>
      <c r="J19" s="879">
        <f>SUM('14 - Fees'!J39:J45)</f>
        <v>480</v>
      </c>
      <c r="K19" s="867">
        <f t="shared" si="0"/>
        <v>480</v>
      </c>
      <c r="L19" s="878"/>
      <c r="M19" s="882"/>
      <c r="N19" s="883"/>
      <c r="O19" s="884"/>
      <c r="P19" s="885"/>
      <c r="Q19" s="885"/>
      <c r="R19" s="885"/>
      <c r="S19" s="885"/>
    </row>
    <row r="20" spans="2:19" s="842" customFormat="1">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c r="B25" s="872"/>
      <c r="C25" s="857" t="s">
        <v>380</v>
      </c>
      <c r="D25" s="858" t="s">
        <v>1361</v>
      </c>
      <c r="E25" s="1608" t="s">
        <v>1306</v>
      </c>
      <c r="F25" s="1599">
        <v>0.2</v>
      </c>
      <c r="G25" s="865">
        <v>0</v>
      </c>
      <c r="H25" s="861" t="s">
        <v>1368</v>
      </c>
      <c r="I25" s="870"/>
      <c r="J25" s="866">
        <f>'14 - Fees'!J60</f>
        <v>5100</v>
      </c>
      <c r="K25" s="867">
        <f t="shared" si="0"/>
        <v>5100</v>
      </c>
      <c r="L25" s="864"/>
      <c r="M25" s="876"/>
      <c r="N25" s="876"/>
      <c r="O25" s="874"/>
      <c r="P25" s="876"/>
      <c r="Q25" s="876"/>
      <c r="R25" s="876"/>
      <c r="S25" s="876"/>
    </row>
    <row r="26" spans="2:19" s="842" customFormat="1">
      <c r="B26" s="872"/>
      <c r="C26" s="857" t="s">
        <v>381</v>
      </c>
      <c r="D26" s="858" t="s">
        <v>382</v>
      </c>
      <c r="E26" s="1608" t="s">
        <v>1306</v>
      </c>
      <c r="F26" s="868" t="s">
        <v>1306</v>
      </c>
      <c r="G26" s="1601" t="s">
        <v>1306</v>
      </c>
      <c r="H26" s="861" t="s">
        <v>1368</v>
      </c>
      <c r="I26" s="870"/>
      <c r="J26" s="866">
        <f>'14 - Fees'!J30</f>
        <v>0</v>
      </c>
      <c r="K26" s="867">
        <f t="shared" si="0"/>
        <v>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v>0</v>
      </c>
      <c r="K27" s="867">
        <f t="shared" si="0"/>
        <v>0</v>
      </c>
      <c r="L27" s="864"/>
      <c r="M27" s="887"/>
      <c r="N27" s="887"/>
      <c r="O27" s="890"/>
      <c r="P27" s="889"/>
      <c r="Q27" s="876"/>
      <c r="R27" s="876"/>
      <c r="S27" s="876"/>
    </row>
    <row r="28" spans="2:19" s="842" customFormat="1">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2420463.46</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heetViews>
  <sheetFormatPr defaultColWidth="11.42578125" defaultRowHeight="12.75" outlineLevelRow="1"/>
  <cols>
    <col min="1" max="1" width="2.7109375" style="592" customWidth="1"/>
    <col min="2" max="2" width="1.28515625" style="592" customWidth="1"/>
    <col min="3" max="3" width="7.5703125" style="592" bestFit="1" customWidth="1"/>
    <col min="4" max="4" width="31.140625" style="592" customWidth="1"/>
    <col min="5" max="6" width="30.7109375" style="592" customWidth="1"/>
    <col min="7" max="7" width="2.5703125" style="592" customWidth="1"/>
    <col min="8" max="9" width="21" style="592" customWidth="1"/>
    <col min="10" max="10" width="20.85546875" style="592" customWidth="1"/>
    <col min="11" max="11" width="23.7109375" style="592" customWidth="1"/>
    <col min="12" max="12" width="2.85546875" style="592" customWidth="1"/>
    <col min="13" max="13" width="5.42578125" style="592" customWidth="1"/>
    <col min="14" max="16384" width="11.42578125" style="592"/>
  </cols>
  <sheetData>
    <row r="1" spans="1:12" ht="1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46022</v>
      </c>
      <c r="L2" s="535"/>
    </row>
    <row r="3" spans="1:12" ht="14.25">
      <c r="A3" s="596"/>
      <c r="B3" s="759"/>
      <c r="C3" s="596"/>
      <c r="D3" s="596"/>
      <c r="E3" s="596"/>
      <c r="F3" s="596"/>
      <c r="G3" s="540"/>
      <c r="H3" s="540"/>
      <c r="I3" s="540"/>
      <c r="J3" s="540" t="s">
        <v>233</v>
      </c>
      <c r="K3" s="621">
        <f>'Cover Page'!$C$17</f>
        <v>46037</v>
      </c>
      <c r="L3" s="541"/>
    </row>
    <row r="4" spans="1:12" ht="14.25" customHeight="1">
      <c r="A4" s="596"/>
      <c r="B4" s="759"/>
      <c r="C4" s="760"/>
      <c r="D4" s="760"/>
      <c r="E4" s="760"/>
      <c r="G4" s="540"/>
      <c r="H4" s="540"/>
      <c r="I4" s="540"/>
      <c r="J4" s="540" t="s">
        <v>234</v>
      </c>
      <c r="K4" s="621">
        <f>'Cover Page'!$C$18</f>
        <v>46042</v>
      </c>
      <c r="L4" s="541"/>
    </row>
    <row r="5" spans="1:12" ht="14.25" customHeight="1">
      <c r="A5" s="596"/>
      <c r="B5" s="759"/>
      <c r="C5" s="760"/>
      <c r="D5" s="760"/>
      <c r="E5" s="928"/>
      <c r="F5" s="928"/>
      <c r="G5" s="540"/>
      <c r="H5" s="540"/>
      <c r="I5" s="540"/>
      <c r="J5" s="540" t="s">
        <v>235</v>
      </c>
      <c r="K5" s="621">
        <f>'Cover Page'!$C$19</f>
        <v>46049</v>
      </c>
      <c r="L5" s="541"/>
    </row>
    <row r="6" spans="1:12" ht="14.25">
      <c r="A6" s="596"/>
      <c r="B6" s="759"/>
      <c r="C6" s="596"/>
      <c r="D6" s="596"/>
      <c r="F6" s="596"/>
      <c r="G6" s="540"/>
      <c r="H6" s="540"/>
      <c r="I6" s="540"/>
      <c r="J6" s="540" t="s">
        <v>236</v>
      </c>
      <c r="K6" s="624">
        <f>'00 - Cover'!$F$29</f>
        <v>15</v>
      </c>
      <c r="L6" s="543"/>
    </row>
    <row r="7" spans="1:12" ht="14.25">
      <c r="A7" s="785"/>
      <c r="B7" s="812"/>
      <c r="C7" s="599"/>
      <c r="D7" s="599"/>
      <c r="E7" s="599"/>
      <c r="F7" s="599"/>
      <c r="G7" s="599"/>
      <c r="H7" s="599"/>
      <c r="I7" s="599"/>
      <c r="J7" s="599"/>
      <c r="K7" s="599"/>
      <c r="L7" s="627"/>
    </row>
    <row r="8" spans="1:12" ht="14.25">
      <c r="A8" s="785"/>
      <c r="B8" s="817"/>
      <c r="C8" s="596"/>
      <c r="D8" s="596"/>
      <c r="E8" s="596"/>
      <c r="F8" s="596"/>
      <c r="G8" s="596"/>
      <c r="H8" s="596"/>
      <c r="I8" s="596"/>
      <c r="J8" s="596"/>
      <c r="K8" s="596"/>
      <c r="L8" s="766"/>
    </row>
    <row r="9" spans="1:12" ht="14.25">
      <c r="A9" s="785"/>
      <c r="B9" s="817"/>
      <c r="C9" s="596"/>
      <c r="D9" s="596"/>
      <c r="E9" s="596"/>
      <c r="F9" s="596"/>
      <c r="G9" s="596"/>
      <c r="H9" s="596"/>
      <c r="I9" s="596"/>
      <c r="J9" s="596"/>
      <c r="K9" s="596"/>
      <c r="L9" s="766"/>
    </row>
    <row r="10" spans="1:12" ht="15.75">
      <c r="A10" s="813"/>
      <c r="B10" s="817"/>
      <c r="C10" s="1174" t="s">
        <v>634</v>
      </c>
      <c r="D10" s="827"/>
      <c r="E10" s="827"/>
      <c r="F10" s="827"/>
      <c r="G10" s="629"/>
      <c r="H10" s="629"/>
      <c r="I10" s="629"/>
      <c r="J10" s="629"/>
      <c r="K10" s="629"/>
      <c r="L10" s="772"/>
    </row>
    <row r="11" spans="1:12" ht="15.75">
      <c r="A11" s="813"/>
      <c r="B11" s="817"/>
      <c r="C11" s="764"/>
      <c r="D11" s="827"/>
      <c r="E11" s="827"/>
      <c r="F11" s="827"/>
      <c r="G11" s="629"/>
      <c r="H11" s="629"/>
      <c r="I11" s="629"/>
      <c r="J11" s="629"/>
      <c r="K11" s="629"/>
      <c r="L11" s="772"/>
    </row>
    <row r="12" spans="1:12" ht="25.5">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7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112142835.83000016</v>
      </c>
      <c r="K15" s="822"/>
      <c r="L15" s="772"/>
    </row>
    <row r="16" spans="1:12">
      <c r="A16" s="813"/>
      <c r="B16" s="817"/>
      <c r="C16" s="828"/>
      <c r="D16" s="2121"/>
      <c r="E16" s="2121"/>
      <c r="F16" s="829"/>
      <c r="G16" s="830"/>
      <c r="H16" s="830"/>
      <c r="I16" s="830"/>
      <c r="J16" s="830"/>
      <c r="K16" s="831"/>
      <c r="L16" s="772"/>
    </row>
    <row r="17" spans="1:16" ht="42.75" customHeight="1">
      <c r="A17" s="813"/>
      <c r="B17" s="817"/>
      <c r="C17" s="832" t="str">
        <f>+LEFT(D17,3)</f>
        <v>(A)</v>
      </c>
      <c r="D17" s="2114"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14"/>
      <c r="F17" s="2114"/>
      <c r="G17" s="833"/>
      <c r="H17" s="934">
        <f>'15 - Priority of Payments'!I28</f>
        <v>2420463.46</v>
      </c>
      <c r="I17" s="934">
        <f>'15 - Priority of Payments'!J28</f>
        <v>2420463.46</v>
      </c>
      <c r="J17" s="934">
        <f>'15 - Priority of Payments'!L28</f>
        <v>109722672.37000017</v>
      </c>
      <c r="K17" s="834">
        <f>'15 - Priority of Payments'!K28</f>
        <v>0</v>
      </c>
      <c r="L17" s="772"/>
    </row>
    <row r="18" spans="1:16" ht="42.75" customHeight="1">
      <c r="A18" s="813"/>
      <c r="B18" s="817"/>
      <c r="C18" s="832" t="str">
        <f t="shared" ref="C18:C24" si="0">+LEFT(D18,3)</f>
        <v>(B)</v>
      </c>
      <c r="D18" s="2114" t="str">
        <f>+'15 - Priority of Payments'!F29</f>
        <v>(B)	 on a pro rata and pari passu basis, any due and payable Class A Notes Interest Amounts on the Class A Notes;</v>
      </c>
      <c r="E18" s="2114"/>
      <c r="F18" s="2114"/>
      <c r="G18" s="835"/>
      <c r="H18" s="934">
        <f>'15 - Priority of Payments'!I29</f>
        <v>5167484.04</v>
      </c>
      <c r="I18" s="934">
        <f>'15 - Priority of Payments'!J29</f>
        <v>5167484.04</v>
      </c>
      <c r="J18" s="934">
        <f>'15 - Priority of Payments'!L29</f>
        <v>104555188.33000016</v>
      </c>
      <c r="K18" s="834">
        <f>'15 - Priority of Payments'!K29</f>
        <v>0</v>
      </c>
      <c r="L18" s="772"/>
      <c r="P18" s="807"/>
    </row>
    <row r="19" spans="1:16" ht="42.75" customHeight="1">
      <c r="A19" s="813"/>
      <c r="B19" s="817"/>
      <c r="C19" s="832" t="str">
        <f t="shared" si="0"/>
        <v>(C)</v>
      </c>
      <c r="D19" s="2114" t="str">
        <f>+'15 - Priority of Payments'!F30</f>
        <v>(C) 	in transfer to the credit of the General Reserve Account of an amount equal to the General Reserve Replenishment Amount applicable on such Payment Date;;</v>
      </c>
      <c r="E19" s="2114"/>
      <c r="F19" s="2114"/>
      <c r="G19" s="835"/>
      <c r="H19" s="934">
        <f>'15 - Priority of Payments'!I30</f>
        <v>0</v>
      </c>
      <c r="I19" s="934">
        <f>'15 - Priority of Payments'!J30</f>
        <v>0</v>
      </c>
      <c r="J19" s="934">
        <f>'15 - Priority of Payments'!L30</f>
        <v>104555188.33000016</v>
      </c>
      <c r="K19" s="834">
        <f>'15 - Priority of Payments'!K30</f>
        <v>0</v>
      </c>
      <c r="L19" s="772"/>
      <c r="P19" s="807"/>
    </row>
    <row r="20" spans="1:16" ht="42.75" customHeight="1">
      <c r="A20" s="813"/>
      <c r="B20" s="817"/>
      <c r="C20" s="832" t="str">
        <f t="shared" si="0"/>
        <v>(D)</v>
      </c>
      <c r="D20" s="2114" t="str">
        <f>+'15 - Priority of Payments'!F31</f>
        <v>(D) 	on a pro rata and pari passu basis, the Class A Notes Amortisation Amount in respect of the redemption of the Class A Notes;</v>
      </c>
      <c r="E20" s="2114"/>
      <c r="F20" s="2114"/>
      <c r="G20" s="971"/>
      <c r="H20" s="934">
        <f>'15 - Priority of Payments'!I31</f>
        <v>91503501.24000001</v>
      </c>
      <c r="I20" s="934">
        <f>'15 - Priority of Payments'!J31</f>
        <v>91503501.24000001</v>
      </c>
      <c r="J20" s="934">
        <f>'15 - Priority of Payments'!L31</f>
        <v>13051687.090000153</v>
      </c>
      <c r="K20" s="834">
        <f>'15 - Priority of Payments'!K31</f>
        <v>0</v>
      </c>
      <c r="L20" s="772"/>
      <c r="P20" s="807"/>
    </row>
    <row r="21" spans="1:16" ht="61.5" customHeight="1">
      <c r="A21" s="813"/>
      <c r="B21" s="817"/>
      <c r="C21" s="832" t="str">
        <f t="shared" si="0"/>
        <v>(E)</v>
      </c>
      <c r="D21" s="2114"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14"/>
      <c r="F21" s="2114"/>
      <c r="G21" s="1341"/>
      <c r="H21" s="934">
        <f>'15 - Priority of Payments'!I32</f>
        <v>679942.55999999994</v>
      </c>
      <c r="I21" s="934">
        <f>'15 - Priority of Payments'!J32</f>
        <v>679942.55999999994</v>
      </c>
      <c r="J21" s="934">
        <f>'15 - Priority of Payments'!L32</f>
        <v>12371744.530000152</v>
      </c>
      <c r="K21" s="834">
        <f>'15 - Priority of Payments'!K32</f>
        <v>0</v>
      </c>
      <c r="L21" s="772"/>
      <c r="P21" s="807"/>
    </row>
    <row r="22" spans="1:16" ht="42.75" customHeight="1">
      <c r="A22" s="813"/>
      <c r="B22" s="817"/>
      <c r="C22" s="832" t="str">
        <f t="shared" si="0"/>
        <v>(F)</v>
      </c>
      <c r="D22" s="2114" t="str">
        <f>+'15 - Priority of Payments'!F33</f>
        <v xml:space="preserve">(F) 	 on a pro rata and pari passu basis, the Class B Notes Amortisation Amount in respect of the redemption of the Class B Notes; </v>
      </c>
      <c r="E22" s="2114"/>
      <c r="F22" s="2114"/>
      <c r="G22" s="1341"/>
      <c r="H22" s="934">
        <f>'15 - Priority of Payments'!I33</f>
        <v>4815993.6000000006</v>
      </c>
      <c r="I22" s="934">
        <f>'15 - Priority of Payments'!J33</f>
        <v>4815993.6000000006</v>
      </c>
      <c r="J22" s="934">
        <f>'15 - Priority of Payments'!L33</f>
        <v>7555750.9300001515</v>
      </c>
      <c r="K22" s="834">
        <f>'15 - Priority of Payments'!K33</f>
        <v>0</v>
      </c>
      <c r="L22" s="772"/>
      <c r="P22" s="807"/>
    </row>
    <row r="23" spans="1:16" ht="42.75" customHeight="1">
      <c r="A23" s="813"/>
      <c r="B23" s="817"/>
      <c r="C23" s="832" t="str">
        <f t="shared" si="0"/>
        <v>(G)</v>
      </c>
      <c r="D23" s="2114"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14"/>
      <c r="F23" s="2114"/>
      <c r="G23" s="1341"/>
      <c r="H23" s="934">
        <f>'15 - Priority of Payments'!I34</f>
        <v>460000</v>
      </c>
      <c r="I23" s="934">
        <f>'15 - Priority of Payments'!J34</f>
        <v>460000</v>
      </c>
      <c r="J23" s="934">
        <f>'15 - Priority of Payments'!L34</f>
        <v>7095750.9300001515</v>
      </c>
      <c r="K23" s="834">
        <f>'15 - Priority of Payments'!K34</f>
        <v>0</v>
      </c>
      <c r="L23" s="772"/>
      <c r="P23" s="807"/>
    </row>
    <row r="24" spans="1:16" ht="42.75" customHeight="1">
      <c r="A24" s="813"/>
      <c r="B24" s="817"/>
      <c r="C24" s="832" t="str">
        <f t="shared" si="0"/>
        <v>(H)</v>
      </c>
      <c r="D24" s="2114" t="str">
        <f>+'15 - Priority of Payments'!F35</f>
        <v>(H)	 on any Payment Date which is not the Issuer Liquidation Date, the Excess Spread as interest payment to the Unitholders.</v>
      </c>
      <c r="E24" s="2114"/>
      <c r="F24" s="2114"/>
      <c r="G24" s="1342"/>
      <c r="H24" s="934">
        <f>'15 - Priority of Payments'!I35</f>
        <v>7095131.7599999327</v>
      </c>
      <c r="I24" s="934">
        <f>'15 - Priority of Payments'!J35</f>
        <v>7094831.7599999327</v>
      </c>
      <c r="J24" s="934">
        <f>'15 - Priority of Payments'!L35</f>
        <v>919.1700002187863</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919.1700002187863</v>
      </c>
      <c r="L26" s="772"/>
      <c r="P26" s="807"/>
    </row>
    <row r="27" spans="1:16" ht="13.5" thickBot="1">
      <c r="B27" s="612"/>
      <c r="C27" s="613"/>
      <c r="D27" s="613"/>
      <c r="E27" s="613"/>
      <c r="F27" s="613"/>
      <c r="G27" s="613"/>
      <c r="H27" s="613"/>
      <c r="I27" s="613"/>
      <c r="J27" s="613"/>
      <c r="K27" s="613"/>
      <c r="L27" s="614"/>
    </row>
    <row r="28" spans="1:16" ht="13.5"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25" hidden="1" outlineLevel="1">
      <c r="A32" s="785"/>
      <c r="B32" s="812"/>
      <c r="C32" s="599"/>
      <c r="D32" s="599"/>
      <c r="E32" s="599"/>
      <c r="F32" s="599"/>
      <c r="G32" s="599"/>
      <c r="H32" s="599"/>
      <c r="I32" s="599"/>
      <c r="J32" s="599"/>
      <c r="K32" s="599"/>
      <c r="L32" s="627"/>
    </row>
    <row r="33" spans="1:12" ht="15.75" hidden="1" outlineLevel="1">
      <c r="A33" s="813"/>
      <c r="B33" s="814"/>
      <c r="C33" s="764"/>
      <c r="D33" s="827"/>
      <c r="E33" s="827"/>
      <c r="F33" s="827"/>
      <c r="G33" s="629"/>
      <c r="H33" s="629"/>
      <c r="I33" s="629"/>
      <c r="J33" s="629"/>
      <c r="K33" s="629"/>
      <c r="L33" s="772"/>
    </row>
    <row r="34" spans="1:12" ht="15.75" hidden="1" outlineLevel="1">
      <c r="A34" s="813"/>
      <c r="B34" s="817"/>
      <c r="C34" s="764"/>
      <c r="D34" s="827"/>
      <c r="E34" s="827"/>
      <c r="F34" s="827"/>
      <c r="G34" s="629"/>
      <c r="H34" s="629"/>
      <c r="I34" s="629"/>
      <c r="J34" s="629"/>
      <c r="K34" s="629"/>
      <c r="L34" s="772"/>
    </row>
    <row r="35" spans="1:12" ht="25.5"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7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idden="1" outlineLevel="1">
      <c r="A39" s="813"/>
      <c r="B39" s="817"/>
      <c r="C39" s="828"/>
      <c r="D39" s="2121"/>
      <c r="E39" s="2121"/>
      <c r="F39" s="829"/>
      <c r="G39" s="830"/>
      <c r="H39" s="830"/>
      <c r="I39" s="830"/>
      <c r="J39" s="830"/>
      <c r="K39" s="831"/>
      <c r="L39" s="772"/>
    </row>
    <row r="40" spans="1:12" ht="40.5" hidden="1" customHeight="1" outlineLevel="1">
      <c r="A40" s="813"/>
      <c r="B40" s="817"/>
      <c r="C40" s="832" t="s">
        <v>27</v>
      </c>
      <c r="D40" s="2130"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30"/>
      <c r="F40" s="2130"/>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30"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30"/>
      <c r="F41" s="2130"/>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30" t="str">
        <f>'15 - Priority of Payments'!F49</f>
        <v>(C)	on a pro rata and pari passu basis, the Class A Notes Amortisation Amount in respect of the redemption of the Class A Notes until redeemed in full;</v>
      </c>
      <c r="E42" s="2130"/>
      <c r="F42" s="2130"/>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30"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30"/>
      <c r="F43" s="2130"/>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30" t="str">
        <f>'15 - Priority of Payments'!F51</f>
        <v xml:space="preserve">(E)	on a pro rata and pari passu basis, the Class B Notes Amortisation Amount in respect of the redemption of the Class B Notes until redeemed in full; </v>
      </c>
      <c r="E44" s="2130"/>
      <c r="F44" s="2130"/>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30"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30"/>
      <c r="F45" s="2130"/>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30"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30"/>
      <c r="F46" s="2130"/>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5" hidden="1" outlineLevel="1" thickBot="1">
      <c r="B49" s="612"/>
      <c r="C49" s="613"/>
      <c r="D49" s="613"/>
      <c r="E49" s="613"/>
      <c r="F49" s="613"/>
      <c r="G49" s="613"/>
      <c r="H49" s="613"/>
      <c r="I49" s="613"/>
      <c r="J49" s="613"/>
      <c r="K49" s="613"/>
      <c r="L49" s="614"/>
    </row>
    <row r="50" spans="1:12" ht="13.5" hidden="1" outlineLevel="1" thickTop="1"/>
    <row r="51" spans="1:12" collapsed="1"/>
    <row r="52" spans="1:12" ht="13.5" thickBot="1"/>
    <row r="53" spans="1:12" ht="22.5" customHeight="1" thickTop="1">
      <c r="A53" s="813"/>
      <c r="B53" s="935"/>
      <c r="C53" s="1175" t="s">
        <v>1058</v>
      </c>
      <c r="D53" s="936"/>
      <c r="E53" s="936"/>
      <c r="F53" s="936"/>
      <c r="G53" s="937"/>
      <c r="H53" s="937"/>
      <c r="I53" s="937"/>
      <c r="J53" s="937"/>
      <c r="K53" s="937"/>
      <c r="L53" s="938"/>
    </row>
    <row r="54" spans="1:12" ht="15.75">
      <c r="A54" s="813"/>
      <c r="B54" s="817"/>
      <c r="C54" s="764"/>
      <c r="D54" s="827"/>
      <c r="E54" s="827"/>
      <c r="F54" s="827"/>
      <c r="G54" s="629"/>
      <c r="H54" s="629"/>
      <c r="I54" s="629"/>
      <c r="J54" s="629"/>
      <c r="K54" s="629"/>
      <c r="L54" s="772"/>
    </row>
    <row r="55" spans="1:12" ht="15.7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75">
      <c r="A57" s="813"/>
      <c r="B57" s="817"/>
      <c r="C57" s="764"/>
      <c r="D57" s="930" t="s">
        <v>394</v>
      </c>
      <c r="E57" s="827"/>
      <c r="F57" s="827"/>
      <c r="G57" s="629"/>
      <c r="H57" s="633"/>
      <c r="I57" s="923"/>
      <c r="J57" s="924">
        <f>'13 - Issuer Account'!I12</f>
        <v>94465.610007613897</v>
      </c>
      <c r="K57" s="633"/>
      <c r="L57" s="772"/>
    </row>
    <row r="58" spans="1:12" ht="81" customHeight="1">
      <c r="A58" s="813"/>
      <c r="B58" s="817"/>
      <c r="C58" s="764"/>
      <c r="D58" s="2131"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31"/>
      <c r="F58" s="2131"/>
      <c r="G58" s="833"/>
      <c r="H58" s="934"/>
      <c r="I58" s="934">
        <f>'13 - Issuer Account'!H13</f>
        <v>0</v>
      </c>
      <c r="J58" s="934">
        <f>'13 - Issuer Account'!I13</f>
        <v>94465.610007613897</v>
      </c>
      <c r="K58" s="633"/>
      <c r="L58" s="772"/>
    </row>
    <row r="59" spans="1:12" ht="45.75" customHeight="1">
      <c r="A59" s="813"/>
      <c r="B59" s="817"/>
      <c r="C59" s="764"/>
      <c r="D59" s="2131" t="str">
        <f>'13 - Issuer Account'!F14</f>
        <v>(ii) 	the Available Collections in respect of the Purchased Home Loan Receivables reconciled between the Initial Cut-Off Date (excluded) and the Purchase Date;</v>
      </c>
      <c r="E59" s="2131"/>
      <c r="F59" s="2131"/>
      <c r="G59" s="833"/>
      <c r="H59" s="934"/>
      <c r="I59" s="934">
        <f>'13 - Issuer Account'!H14</f>
        <v>0</v>
      </c>
      <c r="J59" s="934">
        <f>'13 - Issuer Account'!I14</f>
        <v>94465.610007613897</v>
      </c>
      <c r="K59" s="633"/>
      <c r="L59" s="772"/>
    </row>
    <row r="60" spans="1:12" ht="45.75" customHeight="1">
      <c r="A60" s="813"/>
      <c r="B60" s="817"/>
      <c r="C60" s="764"/>
      <c r="D60" s="2131" t="str">
        <f>'13 - Issuer Account'!E15</f>
        <v>(b) 	pursuant to the terms of Servicing Agreement, with the amount any Available Collections on the second Business Day following the receipt of these Available Collections by the Servicer;</v>
      </c>
      <c r="E60" s="2131"/>
      <c r="F60" s="2131"/>
      <c r="G60" s="833"/>
      <c r="H60" s="934"/>
      <c r="I60" s="934">
        <f>'13 - Issuer Account'!H15</f>
        <v>102920740.10000016</v>
      </c>
      <c r="J60" s="934">
        <f>'13 - Issuer Account'!I15</f>
        <v>103015205.71000777</v>
      </c>
      <c r="K60" s="633"/>
      <c r="L60" s="772"/>
    </row>
    <row r="61" spans="1:12" ht="45.75" customHeight="1">
      <c r="A61" s="813"/>
      <c r="B61" s="817"/>
      <c r="C61" s="764"/>
      <c r="D61" s="2131" t="str">
        <f>'13 - Issuer Account'!E16</f>
        <v>(c)	 as at the relevant date, with the Financial Income (if positive) in respect of the preceding calendar month;</v>
      </c>
      <c r="E61" s="2131"/>
      <c r="F61" s="2131"/>
      <c r="G61" s="833"/>
      <c r="H61" s="934"/>
      <c r="I61" s="934">
        <f>'13 - Issuer Account'!H16</f>
        <v>0</v>
      </c>
      <c r="J61" s="934">
        <f>'13 - Issuer Account'!I16</f>
        <v>103015205.71000777</v>
      </c>
      <c r="K61" s="633"/>
      <c r="L61" s="772"/>
    </row>
    <row r="62" spans="1:12" ht="57.75" customHeight="1">
      <c r="A62" s="813"/>
      <c r="B62" s="817"/>
      <c r="C62" s="764"/>
      <c r="D62" s="2131"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31"/>
      <c r="F62" s="2131"/>
      <c r="G62" s="833"/>
      <c r="H62" s="934"/>
      <c r="I62" s="934">
        <f>'13 - Issuer Account'!H17</f>
        <v>6929596.1399999997</v>
      </c>
      <c r="J62" s="934">
        <f>'13 - Issuer Account'!I17</f>
        <v>109944801.85000777</v>
      </c>
      <c r="K62" s="633"/>
      <c r="L62" s="772"/>
    </row>
    <row r="63" spans="1:12" ht="81" customHeight="1">
      <c r="A63" s="813"/>
      <c r="B63" s="817"/>
      <c r="C63" s="764"/>
      <c r="D63" s="2131"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31"/>
      <c r="F63" s="2131"/>
      <c r="G63" s="833"/>
      <c r="H63" s="934"/>
      <c r="I63" s="934">
        <f>'13 - Issuer Account'!H18</f>
        <v>1832499.59</v>
      </c>
      <c r="J63" s="934">
        <f>'13 - Issuer Account'!I18</f>
        <v>111777301.44000778</v>
      </c>
      <c r="K63" s="633"/>
      <c r="L63" s="772"/>
    </row>
    <row r="64" spans="1:12" ht="50.25" customHeight="1">
      <c r="A64" s="813"/>
      <c r="B64" s="817"/>
      <c r="C64" s="764"/>
      <c r="D64" s="2131" t="str">
        <f>'13 - Issuer Account'!E19</f>
        <v xml:space="preserve">(f)	 on any Payment Date during the Amortisation Period with an amount corresponding to the Liquidity Shortfall debited from the General Reserve Account; </v>
      </c>
      <c r="E64" s="2131"/>
      <c r="F64" s="2131"/>
      <c r="G64" s="833"/>
      <c r="H64" s="934"/>
      <c r="I64" s="934">
        <f>'13 - Issuer Account'!H19</f>
        <v>0</v>
      </c>
      <c r="J64" s="934">
        <f>'13 - Issuer Account'!I19</f>
        <v>111777301.44000778</v>
      </c>
      <c r="K64" s="633"/>
      <c r="L64" s="772"/>
    </row>
    <row r="65" spans="1:12" ht="42.75" customHeight="1">
      <c r="A65" s="813"/>
      <c r="B65" s="817"/>
      <c r="C65" s="764"/>
      <c r="D65" s="2131" t="str">
        <f>'13 - Issuer Account'!E20</f>
        <v>(g)	 on each Payment Date during the Amortisation Period, with the General Reserve Release Amount (if any);</v>
      </c>
      <c r="E65" s="2131"/>
      <c r="F65" s="2131"/>
      <c r="G65" s="833"/>
      <c r="H65" s="934"/>
      <c r="I65" s="934">
        <f>'13 - Issuer Account'!H20</f>
        <v>460000</v>
      </c>
      <c r="J65" s="934">
        <f>'13 - Issuer Account'!I20</f>
        <v>112237301.44000778</v>
      </c>
      <c r="K65" s="633"/>
      <c r="L65" s="772"/>
    </row>
    <row r="66" spans="1:12" ht="71.25" customHeight="1">
      <c r="A66" s="813"/>
      <c r="B66" s="817"/>
      <c r="C66" s="764"/>
      <c r="D66" s="2131"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31"/>
      <c r="F66" s="2131"/>
      <c r="G66" s="833"/>
      <c r="H66" s="934"/>
      <c r="I66" s="934">
        <f>'13 - Issuer Account'!H21</f>
        <v>0</v>
      </c>
      <c r="J66" s="934">
        <f>'13 - Issuer Account'!I21</f>
        <v>112237301.44000778</v>
      </c>
      <c r="K66" s="633"/>
      <c r="L66" s="772"/>
    </row>
    <row r="67" spans="1:12" ht="81" customHeight="1">
      <c r="A67" s="813"/>
      <c r="B67" s="817"/>
      <c r="C67" s="764"/>
      <c r="D67" s="2131"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31"/>
      <c r="F67" s="2131"/>
      <c r="G67" s="833"/>
      <c r="H67" s="934"/>
      <c r="I67" s="934">
        <f>'13 - Issuer Account'!H22</f>
        <v>0</v>
      </c>
      <c r="J67" s="934">
        <f>'13 - Issuer Account'!I22</f>
        <v>112237301.44000778</v>
      </c>
      <c r="K67" s="633"/>
      <c r="L67" s="772"/>
    </row>
    <row r="68" spans="1:12" ht="81" customHeight="1">
      <c r="A68" s="813"/>
      <c r="B68" s="817"/>
      <c r="C68" s="764"/>
      <c r="D68" s="2131"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31"/>
      <c r="F68" s="2131"/>
      <c r="G68" s="833"/>
      <c r="H68" s="934"/>
      <c r="I68" s="934">
        <f>'13 - Issuer Account'!H23</f>
        <v>0</v>
      </c>
      <c r="J68" s="934">
        <f>'13 - Issuer Account'!I23</f>
        <v>112237301.44000778</v>
      </c>
      <c r="K68" s="633"/>
      <c r="L68" s="772"/>
    </row>
    <row r="69" spans="1:12" ht="81" customHeight="1">
      <c r="A69" s="813"/>
      <c r="B69" s="817"/>
      <c r="C69" s="764"/>
      <c r="D69" s="2131"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31"/>
      <c r="F69" s="2131"/>
      <c r="G69" s="833"/>
      <c r="H69" s="934"/>
      <c r="I69" s="934">
        <f>'13 - Issuer Account'!H24</f>
        <v>0</v>
      </c>
      <c r="J69" s="934">
        <f>'13 - Issuer Account'!I24</f>
        <v>112237301.44000778</v>
      </c>
      <c r="K69" s="633"/>
      <c r="L69" s="772"/>
    </row>
    <row r="70" spans="1:12" ht="81" customHeight="1">
      <c r="A70" s="813"/>
      <c r="B70" s="817"/>
      <c r="C70" s="764"/>
      <c r="D70" s="2131" t="str">
        <f>'13 - Issuer Account'!E25</f>
        <v>(b)	on each Payment Date during the Amortisation Period and the Accelerated Amortisation Period in accordance with the applicable Priority of Payments;</v>
      </c>
      <c r="E70" s="2131"/>
      <c r="F70" s="2131"/>
      <c r="G70" s="833"/>
      <c r="H70" s="934"/>
      <c r="I70" s="934">
        <f>'13 - Issuer Account'!H25</f>
        <v>112142216.65999994</v>
      </c>
      <c r="J70" s="934">
        <f>'13 - Issuer Account'!I25</f>
        <v>95084.780007839203</v>
      </c>
      <c r="K70" s="633"/>
      <c r="L70" s="772"/>
    </row>
    <row r="71" spans="1:12" ht="81" customHeight="1">
      <c r="A71" s="813"/>
      <c r="B71" s="817"/>
      <c r="C71" s="832"/>
      <c r="D71" s="2131"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31"/>
      <c r="F71" s="2131"/>
      <c r="G71" s="833"/>
      <c r="H71" s="934"/>
      <c r="I71" s="934">
        <f>'13 - Issuer Account'!H26</f>
        <v>0</v>
      </c>
      <c r="J71" s="934">
        <f>'13 - Issuer Account'!I26</f>
        <v>95084.780007839203</v>
      </c>
      <c r="K71" s="633"/>
      <c r="L71" s="772"/>
    </row>
    <row r="72" spans="1:12" ht="81" customHeight="1">
      <c r="A72" s="813"/>
      <c r="B72" s="817"/>
      <c r="C72" s="828"/>
      <c r="D72" s="2131"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31"/>
      <c r="F72" s="2131"/>
      <c r="G72" s="835"/>
      <c r="H72" s="939"/>
      <c r="I72" s="934">
        <f>'13 - Issuer Account'!H27</f>
        <v>0</v>
      </c>
      <c r="J72" s="934">
        <f>'13 - Issuer Account'!I27</f>
        <v>95084.780007839203</v>
      </c>
      <c r="K72" s="633"/>
      <c r="L72" s="772"/>
    </row>
    <row r="73" spans="1:12" ht="81" customHeight="1">
      <c r="A73" s="813"/>
      <c r="B73" s="817"/>
      <c r="C73" s="832"/>
      <c r="D73" s="2131" t="str">
        <f>'13 - Issuer Account'!E28</f>
        <v>(e) 	as at the relevant date, with the Financial Income (if negative) in respect of the preceding calendar month</v>
      </c>
      <c r="E73" s="2131"/>
      <c r="F73" s="2131"/>
      <c r="G73" s="835"/>
      <c r="H73" s="939"/>
      <c r="I73" s="934">
        <f>'13 - Issuer Account'!H28</f>
        <v>0</v>
      </c>
      <c r="J73" s="934">
        <f>'13 - Issuer Account'!I28</f>
        <v>95084.780007839203</v>
      </c>
      <c r="K73" s="633"/>
      <c r="L73" s="772"/>
    </row>
    <row r="74" spans="1:12">
      <c r="A74" s="813"/>
      <c r="B74" s="817"/>
      <c r="C74" s="828"/>
      <c r="D74" s="837"/>
      <c r="E74" s="837"/>
      <c r="F74" s="837"/>
      <c r="G74" s="837"/>
      <c r="H74" s="837"/>
      <c r="I74" s="837"/>
      <c r="J74" s="837"/>
      <c r="K74" s="633"/>
      <c r="L74" s="772"/>
    </row>
    <row r="75" spans="1:12">
      <c r="A75" s="813"/>
      <c r="B75" s="817"/>
      <c r="C75" s="819"/>
      <c r="D75" s="2129" t="s">
        <v>1102</v>
      </c>
      <c r="E75" s="2129"/>
      <c r="F75" s="839"/>
      <c r="G75" s="819"/>
      <c r="H75" s="819"/>
      <c r="I75" s="819"/>
      <c r="J75" s="824">
        <f>J73</f>
        <v>95084.780007839203</v>
      </c>
      <c r="L75" s="772"/>
    </row>
    <row r="76" spans="1:12" ht="13.5" thickBot="1">
      <c r="B76" s="612"/>
      <c r="C76" s="613"/>
      <c r="D76" s="613"/>
      <c r="E76" s="613"/>
      <c r="F76" s="613"/>
      <c r="G76" s="613"/>
      <c r="H76" s="613"/>
      <c r="I76" s="613"/>
      <c r="J76" s="613"/>
      <c r="K76" s="613"/>
      <c r="L76" s="614"/>
    </row>
    <row r="77" spans="1:12" ht="13.5" thickTop="1"/>
    <row r="78" spans="1:12" ht="13.5" thickBot="1"/>
    <row r="79" spans="1:12" ht="22.5" customHeight="1" thickTop="1">
      <c r="A79" s="813"/>
      <c r="B79" s="935"/>
      <c r="C79" s="1175" t="s">
        <v>1057</v>
      </c>
      <c r="D79" s="936"/>
      <c r="E79" s="936"/>
      <c r="F79" s="936"/>
      <c r="G79" s="937"/>
      <c r="H79" s="937"/>
      <c r="I79" s="937"/>
      <c r="J79" s="937"/>
      <c r="K79" s="937"/>
      <c r="L79" s="938"/>
    </row>
    <row r="80" spans="1:12" ht="15.75">
      <c r="A80" s="813"/>
      <c r="B80" s="817"/>
      <c r="C80" s="764"/>
      <c r="D80" s="827"/>
      <c r="E80" s="827"/>
      <c r="F80" s="827"/>
      <c r="G80" s="629"/>
      <c r="H80" s="629"/>
      <c r="I80" s="629"/>
      <c r="J80" s="629"/>
      <c r="K80" s="629"/>
      <c r="L80" s="772"/>
    </row>
    <row r="81" spans="1:12" ht="15.7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75">
      <c r="A83" s="813"/>
      <c r="B83" s="817"/>
      <c r="C83" s="764"/>
      <c r="D83" s="930" t="s">
        <v>1103</v>
      </c>
      <c r="E83" s="827"/>
      <c r="F83" s="827"/>
      <c r="G83" s="629"/>
      <c r="H83" s="633"/>
      <c r="I83" s="923"/>
      <c r="J83" s="924">
        <f>'13 - Issuer Account'!I35</f>
        <v>54210000</v>
      </c>
      <c r="K83" s="633"/>
      <c r="L83" s="772"/>
    </row>
    <row r="84" spans="1:12" ht="33.75" customHeight="1">
      <c r="A84" s="813"/>
      <c r="B84" s="817"/>
      <c r="C84" s="832"/>
      <c r="D84" s="2114" t="str">
        <f>'13 - Issuer Account'!E36</f>
        <v>(a)	 on the Issuer Establishment Date, with the applicable General Reserve Required Amount in accordance with General Reserve Deposit Agreement; and</v>
      </c>
      <c r="E84" s="2114"/>
      <c r="F84" s="2114"/>
      <c r="G84" s="833"/>
      <c r="H84" s="934"/>
      <c r="I84" s="934">
        <f>'13 - Issuer Account'!H36</f>
        <v>0</v>
      </c>
      <c r="J84" s="934">
        <f>'13 - Issuer Account'!I36</f>
        <v>54210000</v>
      </c>
      <c r="K84" s="633"/>
      <c r="L84" s="772"/>
    </row>
    <row r="85" spans="1:12" ht="33.75" customHeight="1">
      <c r="A85" s="813"/>
      <c r="B85" s="817"/>
      <c r="C85" s="832"/>
      <c r="D85" s="2114" t="str">
        <f>'13 - Issuer Account'!E37</f>
        <v>(c) 	on each Payment Date during the Amortisation Period, with the General Reserve Replenishment Amount (if any), subject to and in accordance with the applicable Priority of Payments.</v>
      </c>
      <c r="E85" s="2114"/>
      <c r="F85" s="2114"/>
      <c r="G85" s="833"/>
      <c r="H85" s="934"/>
      <c r="I85" s="934">
        <f>'13 - Issuer Account'!H37</f>
        <v>0</v>
      </c>
      <c r="J85" s="934">
        <f>'13 - Issuer Account'!I37</f>
        <v>54210000</v>
      </c>
      <c r="K85" s="633"/>
      <c r="L85" s="772"/>
    </row>
    <row r="86" spans="1:12" ht="33.75" customHeight="1">
      <c r="A86" s="813"/>
      <c r="B86" s="817"/>
      <c r="C86" s="832"/>
      <c r="D86" s="2114" t="str">
        <f>'13 - Issuer Account'!E38</f>
        <v>(a)	on any Payment Date during the Amortisation Period with an amount corresponding to the Liquidity Shortfall;</v>
      </c>
      <c r="E86" s="2114"/>
      <c r="F86" s="2114"/>
      <c r="G86" s="833"/>
      <c r="H86" s="934"/>
      <c r="I86" s="934">
        <f>'13 - Issuer Account'!H38</f>
        <v>0</v>
      </c>
      <c r="J86" s="934">
        <f>'13 - Issuer Account'!I38</f>
        <v>54210000</v>
      </c>
      <c r="K86" s="633"/>
      <c r="L86" s="772"/>
    </row>
    <row r="87" spans="1:12" ht="33.75" customHeight="1">
      <c r="A87" s="813"/>
      <c r="B87" s="817"/>
      <c r="C87" s="828"/>
      <c r="D87" s="2114" t="str">
        <f>'13 - Issuer Account'!E39</f>
        <v>(b) 	on each Payment Date during the Amortisation Period, with the General Reserve Release Amount (if any); and</v>
      </c>
      <c r="E87" s="2114"/>
      <c r="F87" s="2114"/>
      <c r="G87" s="835"/>
      <c r="H87" s="939"/>
      <c r="I87" s="934">
        <f>'13 - Issuer Account'!H39</f>
        <v>460000</v>
      </c>
      <c r="J87" s="934">
        <f>'13 - Issuer Account'!I39</f>
        <v>53750000</v>
      </c>
      <c r="K87" s="633"/>
      <c r="L87" s="772"/>
    </row>
    <row r="88" spans="1:12">
      <c r="A88" s="813"/>
      <c r="B88" s="817"/>
      <c r="C88" s="828"/>
      <c r="D88" s="837"/>
      <c r="E88" s="837"/>
      <c r="F88" s="837"/>
      <c r="G88" s="837"/>
      <c r="H88" s="837"/>
      <c r="I88" s="837"/>
      <c r="J88" s="837"/>
      <c r="K88" s="633"/>
      <c r="L88" s="772"/>
    </row>
    <row r="89" spans="1:12">
      <c r="A89" s="813"/>
      <c r="B89" s="817"/>
      <c r="C89" s="819"/>
      <c r="D89" s="2129" t="s">
        <v>1104</v>
      </c>
      <c r="E89" s="2129"/>
      <c r="F89" s="839"/>
      <c r="G89" s="819"/>
      <c r="H89" s="819"/>
      <c r="I89" s="819"/>
      <c r="J89" s="824">
        <f>J87</f>
        <v>53750000</v>
      </c>
      <c r="L89" s="772"/>
    </row>
    <row r="90" spans="1:12" ht="13.5" thickBot="1">
      <c r="B90" s="612"/>
      <c r="C90" s="613"/>
      <c r="D90" s="613"/>
      <c r="E90" s="613"/>
      <c r="F90" s="613"/>
      <c r="G90" s="613"/>
      <c r="H90" s="613"/>
      <c r="I90" s="613"/>
      <c r="J90" s="613"/>
      <c r="K90" s="613"/>
      <c r="L90" s="614"/>
    </row>
    <row r="91" spans="1:12" ht="13.5" thickTop="1"/>
    <row r="92" spans="1:12" ht="13.5" thickBot="1"/>
    <row r="93" spans="1:12" ht="22.5" customHeight="1" thickTop="1">
      <c r="A93" s="813"/>
      <c r="B93" s="935"/>
      <c r="C93" s="1175" t="s">
        <v>1059</v>
      </c>
      <c r="D93" s="936"/>
      <c r="E93" s="936"/>
      <c r="F93" s="936"/>
      <c r="G93" s="937"/>
      <c r="H93" s="937"/>
      <c r="I93" s="937"/>
      <c r="J93" s="937"/>
      <c r="K93" s="937"/>
      <c r="L93" s="938"/>
    </row>
    <row r="94" spans="1:12" ht="15.75">
      <c r="A94" s="813"/>
      <c r="B94" s="817"/>
      <c r="C94" s="764"/>
      <c r="D94" s="827"/>
      <c r="E94" s="827"/>
      <c r="F94" s="827"/>
      <c r="G94" s="629"/>
      <c r="H94" s="629"/>
      <c r="I94" s="629"/>
      <c r="J94" s="629"/>
      <c r="K94" s="629"/>
      <c r="L94" s="772"/>
    </row>
    <row r="95" spans="1:12" ht="15.7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75">
      <c r="A97" s="813"/>
      <c r="B97" s="817"/>
      <c r="C97" s="764"/>
      <c r="D97" s="827"/>
      <c r="E97" s="827"/>
      <c r="F97" s="827"/>
      <c r="G97" s="629"/>
      <c r="H97" s="633"/>
      <c r="I97" s="923"/>
      <c r="J97" s="924">
        <f>'13 - Issuer Account'!I47</f>
        <v>0</v>
      </c>
      <c r="K97" s="633"/>
      <c r="L97" s="772"/>
    </row>
    <row r="98" spans="1:12" ht="54.75" customHeight="1">
      <c r="A98" s="813"/>
      <c r="B98" s="817"/>
      <c r="C98" s="832"/>
      <c r="D98" s="2114"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14"/>
      <c r="F98" s="2114"/>
      <c r="G98" s="833"/>
      <c r="H98" s="934"/>
      <c r="I98" s="934">
        <f>'13 - Issuer Account'!H47</f>
        <v>0</v>
      </c>
      <c r="J98" s="924">
        <f>'13 - Issuer Account'!I48</f>
        <v>0</v>
      </c>
      <c r="K98" s="633"/>
      <c r="L98" s="772"/>
    </row>
    <row r="99" spans="1:12" ht="75.75" customHeight="1">
      <c r="A99" s="813"/>
      <c r="B99" s="817"/>
      <c r="C99" s="832"/>
      <c r="D99" s="2114"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14"/>
      <c r="F99" s="2114"/>
      <c r="G99" s="833"/>
      <c r="H99" s="934"/>
      <c r="I99" s="934">
        <f>'13 - Issuer Account'!H48</f>
        <v>0</v>
      </c>
      <c r="J99" s="924">
        <f>'13 - Issuer Account'!I49</f>
        <v>0</v>
      </c>
      <c r="K99" s="633"/>
      <c r="L99" s="772"/>
    </row>
    <row r="100" spans="1:12" ht="72" customHeight="1">
      <c r="A100" s="813"/>
      <c r="B100" s="817"/>
      <c r="C100" s="832"/>
      <c r="D100" s="2114"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14"/>
      <c r="F100" s="2114"/>
      <c r="G100" s="833"/>
      <c r="H100" s="934"/>
      <c r="I100" s="934">
        <f>'13 - Issuer Account'!H49</f>
        <v>0</v>
      </c>
      <c r="J100" s="924">
        <f>'13 - Issuer Account'!I50</f>
        <v>0</v>
      </c>
      <c r="K100" s="633"/>
      <c r="L100" s="772"/>
    </row>
    <row r="101" spans="1:12" ht="66.75" customHeight="1">
      <c r="A101" s="813"/>
      <c r="B101" s="817"/>
      <c r="C101" s="828"/>
      <c r="D101" s="2114"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14"/>
      <c r="F101" s="2114"/>
      <c r="G101" s="833"/>
      <c r="H101" s="934"/>
      <c r="I101" s="934">
        <f>'13 - Issuer Account'!H50</f>
        <v>0</v>
      </c>
      <c r="J101" s="924">
        <f>'13 - Issuer Account'!I51</f>
        <v>0</v>
      </c>
      <c r="K101" s="633"/>
      <c r="L101" s="772"/>
    </row>
    <row r="102" spans="1:12" ht="54" customHeight="1">
      <c r="A102" s="813"/>
      <c r="B102" s="817"/>
      <c r="C102" s="832"/>
      <c r="D102" s="2114" t="str">
        <f>'13 - Issuer Account'!E51</f>
        <v>(d)	on the Issuer Liquidation Date, with any amount standing to the credit of the Commingling Reserve Account (if any) which shall be re-transferred to the Servicer (out of the Priority of Payments).</v>
      </c>
      <c r="E102" s="2114"/>
      <c r="F102" s="2114"/>
      <c r="G102" s="833"/>
      <c r="H102" s="934"/>
      <c r="I102" s="934">
        <f>'13 - Issuer Account'!H51</f>
        <v>0</v>
      </c>
      <c r="J102" s="924">
        <f>'13 - Issuer Account'!I52</f>
        <v>0</v>
      </c>
      <c r="K102" s="633"/>
      <c r="L102" s="772"/>
    </row>
    <row r="103" spans="1:12">
      <c r="A103" s="813"/>
      <c r="B103" s="817"/>
      <c r="C103" s="828"/>
      <c r="D103" s="837"/>
      <c r="E103" s="837"/>
      <c r="F103" s="837"/>
      <c r="G103" s="837"/>
      <c r="H103" s="837"/>
      <c r="I103" s="837"/>
      <c r="J103" s="837"/>
      <c r="K103" s="633"/>
      <c r="L103" s="772"/>
    </row>
    <row r="104" spans="1:12">
      <c r="A104" s="813"/>
      <c r="B104" s="817"/>
      <c r="C104" s="819"/>
      <c r="D104" s="2129" t="s">
        <v>1889</v>
      </c>
      <c r="E104" s="2129"/>
      <c r="F104" s="839"/>
      <c r="G104" s="819"/>
      <c r="H104" s="819"/>
      <c r="I104" s="819"/>
      <c r="J104" s="824">
        <f>J102</f>
        <v>0</v>
      </c>
      <c r="L104" s="772"/>
    </row>
    <row r="105" spans="1:12" ht="13.5" thickBot="1">
      <c r="B105" s="612"/>
      <c r="C105" s="613"/>
      <c r="D105" s="613"/>
      <c r="E105" s="613"/>
      <c r="F105" s="613"/>
      <c r="G105" s="613"/>
      <c r="H105" s="613"/>
      <c r="I105" s="613"/>
      <c r="J105" s="613"/>
      <c r="K105" s="613"/>
      <c r="L105" s="614"/>
    </row>
    <row r="106" spans="1:12" ht="13.5"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zoomScale="85" zoomScaleNormal="100" zoomScaleSheetLayoutView="85" workbookViewId="0"/>
  </sheetViews>
  <sheetFormatPr defaultColWidth="11.42578125" defaultRowHeight="12.75"/>
  <cols>
    <col min="1" max="1" width="2.7109375" style="592" customWidth="1"/>
    <col min="2" max="2" width="1.28515625" style="592" customWidth="1"/>
    <col min="3" max="3" width="11.7109375" style="592" bestFit="1" customWidth="1"/>
    <col min="4" max="4" width="43" style="592" bestFit="1" customWidth="1"/>
    <col min="5" max="5" width="15.140625" style="592" bestFit="1" customWidth="1"/>
    <col min="6" max="6" width="9.140625" style="592" bestFit="1" customWidth="1"/>
    <col min="7" max="7" width="6.5703125" style="592" bestFit="1" customWidth="1"/>
    <col min="8" max="8" width="32.5703125" style="592" bestFit="1" customWidth="1"/>
    <col min="9" max="9" width="32.5703125" style="592" customWidth="1"/>
    <col min="10" max="10" width="17" style="592" bestFit="1" customWidth="1"/>
    <col min="11" max="11" width="34.140625" style="592" bestFit="1" customWidth="1"/>
    <col min="12" max="12" width="11.42578125" style="592" bestFit="1" customWidth="1"/>
    <col min="13" max="16384" width="11.42578125" style="592"/>
  </cols>
  <sheetData>
    <row r="1" spans="1:12" ht="13.5"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46022</v>
      </c>
    </row>
    <row r="3" spans="1:12" ht="14.25">
      <c r="A3" s="596"/>
      <c r="B3" s="759"/>
      <c r="C3" s="596"/>
      <c r="D3" s="596"/>
      <c r="E3" s="596"/>
      <c r="F3" s="596"/>
      <c r="G3" s="596"/>
      <c r="H3" s="596"/>
      <c r="I3" s="596"/>
      <c r="J3" s="596"/>
      <c r="K3" s="540" t="s">
        <v>233</v>
      </c>
      <c r="L3" s="541">
        <f>'00 - Cover'!F18</f>
        <v>46037</v>
      </c>
    </row>
    <row r="4" spans="1:12" ht="23.25">
      <c r="A4" s="596"/>
      <c r="B4" s="759"/>
      <c r="C4" s="2115"/>
      <c r="D4" s="2115"/>
      <c r="E4" s="2132"/>
      <c r="F4" s="2132"/>
      <c r="G4" s="2132"/>
      <c r="H4" s="2132"/>
      <c r="I4" s="940"/>
      <c r="J4" s="940"/>
      <c r="K4" s="540" t="s">
        <v>234</v>
      </c>
      <c r="L4" s="541">
        <f>'00 - Cover'!F19</f>
        <v>46042</v>
      </c>
    </row>
    <row r="5" spans="1:12" ht="23.25">
      <c r="A5" s="596"/>
      <c r="B5" s="759"/>
      <c r="C5" s="2115"/>
      <c r="D5" s="2115"/>
      <c r="E5" s="2132"/>
      <c r="F5" s="2132"/>
      <c r="G5" s="2132"/>
      <c r="H5" s="2132"/>
      <c r="I5" s="940"/>
      <c r="J5" s="940"/>
      <c r="K5" s="540" t="s">
        <v>235</v>
      </c>
      <c r="L5" s="541">
        <f>'00 - Cover'!F20</f>
        <v>46049</v>
      </c>
    </row>
    <row r="6" spans="1:12" ht="23.25">
      <c r="A6" s="596"/>
      <c r="B6" s="759"/>
      <c r="C6" s="596"/>
      <c r="D6" s="596"/>
      <c r="E6" s="2132"/>
      <c r="F6" s="2132"/>
      <c r="G6" s="2132"/>
      <c r="H6" s="2132"/>
      <c r="I6" s="940"/>
      <c r="J6" s="940"/>
      <c r="K6" s="540" t="s">
        <v>236</v>
      </c>
      <c r="L6" s="543">
        <f>_xlfn.XLOOKUP(L2,Calendar!E23:E478,Calendar!B23:B478)</f>
        <v>15</v>
      </c>
    </row>
    <row r="7" spans="1:12">
      <c r="A7" s="707"/>
      <c r="B7" s="941"/>
      <c r="C7" s="942"/>
      <c r="D7" s="942"/>
      <c r="E7" s="942"/>
      <c r="F7" s="942"/>
      <c r="G7" s="942"/>
      <c r="H7" s="942"/>
      <c r="I7" s="1698"/>
      <c r="J7" s="942"/>
      <c r="K7" s="942"/>
      <c r="L7" s="943"/>
    </row>
    <row r="8" spans="1:12" ht="15.75">
      <c r="B8" s="594"/>
      <c r="F8" s="944"/>
      <c r="G8" s="944"/>
      <c r="L8" s="603"/>
    </row>
    <row r="9" spans="1:12">
      <c r="B9" s="594"/>
      <c r="L9" s="603"/>
    </row>
    <row r="10" spans="1:12" ht="15">
      <c r="B10" s="594"/>
      <c r="C10" s="945" t="s">
        <v>396</v>
      </c>
      <c r="D10" s="1598">
        <f>L5</f>
        <v>46049</v>
      </c>
      <c r="L10" s="603"/>
    </row>
    <row r="11" spans="1:12">
      <c r="B11" s="594"/>
      <c r="L11" s="603"/>
    </row>
    <row r="12" spans="1:12">
      <c r="B12" s="594"/>
      <c r="D12" s="1176" t="s">
        <v>397</v>
      </c>
      <c r="E12" s="1177" t="s">
        <v>398</v>
      </c>
      <c r="F12" s="1177" t="s">
        <v>399</v>
      </c>
      <c r="G12" s="1177" t="s">
        <v>400</v>
      </c>
      <c r="H12" s="1177" t="s">
        <v>401</v>
      </c>
      <c r="I12" s="1177" t="s">
        <v>1987</v>
      </c>
      <c r="J12" s="1177" t="s">
        <v>402</v>
      </c>
      <c r="K12" s="1177" t="s">
        <v>403</v>
      </c>
      <c r="L12" s="603"/>
    </row>
    <row r="13" spans="1:12" ht="25.5">
      <c r="B13" s="594"/>
      <c r="D13" s="946" t="s">
        <v>370</v>
      </c>
      <c r="E13" s="1600">
        <f>'14 - Fees'!J53</f>
        <v>2377195.84</v>
      </c>
      <c r="F13" s="948" t="s">
        <v>404</v>
      </c>
      <c r="G13" s="1177" t="s">
        <v>400</v>
      </c>
      <c r="H13" s="949" t="s">
        <v>1357</v>
      </c>
      <c r="I13" s="949" t="s">
        <v>1985</v>
      </c>
      <c r="J13" s="949" t="s">
        <v>406</v>
      </c>
      <c r="K13" s="949" t="s">
        <v>2063</v>
      </c>
      <c r="L13" s="787"/>
    </row>
    <row r="14" spans="1:12" ht="25.5">
      <c r="B14" s="594"/>
      <c r="D14" s="946" t="s">
        <v>371</v>
      </c>
      <c r="E14" s="1600">
        <f>'14 - Fees'!J54</f>
        <v>18720.95</v>
      </c>
      <c r="F14" s="948" t="s">
        <v>404</v>
      </c>
      <c r="G14" s="1177" t="s">
        <v>400</v>
      </c>
      <c r="H14" s="949" t="s">
        <v>1357</v>
      </c>
      <c r="I14" s="949" t="s">
        <v>1985</v>
      </c>
      <c r="J14" s="949" t="s">
        <v>406</v>
      </c>
      <c r="K14" s="949" t="s">
        <v>2063</v>
      </c>
      <c r="L14" s="787"/>
    </row>
    <row r="15" spans="1:12" ht="25.5">
      <c r="B15" s="594"/>
      <c r="D15" s="946" t="s">
        <v>407</v>
      </c>
      <c r="E15" s="947">
        <f>SUM('14 - Fees'!J18:J30)</f>
        <v>5416.67</v>
      </c>
      <c r="F15" s="948" t="s">
        <v>404</v>
      </c>
      <c r="G15" s="1177" t="s">
        <v>400</v>
      </c>
      <c r="H15" s="949" t="s">
        <v>1357</v>
      </c>
      <c r="I15" s="949" t="s">
        <v>1988</v>
      </c>
      <c r="J15" s="949" t="s">
        <v>1350</v>
      </c>
      <c r="K15" s="950" t="s">
        <v>1365</v>
      </c>
      <c r="L15" s="787"/>
    </row>
    <row r="16" spans="1:12" ht="25.5">
      <c r="B16" s="594"/>
      <c r="D16" s="946" t="s">
        <v>372</v>
      </c>
      <c r="E16" s="947">
        <f>'14 - Fees'!J34</f>
        <v>12500</v>
      </c>
      <c r="F16" s="948" t="s">
        <v>404</v>
      </c>
      <c r="G16" s="1177" t="s">
        <v>400</v>
      </c>
      <c r="H16" s="949" t="s">
        <v>1357</v>
      </c>
      <c r="I16" s="949" t="s">
        <v>1985</v>
      </c>
      <c r="J16" s="949" t="s">
        <v>408</v>
      </c>
      <c r="K16" s="950" t="s">
        <v>1362</v>
      </c>
      <c r="L16" s="787"/>
    </row>
    <row r="17" spans="2:13" ht="25.5">
      <c r="B17" s="594"/>
      <c r="D17" s="946" t="s">
        <v>377</v>
      </c>
      <c r="E17" s="947">
        <f>SUM('14 - Fees'!J39:J45)</f>
        <v>480</v>
      </c>
      <c r="F17" s="948" t="s">
        <v>404</v>
      </c>
      <c r="G17" s="1177" t="s">
        <v>400</v>
      </c>
      <c r="H17" s="949" t="s">
        <v>1357</v>
      </c>
      <c r="I17" s="949" t="s">
        <v>1985</v>
      </c>
      <c r="J17" s="949" t="s">
        <v>408</v>
      </c>
      <c r="K17" s="950" t="s">
        <v>1362</v>
      </c>
      <c r="L17" s="787"/>
      <c r="M17" s="951"/>
    </row>
    <row r="18" spans="2:13" ht="25.5">
      <c r="B18" s="594"/>
      <c r="D18" s="946" t="s">
        <v>378</v>
      </c>
      <c r="E18" s="947">
        <f>'14 - Fees'!J36+'14 - Fees'!J37</f>
        <v>1050</v>
      </c>
      <c r="F18" s="948" t="s">
        <v>404</v>
      </c>
      <c r="G18" s="1177" t="s">
        <v>400</v>
      </c>
      <c r="H18" s="949" t="s">
        <v>1357</v>
      </c>
      <c r="I18" s="949" t="s">
        <v>1985</v>
      </c>
      <c r="J18" s="949" t="s">
        <v>406</v>
      </c>
      <c r="K18" s="950" t="s">
        <v>1357</v>
      </c>
      <c r="L18" s="787"/>
    </row>
    <row r="19" spans="2:13" ht="25.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25.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5">
      <c r="B21" s="594"/>
      <c r="D21" s="946" t="s">
        <v>186</v>
      </c>
      <c r="E21" s="1600">
        <f>'14 - Fees'!J58</f>
        <v>0</v>
      </c>
      <c r="F21" s="948" t="s">
        <v>404</v>
      </c>
      <c r="G21" s="1177" t="s">
        <v>400</v>
      </c>
      <c r="H21" s="949" t="s">
        <v>1357</v>
      </c>
      <c r="I21" s="949" t="s">
        <v>2097</v>
      </c>
      <c r="J21" s="949" t="s">
        <v>2098</v>
      </c>
      <c r="K21" s="950" t="s">
        <v>1366</v>
      </c>
      <c r="L21" s="787"/>
    </row>
    <row r="22" spans="2:13" ht="25.5">
      <c r="B22" s="594"/>
      <c r="D22" s="946" t="s">
        <v>380</v>
      </c>
      <c r="E22" s="1600">
        <f>'14 - Fees'!J60</f>
        <v>5100</v>
      </c>
      <c r="F22" s="948" t="s">
        <v>404</v>
      </c>
      <c r="G22" s="1177" t="s">
        <v>400</v>
      </c>
      <c r="H22" s="949" t="s">
        <v>1357</v>
      </c>
      <c r="I22" s="949" t="s">
        <v>2099</v>
      </c>
      <c r="J22" s="949" t="s">
        <v>1361</v>
      </c>
      <c r="K22" s="950" t="s">
        <v>2100</v>
      </c>
      <c r="L22" s="787"/>
    </row>
    <row r="23" spans="2:13" ht="25.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25.5">
      <c r="B24" s="594"/>
      <c r="D24" s="946" t="s">
        <v>383</v>
      </c>
      <c r="E24" s="1600">
        <f>'14 - Fees'!J49</f>
        <v>0</v>
      </c>
      <c r="F24" s="948" t="s">
        <v>404</v>
      </c>
      <c r="G24" s="1177" t="s">
        <v>400</v>
      </c>
      <c r="H24" s="949" t="s">
        <v>1357</v>
      </c>
      <c r="I24" s="949" t="s">
        <v>1988</v>
      </c>
      <c r="J24" s="949" t="s">
        <v>1350</v>
      </c>
      <c r="K24" s="950" t="str">
        <f>K15</f>
        <v>FR76 3005 6000 5000 5000 7046 525</v>
      </c>
      <c r="L24" s="787"/>
    </row>
    <row r="25" spans="2:13" ht="25.5">
      <c r="B25" s="594"/>
      <c r="D25" s="946" t="s">
        <v>409</v>
      </c>
      <c r="E25" s="1600">
        <f>'12 - Notes Interest'!K17</f>
        <v>3277958.44</v>
      </c>
      <c r="F25" s="948" t="s">
        <v>404</v>
      </c>
      <c r="G25" s="1177" t="s">
        <v>400</v>
      </c>
      <c r="H25" s="949" t="s">
        <v>1357</v>
      </c>
      <c r="I25" s="949" t="s">
        <v>1985</v>
      </c>
      <c r="J25" s="949" t="s">
        <v>406</v>
      </c>
      <c r="K25" s="950" t="s">
        <v>1363</v>
      </c>
      <c r="L25" s="787"/>
    </row>
    <row r="26" spans="2:13" ht="25.5">
      <c r="B26" s="594"/>
      <c r="D26" s="946" t="s">
        <v>410</v>
      </c>
      <c r="E26" s="1600">
        <f>'11 - Notes Follow-up'!F25</f>
        <v>58047925.640000001</v>
      </c>
      <c r="F26" s="948" t="s">
        <v>404</v>
      </c>
      <c r="G26" s="1177" t="s">
        <v>400</v>
      </c>
      <c r="H26" s="949" t="s">
        <v>1357</v>
      </c>
      <c r="I26" s="949" t="s">
        <v>1985</v>
      </c>
      <c r="J26" s="949" t="s">
        <v>406</v>
      </c>
      <c r="K26" s="950" t="s">
        <v>1363</v>
      </c>
      <c r="L26" s="787"/>
    </row>
    <row r="27" spans="2:13" ht="25.5">
      <c r="B27" s="594"/>
      <c r="D27" s="946" t="s">
        <v>2101</v>
      </c>
      <c r="E27" s="1600">
        <f>'12 - Notes Interest'!T17</f>
        <v>1889525.6</v>
      </c>
      <c r="F27" s="948" t="s">
        <v>404</v>
      </c>
      <c r="G27" s="1177" t="s">
        <v>400</v>
      </c>
      <c r="H27" s="949" t="s">
        <v>1357</v>
      </c>
      <c r="I27" s="949" t="s">
        <v>1985</v>
      </c>
      <c r="J27" s="949" t="s">
        <v>406</v>
      </c>
      <c r="K27" s="950" t="s">
        <v>1363</v>
      </c>
      <c r="L27" s="787"/>
    </row>
    <row r="28" spans="2:13" ht="25.5">
      <c r="B28" s="594"/>
      <c r="D28" s="946" t="s">
        <v>2102</v>
      </c>
      <c r="E28" s="1600">
        <f>'11 - Notes Follow-up'!N25</f>
        <v>33455575.600000001</v>
      </c>
      <c r="F28" s="948" t="s">
        <v>404</v>
      </c>
      <c r="G28" s="1177" t="s">
        <v>400</v>
      </c>
      <c r="H28" s="949" t="s">
        <v>1357</v>
      </c>
      <c r="I28" s="949" t="s">
        <v>1985</v>
      </c>
      <c r="J28" s="949" t="s">
        <v>406</v>
      </c>
      <c r="K28" s="950" t="s">
        <v>1363</v>
      </c>
      <c r="L28" s="787"/>
    </row>
    <row r="29" spans="2:13" ht="25.5">
      <c r="B29" s="594"/>
      <c r="D29" s="946" t="s">
        <v>411</v>
      </c>
      <c r="E29" s="1600">
        <f>'15 - Priority of Payments'!I32</f>
        <v>679942.55999999994</v>
      </c>
      <c r="F29" s="948" t="s">
        <v>404</v>
      </c>
      <c r="G29" s="1177" t="s">
        <v>400</v>
      </c>
      <c r="H29" s="949" t="s">
        <v>1357</v>
      </c>
      <c r="I29" s="949" t="s">
        <v>1985</v>
      </c>
      <c r="J29" s="949" t="s">
        <v>406</v>
      </c>
      <c r="K29" s="950" t="s">
        <v>1364</v>
      </c>
      <c r="L29" s="787"/>
    </row>
    <row r="30" spans="2:13" ht="25.5">
      <c r="B30" s="594"/>
      <c r="D30" s="946" t="s">
        <v>412</v>
      </c>
      <c r="E30" s="1600">
        <f>'15 - Priority of Payments'!I33</f>
        <v>4815993.6000000006</v>
      </c>
      <c r="F30" s="948" t="s">
        <v>404</v>
      </c>
      <c r="G30" s="1177" t="s">
        <v>400</v>
      </c>
      <c r="H30" s="949" t="s">
        <v>1357</v>
      </c>
      <c r="I30" s="949" t="s">
        <v>1985</v>
      </c>
      <c r="J30" s="949" t="s">
        <v>406</v>
      </c>
      <c r="K30" s="950" t="s">
        <v>1364</v>
      </c>
      <c r="L30" s="787"/>
    </row>
    <row r="31" spans="2:13" ht="25.5">
      <c r="B31" s="594"/>
      <c r="D31" s="946" t="s">
        <v>413</v>
      </c>
      <c r="E31" s="1600">
        <v>0</v>
      </c>
      <c r="F31" s="948" t="s">
        <v>404</v>
      </c>
      <c r="G31" s="1177" t="s">
        <v>400</v>
      </c>
      <c r="H31" s="949" t="s">
        <v>1360</v>
      </c>
      <c r="I31" s="949" t="s">
        <v>1985</v>
      </c>
      <c r="J31" s="949" t="s">
        <v>405</v>
      </c>
      <c r="K31" s="950" t="s">
        <v>1357</v>
      </c>
      <c r="L31" s="787"/>
    </row>
    <row r="32" spans="2:13" ht="25.5">
      <c r="B32" s="594"/>
      <c r="D32" s="946" t="s">
        <v>414</v>
      </c>
      <c r="E32" s="1600">
        <f>'15 - Priority of Payments'!J35</f>
        <v>7094831.7599999327</v>
      </c>
      <c r="F32" s="948" t="s">
        <v>404</v>
      </c>
      <c r="G32" s="1177" t="s">
        <v>400</v>
      </c>
      <c r="H32" s="949" t="s">
        <v>1357</v>
      </c>
      <c r="I32" s="949" t="s">
        <v>1985</v>
      </c>
      <c r="J32" s="949" t="s">
        <v>406</v>
      </c>
      <c r="K32" s="950" t="s">
        <v>1367</v>
      </c>
      <c r="L32" s="787"/>
    </row>
    <row r="33" spans="2:12" ht="25.5">
      <c r="B33" s="594"/>
      <c r="D33" s="946" t="s">
        <v>1358</v>
      </c>
      <c r="E33" s="952">
        <f>-MIN('10 - Reserve calculation'!K12,0)</f>
        <v>460000</v>
      </c>
      <c r="F33" s="948" t="s">
        <v>404</v>
      </c>
      <c r="G33" s="1177" t="s">
        <v>400</v>
      </c>
      <c r="H33" s="949" t="s">
        <v>1360</v>
      </c>
      <c r="I33" s="949" t="s">
        <v>1985</v>
      </c>
      <c r="J33" s="949" t="s">
        <v>406</v>
      </c>
      <c r="K33" s="950" t="s">
        <v>1986</v>
      </c>
      <c r="L33" s="787"/>
    </row>
    <row r="34" spans="2:12" ht="15">
      <c r="B34" s="594"/>
      <c r="D34" s="946" t="s">
        <v>1359</v>
      </c>
      <c r="E34" s="952">
        <v>0</v>
      </c>
      <c r="F34" s="948" t="s">
        <v>404</v>
      </c>
      <c r="G34" s="1177" t="s">
        <v>400</v>
      </c>
      <c r="H34" s="949"/>
      <c r="I34" s="949"/>
      <c r="J34" s="949" t="s">
        <v>405</v>
      </c>
      <c r="K34" s="950" t="s">
        <v>1357</v>
      </c>
      <c r="L34" s="787"/>
    </row>
    <row r="35" spans="2:12" ht="15">
      <c r="B35" s="594"/>
      <c r="D35" s="953" t="s">
        <v>415</v>
      </c>
      <c r="E35" s="952">
        <f>SUM(E13:E34)</f>
        <v>112142216.65999994</v>
      </c>
      <c r="G35" s="954"/>
      <c r="L35" s="603"/>
    </row>
    <row r="36" spans="2:12" ht="13.5" thickBot="1">
      <c r="B36" s="612"/>
      <c r="C36" s="613"/>
      <c r="D36" s="613"/>
      <c r="E36" s="613"/>
      <c r="F36" s="613"/>
      <c r="G36" s="613"/>
      <c r="H36" s="613"/>
      <c r="I36" s="613"/>
      <c r="J36" s="613"/>
      <c r="K36" s="613"/>
      <c r="L36" s="614"/>
    </row>
    <row r="37" spans="2:12" ht="13.5"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heetViews>
  <sheetFormatPr defaultColWidth="11.42578125" defaultRowHeight="12.75"/>
  <cols>
    <col min="1" max="1" width="3.85546875" style="592" customWidth="1"/>
    <col min="2" max="2" width="11.42578125" style="592"/>
    <col min="3" max="3" width="36.140625" style="592" bestFit="1" customWidth="1"/>
    <col min="4" max="4" width="18.7109375" style="592" bestFit="1" customWidth="1"/>
    <col min="5" max="5" width="22.140625" style="592" customWidth="1"/>
    <col min="6" max="6" width="12.28515625" style="592" customWidth="1"/>
    <col min="7" max="7" width="5.28515625" style="592" customWidth="1"/>
    <col min="8" max="8" width="21.7109375" style="592" customWidth="1"/>
    <col min="9" max="10" width="11.42578125" style="592"/>
    <col min="11" max="11" width="19.85546875" style="592" bestFit="1" customWidth="1"/>
    <col min="12" max="12" width="12.140625" style="592" bestFit="1" customWidth="1"/>
    <col min="13" max="13" width="1.42578125" style="592" customWidth="1"/>
    <col min="14" max="14" width="4.5703125" style="592" customWidth="1"/>
    <col min="15" max="15" width="19.5703125" style="592" bestFit="1" customWidth="1"/>
    <col min="16" max="16384" width="11.42578125" style="592"/>
  </cols>
  <sheetData>
    <row r="2" spans="1:13" ht="13.5" thickBot="1"/>
    <row r="3" spans="1:13" ht="28.5" thickTop="1">
      <c r="A3" s="808"/>
      <c r="B3" s="809"/>
      <c r="C3" s="1186"/>
      <c r="D3" s="810"/>
      <c r="E3" s="811"/>
      <c r="F3" s="811"/>
      <c r="G3" s="811"/>
      <c r="H3" s="534"/>
      <c r="I3" s="534"/>
      <c r="J3" s="534"/>
      <c r="K3" s="534"/>
      <c r="L3" s="618"/>
      <c r="M3" s="535"/>
    </row>
    <row r="4" spans="1:13" ht="14.25">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25">
      <c r="A7" s="596"/>
      <c r="B7" s="759"/>
      <c r="C7" s="596"/>
      <c r="D7" s="596"/>
      <c r="F7" s="596"/>
      <c r="G7" s="596"/>
      <c r="H7" s="540"/>
      <c r="I7" s="540"/>
      <c r="J7" s="540"/>
      <c r="K7" s="540"/>
      <c r="L7" s="624"/>
      <c r="M7" s="543"/>
    </row>
    <row r="8" spans="1:13" ht="14.25">
      <c r="A8" s="785"/>
      <c r="B8" s="812"/>
      <c r="C8" s="599"/>
      <c r="D8" s="599"/>
      <c r="E8" s="599"/>
      <c r="F8" s="599"/>
      <c r="G8" s="599"/>
      <c r="H8" s="599"/>
      <c r="I8" s="599"/>
      <c r="J8" s="599"/>
      <c r="K8" s="599"/>
      <c r="L8" s="599"/>
      <c r="M8" s="943"/>
    </row>
    <row r="9" spans="1:13" ht="15.75">
      <c r="A9" s="813"/>
      <c r="B9" s="1200" t="s">
        <v>416</v>
      </c>
      <c r="C9" s="764"/>
      <c r="D9" s="827"/>
      <c r="E9" s="827"/>
      <c r="F9" s="827"/>
      <c r="G9" s="827"/>
      <c r="H9" s="629"/>
      <c r="I9" s="629"/>
      <c r="J9" s="629"/>
      <c r="K9" s="629"/>
      <c r="L9" s="629"/>
      <c r="M9" s="772"/>
    </row>
    <row r="10" spans="1:13" ht="15.75">
      <c r="A10" s="813"/>
      <c r="B10" s="817"/>
      <c r="C10" s="764"/>
      <c r="D10" s="827"/>
      <c r="E10" s="827"/>
      <c r="F10" s="827"/>
      <c r="G10" s="827"/>
      <c r="H10" s="629"/>
      <c r="I10" s="633"/>
      <c r="J10" s="923"/>
      <c r="K10" s="929"/>
      <c r="L10" s="633"/>
      <c r="M10" s="772"/>
    </row>
    <row r="11" spans="1:13" ht="22.5" customHeight="1">
      <c r="A11" s="813"/>
      <c r="B11" s="817"/>
      <c r="C11" s="2133" t="s">
        <v>417</v>
      </c>
      <c r="D11" s="2133"/>
      <c r="E11" s="2133"/>
      <c r="F11" s="827"/>
      <c r="G11" s="956"/>
      <c r="H11" s="2133" t="s">
        <v>418</v>
      </c>
      <c r="I11" s="2133"/>
      <c r="J11" s="2133"/>
      <c r="K11" s="955"/>
      <c r="L11" s="813"/>
      <c r="M11" s="772"/>
    </row>
    <row r="12" spans="1:13" ht="15.7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5">
      <c r="A14" s="813"/>
      <c r="B14" s="817"/>
      <c r="C14" s="958" t="s">
        <v>1349</v>
      </c>
      <c r="D14" s="959"/>
      <c r="E14" s="960">
        <f>'16 - Simplified Balance Sheet'!E14</f>
        <v>11314220550.59</v>
      </c>
      <c r="F14" s="829"/>
      <c r="G14" s="961"/>
      <c r="H14" s="962" t="s">
        <v>419</v>
      </c>
      <c r="I14" s="830"/>
      <c r="J14" s="830"/>
      <c r="K14" s="963">
        <f>K15+K17</f>
        <v>7384340323.3599997</v>
      </c>
      <c r="L14" s="831"/>
      <c r="M14" s="772"/>
    </row>
    <row r="15" spans="1:13" ht="22.5" customHeight="1">
      <c r="A15" s="813"/>
      <c r="B15" s="817"/>
      <c r="C15" s="832"/>
      <c r="D15" s="964"/>
      <c r="E15" s="965"/>
      <c r="F15" s="964"/>
      <c r="G15" s="966"/>
      <c r="H15" s="967" t="s">
        <v>118</v>
      </c>
      <c r="I15" s="968"/>
      <c r="J15" s="968"/>
      <c r="K15" s="969">
        <f>'16 - Simplified Balance Sheet'!J13</f>
        <v>6818629275.04</v>
      </c>
      <c r="L15" s="831"/>
      <c r="M15" s="772"/>
    </row>
    <row r="16" spans="1:13" ht="31.5" customHeight="1">
      <c r="A16" s="813"/>
      <c r="B16" s="817"/>
      <c r="C16" s="958" t="s">
        <v>420</v>
      </c>
      <c r="D16" s="967"/>
      <c r="E16" s="969">
        <f>'16 - Simplified Balance Sheet'!E16</f>
        <v>996042.15999999992</v>
      </c>
      <c r="F16" s="967"/>
      <c r="G16" s="970"/>
      <c r="H16" s="967" t="s">
        <v>118</v>
      </c>
      <c r="K16" s="969">
        <f>'16 - Simplified Balance Sheet'!J14</f>
        <v>3929880846.4000001</v>
      </c>
      <c r="L16" s="831"/>
      <c r="M16" s="772"/>
    </row>
    <row r="17" spans="1:15" ht="31.5" customHeight="1">
      <c r="A17" s="813"/>
      <c r="B17" s="817"/>
      <c r="C17" s="832"/>
      <c r="D17" s="971"/>
      <c r="E17" s="971"/>
      <c r="F17" s="971"/>
      <c r="G17" s="972"/>
      <c r="H17" s="967" t="s">
        <v>119</v>
      </c>
      <c r="I17" s="968"/>
      <c r="J17" s="968"/>
      <c r="K17" s="969">
        <f>'16 - Simplified Balance Sheet'!J15</f>
        <v>565711048.32000005</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11314220550.59</v>
      </c>
      <c r="F19" s="971"/>
      <c r="G19" s="972"/>
      <c r="H19" s="801" t="s">
        <v>421</v>
      </c>
      <c r="I19" s="968"/>
      <c r="J19" s="968"/>
      <c r="K19" s="974">
        <f>SUM(K15:K18)</f>
        <v>11314221469.76</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919.17000022530556</v>
      </c>
      <c r="F21" s="975"/>
      <c r="G21" s="977"/>
      <c r="H21" s="1389" t="s">
        <v>1014</v>
      </c>
      <c r="I21" s="968"/>
      <c r="J21" s="968"/>
      <c r="K21" s="969">
        <f>'16 - Simplified Balance Sheet'!J22</f>
        <v>53750000</v>
      </c>
      <c r="L21" s="831"/>
      <c r="M21" s="772"/>
    </row>
    <row r="22" spans="1:15" ht="45" customHeight="1">
      <c r="A22" s="813"/>
      <c r="B22" s="817"/>
      <c r="C22" s="828" t="s">
        <v>1014</v>
      </c>
      <c r="D22" s="967"/>
      <c r="E22" s="965">
        <f>'16 - Simplified Balance Sheet'!E21</f>
        <v>53750000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11367971469.76</v>
      </c>
      <c r="F26" s="837"/>
      <c r="G26" s="978"/>
      <c r="H26" s="958" t="s">
        <v>415</v>
      </c>
      <c r="I26" s="837"/>
      <c r="K26" s="829">
        <f>+K19+K24+K21</f>
        <v>11367971469.76</v>
      </c>
      <c r="L26" s="831"/>
      <c r="M26" s="772"/>
      <c r="O26" s="1488">
        <f>E26-K26</f>
        <v>0</v>
      </c>
    </row>
    <row r="27" spans="1:15" ht="12.75" customHeight="1">
      <c r="A27" s="813"/>
      <c r="B27" s="817"/>
      <c r="C27" s="819"/>
      <c r="D27" s="930"/>
      <c r="E27" s="930"/>
      <c r="F27" s="839"/>
      <c r="G27" s="839"/>
      <c r="H27" s="819"/>
      <c r="I27" s="819"/>
      <c r="J27" s="819"/>
      <c r="K27" s="924"/>
      <c r="M27" s="772"/>
    </row>
    <row r="28" spans="1:15" ht="13.5" thickBot="1">
      <c r="B28" s="612"/>
      <c r="C28" s="613"/>
      <c r="D28" s="613"/>
      <c r="E28" s="613"/>
      <c r="F28" s="613"/>
      <c r="G28" s="613"/>
      <c r="H28" s="613"/>
      <c r="I28" s="613"/>
      <c r="J28" s="613"/>
      <c r="K28" s="613"/>
      <c r="L28" s="613"/>
      <c r="M28" s="614"/>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topLeftCell="A349" zoomScale="85" zoomScaleNormal="85" workbookViewId="0">
      <selection activeCell="F40" sqref="F40"/>
    </sheetView>
  </sheetViews>
  <sheetFormatPr defaultColWidth="11.42578125" defaultRowHeight="12.75"/>
  <cols>
    <col min="1" max="1" width="2.7109375" style="707" customWidth="1"/>
    <col min="2" max="2" width="1.28515625" style="707" customWidth="1"/>
    <col min="3" max="3" width="6.85546875" style="707" customWidth="1"/>
    <col min="4" max="4" width="31.7109375" style="708" customWidth="1"/>
    <col min="5" max="5" width="21" style="707" bestFit="1" customWidth="1"/>
    <col min="6" max="6" width="67.140625" style="707" bestFit="1" customWidth="1"/>
    <col min="7" max="7" width="33.140625" style="979" customWidth="1"/>
    <col min="8" max="8" width="25.7109375" style="707" customWidth="1"/>
    <col min="9" max="11" width="24.7109375" style="707" customWidth="1"/>
    <col min="12" max="12" width="30.28515625" style="707" customWidth="1"/>
    <col min="13" max="13" width="13.7109375" style="707" customWidth="1"/>
    <col min="14" max="14" width="4.7109375" style="707" customWidth="1"/>
    <col min="15" max="16384" width="11.42578125" style="707"/>
  </cols>
  <sheetData>
    <row r="1" spans="2:13" ht="15" customHeight="1" thickBot="1"/>
    <row r="2" spans="2:13" s="592" customFormat="1" ht="39.950000000000003" customHeight="1" thickTop="1">
      <c r="B2" s="593"/>
      <c r="C2" s="755"/>
      <c r="D2" s="617"/>
      <c r="E2" s="810"/>
      <c r="F2" s="811"/>
      <c r="G2" s="980"/>
      <c r="H2" s="617"/>
      <c r="I2" s="617"/>
      <c r="J2" s="617"/>
      <c r="K2" s="617"/>
      <c r="L2" s="534"/>
      <c r="M2" s="535"/>
    </row>
    <row r="3" spans="2:13" ht="14.25">
      <c r="B3" s="594"/>
      <c r="C3" s="592"/>
      <c r="D3" s="596"/>
      <c r="E3" s="596"/>
      <c r="F3" s="596"/>
      <c r="L3" s="540"/>
      <c r="M3" s="541"/>
    </row>
    <row r="4" spans="2:13" ht="15" customHeight="1">
      <c r="B4" s="594"/>
      <c r="C4" s="2115"/>
      <c r="D4" s="2115"/>
      <c r="E4" s="2115"/>
      <c r="F4" s="2134"/>
      <c r="G4" s="2134"/>
      <c r="H4" s="2134"/>
      <c r="I4" s="2134"/>
      <c r="J4" s="2134"/>
      <c r="K4" s="2134"/>
      <c r="L4" s="540"/>
      <c r="M4" s="541"/>
    </row>
    <row r="5" spans="2:13" ht="15" customHeight="1">
      <c r="B5" s="594"/>
      <c r="C5" s="2115"/>
      <c r="D5" s="2115"/>
      <c r="E5" s="2115"/>
      <c r="F5" s="2134"/>
      <c r="G5" s="2134"/>
      <c r="H5" s="2134"/>
      <c r="I5" s="2134"/>
      <c r="J5" s="2134"/>
      <c r="K5" s="2134"/>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25">
      <c r="B9" s="987"/>
      <c r="D9" s="1201" t="s">
        <v>635</v>
      </c>
      <c r="M9" s="787"/>
    </row>
    <row r="10" spans="2:13">
      <c r="B10" s="987"/>
      <c r="M10" s="787"/>
    </row>
    <row r="11" spans="2:13">
      <c r="B11" s="987"/>
      <c r="M11" s="787"/>
    </row>
    <row r="12" spans="2:13">
      <c r="B12" s="987"/>
      <c r="M12" s="787"/>
    </row>
    <row r="13" spans="2:13" s="629" customFormat="1" ht="30" customHeight="1">
      <c r="B13" s="767"/>
      <c r="D13" s="2097" t="s">
        <v>422</v>
      </c>
      <c r="E13" s="2098"/>
      <c r="F13" s="2099"/>
      <c r="G13" s="988"/>
      <c r="M13" s="772"/>
    </row>
    <row r="14" spans="2:13" s="629" customFormat="1">
      <c r="B14" s="767"/>
      <c r="C14" s="629" t="s">
        <v>335</v>
      </c>
      <c r="D14" s="2135" t="s">
        <v>423</v>
      </c>
      <c r="E14" s="2136"/>
      <c r="F14" s="989">
        <f>INPUT_DATA!DT4</f>
        <v>46022</v>
      </c>
      <c r="G14" s="993"/>
      <c r="M14" s="772"/>
    </row>
    <row r="15" spans="2:13" s="629" customFormat="1">
      <c r="B15" s="767"/>
      <c r="C15" s="629" t="s">
        <v>337</v>
      </c>
      <c r="D15" s="2137" t="s">
        <v>424</v>
      </c>
      <c r="E15" s="2138"/>
      <c r="F15" s="990">
        <f>INPUT_DATA!DX4</f>
        <v>62850</v>
      </c>
      <c r="G15" s="993"/>
      <c r="M15" s="772"/>
    </row>
    <row r="16" spans="2:13" s="629" customFormat="1">
      <c r="B16" s="767"/>
      <c r="C16" s="629" t="s">
        <v>339</v>
      </c>
      <c r="D16" s="2137" t="s">
        <v>425</v>
      </c>
      <c r="E16" s="2138"/>
      <c r="F16" s="991">
        <f>G116</f>
        <v>75171</v>
      </c>
      <c r="G16" s="993"/>
      <c r="M16" s="772"/>
    </row>
    <row r="17" spans="2:13" s="629" customFormat="1">
      <c r="B17" s="767"/>
      <c r="C17" s="629" t="s">
        <v>340</v>
      </c>
      <c r="D17" s="2137" t="s">
        <v>426</v>
      </c>
      <c r="E17" s="2138"/>
      <c r="F17" s="992">
        <f>E116</f>
        <v>11314220550.590002</v>
      </c>
      <c r="G17" s="1634"/>
      <c r="M17" s="772"/>
    </row>
    <row r="18" spans="2:13" s="629" customFormat="1">
      <c r="B18" s="767"/>
      <c r="C18" s="629" t="s">
        <v>343</v>
      </c>
      <c r="D18" s="2137" t="s">
        <v>427</v>
      </c>
      <c r="E18" s="2138"/>
      <c r="F18" s="992">
        <f>F17/F16</f>
        <v>150513.10413044927</v>
      </c>
      <c r="G18" s="993"/>
      <c r="M18" s="772"/>
    </row>
    <row r="19" spans="2:13" s="629" customFormat="1">
      <c r="B19" s="767"/>
      <c r="C19" s="629" t="s">
        <v>345</v>
      </c>
      <c r="D19" s="2139" t="s">
        <v>428</v>
      </c>
      <c r="E19" s="2140"/>
      <c r="F19" s="994">
        <f>F17/F15</f>
        <v>180019.42005712015</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_xlfn.XLOOKUP(_xlfn.CONCAT($C27,"-",E$25),INPUT_DATA!$DU:$DU,INPUT_DATA!$DW:$DW)</f>
        <v>10270.41</v>
      </c>
      <c r="F27" s="1000">
        <f>_xlfn.XLOOKUP(_xlfn.CONCAT($C27,"-",F$25),INPUT_DATA!$DU:$DU,INPUT_DATA!$DW:$DW)</f>
        <v>202435.49</v>
      </c>
      <c r="G27" s="996">
        <f>_xlfn.XLOOKUP(_xlfn.CONCAT($C27,"-",G$25),INPUT_DATA!$DU:$DU,INPUT_DATA!$DW:$DW)</f>
        <v>3400000</v>
      </c>
      <c r="H27" s="995" t="s">
        <v>434</v>
      </c>
      <c r="I27" s="1506">
        <v>10587</v>
      </c>
      <c r="J27" s="1506">
        <v>187788.11</v>
      </c>
      <c r="K27" s="1534">
        <v>3400000</v>
      </c>
      <c r="M27" s="772"/>
    </row>
    <row r="28" spans="2:13" s="629" customFormat="1">
      <c r="B28" s="767"/>
      <c r="C28" s="1331" t="s">
        <v>951</v>
      </c>
      <c r="D28" s="1001" t="s">
        <v>435</v>
      </c>
      <c r="E28" s="997">
        <f>_xlfn.XLOOKUP(_xlfn.CONCAT($C28,"-",E$25),INPUT_DATA!$DU:$DU,INPUT_DATA!$DW:$DW)</f>
        <v>86.37</v>
      </c>
      <c r="F28" s="1000">
        <f>_xlfn.XLOOKUP(_xlfn.CONCAT($C28,"-",F$25),INPUT_DATA!$DU:$DU,INPUT_DATA!$DW:$DW)</f>
        <v>150520.60999999999</v>
      </c>
      <c r="G28" s="997">
        <f>_xlfn.XLOOKUP(_xlfn.CONCAT($C28,"-",G$25),INPUT_DATA!$DU:$DU,INPUT_DATA!$DW:$DW)</f>
        <v>2379118.71</v>
      </c>
      <c r="H28" s="1001" t="s">
        <v>435</v>
      </c>
      <c r="I28" s="1507">
        <v>10000.61</v>
      </c>
      <c r="J28" s="1507">
        <v>143623.4</v>
      </c>
      <c r="K28" s="1535">
        <v>2366094.88</v>
      </c>
      <c r="M28" s="772"/>
    </row>
    <row r="29" spans="2:13" s="629" customFormat="1">
      <c r="B29" s="767"/>
      <c r="C29" s="1331" t="s">
        <v>1274</v>
      </c>
      <c r="D29" s="1001" t="s">
        <v>123</v>
      </c>
      <c r="E29" s="998">
        <f>_xlfn.XLOOKUP(_xlfn.CONCAT($C29,"-",E$25),INPUT_DATA!$DU:$DU,INPUT_DATA!$DW:$DW)</f>
        <v>0</v>
      </c>
      <c r="F29" s="1000">
        <f>_xlfn.XLOOKUP(_xlfn.CONCAT($C29,"-",F$25),INPUT_DATA!$DU:$DU,INPUT_DATA!$DW:$DW)</f>
        <v>1.68</v>
      </c>
      <c r="G29" s="998">
        <f>_xlfn.XLOOKUP(_xlfn.CONCAT($C29,"-",G$25),INPUT_DATA!$DU:$DU,INPUT_DATA!$DW:$DW)</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_xlfn.XLOOKUP(_xlfn.CONCAT($C30,"-",E$25),INPUT_DATA!$DU:$DU,INPUT_DATA!$DW:$DW)</f>
        <v>3.2</v>
      </c>
      <c r="F30" s="1000">
        <f>_xlfn.XLOOKUP(_xlfn.CONCAT($C30,"-",F$25),INPUT_DATA!$DU:$DU,INPUT_DATA!$DW:$DW)</f>
        <v>92.37</v>
      </c>
      <c r="G30" s="998">
        <f>_xlfn.XLOOKUP(_xlfn.CONCAT($C30,"-",G$25),INPUT_DATA!$DU:$DU,INPUT_DATA!$DW:$DW)</f>
        <v>120</v>
      </c>
      <c r="H30" s="1001" t="s">
        <v>436</v>
      </c>
      <c r="I30" s="1508">
        <v>3.2</v>
      </c>
      <c r="J30" s="1538">
        <v>92.664978000000005</v>
      </c>
      <c r="K30" s="1508">
        <v>120</v>
      </c>
      <c r="M30" s="772"/>
    </row>
    <row r="31" spans="2:13" s="629" customFormat="1">
      <c r="B31" s="767"/>
      <c r="C31" s="1331" t="s">
        <v>953</v>
      </c>
      <c r="D31" s="1001" t="s">
        <v>1275</v>
      </c>
      <c r="E31" s="998">
        <f>_xlfn.XLOOKUP(_xlfn.CONCAT($C31,"-",E$25),INPUT_DATA!$DU:$DU,INPUT_DATA!$DW:$DW)</f>
        <v>0.01</v>
      </c>
      <c r="F31" s="1000">
        <f>_xlfn.XLOOKUP(_xlfn.CONCAT($C31,"-",F$25),INPUT_DATA!$DU:$DU,INPUT_DATA!$DW:$DW)</f>
        <v>70.47</v>
      </c>
      <c r="G31" s="998">
        <f>_xlfn.XLOOKUP(_xlfn.CONCAT($C31,"-",G$25),INPUT_DATA!$DU:$DU,INPUT_DATA!$DW:$DW)</f>
        <v>119.76</v>
      </c>
      <c r="H31" s="1001" t="s">
        <v>1275</v>
      </c>
      <c r="I31" s="1508">
        <v>1.03</v>
      </c>
      <c r="J31" s="1508">
        <v>71.495692000000005</v>
      </c>
      <c r="K31" s="1508">
        <v>119.77</v>
      </c>
      <c r="M31" s="772"/>
    </row>
    <row r="32" spans="2:13" s="629" customFormat="1">
      <c r="B32" s="767"/>
      <c r="C32" s="1331" t="s">
        <v>954</v>
      </c>
      <c r="D32" s="1001" t="s">
        <v>437</v>
      </c>
      <c r="E32" s="998">
        <f>_xlfn.XLOOKUP(_xlfn.CONCAT($C32,"-",E$25),INPUT_DATA!$DU:$DU,INPUT_DATA!$DW:$DW)</f>
        <v>0</v>
      </c>
      <c r="F32" s="1000">
        <f>_xlfn.XLOOKUP(_xlfn.CONCAT($C32,"-",F$25),INPUT_DATA!$DU:$DU,INPUT_DATA!$DW:$DW)</f>
        <v>21.51</v>
      </c>
      <c r="G32" s="998">
        <f>_xlfn.XLOOKUP(_xlfn.CONCAT($C32,"-",G$25),INPUT_DATA!$DU:$DU,INPUT_DATA!$DW:$DW)</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_xlfn.XLOOKUP(_xlfn.CONCAT($C33,"-",E$25),INPUT_DATA!$DU:$DU,INPUT_DATA!$DW:$DW)</f>
        <v>0.42</v>
      </c>
      <c r="F33" s="1000">
        <f>_xlfn.XLOOKUP(_xlfn.CONCAT($C33,"-",F$25),INPUT_DATA!$DU:$DU,INPUT_DATA!$DW:$DW)</f>
        <v>5.05</v>
      </c>
      <c r="G33" s="998">
        <f>_xlfn.XLOOKUP(_xlfn.CONCAT($C33,"-",G$25),INPUT_DATA!$DU:$DU,INPUT_DATA!$DW:$DW)</f>
        <v>16</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_xlfn.XLOOKUP(_xlfn.CONCAT($C34,"-",E$25),INPUT_DATA!$DU:$DU,INPUT_DATA!$DW:$DW)</f>
        <v>-0.5</v>
      </c>
      <c r="F34" s="1000">
        <f>_xlfn.XLOOKUP(_xlfn.CONCAT($C34,"-",F$25),INPUT_DATA!$DU:$DU,INPUT_DATA!$DW:$DW)</f>
        <v>16.559999999999999</v>
      </c>
      <c r="G34" s="998">
        <f>_xlfn.XLOOKUP(_xlfn.CONCAT($C34,"-",G$25),INPUT_DATA!$DU:$DU,INPUT_DATA!$DW:$DW)</f>
        <v>25.67</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_xlfn.XLOOKUP(_xlfn.CONCAT($C35,"-",E$25),INPUT_DATA!$DU:$DU,INPUT_DATA!$DW:$DW)</f>
        <v>0.34</v>
      </c>
      <c r="F35" s="999">
        <f>_xlfn.XLOOKUP(_xlfn.CONCAT($C35,"-",F$25),INPUT_DATA!$DU:$DU,INPUT_DATA!$DW:$DW)</f>
        <v>32.700000000000003</v>
      </c>
      <c r="G35" s="999">
        <f>_xlfn.XLOOKUP(_xlfn.CONCAT($C35,"-",G$25),INPUT_DATA!$DU:$DU,INPUT_DATA!$DW:$DW)</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5.5">
      <c r="B44" s="767"/>
      <c r="C44" s="1009"/>
      <c r="D44" s="1179" t="s">
        <v>442</v>
      </c>
      <c r="E44" s="2097" t="s">
        <v>443</v>
      </c>
      <c r="F44" s="2099"/>
      <c r="G44" s="2097" t="s">
        <v>444</v>
      </c>
      <c r="H44" s="2099"/>
      <c r="M44" s="772"/>
    </row>
    <row r="45" spans="1:13" s="629" customFormat="1" ht="15">
      <c r="B45" s="767"/>
      <c r="C45" s="1332" t="s">
        <v>790</v>
      </c>
      <c r="D45" s="1010" t="s">
        <v>445</v>
      </c>
      <c r="E45" s="1011">
        <f>_xlfn.XLOOKUP($C45,INPUT_DATA!$DU:$DU,INPUT_DATA!$DW:$DW)</f>
        <v>65368969.219999999</v>
      </c>
      <c r="F45" s="1012">
        <f>E45/$E$76</f>
        <v>5.7775936864330642E-3</v>
      </c>
      <c r="G45" s="1013">
        <f>_xlfn.XLOOKUP($C45,INPUT_DATA!$DU:$DU,INPUT_DATA!$DX:$DX)</f>
        <v>2730</v>
      </c>
      <c r="H45" s="1014">
        <f>G45/$G$76</f>
        <v>3.6317196791315801E-2</v>
      </c>
      <c r="M45" s="772"/>
    </row>
    <row r="46" spans="1:13" s="629" customFormat="1" ht="15">
      <c r="B46" s="767"/>
      <c r="C46" s="1332" t="s">
        <v>791</v>
      </c>
      <c r="D46" s="1015" t="s">
        <v>446</v>
      </c>
      <c r="E46" s="1011">
        <f>_xlfn.XLOOKUP($C46,INPUT_DATA!$DU:$DU,INPUT_DATA!$DW:$DW)</f>
        <v>626895738</v>
      </c>
      <c r="F46" s="1012">
        <f t="shared" ref="F46:F75" si="0">E46/$E$76</f>
        <v>5.5407770707396144E-2</v>
      </c>
      <c r="G46" s="1013">
        <f>_xlfn.XLOOKUP($C46,INPUT_DATA!$DU:$DU,INPUT_DATA!$DX:$DX)</f>
        <v>12913</v>
      </c>
      <c r="H46" s="1014">
        <f t="shared" ref="H46:H75" si="1">G46/$G$76</f>
        <v>0.1717816711231725</v>
      </c>
      <c r="M46" s="772"/>
    </row>
    <row r="47" spans="1:13" s="629" customFormat="1" ht="15">
      <c r="B47" s="767"/>
      <c r="C47" s="1332" t="s">
        <v>792</v>
      </c>
      <c r="D47" s="1015" t="s">
        <v>447</v>
      </c>
      <c r="E47" s="1011">
        <f>_xlfn.XLOOKUP($C47,INPUT_DATA!$DU:$DU,INPUT_DATA!$DW:$DW)</f>
        <v>2239838310.6100001</v>
      </c>
      <c r="F47" s="1012">
        <f t="shared" si="0"/>
        <v>0.19796664742346748</v>
      </c>
      <c r="G47" s="1013">
        <f>_xlfn.XLOOKUP($C47,INPUT_DATA!$DU:$DU,INPUT_DATA!$DX:$DX)</f>
        <v>24538</v>
      </c>
      <c r="H47" s="1014">
        <f t="shared" si="1"/>
        <v>0.32642907504223706</v>
      </c>
      <c r="M47" s="772"/>
    </row>
    <row r="48" spans="1:13" s="629" customFormat="1" ht="15">
      <c r="B48" s="767"/>
      <c r="C48" s="1332" t="s">
        <v>793</v>
      </c>
      <c r="D48" s="1015" t="s">
        <v>448</v>
      </c>
      <c r="E48" s="1011">
        <f>_xlfn.XLOOKUP($C48,INPUT_DATA!$DU:$DU,INPUT_DATA!$DW:$DW)</f>
        <v>1385540705.4400001</v>
      </c>
      <c r="F48" s="1012">
        <f t="shared" si="0"/>
        <v>0.12246011108275141</v>
      </c>
      <c r="G48" s="1013">
        <f>_xlfn.XLOOKUP($C48,INPUT_DATA!$DU:$DU,INPUT_DATA!$DX:$DX)</f>
        <v>11175</v>
      </c>
      <c r="H48" s="1014">
        <f t="shared" si="1"/>
        <v>0.14866105279961686</v>
      </c>
      <c r="M48" s="772"/>
    </row>
    <row r="49" spans="2:13" s="629" customFormat="1" ht="15">
      <c r="B49" s="767"/>
      <c r="C49" s="1332" t="s">
        <v>794</v>
      </c>
      <c r="D49" s="1015" t="s">
        <v>449</v>
      </c>
      <c r="E49" s="1011">
        <f>_xlfn.XLOOKUP($C49,INPUT_DATA!$DU:$DU,INPUT_DATA!$DW:$DW)</f>
        <v>1232430751.8800001</v>
      </c>
      <c r="F49" s="1012">
        <f t="shared" si="0"/>
        <v>0.108927587752895</v>
      </c>
      <c r="G49" s="1013">
        <f>_xlfn.XLOOKUP($C49,INPUT_DATA!$DU:$DU,INPUT_DATA!$DX:$DX)</f>
        <v>7414</v>
      </c>
      <c r="H49" s="1014">
        <f t="shared" si="1"/>
        <v>9.8628460443522109E-2</v>
      </c>
      <c r="M49" s="772"/>
    </row>
    <row r="50" spans="2:13" s="629" customFormat="1" ht="15">
      <c r="B50" s="767"/>
      <c r="C50" s="1332" t="s">
        <v>795</v>
      </c>
      <c r="D50" s="1015" t="s">
        <v>450</v>
      </c>
      <c r="E50" s="1011">
        <f>_xlfn.XLOOKUP($C50,INPUT_DATA!$DU:$DU,INPUT_DATA!$DW:$DW)</f>
        <v>1054223208.86</v>
      </c>
      <c r="F50" s="1012">
        <f t="shared" si="0"/>
        <v>9.3176830356645812E-2</v>
      </c>
      <c r="G50" s="1013">
        <f>_xlfn.XLOOKUP($C50,INPUT_DATA!$DU:$DU,INPUT_DATA!$DX:$DX)</f>
        <v>5154</v>
      </c>
      <c r="H50" s="1014">
        <f t="shared" si="1"/>
        <v>6.8563674821407197E-2</v>
      </c>
      <c r="M50" s="772"/>
    </row>
    <row r="51" spans="2:13" s="629" customFormat="1" ht="15">
      <c r="B51" s="767"/>
      <c r="C51" s="1332" t="s">
        <v>796</v>
      </c>
      <c r="D51" s="1015" t="s">
        <v>451</v>
      </c>
      <c r="E51" s="1011">
        <f>_xlfn.XLOOKUP($C51,INPUT_DATA!$DU:$DU,INPUT_DATA!$DW:$DW)</f>
        <v>708579506.97000003</v>
      </c>
      <c r="F51" s="1012">
        <f t="shared" si="0"/>
        <v>6.262733732312209E-2</v>
      </c>
      <c r="G51" s="1013">
        <f>_xlfn.XLOOKUP($C51,INPUT_DATA!$DU:$DU,INPUT_DATA!$DX:$DX)</f>
        <v>2929</v>
      </c>
      <c r="H51" s="1014">
        <f t="shared" si="1"/>
        <v>3.8964494286360431E-2</v>
      </c>
      <c r="M51" s="772"/>
    </row>
    <row r="52" spans="2:13" s="629" customFormat="1" ht="15">
      <c r="B52" s="767"/>
      <c r="C52" s="1332" t="s">
        <v>797</v>
      </c>
      <c r="D52" s="1015" t="s">
        <v>452</v>
      </c>
      <c r="E52" s="1011">
        <f>_xlfn.XLOOKUP($C52,INPUT_DATA!$DU:$DU,INPUT_DATA!$DW:$DW)</f>
        <v>518623493.42000002</v>
      </c>
      <c r="F52" s="1012">
        <f t="shared" si="0"/>
        <v>4.5838199025822909E-2</v>
      </c>
      <c r="G52" s="1013">
        <f>_xlfn.XLOOKUP($C52,INPUT_DATA!$DU:$DU,INPUT_DATA!$DX:$DX)</f>
        <v>1836</v>
      </c>
      <c r="H52" s="1014">
        <f t="shared" si="1"/>
        <v>2.4424312567346451E-2</v>
      </c>
      <c r="M52" s="772"/>
    </row>
    <row r="53" spans="2:13" s="629" customFormat="1" ht="15">
      <c r="B53" s="767"/>
      <c r="C53" s="1332" t="s">
        <v>798</v>
      </c>
      <c r="D53" s="1015" t="s">
        <v>453</v>
      </c>
      <c r="E53" s="1011">
        <f>_xlfn.XLOOKUP($C53,INPUT_DATA!$DU:$DU,INPUT_DATA!$DW:$DW)</f>
        <v>352561129.22000003</v>
      </c>
      <c r="F53" s="1012">
        <f t="shared" si="0"/>
        <v>3.116088533395393E-2</v>
      </c>
      <c r="G53" s="1013">
        <f>_xlfn.XLOOKUP($C53,INPUT_DATA!$DU:$DU,INPUT_DATA!$DX:$DX)</f>
        <v>1129</v>
      </c>
      <c r="H53" s="1014">
        <f t="shared" si="1"/>
        <v>1.5019089808569794E-2</v>
      </c>
      <c r="M53" s="772"/>
    </row>
    <row r="54" spans="2:13" s="629" customFormat="1" ht="15">
      <c r="B54" s="767"/>
      <c r="C54" s="1332" t="s">
        <v>799</v>
      </c>
      <c r="D54" s="1015" t="s">
        <v>454</v>
      </c>
      <c r="E54" s="1011">
        <f>_xlfn.XLOOKUP($C54,INPUT_DATA!$DU:$DU,INPUT_DATA!$DW:$DW)</f>
        <v>293535286.39999998</v>
      </c>
      <c r="F54" s="1012">
        <f t="shared" si="0"/>
        <v>2.5943924735026762E-2</v>
      </c>
      <c r="G54" s="1013">
        <f>_xlfn.XLOOKUP($C54,INPUT_DATA!$DU:$DU,INPUT_DATA!$DX:$DX)</f>
        <v>810</v>
      </c>
      <c r="H54" s="1014">
        <f t="shared" si="1"/>
        <v>1.0775432015005786E-2</v>
      </c>
      <c r="M54" s="772"/>
    </row>
    <row r="55" spans="2:13" s="629" customFormat="1" ht="15">
      <c r="B55" s="767"/>
      <c r="C55" s="1332" t="s">
        <v>800</v>
      </c>
      <c r="D55" s="1015" t="s">
        <v>455</v>
      </c>
      <c r="E55" s="1011">
        <f>_xlfn.XLOOKUP($C55,INPUT_DATA!$DU:$DU,INPUT_DATA!$DW:$DW)</f>
        <v>311752814.67000002</v>
      </c>
      <c r="F55" s="1012">
        <f t="shared" si="0"/>
        <v>2.7554069082889071E-2</v>
      </c>
      <c r="G55" s="1013">
        <f>_xlfn.XLOOKUP($C55,INPUT_DATA!$DU:$DU,INPUT_DATA!$DX:$DX)</f>
        <v>742</v>
      </c>
      <c r="H55" s="1014">
        <f t="shared" si="1"/>
        <v>9.8708278458448078E-3</v>
      </c>
      <c r="M55" s="772"/>
    </row>
    <row r="56" spans="2:13" s="629" customFormat="1" ht="15">
      <c r="B56" s="767"/>
      <c r="C56" s="1332" t="s">
        <v>801</v>
      </c>
      <c r="D56" s="1015" t="s">
        <v>456</v>
      </c>
      <c r="E56" s="1011">
        <f>_xlfn.XLOOKUP($C56,INPUT_DATA!$DU:$DU,INPUT_DATA!$DW:$DW)</f>
        <v>308134815.05000001</v>
      </c>
      <c r="F56" s="1012">
        <f t="shared" si="0"/>
        <v>2.7234294547487128E-2</v>
      </c>
      <c r="G56" s="1013">
        <f>_xlfn.XLOOKUP($C56,INPUT_DATA!$DU:$DU,INPUT_DATA!$DX:$DX)</f>
        <v>655</v>
      </c>
      <c r="H56" s="1014">
        <f t="shared" si="1"/>
        <v>8.7134666294182601E-3</v>
      </c>
      <c r="M56" s="772"/>
    </row>
    <row r="57" spans="2:13" s="629" customFormat="1" ht="15">
      <c r="B57" s="767"/>
      <c r="C57" s="1332" t="s">
        <v>802</v>
      </c>
      <c r="D57" s="1015" t="s">
        <v>457</v>
      </c>
      <c r="E57" s="1011">
        <f>_xlfn.XLOOKUP($C57,INPUT_DATA!$DU:$DU,INPUT_DATA!$DW:$DW)</f>
        <v>347495988.94</v>
      </c>
      <c r="F57" s="1012">
        <f t="shared" si="0"/>
        <v>3.0713206215683967E-2</v>
      </c>
      <c r="G57" s="1013">
        <f>_xlfn.XLOOKUP($C57,INPUT_DATA!$DU:$DU,INPUT_DATA!$DX:$DX)</f>
        <v>687</v>
      </c>
      <c r="H57" s="1014">
        <f t="shared" si="1"/>
        <v>9.1391627090234261E-3</v>
      </c>
      <c r="M57" s="772"/>
    </row>
    <row r="58" spans="2:13" s="629" customFormat="1" ht="15">
      <c r="B58" s="767"/>
      <c r="C58" s="1332" t="s">
        <v>803</v>
      </c>
      <c r="D58" s="1015" t="s">
        <v>458</v>
      </c>
      <c r="E58" s="1011">
        <f>_xlfn.XLOOKUP($C58,INPUT_DATA!$DU:$DU,INPUT_DATA!$DW:$DW)</f>
        <v>259204770.33000001</v>
      </c>
      <c r="F58" s="1012">
        <f t="shared" si="0"/>
        <v>2.2909644475375138E-2</v>
      </c>
      <c r="G58" s="1013">
        <f>_xlfn.XLOOKUP($C58,INPUT_DATA!$DU:$DU,INPUT_DATA!$DX:$DX)</f>
        <v>475</v>
      </c>
      <c r="H58" s="1014">
        <f t="shared" si="1"/>
        <v>6.3189261816391958E-3</v>
      </c>
      <c r="M58" s="772"/>
    </row>
    <row r="59" spans="2:13" s="629" customFormat="1" ht="15">
      <c r="B59" s="767"/>
      <c r="C59" s="1332" t="s">
        <v>804</v>
      </c>
      <c r="D59" s="1015" t="s">
        <v>459</v>
      </c>
      <c r="E59" s="1011">
        <f>_xlfn.XLOOKUP($C59,INPUT_DATA!$DU:$DU,INPUT_DATA!$DW:$DW)</f>
        <v>210814864.19999999</v>
      </c>
      <c r="F59" s="1012">
        <f t="shared" si="0"/>
        <v>1.8632734200060005E-2</v>
      </c>
      <c r="G59" s="1013">
        <f>_xlfn.XLOOKUP($C59,INPUT_DATA!$DU:$DU,INPUT_DATA!$DX:$DX)</f>
        <v>356</v>
      </c>
      <c r="H59" s="1014">
        <f t="shared" si="1"/>
        <v>4.7358688856074813E-3</v>
      </c>
      <c r="M59" s="772"/>
    </row>
    <row r="60" spans="2:13" s="629" customFormat="1" ht="15">
      <c r="B60" s="767"/>
      <c r="C60" s="1332" t="s">
        <v>805</v>
      </c>
      <c r="D60" s="1015" t="s">
        <v>460</v>
      </c>
      <c r="E60" s="1011">
        <f>_xlfn.XLOOKUP($C60,INPUT_DATA!$DU:$DU,INPUT_DATA!$DW:$DW)</f>
        <v>178245309.03</v>
      </c>
      <c r="F60" s="1012">
        <f t="shared" si="0"/>
        <v>1.5754095320397933E-2</v>
      </c>
      <c r="G60" s="1013">
        <f>_xlfn.XLOOKUP($C60,INPUT_DATA!$DU:$DU,INPUT_DATA!$DX:$DX)</f>
        <v>287</v>
      </c>
      <c r="H60" s="1014">
        <f t="shared" si="1"/>
        <v>3.8179617139588403E-3</v>
      </c>
      <c r="M60" s="772"/>
    </row>
    <row r="61" spans="2:13" s="629" customFormat="1" ht="15">
      <c r="B61" s="767"/>
      <c r="C61" s="1332" t="s">
        <v>806</v>
      </c>
      <c r="D61" s="1015" t="s">
        <v>461</v>
      </c>
      <c r="E61" s="1011">
        <f>_xlfn.XLOOKUP($C61,INPUT_DATA!$DU:$DU,INPUT_DATA!$DW:$DW)</f>
        <v>154070938.88</v>
      </c>
      <c r="F61" s="1012">
        <f t="shared" si="0"/>
        <v>1.3617459390250769E-2</v>
      </c>
      <c r="G61" s="1013">
        <f>_xlfn.XLOOKUP($C61,INPUT_DATA!$DU:$DU,INPUT_DATA!$DX:$DX)</f>
        <v>235</v>
      </c>
      <c r="H61" s="1014">
        <f t="shared" si="1"/>
        <v>3.1262055846004444E-3</v>
      </c>
      <c r="M61" s="772"/>
    </row>
    <row r="62" spans="2:13" s="629" customFormat="1" ht="15">
      <c r="B62" s="767"/>
      <c r="C62" s="1332" t="s">
        <v>807</v>
      </c>
      <c r="D62" s="1015" t="s">
        <v>462</v>
      </c>
      <c r="E62" s="1011">
        <f>_xlfn.XLOOKUP($C62,INPUT_DATA!$DU:$DU,INPUT_DATA!$DW:$DW)</f>
        <v>114570715.38</v>
      </c>
      <c r="F62" s="1012">
        <f t="shared" si="0"/>
        <v>1.0126257913014212E-2</v>
      </c>
      <c r="G62" s="1013">
        <f>_xlfn.XLOOKUP($C62,INPUT_DATA!$DU:$DU,INPUT_DATA!$DX:$DX)</f>
        <v>162</v>
      </c>
      <c r="H62" s="1014">
        <f t="shared" si="1"/>
        <v>2.1550864030011573E-3</v>
      </c>
      <c r="M62" s="772"/>
    </row>
    <row r="63" spans="2:13" s="629" customFormat="1" ht="15">
      <c r="B63" s="767"/>
      <c r="C63" s="1332" t="s">
        <v>808</v>
      </c>
      <c r="D63" s="1015" t="s">
        <v>463</v>
      </c>
      <c r="E63" s="1011">
        <f>_xlfn.XLOOKUP($C63,INPUT_DATA!$DU:$DU,INPUT_DATA!$DW:$DW)</f>
        <v>99917110.269999996</v>
      </c>
      <c r="F63" s="1012">
        <f t="shared" si="0"/>
        <v>8.8311085879256308E-3</v>
      </c>
      <c r="G63" s="1013">
        <f>_xlfn.XLOOKUP($C63,INPUT_DATA!$DU:$DU,INPUT_DATA!$DX:$DX)</f>
        <v>134</v>
      </c>
      <c r="H63" s="1014">
        <f t="shared" si="1"/>
        <v>1.7826023333466364E-3</v>
      </c>
      <c r="M63" s="772"/>
    </row>
    <row r="64" spans="2:13" s="629" customFormat="1" ht="15">
      <c r="B64" s="767"/>
      <c r="C64" s="1332" t="s">
        <v>809</v>
      </c>
      <c r="D64" s="1015" t="s">
        <v>464</v>
      </c>
      <c r="E64" s="1011">
        <f>_xlfn.XLOOKUP($C64,INPUT_DATA!$DU:$DU,INPUT_DATA!$DW:$DW)</f>
        <v>78090891.340000004</v>
      </c>
      <c r="F64" s="1012">
        <f t="shared" si="0"/>
        <v>6.9020124710162051E-3</v>
      </c>
      <c r="G64" s="1013">
        <f>_xlfn.XLOOKUP($C64,INPUT_DATA!$DU:$DU,INPUT_DATA!$DX:$DX)</f>
        <v>101</v>
      </c>
      <c r="H64" s="1014">
        <f t="shared" si="1"/>
        <v>1.343603251253808E-3</v>
      </c>
      <c r="M64" s="772"/>
    </row>
    <row r="65" spans="2:13" s="629" customFormat="1" ht="15">
      <c r="B65" s="767"/>
      <c r="C65" s="1332" t="s">
        <v>810</v>
      </c>
      <c r="D65" s="1015" t="s">
        <v>465</v>
      </c>
      <c r="E65" s="1011">
        <f>_xlfn.XLOOKUP($C65,INPUT_DATA!$DU:$DU,INPUT_DATA!$DW:$DW)</f>
        <v>88214699.019999996</v>
      </c>
      <c r="F65" s="1012">
        <f t="shared" si="0"/>
        <v>7.7967986062813582E-3</v>
      </c>
      <c r="G65" s="1013">
        <f>_xlfn.XLOOKUP($C65,INPUT_DATA!$DU:$DU,INPUT_DATA!$DX:$DX)</f>
        <v>110</v>
      </c>
      <c r="H65" s="1014">
        <f t="shared" si="1"/>
        <v>1.4633302736427611E-3</v>
      </c>
      <c r="M65" s="772"/>
    </row>
    <row r="66" spans="2:13" s="629" customFormat="1" ht="15">
      <c r="B66" s="767"/>
      <c r="C66" s="1332" t="s">
        <v>811</v>
      </c>
      <c r="D66" s="1015" t="s">
        <v>466</v>
      </c>
      <c r="E66" s="1011">
        <f>_xlfn.XLOOKUP($C66,INPUT_DATA!$DU:$DU,INPUT_DATA!$DW:$DW)</f>
        <v>52410595.649999999</v>
      </c>
      <c r="F66" s="1012">
        <f t="shared" si="0"/>
        <v>4.6322762947436941E-3</v>
      </c>
      <c r="G66" s="1013">
        <f>_xlfn.XLOOKUP($C66,INPUT_DATA!$DU:$DU,INPUT_DATA!$DX:$DX)</f>
        <v>60</v>
      </c>
      <c r="H66" s="1014">
        <f t="shared" si="1"/>
        <v>7.9818014925968795E-4</v>
      </c>
      <c r="M66" s="772"/>
    </row>
    <row r="67" spans="2:13" s="629" customFormat="1" ht="15">
      <c r="B67" s="767"/>
      <c r="C67" s="1332" t="s">
        <v>812</v>
      </c>
      <c r="D67" s="1015" t="s">
        <v>467</v>
      </c>
      <c r="E67" s="1011">
        <f>_xlfn.XLOOKUP($C67,INPUT_DATA!$DU:$DU,INPUT_DATA!$DW:$DW)</f>
        <v>56948273.609999999</v>
      </c>
      <c r="F67" s="1012">
        <f t="shared" si="0"/>
        <v>5.0333360000685452E-3</v>
      </c>
      <c r="G67" s="1013">
        <f>_xlfn.XLOOKUP($C67,INPUT_DATA!$DU:$DU,INPUT_DATA!$DX:$DX)</f>
        <v>67</v>
      </c>
      <c r="H67" s="1014">
        <f t="shared" si="1"/>
        <v>8.9130116667331821E-4</v>
      </c>
      <c r="M67" s="772"/>
    </row>
    <row r="68" spans="2:13" s="629" customFormat="1" ht="15">
      <c r="B68" s="767"/>
      <c r="C68" s="1332" t="s">
        <v>813</v>
      </c>
      <c r="D68" s="1015" t="s">
        <v>468</v>
      </c>
      <c r="E68" s="1011">
        <f>_xlfn.XLOOKUP($C68,INPUT_DATA!$DU:$DU,INPUT_DATA!$DW:$DW)</f>
        <v>43824176.32</v>
      </c>
      <c r="F68" s="1012">
        <f t="shared" si="0"/>
        <v>3.8733712255339336E-3</v>
      </c>
      <c r="G68" s="1013">
        <f>_xlfn.XLOOKUP($C68,INPUT_DATA!$DU:$DU,INPUT_DATA!$DX:$DX)</f>
        <v>46</v>
      </c>
      <c r="H68" s="1014">
        <f t="shared" si="1"/>
        <v>6.1193811443242742E-4</v>
      </c>
      <c r="M68" s="772"/>
    </row>
    <row r="69" spans="2:13" s="629" customFormat="1" ht="15">
      <c r="B69" s="767"/>
      <c r="C69" s="1332" t="s">
        <v>814</v>
      </c>
      <c r="D69" s="1015" t="s">
        <v>469</v>
      </c>
      <c r="E69" s="1011">
        <f>_xlfn.XLOOKUP($C69,INPUT_DATA!$DU:$DU,INPUT_DATA!$DW:$DW)</f>
        <v>49031419.75</v>
      </c>
      <c r="F69" s="1012">
        <f t="shared" si="0"/>
        <v>4.3336100379838521E-3</v>
      </c>
      <c r="G69" s="1013">
        <f>_xlfn.XLOOKUP($C69,INPUT_DATA!$DU:$DU,INPUT_DATA!$DX:$DX)</f>
        <v>55</v>
      </c>
      <c r="H69" s="1014">
        <f t="shared" si="1"/>
        <v>7.3166513682138056E-4</v>
      </c>
      <c r="M69" s="772"/>
    </row>
    <row r="70" spans="2:13" s="629" customFormat="1" ht="15">
      <c r="B70" s="767"/>
      <c r="C70" s="1332" t="s">
        <v>815</v>
      </c>
      <c r="D70" s="1015" t="s">
        <v>470</v>
      </c>
      <c r="E70" s="1011">
        <f>_xlfn.XLOOKUP($C70,INPUT_DATA!$DU:$DU,INPUT_DATA!$DW:$DW)</f>
        <v>38230926.880000003</v>
      </c>
      <c r="F70" s="1012">
        <f t="shared" si="0"/>
        <v>3.3790155237875745E-3</v>
      </c>
      <c r="G70" s="1013">
        <f>_xlfn.XLOOKUP($C70,INPUT_DATA!$DU:$DU,INPUT_DATA!$DX:$DX)</f>
        <v>39</v>
      </c>
      <c r="H70" s="1014">
        <f t="shared" si="1"/>
        <v>5.1881709701879716E-4</v>
      </c>
      <c r="M70" s="772"/>
    </row>
    <row r="71" spans="2:13" s="629" customFormat="1" ht="15">
      <c r="B71" s="767"/>
      <c r="C71" s="1332" t="s">
        <v>816</v>
      </c>
      <c r="D71" s="1015" t="s">
        <v>471</v>
      </c>
      <c r="E71" s="1011">
        <f>_xlfn.XLOOKUP($C71,INPUT_DATA!$DU:$DU,INPUT_DATA!$DW:$DW)</f>
        <v>53292753.32</v>
      </c>
      <c r="F71" s="1012">
        <f t="shared" si="0"/>
        <v>4.7102452247336614E-3</v>
      </c>
      <c r="G71" s="1013">
        <f>_xlfn.XLOOKUP($C71,INPUT_DATA!$DU:$DU,INPUT_DATA!$DX:$DX)</f>
        <v>49</v>
      </c>
      <c r="H71" s="1014">
        <f t="shared" si="1"/>
        <v>6.5184712189541184E-4</v>
      </c>
      <c r="M71" s="772"/>
    </row>
    <row r="72" spans="2:13" s="629" customFormat="1" ht="15">
      <c r="B72" s="767"/>
      <c r="C72" s="1332" t="s">
        <v>817</v>
      </c>
      <c r="D72" s="1015" t="s">
        <v>472</v>
      </c>
      <c r="E72" s="1011">
        <f>_xlfn.XLOOKUP($C72,INPUT_DATA!$DU:$DU,INPUT_DATA!$DW:$DW)</f>
        <v>31765601.989999998</v>
      </c>
      <c r="F72" s="1012">
        <f t="shared" si="0"/>
        <v>2.8075820024865547E-3</v>
      </c>
      <c r="G72" s="1013">
        <f>_xlfn.XLOOKUP($C72,INPUT_DATA!$DU:$DU,INPUT_DATA!$DX:$DX)</f>
        <v>30</v>
      </c>
      <c r="H72" s="1014">
        <f t="shared" si="1"/>
        <v>3.9909007462984397E-4</v>
      </c>
      <c r="M72" s="772"/>
    </row>
    <row r="73" spans="2:13" s="629" customFormat="1" ht="15">
      <c r="B73" s="767"/>
      <c r="C73" s="1332" t="s">
        <v>818</v>
      </c>
      <c r="D73" s="1015" t="s">
        <v>473</v>
      </c>
      <c r="E73" s="1011">
        <f>_xlfn.XLOOKUP($C73,INPUT_DATA!$DU:$DU,INPUT_DATA!$DW:$DW)</f>
        <v>24320906.649999999</v>
      </c>
      <c r="F73" s="1012">
        <f t="shared" si="0"/>
        <v>2.1495874630737817E-3</v>
      </c>
      <c r="G73" s="1013">
        <f>_xlfn.XLOOKUP($C73,INPUT_DATA!$DU:$DU,INPUT_DATA!$DX:$DX)</f>
        <v>21</v>
      </c>
      <c r="H73" s="1014">
        <f t="shared" si="1"/>
        <v>2.7936305224089079E-4</v>
      </c>
      <c r="M73" s="772"/>
    </row>
    <row r="74" spans="2:13" s="629" customFormat="1" ht="15">
      <c r="B74" s="767"/>
      <c r="C74" s="1332" t="s">
        <v>819</v>
      </c>
      <c r="D74" s="1015" t="s">
        <v>474</v>
      </c>
      <c r="E74" s="1011">
        <f>_xlfn.XLOOKUP($C74,INPUT_DATA!$DU:$DU,INPUT_DATA!$DW:$DW)</f>
        <v>24114089.210000001</v>
      </c>
      <c r="F74" s="1012">
        <f t="shared" si="0"/>
        <v>2.1313080386030246E-3</v>
      </c>
      <c r="G74" s="1013">
        <f>_xlfn.XLOOKUP($C74,INPUT_DATA!$DU:$DU,INPUT_DATA!$DX:$DX)</f>
        <v>21</v>
      </c>
      <c r="H74" s="1014">
        <f t="shared" si="1"/>
        <v>2.7936305224089079E-4</v>
      </c>
      <c r="M74" s="772"/>
    </row>
    <row r="75" spans="2:13" s="629" customFormat="1" ht="15">
      <c r="B75" s="767"/>
      <c r="C75" s="1332" t="s">
        <v>820</v>
      </c>
      <c r="D75" s="1016" t="s">
        <v>475</v>
      </c>
      <c r="E75" s="1011">
        <f>_xlfn.XLOOKUP($C75,INPUT_DATA!$DU:$DU,INPUT_DATA!$DW:$DW)</f>
        <v>312171790.07999998</v>
      </c>
      <c r="F75" s="1012">
        <f t="shared" si="0"/>
        <v>2.7591099951089541E-2</v>
      </c>
      <c r="G75" s="1013">
        <f>_xlfn.XLOOKUP($C75,INPUT_DATA!$DU:$DU,INPUT_DATA!$DX:$DX)</f>
        <v>211</v>
      </c>
      <c r="H75" s="1014">
        <f t="shared" si="1"/>
        <v>2.8069335248965691E-3</v>
      </c>
      <c r="M75" s="772"/>
    </row>
    <row r="76" spans="2:13" s="629" customFormat="1" ht="15">
      <c r="B76" s="767"/>
      <c r="C76" s="1009"/>
      <c r="D76" s="1017" t="s">
        <v>415</v>
      </c>
      <c r="E76" s="1018">
        <f>SUM(E45:E75)</f>
        <v>11314220550.589998</v>
      </c>
      <c r="F76" s="1019">
        <f>SUM(F45:F75)</f>
        <v>1</v>
      </c>
      <c r="G76" s="1020">
        <f>SUM(G45:G75)</f>
        <v>75171</v>
      </c>
      <c r="H76" s="1021">
        <f>SUM(H45:H75)</f>
        <v>0.99999999999999989</v>
      </c>
      <c r="M76" s="772"/>
    </row>
    <row r="77" spans="2:13" s="629" customFormat="1" ht="15">
      <c r="B77" s="767"/>
      <c r="C77" s="1009"/>
      <c r="D77" s="813"/>
      <c r="G77" s="988"/>
      <c r="M77" s="772"/>
    </row>
    <row r="78" spans="2:13" s="629" customFormat="1" ht="15">
      <c r="B78" s="767"/>
      <c r="C78" s="1009"/>
      <c r="D78" s="813"/>
      <c r="G78" s="988"/>
      <c r="M78" s="772"/>
    </row>
    <row r="79" spans="2:13" s="629" customFormat="1" ht="15">
      <c r="B79" s="767"/>
      <c r="C79" s="1009"/>
      <c r="D79" s="813"/>
      <c r="G79" s="988"/>
      <c r="M79" s="772"/>
    </row>
    <row r="80" spans="2:13" s="629" customFormat="1" ht="15">
      <c r="B80" s="767"/>
      <c r="C80" s="1009"/>
      <c r="D80" s="813"/>
      <c r="G80" s="988"/>
      <c r="M80" s="772"/>
    </row>
    <row r="81" spans="1:13" s="629" customFormat="1" ht="15">
      <c r="B81" s="767"/>
      <c r="C81" s="1009"/>
      <c r="D81" s="813"/>
      <c r="G81" s="988"/>
      <c r="M81" s="772"/>
    </row>
    <row r="82" spans="1:13" s="629" customFormat="1" ht="24.6"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5.5">
      <c r="B84" s="767"/>
      <c r="C84" s="1009"/>
      <c r="D84" s="1179" t="s">
        <v>477</v>
      </c>
      <c r="E84" s="2097" t="s">
        <v>443</v>
      </c>
      <c r="F84" s="2099"/>
      <c r="G84" s="2097" t="s">
        <v>444</v>
      </c>
      <c r="H84" s="2099"/>
      <c r="M84" s="772"/>
    </row>
    <row r="85" spans="1:13" s="629" customFormat="1" ht="15">
      <c r="B85" s="767"/>
      <c r="C85" s="1332" t="s">
        <v>821</v>
      </c>
      <c r="D85" s="1010" t="s">
        <v>445</v>
      </c>
      <c r="E85" s="1011">
        <f>_xlfn.XLOOKUP($C85,INPUT_DATA!$DU:$DU,INPUT_DATA!$DW:$DW)</f>
        <v>416663453.86000001</v>
      </c>
      <c r="F85" s="1012">
        <f>E85/$E$116</f>
        <v>3.6826527465762746E-2</v>
      </c>
      <c r="G85" s="1013">
        <f>_xlfn.XLOOKUP($C85,INPUT_DATA!$DU:$DU,INPUT_DATA!$DX:$DX)</f>
        <v>13884</v>
      </c>
      <c r="H85" s="1014">
        <f>G85/$G$116</f>
        <v>0.18469888653869179</v>
      </c>
      <c r="M85" s="772"/>
    </row>
    <row r="86" spans="1:13" s="629" customFormat="1" ht="15">
      <c r="B86" s="767"/>
      <c r="C86" s="1332" t="s">
        <v>822</v>
      </c>
      <c r="D86" s="1015" t="s">
        <v>446</v>
      </c>
      <c r="E86" s="1011">
        <f>_xlfn.XLOOKUP($C86,INPUT_DATA!$DU:$DU,INPUT_DATA!$DW:$DW)</f>
        <v>1466283718.79</v>
      </c>
      <c r="F86" s="1012">
        <f>E86/$E$116</f>
        <v>0.12959652962691609</v>
      </c>
      <c r="G86" s="1013">
        <f>_xlfn.XLOOKUP($C86,INPUT_DATA!$DU:$DU,INPUT_DATA!$DX:$DX)</f>
        <v>19465</v>
      </c>
      <c r="H86" s="1014">
        <f t="shared" ref="H86:H115" si="2">G86/$G$116</f>
        <v>0.25894294342233043</v>
      </c>
      <c r="M86" s="772"/>
    </row>
    <row r="87" spans="1:13" s="629" customFormat="1" ht="15">
      <c r="B87" s="767"/>
      <c r="C87" s="1332" t="s">
        <v>823</v>
      </c>
      <c r="D87" s="1015" t="s">
        <v>447</v>
      </c>
      <c r="E87" s="1011">
        <f>_xlfn.XLOOKUP($C87,INPUT_DATA!$DU:$DU,INPUT_DATA!$DW:$DW)</f>
        <v>2299443961.3699999</v>
      </c>
      <c r="F87" s="1012">
        <f t="shared" ref="F87:F115" si="3">E87/$E$116</f>
        <v>0.20323485396880397</v>
      </c>
      <c r="G87" s="1013">
        <f>_xlfn.XLOOKUP($C87,INPUT_DATA!$DU:$DU,INPUT_DATA!$DX:$DX)</f>
        <v>18612</v>
      </c>
      <c r="H87" s="1014">
        <f t="shared" si="2"/>
        <v>0.24759548230035519</v>
      </c>
      <c r="M87" s="772"/>
    </row>
    <row r="88" spans="1:13" s="629" customFormat="1" ht="15">
      <c r="B88" s="767"/>
      <c r="C88" s="1332" t="s">
        <v>824</v>
      </c>
      <c r="D88" s="1015" t="s">
        <v>448</v>
      </c>
      <c r="E88" s="1011">
        <f>_xlfn.XLOOKUP($C88,INPUT_DATA!$DU:$DU,INPUT_DATA!$DW:$DW)</f>
        <v>1375942842.4400001</v>
      </c>
      <c r="F88" s="1012">
        <f t="shared" si="3"/>
        <v>0.1216118102248103</v>
      </c>
      <c r="G88" s="1013">
        <f>_xlfn.XLOOKUP($C88,INPUT_DATA!$DU:$DU,INPUT_DATA!$DX:$DX)</f>
        <v>7940</v>
      </c>
      <c r="H88" s="1014">
        <f t="shared" si="2"/>
        <v>0.10562583975203203</v>
      </c>
      <c r="M88" s="772"/>
    </row>
    <row r="89" spans="1:13" s="629" customFormat="1" ht="15">
      <c r="B89" s="767"/>
      <c r="C89" s="1332" t="s">
        <v>825</v>
      </c>
      <c r="D89" s="1015" t="s">
        <v>449</v>
      </c>
      <c r="E89" s="1011">
        <f>_xlfn.XLOOKUP($C89,INPUT_DATA!$DU:$DU,INPUT_DATA!$DW:$DW)</f>
        <v>1137137460.6800001</v>
      </c>
      <c r="F89" s="1012">
        <f t="shared" si="3"/>
        <v>0.10050515239608811</v>
      </c>
      <c r="G89" s="1013">
        <f>_xlfn.XLOOKUP($C89,INPUT_DATA!$DU:$DU,INPUT_DATA!$DX:$DX)</f>
        <v>5101</v>
      </c>
      <c r="H89" s="1014">
        <f t="shared" si="2"/>
        <v>6.7858615689561128E-2</v>
      </c>
      <c r="M89" s="772"/>
    </row>
    <row r="90" spans="1:13" s="629" customFormat="1" ht="15">
      <c r="B90" s="767"/>
      <c r="C90" s="1332" t="s">
        <v>826</v>
      </c>
      <c r="D90" s="1015" t="s">
        <v>450</v>
      </c>
      <c r="E90" s="1011">
        <f>_xlfn.XLOOKUP($C90,INPUT_DATA!$DU:$DU,INPUT_DATA!$DW:$DW)</f>
        <v>829156570.5</v>
      </c>
      <c r="F90" s="1012">
        <f t="shared" si="3"/>
        <v>7.3284462397788602E-2</v>
      </c>
      <c r="G90" s="1013">
        <f>_xlfn.XLOOKUP($C90,INPUT_DATA!$DU:$DU,INPUT_DATA!$DX:$DX)</f>
        <v>3047</v>
      </c>
      <c r="H90" s="1014">
        <f t="shared" si="2"/>
        <v>4.0534248579904487E-2</v>
      </c>
      <c r="M90" s="772"/>
    </row>
    <row r="91" spans="1:13" s="629" customFormat="1" ht="15">
      <c r="B91" s="767"/>
      <c r="C91" s="1332" t="s">
        <v>827</v>
      </c>
      <c r="D91" s="1015" t="s">
        <v>451</v>
      </c>
      <c r="E91" s="1011">
        <f>_xlfn.XLOOKUP($C91,INPUT_DATA!$DU:$DU,INPUT_DATA!$DW:$DW)</f>
        <v>537208900.86000001</v>
      </c>
      <c r="F91" s="1012">
        <f t="shared" si="3"/>
        <v>4.7480858134057342E-2</v>
      </c>
      <c r="G91" s="1013">
        <f>_xlfn.XLOOKUP($C91,INPUT_DATA!$DU:$DU,INPUT_DATA!$DX:$DX)</f>
        <v>1665</v>
      </c>
      <c r="H91" s="1014">
        <f t="shared" si="2"/>
        <v>2.2149499141956339E-2</v>
      </c>
      <c r="M91" s="772"/>
    </row>
    <row r="92" spans="1:13" s="629" customFormat="1" ht="15">
      <c r="B92" s="767"/>
      <c r="C92" s="1332" t="s">
        <v>828</v>
      </c>
      <c r="D92" s="1015" t="s">
        <v>452</v>
      </c>
      <c r="E92" s="1011">
        <f>_xlfn.XLOOKUP($C92,INPUT_DATA!$DU:$DU,INPUT_DATA!$DW:$DW)</f>
        <v>367146120.94999999</v>
      </c>
      <c r="F92" s="1012">
        <f t="shared" si="3"/>
        <v>3.2449970310226492E-2</v>
      </c>
      <c r="G92" s="1013">
        <f>_xlfn.XLOOKUP($C92,INPUT_DATA!$DU:$DU,INPUT_DATA!$DX:$DX)</f>
        <v>987</v>
      </c>
      <c r="H92" s="1014">
        <f t="shared" si="2"/>
        <v>1.3130063455321866E-2</v>
      </c>
      <c r="M92" s="772"/>
    </row>
    <row r="93" spans="1:13" s="629" customFormat="1" ht="15">
      <c r="B93" s="767"/>
      <c r="C93" s="1332" t="s">
        <v>829</v>
      </c>
      <c r="D93" s="1015" t="s">
        <v>453</v>
      </c>
      <c r="E93" s="1011">
        <f>_xlfn.XLOOKUP($C93,INPUT_DATA!$DU:$DU,INPUT_DATA!$DW:$DW)</f>
        <v>262450801.66999999</v>
      </c>
      <c r="F93" s="1012">
        <f t="shared" si="3"/>
        <v>2.3196542837086023E-2</v>
      </c>
      <c r="G93" s="1013">
        <f>_xlfn.XLOOKUP($C93,INPUT_DATA!$DU:$DU,INPUT_DATA!$DX:$DX)</f>
        <v>618</v>
      </c>
      <c r="H93" s="1014">
        <f t="shared" si="2"/>
        <v>8.2212555373747855E-3</v>
      </c>
      <c r="M93" s="772"/>
    </row>
    <row r="94" spans="1:13" s="629" customFormat="1" ht="15">
      <c r="B94" s="767"/>
      <c r="C94" s="1332" t="s">
        <v>830</v>
      </c>
      <c r="D94" s="1015" t="s">
        <v>454</v>
      </c>
      <c r="E94" s="1011">
        <f>_xlfn.XLOOKUP($C94,INPUT_DATA!$DU:$DU,INPUT_DATA!$DW:$DW)</f>
        <v>372556210.87</v>
      </c>
      <c r="F94" s="1012">
        <f t="shared" si="3"/>
        <v>3.2928137577322755E-2</v>
      </c>
      <c r="G94" s="1013">
        <f>_xlfn.XLOOKUP($C94,INPUT_DATA!$DU:$DU,INPUT_DATA!$DX:$DX)</f>
        <v>780</v>
      </c>
      <c r="H94" s="1014">
        <f t="shared" si="2"/>
        <v>1.0376341940375943E-2</v>
      </c>
      <c r="M94" s="772"/>
    </row>
    <row r="95" spans="1:13" s="629" customFormat="1" ht="15">
      <c r="B95" s="767"/>
      <c r="C95" s="1332" t="s">
        <v>831</v>
      </c>
      <c r="D95" s="1015" t="s">
        <v>455</v>
      </c>
      <c r="E95" s="1011">
        <f>_xlfn.XLOOKUP($C95,INPUT_DATA!$DU:$DU,INPUT_DATA!$DW:$DW)</f>
        <v>382376922.67000002</v>
      </c>
      <c r="F95" s="1012">
        <f t="shared" si="3"/>
        <v>3.3796134781026541E-2</v>
      </c>
      <c r="G95" s="1013">
        <f>_xlfn.XLOOKUP($C95,INPUT_DATA!$DU:$DU,INPUT_DATA!$DX:$DX)</f>
        <v>730</v>
      </c>
      <c r="H95" s="1014">
        <f t="shared" si="2"/>
        <v>9.7111918159928697E-3</v>
      </c>
      <c r="M95" s="772"/>
    </row>
    <row r="96" spans="1:13" s="629" customFormat="1" ht="15">
      <c r="B96" s="767"/>
      <c r="C96" s="1332" t="s">
        <v>832</v>
      </c>
      <c r="D96" s="1015" t="s">
        <v>456</v>
      </c>
      <c r="E96" s="1011">
        <f>_xlfn.XLOOKUP($C96,INPUT_DATA!$DU:$DU,INPUT_DATA!$DW:$DW)</f>
        <v>304796797.72000003</v>
      </c>
      <c r="F96" s="1012">
        <f t="shared" si="3"/>
        <v>2.6939266064077726E-2</v>
      </c>
      <c r="G96" s="1013">
        <f>_xlfn.XLOOKUP($C96,INPUT_DATA!$DU:$DU,INPUT_DATA!$DX:$DX)</f>
        <v>530</v>
      </c>
      <c r="H96" s="1014">
        <f t="shared" si="2"/>
        <v>7.0505913184605766E-3</v>
      </c>
      <c r="M96" s="772"/>
    </row>
    <row r="97" spans="2:13" s="629" customFormat="1" ht="15">
      <c r="B97" s="767"/>
      <c r="C97" s="1332" t="s">
        <v>833</v>
      </c>
      <c r="D97" s="1015" t="s">
        <v>457</v>
      </c>
      <c r="E97" s="1011">
        <f>_xlfn.XLOOKUP($C97,INPUT_DATA!$DU:$DU,INPUT_DATA!$DW:$DW)</f>
        <v>261917422.38999999</v>
      </c>
      <c r="F97" s="1012">
        <f t="shared" si="3"/>
        <v>2.3149400457492565E-2</v>
      </c>
      <c r="G97" s="1013">
        <f>_xlfn.XLOOKUP($C97,INPUT_DATA!$DU:$DU,INPUT_DATA!$DX:$DX)</f>
        <v>419</v>
      </c>
      <c r="H97" s="1014">
        <f t="shared" si="2"/>
        <v>5.5739580423301537E-3</v>
      </c>
      <c r="M97" s="772"/>
    </row>
    <row r="98" spans="2:13" s="629" customFormat="1" ht="15">
      <c r="B98" s="767"/>
      <c r="C98" s="1332" t="s">
        <v>834</v>
      </c>
      <c r="D98" s="1015" t="s">
        <v>458</v>
      </c>
      <c r="E98" s="1011">
        <f>_xlfn.XLOOKUP($C98,INPUT_DATA!$DU:$DU,INPUT_DATA!$DW:$DW)</f>
        <v>189565382.58000001</v>
      </c>
      <c r="F98" s="1012">
        <f t="shared" si="3"/>
        <v>1.6754612633931267E-2</v>
      </c>
      <c r="G98" s="1013">
        <f>_xlfn.XLOOKUP($C98,INPUT_DATA!$DU:$DU,INPUT_DATA!$DX:$DX)</f>
        <v>282</v>
      </c>
      <c r="H98" s="1014">
        <f t="shared" si="2"/>
        <v>3.7514467015205334E-3</v>
      </c>
      <c r="M98" s="772"/>
    </row>
    <row r="99" spans="2:13" s="629" customFormat="1" ht="15">
      <c r="B99" s="767"/>
      <c r="C99" s="1332" t="s">
        <v>835</v>
      </c>
      <c r="D99" s="1015" t="s">
        <v>459</v>
      </c>
      <c r="E99" s="1011">
        <f>_xlfn.XLOOKUP($C99,INPUT_DATA!$DU:$DU,INPUT_DATA!$DW:$DW)</f>
        <v>138933684.66</v>
      </c>
      <c r="F99" s="1012">
        <f t="shared" si="3"/>
        <v>1.227956305419157E-2</v>
      </c>
      <c r="G99" s="1013">
        <f>_xlfn.XLOOKUP($C99,INPUT_DATA!$DU:$DU,INPUT_DATA!$DX:$DX)</f>
        <v>192</v>
      </c>
      <c r="H99" s="1014">
        <f t="shared" si="2"/>
        <v>2.5541764776310012E-3</v>
      </c>
      <c r="M99" s="772"/>
    </row>
    <row r="100" spans="2:13" s="629" customFormat="1" ht="15">
      <c r="B100" s="767"/>
      <c r="C100" s="1332" t="s">
        <v>836</v>
      </c>
      <c r="D100" s="1015" t="s">
        <v>460</v>
      </c>
      <c r="E100" s="1011">
        <f>_xlfn.XLOOKUP($C100,INPUT_DATA!$DU:$DU,INPUT_DATA!$DW:$DW)</f>
        <v>122366347.09999999</v>
      </c>
      <c r="F100" s="1012">
        <f t="shared" si="3"/>
        <v>1.0815269735361396E-2</v>
      </c>
      <c r="G100" s="1013">
        <f>_xlfn.XLOOKUP($C100,INPUT_DATA!$DU:$DU,INPUT_DATA!$DX:$DX)</f>
        <v>158</v>
      </c>
      <c r="H100" s="1014">
        <f t="shared" si="2"/>
        <v>2.1018743930505115E-3</v>
      </c>
      <c r="M100" s="772"/>
    </row>
    <row r="101" spans="2:13" s="629" customFormat="1" ht="15">
      <c r="B101" s="767"/>
      <c r="C101" s="1332" t="s">
        <v>837</v>
      </c>
      <c r="D101" s="1015" t="s">
        <v>461</v>
      </c>
      <c r="E101" s="1011">
        <f>_xlfn.XLOOKUP($C101,INPUT_DATA!$DU:$DU,INPUT_DATA!$DW:$DW)</f>
        <v>91472255.760000005</v>
      </c>
      <c r="F101" s="1012">
        <f t="shared" si="3"/>
        <v>8.0847156329500753E-3</v>
      </c>
      <c r="G101" s="1013">
        <f>_xlfn.XLOOKUP($C101,INPUT_DATA!$DU:$DU,INPUT_DATA!$DX:$DX)</f>
        <v>111</v>
      </c>
      <c r="H101" s="1014">
        <f t="shared" si="2"/>
        <v>1.4766332761304225E-3</v>
      </c>
      <c r="M101" s="772"/>
    </row>
    <row r="102" spans="2:13" s="629" customFormat="1" ht="15">
      <c r="B102" s="767"/>
      <c r="C102" s="1332" t="s">
        <v>838</v>
      </c>
      <c r="D102" s="1015" t="s">
        <v>462</v>
      </c>
      <c r="E102" s="1011">
        <f>_xlfn.XLOOKUP($C102,INPUT_DATA!$DU:$DU,INPUT_DATA!$DW:$DW)</f>
        <v>97072348.769999996</v>
      </c>
      <c r="F102" s="1012">
        <f t="shared" si="3"/>
        <v>8.5796761991649498E-3</v>
      </c>
      <c r="G102" s="1013">
        <f>_xlfn.XLOOKUP($C102,INPUT_DATA!$DU:$DU,INPUT_DATA!$DX:$DX)</f>
        <v>111</v>
      </c>
      <c r="H102" s="1014">
        <f t="shared" si="2"/>
        <v>1.4766332761304225E-3</v>
      </c>
      <c r="M102" s="772"/>
    </row>
    <row r="103" spans="2:13" s="629" customFormat="1" ht="15">
      <c r="B103" s="767"/>
      <c r="C103" s="1332" t="s">
        <v>839</v>
      </c>
      <c r="D103" s="1015" t="s">
        <v>463</v>
      </c>
      <c r="E103" s="1011">
        <f>_xlfn.XLOOKUP($C103,INPUT_DATA!$DU:$DU,INPUT_DATA!$DW:$DW)</f>
        <v>64458492.960000001</v>
      </c>
      <c r="F103" s="1012">
        <f t="shared" si="3"/>
        <v>5.6971218363459147E-3</v>
      </c>
      <c r="G103" s="1013">
        <f>_xlfn.XLOOKUP($C103,INPUT_DATA!$DU:$DU,INPUT_DATA!$DX:$DX)</f>
        <v>70</v>
      </c>
      <c r="H103" s="1014">
        <f t="shared" si="2"/>
        <v>9.3121017413630252E-4</v>
      </c>
      <c r="M103" s="772"/>
    </row>
    <row r="104" spans="2:13" s="629" customFormat="1" ht="15">
      <c r="B104" s="767"/>
      <c r="C104" s="1332" t="s">
        <v>840</v>
      </c>
      <c r="D104" s="1015" t="s">
        <v>464</v>
      </c>
      <c r="E104" s="1011">
        <f>_xlfn.XLOOKUP($C104,INPUT_DATA!$DU:$DU,INPUT_DATA!$DW:$DW)</f>
        <v>77936300.359999999</v>
      </c>
      <c r="F104" s="1012">
        <f t="shared" si="3"/>
        <v>6.8883490481309257E-3</v>
      </c>
      <c r="G104" s="1013">
        <f>_xlfn.XLOOKUP($C104,INPUT_DATA!$DU:$DU,INPUT_DATA!$DX:$DX)</f>
        <v>80</v>
      </c>
      <c r="H104" s="1014">
        <f t="shared" si="2"/>
        <v>1.0642401990129172E-3</v>
      </c>
      <c r="M104" s="772"/>
    </row>
    <row r="105" spans="2:13" s="629" customFormat="1" ht="15">
      <c r="B105" s="767"/>
      <c r="C105" s="1332" t="s">
        <v>841</v>
      </c>
      <c r="D105" s="1015" t="s">
        <v>465</v>
      </c>
      <c r="E105" s="1011">
        <f>_xlfn.XLOOKUP($C105,INPUT_DATA!$DU:$DU,INPUT_DATA!$DW:$DW)</f>
        <v>47053571.590000004</v>
      </c>
      <c r="F105" s="1012">
        <f t="shared" si="3"/>
        <v>4.1587992190541398E-3</v>
      </c>
      <c r="G105" s="1013">
        <f>_xlfn.XLOOKUP($C105,INPUT_DATA!$DU:$DU,INPUT_DATA!$DX:$DX)</f>
        <v>46</v>
      </c>
      <c r="H105" s="1014">
        <f t="shared" si="2"/>
        <v>6.1193811443242742E-4</v>
      </c>
      <c r="M105" s="772"/>
    </row>
    <row r="106" spans="2:13" s="629" customFormat="1" ht="15">
      <c r="B106" s="767"/>
      <c r="C106" s="1332" t="s">
        <v>842</v>
      </c>
      <c r="D106" s="1015" t="s">
        <v>466</v>
      </c>
      <c r="E106" s="1011">
        <f>_xlfn.XLOOKUP($C106,INPUT_DATA!$DU:$DU,INPUT_DATA!$DW:$DW)</f>
        <v>42984571.600000001</v>
      </c>
      <c r="F106" s="1012">
        <f t="shared" si="3"/>
        <v>3.7991633102607749E-3</v>
      </c>
      <c r="G106" s="1013">
        <f>_xlfn.XLOOKUP($C106,INPUT_DATA!$DU:$DU,INPUT_DATA!$DX:$DX)</f>
        <v>40</v>
      </c>
      <c r="H106" s="1014">
        <f t="shared" si="2"/>
        <v>5.321200995064586E-4</v>
      </c>
      <c r="M106" s="772"/>
    </row>
    <row r="107" spans="2:13" s="629" customFormat="1" ht="15">
      <c r="B107" s="767"/>
      <c r="C107" s="1332" t="s">
        <v>843</v>
      </c>
      <c r="D107" s="1015" t="s">
        <v>467</v>
      </c>
      <c r="E107" s="1011">
        <f>_xlfn.XLOOKUP($C107,INPUT_DATA!$DU:$DU,INPUT_DATA!$DW:$DW)</f>
        <v>42814335.170000002</v>
      </c>
      <c r="F107" s="1012">
        <f t="shared" si="3"/>
        <v>3.7841170744870589E-3</v>
      </c>
      <c r="G107" s="1013">
        <f>_xlfn.XLOOKUP($C107,INPUT_DATA!$DU:$DU,INPUT_DATA!$DX:$DX)</f>
        <v>38</v>
      </c>
      <c r="H107" s="1014">
        <f t="shared" si="2"/>
        <v>5.0551409453113573E-4</v>
      </c>
      <c r="M107" s="772"/>
    </row>
    <row r="108" spans="2:13" s="629" customFormat="1" ht="15">
      <c r="B108" s="767"/>
      <c r="C108" s="1332" t="s">
        <v>844</v>
      </c>
      <c r="D108" s="1015" t="s">
        <v>468</v>
      </c>
      <c r="E108" s="1011">
        <f>_xlfn.XLOOKUP($C108,INPUT_DATA!$DU:$DU,INPUT_DATA!$DW:$DW)</f>
        <v>31703992.359999999</v>
      </c>
      <c r="F108" s="1012">
        <f t="shared" si="3"/>
        <v>2.8021366755438342E-3</v>
      </c>
      <c r="G108" s="1013">
        <f>_xlfn.XLOOKUP($C108,INPUT_DATA!$DU:$DU,INPUT_DATA!$DX:$DX)</f>
        <v>27</v>
      </c>
      <c r="H108" s="1014">
        <f t="shared" si="2"/>
        <v>3.5918106716685956E-4</v>
      </c>
      <c r="M108" s="772"/>
    </row>
    <row r="109" spans="2:13" s="629" customFormat="1" ht="15">
      <c r="B109" s="767"/>
      <c r="C109" s="1332" t="s">
        <v>845</v>
      </c>
      <c r="D109" s="1015" t="s">
        <v>469</v>
      </c>
      <c r="E109" s="1011">
        <f>_xlfn.XLOOKUP($C109,INPUT_DATA!$DU:$DU,INPUT_DATA!$DW:$DW)</f>
        <v>25640461.760000002</v>
      </c>
      <c r="F109" s="1012">
        <f t="shared" si="3"/>
        <v>2.2662154803640387E-3</v>
      </c>
      <c r="G109" s="1013">
        <f>_xlfn.XLOOKUP($C109,INPUT_DATA!$DU:$DU,INPUT_DATA!$DX:$DX)</f>
        <v>21</v>
      </c>
      <c r="H109" s="1014">
        <f t="shared" si="2"/>
        <v>2.7936305224089079E-4</v>
      </c>
      <c r="M109" s="772"/>
    </row>
    <row r="110" spans="2:13" s="629" customFormat="1" ht="15">
      <c r="B110" s="767"/>
      <c r="C110" s="1332" t="s">
        <v>846</v>
      </c>
      <c r="D110" s="1015" t="s">
        <v>470</v>
      </c>
      <c r="E110" s="1011">
        <f>_xlfn.XLOOKUP($C110,INPUT_DATA!$DU:$DU,INPUT_DATA!$DW:$DW)</f>
        <v>47095808.289999999</v>
      </c>
      <c r="F110" s="1012">
        <f t="shared" si="3"/>
        <v>4.1625322822210755E-3</v>
      </c>
      <c r="G110" s="1013">
        <f>_xlfn.XLOOKUP($C110,INPUT_DATA!$DU:$DU,INPUT_DATA!$DX:$DX)</f>
        <v>37</v>
      </c>
      <c r="H110" s="1014">
        <f t="shared" si="2"/>
        <v>4.9221109204347418E-4</v>
      </c>
      <c r="M110" s="772"/>
    </row>
    <row r="111" spans="2:13" s="629" customFormat="1" ht="15">
      <c r="B111" s="767"/>
      <c r="C111" s="1332" t="s">
        <v>847</v>
      </c>
      <c r="D111" s="1015" t="s">
        <v>471</v>
      </c>
      <c r="E111" s="1011">
        <f>_xlfn.XLOOKUP($C111,INPUT_DATA!$DU:$DU,INPUT_DATA!$DW:$DW)</f>
        <v>30384112.84</v>
      </c>
      <c r="F111" s="1012">
        <f t="shared" si="3"/>
        <v>2.6854799854874279E-3</v>
      </c>
      <c r="G111" s="1013">
        <f>_xlfn.XLOOKUP($C111,INPUT_DATA!$DU:$DU,INPUT_DATA!$DX:$DX)</f>
        <v>23</v>
      </c>
      <c r="H111" s="1014">
        <f t="shared" si="2"/>
        <v>3.0596905721621371E-4</v>
      </c>
      <c r="M111" s="772"/>
    </row>
    <row r="112" spans="2:13" s="629" customFormat="1" ht="15">
      <c r="B112" s="767"/>
      <c r="C112" s="1332" t="s">
        <v>848</v>
      </c>
      <c r="D112" s="1015" t="s">
        <v>472</v>
      </c>
      <c r="E112" s="1011">
        <f>_xlfn.XLOOKUP($C112,INPUT_DATA!$DU:$DU,INPUT_DATA!$DW:$DW)</f>
        <v>33029718.359999999</v>
      </c>
      <c r="F112" s="1012">
        <f t="shared" si="3"/>
        <v>2.9193101029197808E-3</v>
      </c>
      <c r="G112" s="1013">
        <f>_xlfn.XLOOKUP($C112,INPUT_DATA!$DU:$DU,INPUT_DATA!$DX:$DX)</f>
        <v>24</v>
      </c>
      <c r="H112" s="1014">
        <f t="shared" si="2"/>
        <v>3.1927205970387515E-4</v>
      </c>
      <c r="M112" s="772"/>
    </row>
    <row r="113" spans="1:13" s="629" customFormat="1" ht="15">
      <c r="B113" s="767"/>
      <c r="C113" s="1332" t="s">
        <v>849</v>
      </c>
      <c r="D113" s="1015" t="s">
        <v>473</v>
      </c>
      <c r="E113" s="1011">
        <f>_xlfn.XLOOKUP($C113,INPUT_DATA!$DU:$DU,INPUT_DATA!$DW:$DW)</f>
        <v>27054943.510000002</v>
      </c>
      <c r="F113" s="1012">
        <f t="shared" si="3"/>
        <v>2.3912335267840582E-3</v>
      </c>
      <c r="G113" s="1013">
        <f>_xlfn.XLOOKUP($C113,INPUT_DATA!$DU:$DU,INPUT_DATA!$DX:$DX)</f>
        <v>19</v>
      </c>
      <c r="H113" s="1014">
        <f t="shared" si="2"/>
        <v>2.5275704726556786E-4</v>
      </c>
      <c r="M113" s="772"/>
    </row>
    <row r="114" spans="1:13" s="629" customFormat="1" ht="15">
      <c r="B114" s="767"/>
      <c r="C114" s="1332" t="s">
        <v>850</v>
      </c>
      <c r="D114" s="1015" t="s">
        <v>474</v>
      </c>
      <c r="E114" s="1011">
        <f>_xlfn.XLOOKUP($C114,INPUT_DATA!$DU:$DU,INPUT_DATA!$DW:$DW)</f>
        <v>31025962.710000001</v>
      </c>
      <c r="F114" s="1012">
        <f t="shared" si="3"/>
        <v>2.7422094673929696E-3</v>
      </c>
      <c r="G114" s="1013">
        <f>_xlfn.XLOOKUP($C114,INPUT_DATA!$DU:$DU,INPUT_DATA!$DX:$DX)</f>
        <v>21</v>
      </c>
      <c r="H114" s="1014">
        <f t="shared" si="2"/>
        <v>2.7936305224089079E-4</v>
      </c>
      <c r="M114" s="772"/>
    </row>
    <row r="115" spans="1:13" s="629" customFormat="1" ht="15">
      <c r="B115" s="767"/>
      <c r="C115" s="1332" t="s">
        <v>851</v>
      </c>
      <c r="D115" s="1016" t="s">
        <v>475</v>
      </c>
      <c r="E115" s="1011">
        <f>_xlfn.XLOOKUP($C115,INPUT_DATA!$DU:$DU,INPUT_DATA!$DW:$DW)</f>
        <v>160547075.44</v>
      </c>
      <c r="F115" s="1012">
        <f t="shared" si="3"/>
        <v>1.418984849394932E-2</v>
      </c>
      <c r="G115" s="1013">
        <f>_xlfn.XLOOKUP($C115,INPUT_DATA!$DU:$DU,INPUT_DATA!$DX:$DX)</f>
        <v>93</v>
      </c>
      <c r="H115" s="1014">
        <f t="shared" si="2"/>
        <v>1.2371792313525163E-3</v>
      </c>
      <c r="M115" s="772"/>
    </row>
    <row r="116" spans="1:13" s="629" customFormat="1" ht="15">
      <c r="B116" s="767"/>
      <c r="C116" s="1009"/>
      <c r="D116" s="1017" t="s">
        <v>415</v>
      </c>
      <c r="E116" s="1018">
        <f>SUM(E85:E115)</f>
        <v>11314220550.590002</v>
      </c>
      <c r="F116" s="1019">
        <f>SUM(F85:F115)</f>
        <v>0.99999999999999989</v>
      </c>
      <c r="G116" s="1020">
        <f>SUM(G85:G115)</f>
        <v>75171</v>
      </c>
      <c r="H116" s="1021">
        <f>SUM(H85:H115)</f>
        <v>0.99999999999999978</v>
      </c>
      <c r="M116" s="772"/>
    </row>
    <row r="117" spans="1:13" s="629" customFormat="1" ht="15">
      <c r="B117" s="767"/>
      <c r="C117" s="1009"/>
      <c r="D117" s="813"/>
      <c r="G117" s="988"/>
      <c r="M117" s="772"/>
    </row>
    <row r="118" spans="1:13" s="629" customFormat="1" ht="15">
      <c r="B118" s="767"/>
      <c r="C118" s="1009"/>
      <c r="D118" s="813"/>
      <c r="G118" s="988"/>
      <c r="M118" s="772"/>
    </row>
    <row r="119" spans="1:13" s="629" customFormat="1" ht="15">
      <c r="B119" s="767"/>
      <c r="C119" s="1009"/>
      <c r="D119" s="813"/>
      <c r="G119" s="988"/>
      <c r="M119" s="772"/>
    </row>
    <row r="120" spans="1:13" s="629" customFormat="1" ht="15">
      <c r="B120" s="767"/>
      <c r="C120" s="1009"/>
      <c r="D120" s="813"/>
      <c r="G120" s="988"/>
      <c r="M120" s="772"/>
    </row>
    <row r="121" spans="1:13" s="629" customFormat="1" ht="1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097" t="s">
        <v>443</v>
      </c>
      <c r="F124" s="2099"/>
      <c r="G124" s="2097" t="s">
        <v>444</v>
      </c>
      <c r="H124" s="2099"/>
      <c r="M124" s="772"/>
    </row>
    <row r="125" spans="1:13" s="629" customFormat="1" ht="15">
      <c r="B125" s="767"/>
      <c r="C125" s="1332" t="s">
        <v>852</v>
      </c>
      <c r="D125" s="1010" t="s">
        <v>480</v>
      </c>
      <c r="E125" s="1011">
        <f>_xlfn.XLOOKUP($C125,INPUT_DATA!$DU:$DU,INPUT_DATA!$DW:$DW)</f>
        <v>1384385.89</v>
      </c>
      <c r="F125" s="1012">
        <f>E125/$E$137</f>
        <v>1.2235804347368931E-4</v>
      </c>
      <c r="G125" s="1013">
        <f>_xlfn.XLOOKUP($C125,INPUT_DATA!$DU:$DU,INPUT_DATA!$DX:$DX)</f>
        <v>26</v>
      </c>
      <c r="H125" s="1025">
        <f>G125/$G$137</f>
        <v>3.4587806467919807E-4</v>
      </c>
      <c r="M125" s="772"/>
    </row>
    <row r="126" spans="1:13" s="629" customFormat="1" ht="15">
      <c r="B126" s="767"/>
      <c r="C126" s="1332" t="s">
        <v>853</v>
      </c>
      <c r="D126" s="1015" t="s">
        <v>481</v>
      </c>
      <c r="E126" s="1011">
        <f>_xlfn.XLOOKUP($C126,INPUT_DATA!$DU:$DU,INPUT_DATA!$DW:$DW)</f>
        <v>12275101.43</v>
      </c>
      <c r="F126" s="1012">
        <f t="shared" ref="F126:F136" si="4">E126/$E$137</f>
        <v>1.0849268294809663E-3</v>
      </c>
      <c r="G126" s="1013">
        <f>_xlfn.XLOOKUP($C126,INPUT_DATA!$DU:$DU,INPUT_DATA!$DX:$DX)</f>
        <v>222</v>
      </c>
      <c r="H126" s="1025">
        <f t="shared" ref="H126:H136" si="5">G126/$G$137</f>
        <v>2.9532665522608451E-3</v>
      </c>
      <c r="M126" s="772"/>
    </row>
    <row r="127" spans="1:13" s="629" customFormat="1" ht="15">
      <c r="B127" s="767"/>
      <c r="C127" s="1332" t="s">
        <v>854</v>
      </c>
      <c r="D127" s="1015" t="s">
        <v>482</v>
      </c>
      <c r="E127" s="1011">
        <f>_xlfn.XLOOKUP($C127,INPUT_DATA!$DU:$DU,INPUT_DATA!$DW:$DW)</f>
        <v>48932376.939999998</v>
      </c>
      <c r="F127" s="1012">
        <f t="shared" si="4"/>
        <v>4.3248562038547449E-3</v>
      </c>
      <c r="G127" s="1013">
        <f>_xlfn.XLOOKUP($C127,INPUT_DATA!$DU:$DU,INPUT_DATA!$DX:$DX)</f>
        <v>629</v>
      </c>
      <c r="H127" s="1025">
        <f t="shared" si="5"/>
        <v>8.3675885647390615E-3</v>
      </c>
      <c r="M127" s="772"/>
    </row>
    <row r="128" spans="1:13" s="629" customFormat="1" ht="15">
      <c r="B128" s="767"/>
      <c r="C128" s="1332" t="s">
        <v>855</v>
      </c>
      <c r="D128" s="1015" t="s">
        <v>483</v>
      </c>
      <c r="E128" s="1011">
        <f>_xlfn.XLOOKUP($C128,INPUT_DATA!$DU:$DU,INPUT_DATA!$DW:$DW)</f>
        <v>125801574.04000001</v>
      </c>
      <c r="F128" s="1012">
        <f t="shared" si="4"/>
        <v>1.1118890026714203E-2</v>
      </c>
      <c r="G128" s="1013">
        <f>_xlfn.XLOOKUP($C128,INPUT_DATA!$DU:$DU,INPUT_DATA!$DX:$DX)</f>
        <v>1237</v>
      </c>
      <c r="H128" s="1025">
        <f t="shared" si="5"/>
        <v>1.6455814077237233E-2</v>
      </c>
      <c r="M128" s="772"/>
    </row>
    <row r="129" spans="1:13" s="629" customFormat="1" ht="15">
      <c r="B129" s="767"/>
      <c r="C129" s="1332" t="s">
        <v>856</v>
      </c>
      <c r="D129" s="1015" t="s">
        <v>484</v>
      </c>
      <c r="E129" s="1011">
        <f>_xlfn.XLOOKUP($C129,INPUT_DATA!$DU:$DU,INPUT_DATA!$DW:$DW)</f>
        <v>198810864.36000001</v>
      </c>
      <c r="F129" s="1012">
        <f t="shared" si="4"/>
        <v>1.7571768507697396E-2</v>
      </c>
      <c r="G129" s="1013">
        <f>_xlfn.XLOOKUP($C129,INPUT_DATA!$DU:$DU,INPUT_DATA!$DX:$DX)</f>
        <v>1766</v>
      </c>
      <c r="H129" s="1025">
        <f t="shared" si="5"/>
        <v>2.3493102393210147E-2</v>
      </c>
      <c r="M129" s="772"/>
    </row>
    <row r="130" spans="1:13" s="629" customFormat="1" ht="15">
      <c r="B130" s="767"/>
      <c r="C130" s="1332" t="s">
        <v>857</v>
      </c>
      <c r="D130" s="1015" t="s">
        <v>485</v>
      </c>
      <c r="E130" s="1011">
        <f>_xlfn.XLOOKUP($C130,INPUT_DATA!$DU:$DU,INPUT_DATA!$DW:$DW)</f>
        <v>363994523.36000001</v>
      </c>
      <c r="F130" s="1012">
        <f t="shared" si="4"/>
        <v>3.2171418413884371E-2</v>
      </c>
      <c r="G130" s="1013">
        <f>_xlfn.XLOOKUP($C130,INPUT_DATA!$DU:$DU,INPUT_DATA!$DX:$DX)</f>
        <v>2835</v>
      </c>
      <c r="H130" s="1025">
        <f t="shared" si="5"/>
        <v>3.7714012052520257E-2</v>
      </c>
      <c r="M130" s="772"/>
    </row>
    <row r="131" spans="1:13" s="629" customFormat="1" ht="15">
      <c r="B131" s="767"/>
      <c r="C131" s="1332" t="s">
        <v>858</v>
      </c>
      <c r="D131" s="1015" t="s">
        <v>486</v>
      </c>
      <c r="E131" s="1011">
        <f>_xlfn.XLOOKUP($C131,INPUT_DATA!$DU:$DU,INPUT_DATA!$DW:$DW)</f>
        <v>558494188.90999997</v>
      </c>
      <c r="F131" s="1012">
        <f t="shared" si="4"/>
        <v>4.9362144428135295E-2</v>
      </c>
      <c r="G131" s="1013">
        <f>_xlfn.XLOOKUP($C131,INPUT_DATA!$DU:$DU,INPUT_DATA!$DX:$DX)</f>
        <v>3851</v>
      </c>
      <c r="H131" s="1025">
        <f t="shared" si="5"/>
        <v>5.1229862579984305E-2</v>
      </c>
      <c r="M131" s="772"/>
    </row>
    <row r="132" spans="1:13" s="629" customFormat="1" ht="15">
      <c r="B132" s="767"/>
      <c r="C132" s="1332" t="s">
        <v>859</v>
      </c>
      <c r="D132" s="1015" t="s">
        <v>487</v>
      </c>
      <c r="E132" s="1011">
        <f>_xlfn.XLOOKUP($C132,INPUT_DATA!$DU:$DU,INPUT_DATA!$DW:$DW)</f>
        <v>839265444.12</v>
      </c>
      <c r="F132" s="1012">
        <f t="shared" si="4"/>
        <v>7.4177928595906245E-2</v>
      </c>
      <c r="G132" s="1013">
        <f>_xlfn.XLOOKUP($C132,INPUT_DATA!$DU:$DU,INPUT_DATA!$DX:$DX)</f>
        <v>5173</v>
      </c>
      <c r="H132" s="1025">
        <f t="shared" si="5"/>
        <v>6.8816431868672756E-2</v>
      </c>
      <c r="M132" s="772"/>
    </row>
    <row r="133" spans="1:13" s="629" customFormat="1" ht="15">
      <c r="B133" s="767"/>
      <c r="C133" s="1332" t="s">
        <v>860</v>
      </c>
      <c r="D133" s="1015" t="s">
        <v>488</v>
      </c>
      <c r="E133" s="1011">
        <f>_xlfn.XLOOKUP($C133,INPUT_DATA!$DU:$DU,INPUT_DATA!$DW:$DW)</f>
        <v>1342039634.28</v>
      </c>
      <c r="F133" s="1012">
        <f t="shared" si="4"/>
        <v>0.11861529729593411</v>
      </c>
      <c r="G133" s="1013">
        <f>_xlfn.XLOOKUP($C133,INPUT_DATA!$DU:$DU,INPUT_DATA!$DX:$DX)</f>
        <v>7760</v>
      </c>
      <c r="H133" s="1025">
        <f t="shared" si="5"/>
        <v>0.10323129930425297</v>
      </c>
      <c r="M133" s="772"/>
    </row>
    <row r="134" spans="1:13" s="629" customFormat="1" ht="15">
      <c r="B134" s="767"/>
      <c r="C134" s="1332" t="s">
        <v>861</v>
      </c>
      <c r="D134" s="1015" t="s">
        <v>489</v>
      </c>
      <c r="E134" s="1011">
        <f>_xlfn.XLOOKUP($C134,INPUT_DATA!$DU:$DU,INPUT_DATA!$DW:$DW)</f>
        <v>2543539232.4899998</v>
      </c>
      <c r="F134" s="1012">
        <f t="shared" si="4"/>
        <v>0.22480905521656663</v>
      </c>
      <c r="G134" s="1013">
        <f>_xlfn.XLOOKUP($C134,INPUT_DATA!$DU:$DU,INPUT_DATA!$DX:$DX)</f>
        <v>14085</v>
      </c>
      <c r="H134" s="1025">
        <f t="shared" si="5"/>
        <v>0.18737279003871174</v>
      </c>
      <c r="M134" s="772"/>
    </row>
    <row r="135" spans="1:13" s="629" customFormat="1" ht="15">
      <c r="B135" s="767"/>
      <c r="C135" s="1332" t="s">
        <v>862</v>
      </c>
      <c r="D135" s="1026" t="s">
        <v>490</v>
      </c>
      <c r="E135" s="1011">
        <f>_xlfn.XLOOKUP($C135,INPUT_DATA!$DU:$DU,INPUT_DATA!$DW:$DW)</f>
        <v>4406420003.0299997</v>
      </c>
      <c r="F135" s="1012">
        <f t="shared" si="4"/>
        <v>0.38945855645356142</v>
      </c>
      <c r="G135" s="1013">
        <f>_xlfn.XLOOKUP($C135,INPUT_DATA!$DU:$DU,INPUT_DATA!$DX:$DX)</f>
        <v>29903</v>
      </c>
      <c r="H135" s="1025">
        <f t="shared" si="5"/>
        <v>0.39779968338854077</v>
      </c>
      <c r="M135" s="772"/>
    </row>
    <row r="136" spans="1:13" s="629" customFormat="1" ht="15">
      <c r="B136" s="767"/>
      <c r="C136" s="1332" t="s">
        <v>863</v>
      </c>
      <c r="D136" s="1016" t="s">
        <v>1198</v>
      </c>
      <c r="E136" s="1011">
        <f>_xlfn.XLOOKUP($C136,INPUT_DATA!$DU:$DU,INPUT_DATA!$DW:$DW)</f>
        <v>873263221.74000001</v>
      </c>
      <c r="F136" s="1012">
        <f t="shared" si="4"/>
        <v>7.7182799984791023E-2</v>
      </c>
      <c r="G136" s="1013">
        <f>_xlfn.XLOOKUP($C136,INPUT_DATA!$DU:$DU,INPUT_DATA!$DX:$DX)</f>
        <v>7684</v>
      </c>
      <c r="H136" s="1025">
        <f t="shared" si="5"/>
        <v>0.10222027111519069</v>
      </c>
      <c r="M136" s="772"/>
    </row>
    <row r="137" spans="1:13" s="629" customFormat="1" ht="15">
      <c r="B137" s="767"/>
      <c r="C137" s="1009"/>
      <c r="D137" s="1017" t="s">
        <v>415</v>
      </c>
      <c r="E137" s="1018">
        <f>SUM(E125:E136)</f>
        <v>11314220550.589998</v>
      </c>
      <c r="F137" s="1019">
        <f>SUM(F125:F136)</f>
        <v>1</v>
      </c>
      <c r="G137" s="1020">
        <f>SUM(G125:G136)</f>
        <v>75171</v>
      </c>
      <c r="H137" s="1021">
        <f>SUM(H125:H136)</f>
        <v>1</v>
      </c>
      <c r="M137" s="772"/>
    </row>
    <row r="138" spans="1:13" s="629" customFormat="1" ht="15">
      <c r="B138" s="767"/>
      <c r="C138" s="1009"/>
      <c r="D138" s="813"/>
      <c r="G138" s="988"/>
      <c r="M138" s="772"/>
    </row>
    <row r="139" spans="1:13" s="629" customFormat="1" ht="15">
      <c r="B139" s="767"/>
      <c r="C139" s="1009"/>
      <c r="D139" s="813"/>
      <c r="G139" s="988"/>
      <c r="M139" s="772"/>
    </row>
    <row r="140" spans="1:13" s="629" customFormat="1" ht="1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097" t="s">
        <v>443</v>
      </c>
      <c r="F143" s="2099"/>
      <c r="G143" s="2097" t="s">
        <v>444</v>
      </c>
      <c r="H143" s="2099"/>
      <c r="M143" s="772"/>
    </row>
    <row r="144" spans="1:13" s="629" customFormat="1" ht="15">
      <c r="B144" s="767"/>
      <c r="C144" s="1332" t="s">
        <v>864</v>
      </c>
      <c r="D144" s="1010" t="s">
        <v>480</v>
      </c>
      <c r="E144" s="1011">
        <f>_xlfn.XLOOKUP($C144,INPUT_DATA!$DU:$DU,INPUT_DATA!$DW:$DW)</f>
        <v>43081623.310000002</v>
      </c>
      <c r="F144" s="1012">
        <f>E144/$E$137</f>
        <v>3.8077411623157233E-3</v>
      </c>
      <c r="G144" s="1013">
        <f>_xlfn.XLOOKUP($C144,INPUT_DATA!$DU:$DU,INPUT_DATA!$DX:$DX)</f>
        <v>1912</v>
      </c>
      <c r="H144" s="1025">
        <f>G144/$G$137</f>
        <v>2.5435340756408721E-2</v>
      </c>
      <c r="M144" s="772"/>
    </row>
    <row r="145" spans="2:13" s="629" customFormat="1" ht="15">
      <c r="B145" s="767"/>
      <c r="C145" s="1332" t="s">
        <v>865</v>
      </c>
      <c r="D145" s="1015" t="s">
        <v>481</v>
      </c>
      <c r="E145" s="1011">
        <f>_xlfn.XLOOKUP($C145,INPUT_DATA!$DU:$DU,INPUT_DATA!$DW:$DW)</f>
        <v>166106022.13999999</v>
      </c>
      <c r="F145" s="1012">
        <f t="shared" ref="F145:F155" si="6">E145/$E$137</f>
        <v>1.4681172370405853E-2</v>
      </c>
      <c r="G145" s="1013">
        <f>_xlfn.XLOOKUP($C145,INPUT_DATA!$DU:$DU,INPUT_DATA!$DX:$DX)</f>
        <v>3321</v>
      </c>
      <c r="H145" s="1025">
        <f t="shared" ref="H145:H155" si="7">G145/$G$137</f>
        <v>4.4179271261523725E-2</v>
      </c>
      <c r="M145" s="772"/>
    </row>
    <row r="146" spans="2:13" s="629" customFormat="1" ht="15">
      <c r="B146" s="767"/>
      <c r="C146" s="1332" t="s">
        <v>866</v>
      </c>
      <c r="D146" s="1015" t="s">
        <v>482</v>
      </c>
      <c r="E146" s="1011">
        <f>_xlfn.XLOOKUP($C146,INPUT_DATA!$DU:$DU,INPUT_DATA!$DW:$DW)</f>
        <v>355776619.5</v>
      </c>
      <c r="F146" s="1012">
        <f t="shared" si="6"/>
        <v>3.1445084344007015E-2</v>
      </c>
      <c r="G146" s="1013">
        <f>_xlfn.XLOOKUP($C146,INPUT_DATA!$DU:$DU,INPUT_DATA!$DX:$DX)</f>
        <v>4664</v>
      </c>
      <c r="H146" s="1025">
        <f t="shared" si="7"/>
        <v>6.2045203602453074E-2</v>
      </c>
      <c r="M146" s="772"/>
    </row>
    <row r="147" spans="2:13" s="629" customFormat="1" ht="15">
      <c r="B147" s="767"/>
      <c r="C147" s="1332" t="s">
        <v>867</v>
      </c>
      <c r="D147" s="1015" t="s">
        <v>483</v>
      </c>
      <c r="E147" s="1011">
        <f>_xlfn.XLOOKUP($C147,INPUT_DATA!$DU:$DU,INPUT_DATA!$DW:$DW)</f>
        <v>638232122.30999994</v>
      </c>
      <c r="F147" s="1012">
        <f t="shared" si="6"/>
        <v>5.6409729636808105E-2</v>
      </c>
      <c r="G147" s="1013">
        <f>_xlfn.XLOOKUP($C147,INPUT_DATA!$DU:$DU,INPUT_DATA!$DX:$DX)</f>
        <v>6014</v>
      </c>
      <c r="H147" s="1025">
        <f t="shared" si="7"/>
        <v>8.000425696079605E-2</v>
      </c>
      <c r="M147" s="772"/>
    </row>
    <row r="148" spans="2:13" s="629" customFormat="1" ht="15">
      <c r="B148" s="767"/>
      <c r="C148" s="1332" t="s">
        <v>868</v>
      </c>
      <c r="D148" s="1015" t="s">
        <v>484</v>
      </c>
      <c r="E148" s="1011">
        <f>_xlfn.XLOOKUP($C148,INPUT_DATA!$DU:$DU,INPUT_DATA!$DW:$DW)</f>
        <v>975820084.11000001</v>
      </c>
      <c r="F148" s="1012">
        <f t="shared" si="6"/>
        <v>8.6247221339442098E-2</v>
      </c>
      <c r="G148" s="1013">
        <f>_xlfn.XLOOKUP($C148,INPUT_DATA!$DU:$DU,INPUT_DATA!$DX:$DX)</f>
        <v>7403</v>
      </c>
      <c r="H148" s="1025">
        <f t="shared" si="7"/>
        <v>9.8482127416157833E-2</v>
      </c>
      <c r="M148" s="772"/>
    </row>
    <row r="149" spans="2:13" s="629" customFormat="1" ht="15">
      <c r="B149" s="767"/>
      <c r="C149" s="1332" t="s">
        <v>869</v>
      </c>
      <c r="D149" s="1015" t="s">
        <v>485</v>
      </c>
      <c r="E149" s="1011">
        <f>_xlfn.XLOOKUP($C149,INPUT_DATA!$DU:$DU,INPUT_DATA!$DW:$DW)</f>
        <v>1262651511.75</v>
      </c>
      <c r="F149" s="1012">
        <f t="shared" si="6"/>
        <v>0.11159862989272884</v>
      </c>
      <c r="G149" s="1013">
        <f>_xlfn.XLOOKUP($C149,INPUT_DATA!$DU:$DU,INPUT_DATA!$DX:$DX)</f>
        <v>8571</v>
      </c>
      <c r="H149" s="1025">
        <f t="shared" si="7"/>
        <v>0.11402003432174641</v>
      </c>
      <c r="M149" s="772"/>
    </row>
    <row r="150" spans="2:13" s="629" customFormat="1" ht="15">
      <c r="B150" s="767"/>
      <c r="C150" s="1332" t="s">
        <v>870</v>
      </c>
      <c r="D150" s="1015" t="s">
        <v>486</v>
      </c>
      <c r="E150" s="1011">
        <f>_xlfn.XLOOKUP($C150,INPUT_DATA!$DU:$DU,INPUT_DATA!$DW:$DW)</f>
        <v>1558678748.5699999</v>
      </c>
      <c r="F150" s="1012">
        <f t="shared" si="6"/>
        <v>0.13776280403944574</v>
      </c>
      <c r="G150" s="1013">
        <f>_xlfn.XLOOKUP($C150,INPUT_DATA!$DU:$DU,INPUT_DATA!$DX:$DX)</f>
        <v>9302</v>
      </c>
      <c r="H150" s="1025">
        <f t="shared" si="7"/>
        <v>0.12374452914022695</v>
      </c>
      <c r="M150" s="772"/>
    </row>
    <row r="151" spans="2:13" s="629" customFormat="1" ht="15">
      <c r="B151" s="767"/>
      <c r="C151" s="1332" t="s">
        <v>871</v>
      </c>
      <c r="D151" s="1015" t="s">
        <v>487</v>
      </c>
      <c r="E151" s="1011">
        <f>_xlfn.XLOOKUP($C151,INPUT_DATA!$DU:$DU,INPUT_DATA!$DW:$DW)</f>
        <v>1835237326.8</v>
      </c>
      <c r="F151" s="1012">
        <f t="shared" si="6"/>
        <v>0.16220625350142204</v>
      </c>
      <c r="G151" s="1013">
        <f>_xlfn.XLOOKUP($C151,INPUT_DATA!$DU:$DU,INPUT_DATA!$DX:$DX)</f>
        <v>10358</v>
      </c>
      <c r="H151" s="1025">
        <f t="shared" si="7"/>
        <v>0.13779249976719746</v>
      </c>
      <c r="M151" s="772"/>
    </row>
    <row r="152" spans="2:13" s="629" customFormat="1" ht="15">
      <c r="B152" s="767"/>
      <c r="C152" s="1332" t="s">
        <v>872</v>
      </c>
      <c r="D152" s="1015" t="s">
        <v>488</v>
      </c>
      <c r="E152" s="1011">
        <f>_xlfn.XLOOKUP($C152,INPUT_DATA!$DU:$DU,INPUT_DATA!$DW:$DW)</f>
        <v>2064207466.78</v>
      </c>
      <c r="F152" s="1012">
        <f t="shared" si="6"/>
        <v>0.18244362990364002</v>
      </c>
      <c r="G152" s="1013">
        <f>_xlfn.XLOOKUP($C152,INPUT_DATA!$DU:$DU,INPUT_DATA!$DX:$DX)</f>
        <v>10936</v>
      </c>
      <c r="H152" s="1025">
        <f t="shared" si="7"/>
        <v>0.1454816352050658</v>
      </c>
      <c r="M152" s="772"/>
    </row>
    <row r="153" spans="2:13" s="629" customFormat="1" ht="15">
      <c r="B153" s="767"/>
      <c r="C153" s="1332" t="s">
        <v>873</v>
      </c>
      <c r="D153" s="1015" t="s">
        <v>489</v>
      </c>
      <c r="E153" s="1011">
        <f>_xlfn.XLOOKUP($C153,INPUT_DATA!$DU:$DU,INPUT_DATA!$DW:$DW)</f>
        <v>1887745084.8699999</v>
      </c>
      <c r="F153" s="1012">
        <f t="shared" si="6"/>
        <v>0.16684711743325176</v>
      </c>
      <c r="G153" s="1013">
        <f>_xlfn.XLOOKUP($C153,INPUT_DATA!$DU:$DU,INPUT_DATA!$DX:$DX)</f>
        <v>9757</v>
      </c>
      <c r="H153" s="1025">
        <f t="shared" si="7"/>
        <v>0.12979739527211293</v>
      </c>
      <c r="M153" s="772"/>
    </row>
    <row r="154" spans="2:13" s="629" customFormat="1" ht="15">
      <c r="B154" s="767"/>
      <c r="C154" s="1332" t="s">
        <v>874</v>
      </c>
      <c r="D154" s="1026" t="s">
        <v>490</v>
      </c>
      <c r="E154" s="1011">
        <f>_xlfn.XLOOKUP($C154,INPUT_DATA!$DU:$DU,INPUT_DATA!$DW:$DW)</f>
        <v>526683940.44999999</v>
      </c>
      <c r="F154" s="1012">
        <f t="shared" si="6"/>
        <v>4.6550616376532912E-2</v>
      </c>
      <c r="G154" s="1013">
        <f>_xlfn.XLOOKUP($C154,INPUT_DATA!$DU:$DU,INPUT_DATA!$DX:$DX)</f>
        <v>2933</v>
      </c>
      <c r="H154" s="1025">
        <f t="shared" si="7"/>
        <v>3.9017706296311079E-2</v>
      </c>
      <c r="M154" s="772"/>
    </row>
    <row r="155" spans="2:13" s="629" customFormat="1" ht="15">
      <c r="B155" s="767"/>
      <c r="C155" s="1332" t="s">
        <v>875</v>
      </c>
      <c r="D155" s="1016" t="s">
        <v>1198</v>
      </c>
      <c r="E155" s="1011">
        <f>_xlfn.XLOOKUP($C155,INPUT_DATA!$DU:$DU,INPUT_DATA!$DW:$DW)</f>
        <v>0</v>
      </c>
      <c r="F155" s="1012">
        <f t="shared" si="6"/>
        <v>0</v>
      </c>
      <c r="G155" s="1013">
        <f>_xlfn.XLOOKUP($C155,INPUT_DATA!$DU:$DU,INPUT_DATA!$DX:$DX)</f>
        <v>0</v>
      </c>
      <c r="H155" s="1025">
        <f t="shared" si="7"/>
        <v>0</v>
      </c>
      <c r="M155" s="772"/>
    </row>
    <row r="156" spans="2:13" s="629" customFormat="1" ht="15">
      <c r="B156" s="767"/>
      <c r="C156" s="1009"/>
      <c r="D156" s="1017" t="s">
        <v>415</v>
      </c>
      <c r="E156" s="1018">
        <f>SUM(E144:E155)</f>
        <v>11314220550.59</v>
      </c>
      <c r="F156" s="1019">
        <f>SUM(F144:F155)</f>
        <v>1.0000000000000002</v>
      </c>
      <c r="G156" s="1020">
        <f>SUM(G144:G155)</f>
        <v>75171</v>
      </c>
      <c r="H156" s="1021">
        <f>SUM(H144:H155)</f>
        <v>1</v>
      </c>
      <c r="M156" s="772"/>
    </row>
    <row r="157" spans="2:13" s="629" customFormat="1" ht="15">
      <c r="B157" s="767"/>
      <c r="C157" s="1009"/>
      <c r="D157" s="813"/>
      <c r="G157" s="988"/>
      <c r="M157" s="772"/>
    </row>
    <row r="158" spans="2:13" s="629" customFormat="1" ht="15">
      <c r="B158" s="767"/>
      <c r="C158" s="1009"/>
      <c r="D158" s="813"/>
      <c r="G158" s="988"/>
      <c r="M158" s="772"/>
    </row>
    <row r="159" spans="2:13" s="629" customFormat="1" ht="15">
      <c r="B159" s="767"/>
      <c r="C159" s="1009"/>
      <c r="D159" s="813"/>
      <c r="G159" s="988"/>
      <c r="M159" s="772"/>
    </row>
    <row r="160" spans="2:13" s="629" customFormat="1" ht="15">
      <c r="B160" s="767"/>
      <c r="C160" s="1009"/>
      <c r="D160" s="813"/>
      <c r="G160" s="988"/>
      <c r="M160" s="772"/>
    </row>
    <row r="161" spans="1:13" s="629" customFormat="1" ht="15">
      <c r="B161" s="767"/>
      <c r="C161" s="1009"/>
      <c r="D161" s="813"/>
      <c r="G161" s="988"/>
      <c r="M161" s="772"/>
    </row>
    <row r="162" spans="1:13" s="629" customFormat="1" ht="1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097" t="s">
        <v>443</v>
      </c>
      <c r="F165" s="2099"/>
      <c r="G165" s="2097" t="s">
        <v>444</v>
      </c>
      <c r="H165" s="2099"/>
      <c r="M165" s="772"/>
    </row>
    <row r="166" spans="1:13" s="629" customFormat="1" ht="15">
      <c r="B166" s="767"/>
      <c r="C166" s="1332" t="s">
        <v>876</v>
      </c>
      <c r="D166" s="1010" t="s">
        <v>492</v>
      </c>
      <c r="E166" s="1011">
        <f>_xlfn.XLOOKUP($C166,INPUT_DATA!$DU:$DU,INPUT_DATA!$DW:$DW)</f>
        <v>889173.09</v>
      </c>
      <c r="F166" s="1012">
        <f>E166/$E$193</f>
        <v>7.8588983308587915E-5</v>
      </c>
      <c r="G166" s="1013">
        <f>_xlfn.XLOOKUP($C166,INPUT_DATA!$DU:$DU,INPUT_DATA!$DX:$DX)</f>
        <v>9</v>
      </c>
      <c r="H166" s="1025">
        <f>G166/$G$193</f>
        <v>1.1972702238895319E-4</v>
      </c>
      <c r="M166" s="772"/>
    </row>
    <row r="167" spans="1:13" s="629" customFormat="1" ht="15">
      <c r="B167" s="767"/>
      <c r="C167" s="1332" t="s">
        <v>877</v>
      </c>
      <c r="D167" s="1015" t="s">
        <v>493</v>
      </c>
      <c r="E167" s="1011">
        <f>_xlfn.XLOOKUP($C167,INPUT_DATA!$DU:$DU,INPUT_DATA!$DW:$DW)</f>
        <v>1711664.81</v>
      </c>
      <c r="F167" s="1012">
        <f t="shared" ref="F167:F192" si="8">E167/$E$193</f>
        <v>1.5128437724424085E-4</v>
      </c>
      <c r="G167" s="1013">
        <f>_xlfn.XLOOKUP($C167,INPUT_DATA!$DU:$DU,INPUT_DATA!$DX:$DX)</f>
        <v>44</v>
      </c>
      <c r="H167" s="1025">
        <f t="shared" ref="H167:H192" si="9">G167/$G$193</f>
        <v>5.8533210945710444E-4</v>
      </c>
      <c r="M167" s="772"/>
    </row>
    <row r="168" spans="1:13" s="629" customFormat="1" ht="15">
      <c r="B168" s="767"/>
      <c r="C168" s="1332" t="s">
        <v>878</v>
      </c>
      <c r="D168" s="1015" t="s">
        <v>494</v>
      </c>
      <c r="E168" s="1011">
        <f>_xlfn.XLOOKUP($C168,INPUT_DATA!$DU:$DU,INPUT_DATA!$DW:$DW)</f>
        <v>3085086.49</v>
      </c>
      <c r="F168" s="1012">
        <f t="shared" si="8"/>
        <v>2.7267335617203633E-4</v>
      </c>
      <c r="G168" s="1013">
        <f>_xlfn.XLOOKUP($C168,INPUT_DATA!$DU:$DU,INPUT_DATA!$DX:$DX)</f>
        <v>86</v>
      </c>
      <c r="H168" s="1025">
        <f t="shared" si="9"/>
        <v>1.144058213938886E-3</v>
      </c>
      <c r="M168" s="772"/>
    </row>
    <row r="169" spans="1:13" s="629" customFormat="1" ht="15">
      <c r="B169" s="767"/>
      <c r="C169" s="1332" t="s">
        <v>879</v>
      </c>
      <c r="D169" s="1015" t="s">
        <v>495</v>
      </c>
      <c r="E169" s="1011">
        <f>_xlfn.XLOOKUP($C169,INPUT_DATA!$DU:$DU,INPUT_DATA!$DW:$DW)</f>
        <v>13658092.48</v>
      </c>
      <c r="F169" s="1012">
        <f t="shared" si="8"/>
        <v>1.2071615909314915E-3</v>
      </c>
      <c r="G169" s="1013">
        <f>_xlfn.XLOOKUP($C169,INPUT_DATA!$DU:$DU,INPUT_DATA!$DX:$DX)</f>
        <v>320</v>
      </c>
      <c r="H169" s="1025">
        <f t="shared" si="9"/>
        <v>4.2569607960516688E-3</v>
      </c>
      <c r="M169" s="772"/>
    </row>
    <row r="170" spans="1:13" s="629" customFormat="1" ht="15">
      <c r="B170" s="767"/>
      <c r="C170" s="1332" t="s">
        <v>880</v>
      </c>
      <c r="D170" s="1015" t="s">
        <v>496</v>
      </c>
      <c r="E170" s="1011">
        <f>_xlfn.XLOOKUP($C170,INPUT_DATA!$DU:$DU,INPUT_DATA!$DW:$DW)</f>
        <v>11892901.060000001</v>
      </c>
      <c r="F170" s="1012">
        <f t="shared" si="8"/>
        <v>1.051146299192464E-3</v>
      </c>
      <c r="G170" s="1013">
        <f>_xlfn.XLOOKUP($C170,INPUT_DATA!$DU:$DU,INPUT_DATA!$DX:$DX)</f>
        <v>254</v>
      </c>
      <c r="H170" s="1025">
        <f t="shared" si="9"/>
        <v>3.3789626318660123E-3</v>
      </c>
      <c r="M170" s="772"/>
    </row>
    <row r="171" spans="1:13" s="629" customFormat="1" ht="15">
      <c r="B171" s="767"/>
      <c r="C171" s="1332" t="s">
        <v>881</v>
      </c>
      <c r="D171" s="1015" t="s">
        <v>497</v>
      </c>
      <c r="E171" s="1011">
        <f>_xlfn.XLOOKUP($C171,INPUT_DATA!$DU:$DU,INPUT_DATA!$DW:$DW)</f>
        <v>17012515.18</v>
      </c>
      <c r="F171" s="1012">
        <f t="shared" si="8"/>
        <v>1.5036400522626238E-3</v>
      </c>
      <c r="G171" s="1013">
        <f>_xlfn.XLOOKUP($C171,INPUT_DATA!$DU:$DU,INPUT_DATA!$DX:$DX)</f>
        <v>395</v>
      </c>
      <c r="H171" s="1025">
        <f t="shared" si="9"/>
        <v>5.2546859826262783E-3</v>
      </c>
      <c r="M171" s="772"/>
    </row>
    <row r="172" spans="1:13" s="629" customFormat="1" ht="15">
      <c r="B172" s="767"/>
      <c r="C172" s="1332" t="s">
        <v>882</v>
      </c>
      <c r="D172" s="1015" t="s">
        <v>498</v>
      </c>
      <c r="E172" s="1011">
        <f>_xlfn.XLOOKUP($C172,INPUT_DATA!$DU:$DU,INPUT_DATA!$DW:$DW)</f>
        <v>158143784.49000001</v>
      </c>
      <c r="F172" s="1012">
        <f t="shared" si="8"/>
        <v>1.3977435191658281E-2</v>
      </c>
      <c r="G172" s="1013">
        <f>_xlfn.XLOOKUP($C172,INPUT_DATA!$DU:$DU,INPUT_DATA!$DX:$DX)</f>
        <v>2537</v>
      </c>
      <c r="H172" s="1025">
        <f t="shared" si="9"/>
        <v>3.3749717311197136E-2</v>
      </c>
      <c r="M172" s="772"/>
    </row>
    <row r="173" spans="1:13" s="629" customFormat="1" ht="15">
      <c r="B173" s="767"/>
      <c r="C173" s="1332" t="s">
        <v>883</v>
      </c>
      <c r="D173" s="1015" t="s">
        <v>499</v>
      </c>
      <c r="E173" s="1011">
        <f>_xlfn.XLOOKUP($C173,INPUT_DATA!$DU:$DU,INPUT_DATA!$DW:$DW)</f>
        <v>38266255.689999998</v>
      </c>
      <c r="F173" s="1012">
        <f t="shared" si="8"/>
        <v>3.3821380376047676E-3</v>
      </c>
      <c r="G173" s="1013">
        <f>_xlfn.XLOOKUP($C173,INPUT_DATA!$DU:$DU,INPUT_DATA!$DX:$DX)</f>
        <v>641</v>
      </c>
      <c r="H173" s="1025">
        <f t="shared" si="9"/>
        <v>8.5272245945909996E-3</v>
      </c>
      <c r="M173" s="772"/>
    </row>
    <row r="174" spans="1:13" s="629" customFormat="1" ht="15">
      <c r="B174" s="767"/>
      <c r="C174" s="1332" t="s">
        <v>884</v>
      </c>
      <c r="D174" s="1015" t="s">
        <v>500</v>
      </c>
      <c r="E174" s="1011">
        <f>_xlfn.XLOOKUP($C174,INPUT_DATA!$DU:$DU,INPUT_DATA!$DW:$DW)</f>
        <v>176545858.88999999</v>
      </c>
      <c r="F174" s="1012">
        <f t="shared" si="8"/>
        <v>1.5603890528790663E-2</v>
      </c>
      <c r="G174" s="1013">
        <f>_xlfn.XLOOKUP($C174,INPUT_DATA!$DU:$DU,INPUT_DATA!$DX:$DX)</f>
        <v>2449</v>
      </c>
      <c r="H174" s="1025">
        <f t="shared" si="9"/>
        <v>3.2579053092282928E-2</v>
      </c>
      <c r="M174" s="772"/>
    </row>
    <row r="175" spans="1:13" s="629" customFormat="1" ht="15">
      <c r="B175" s="767"/>
      <c r="C175" s="1332" t="s">
        <v>885</v>
      </c>
      <c r="D175" s="1015" t="s">
        <v>501</v>
      </c>
      <c r="E175" s="1011">
        <f>_xlfn.XLOOKUP($C175,INPUT_DATA!$DU:$DU,INPUT_DATA!$DW:$DW)</f>
        <v>80681642.75</v>
      </c>
      <c r="F175" s="1012">
        <f t="shared" si="8"/>
        <v>7.1309943437325614E-3</v>
      </c>
      <c r="G175" s="1013">
        <f>_xlfn.XLOOKUP($C175,INPUT_DATA!$DU:$DU,INPUT_DATA!$DX:$DX)</f>
        <v>982</v>
      </c>
      <c r="H175" s="1025">
        <f t="shared" si="9"/>
        <v>1.3063548442883559E-2</v>
      </c>
      <c r="M175" s="772"/>
    </row>
    <row r="176" spans="1:13" s="629" customFormat="1" ht="15">
      <c r="B176" s="767"/>
      <c r="C176" s="1332" t="s">
        <v>886</v>
      </c>
      <c r="D176" s="1015" t="s">
        <v>502</v>
      </c>
      <c r="E176" s="1011">
        <f>_xlfn.XLOOKUP($C176,INPUT_DATA!$DU:$DU,INPUT_DATA!$DW:$DW)</f>
        <v>113536167.23</v>
      </c>
      <c r="F176" s="1012">
        <f t="shared" si="8"/>
        <v>1.003482004989548E-2</v>
      </c>
      <c r="G176" s="1013">
        <f>_xlfn.XLOOKUP($C176,INPUT_DATA!$DU:$DU,INPUT_DATA!$DX:$DX)</f>
        <v>1281</v>
      </c>
      <c r="H176" s="1025">
        <f t="shared" si="9"/>
        <v>1.7041146186694337E-2</v>
      </c>
      <c r="M176" s="772"/>
    </row>
    <row r="177" spans="2:13" s="629" customFormat="1" ht="15">
      <c r="B177" s="767"/>
      <c r="C177" s="1332" t="s">
        <v>887</v>
      </c>
      <c r="D177" s="1015" t="s">
        <v>503</v>
      </c>
      <c r="E177" s="1011">
        <f>_xlfn.XLOOKUP($C177,INPUT_DATA!$DU:$DU,INPUT_DATA!$DW:$DW)</f>
        <v>867075327.72000003</v>
      </c>
      <c r="F177" s="1012">
        <f t="shared" si="8"/>
        <v>7.6635887009890824E-2</v>
      </c>
      <c r="G177" s="1013">
        <f>_xlfn.XLOOKUP($C177,INPUT_DATA!$DU:$DU,INPUT_DATA!$DX:$DX)</f>
        <v>9159</v>
      </c>
      <c r="H177" s="1025">
        <f t="shared" si="9"/>
        <v>0.12184219978449136</v>
      </c>
      <c r="M177" s="772"/>
    </row>
    <row r="178" spans="2:13" s="629" customFormat="1" ht="15">
      <c r="B178" s="767"/>
      <c r="C178" s="1332" t="s">
        <v>888</v>
      </c>
      <c r="D178" s="1015" t="s">
        <v>504</v>
      </c>
      <c r="E178" s="1011">
        <f>_xlfn.XLOOKUP($C178,INPUT_DATA!$DU:$DU,INPUT_DATA!$DW:$DW)</f>
        <v>160027260.81999999</v>
      </c>
      <c r="F178" s="1012">
        <f t="shared" si="8"/>
        <v>1.4143905017978025E-2</v>
      </c>
      <c r="G178" s="1013">
        <f>_xlfn.XLOOKUP($C178,INPUT_DATA!$DU:$DU,INPUT_DATA!$DX:$DX)</f>
        <v>1461</v>
      </c>
      <c r="H178" s="1025">
        <f t="shared" si="9"/>
        <v>1.9435686634473402E-2</v>
      </c>
      <c r="M178" s="772"/>
    </row>
    <row r="179" spans="2:13" s="629" customFormat="1" ht="15">
      <c r="B179" s="767"/>
      <c r="C179" s="1332" t="s">
        <v>889</v>
      </c>
      <c r="D179" s="1015" t="s">
        <v>505</v>
      </c>
      <c r="E179" s="1011">
        <f>_xlfn.XLOOKUP($C179,INPUT_DATA!$DU:$DU,INPUT_DATA!$DW:$DW)</f>
        <v>346775776.52999997</v>
      </c>
      <c r="F179" s="1012">
        <f t="shared" si="8"/>
        <v>3.0649550711817859E-2</v>
      </c>
      <c r="G179" s="1013">
        <f>_xlfn.XLOOKUP($C179,INPUT_DATA!$DU:$DU,INPUT_DATA!$DX:$DX)</f>
        <v>2973</v>
      </c>
      <c r="H179" s="1025">
        <f t="shared" si="9"/>
        <v>3.9549826395817535E-2</v>
      </c>
      <c r="M179" s="772"/>
    </row>
    <row r="180" spans="2:13" s="629" customFormat="1" ht="15">
      <c r="B180" s="767"/>
      <c r="C180" s="1332" t="s">
        <v>890</v>
      </c>
      <c r="D180" s="1015" t="s">
        <v>506</v>
      </c>
      <c r="E180" s="1011">
        <f>_xlfn.XLOOKUP($C180,INPUT_DATA!$DU:$DU,INPUT_DATA!$DW:$DW)</f>
        <v>245774689.40000001</v>
      </c>
      <c r="F180" s="1012">
        <f t="shared" si="8"/>
        <v>2.1722635536496029E-2</v>
      </c>
      <c r="G180" s="1013">
        <f>_xlfn.XLOOKUP($C180,INPUT_DATA!$DU:$DU,INPUT_DATA!$DX:$DX)</f>
        <v>1748</v>
      </c>
      <c r="H180" s="1025">
        <f t="shared" si="9"/>
        <v>2.325364834843224E-2</v>
      </c>
      <c r="M180" s="772"/>
    </row>
    <row r="181" spans="2:13" s="629" customFormat="1" ht="15">
      <c r="B181" s="767"/>
      <c r="C181" s="1332" t="s">
        <v>891</v>
      </c>
      <c r="D181" s="1015" t="s">
        <v>507</v>
      </c>
      <c r="E181" s="1011">
        <f>_xlfn.XLOOKUP($C181,INPUT_DATA!$DU:$DU,INPUT_DATA!$DW:$DW)</f>
        <v>219073475.13</v>
      </c>
      <c r="F181" s="1012">
        <f t="shared" si="8"/>
        <v>1.9362666137754937E-2</v>
      </c>
      <c r="G181" s="1013">
        <f>_xlfn.XLOOKUP($C181,INPUT_DATA!$DU:$DU,INPUT_DATA!$DX:$DX)</f>
        <v>1442</v>
      </c>
      <c r="H181" s="1025">
        <f t="shared" si="9"/>
        <v>1.9182929587207832E-2</v>
      </c>
      <c r="M181" s="772"/>
    </row>
    <row r="182" spans="2:13" s="629" customFormat="1" ht="15">
      <c r="B182" s="767"/>
      <c r="C182" s="1332" t="s">
        <v>892</v>
      </c>
      <c r="D182" s="1015" t="s">
        <v>508</v>
      </c>
      <c r="E182" s="1011">
        <f>_xlfn.XLOOKUP($C182,INPUT_DATA!$DU:$DU,INPUT_DATA!$DW:$DW)</f>
        <v>2824768056.8000002</v>
      </c>
      <c r="F182" s="1012">
        <f t="shared" si="8"/>
        <v>0.24966528133064347</v>
      </c>
      <c r="G182" s="1013">
        <f>_xlfn.XLOOKUP($C182,INPUT_DATA!$DU:$DU,INPUT_DATA!$DX:$DX)</f>
        <v>19146</v>
      </c>
      <c r="H182" s="1025">
        <f t="shared" si="9"/>
        <v>0.25469928562876643</v>
      </c>
      <c r="M182" s="772"/>
    </row>
    <row r="183" spans="2:13" s="629" customFormat="1" ht="15">
      <c r="B183" s="767"/>
      <c r="C183" s="1332" t="s">
        <v>893</v>
      </c>
      <c r="D183" s="1015" t="s">
        <v>509</v>
      </c>
      <c r="E183" s="1011">
        <f>_xlfn.XLOOKUP($C183,INPUT_DATA!$DU:$DU,INPUT_DATA!$DW:$DW)</f>
        <v>310691730.67000002</v>
      </c>
      <c r="F183" s="1012">
        <f t="shared" si="8"/>
        <v>2.7460285865984684E-2</v>
      </c>
      <c r="G183" s="1013">
        <f>_xlfn.XLOOKUP($C183,INPUT_DATA!$DU:$DU,INPUT_DATA!$DX:$DX)</f>
        <v>1872</v>
      </c>
      <c r="H183" s="1025">
        <f t="shared" si="9"/>
        <v>2.4903220656902262E-2</v>
      </c>
      <c r="M183" s="772"/>
    </row>
    <row r="184" spans="2:13" s="629" customFormat="1" ht="15">
      <c r="B184" s="767"/>
      <c r="C184" s="1332" t="s">
        <v>894</v>
      </c>
      <c r="D184" s="1015" t="s">
        <v>510</v>
      </c>
      <c r="E184" s="1011">
        <f>_xlfn.XLOOKUP($C184,INPUT_DATA!$DU:$DU,INPUT_DATA!$DW:$DW)</f>
        <v>488524627.29000002</v>
      </c>
      <c r="F184" s="1012">
        <f t="shared" si="8"/>
        <v>4.3177930384654298E-2</v>
      </c>
      <c r="G184" s="1013">
        <f>_xlfn.XLOOKUP($C184,INPUT_DATA!$DU:$DU,INPUT_DATA!$DX:$DX)</f>
        <v>2706</v>
      </c>
      <c r="H184" s="1025">
        <f t="shared" si="9"/>
        <v>3.5997924731611924E-2</v>
      </c>
      <c r="M184" s="772"/>
    </row>
    <row r="185" spans="2:13" s="629" customFormat="1" ht="15">
      <c r="B185" s="767"/>
      <c r="C185" s="1332" t="s">
        <v>895</v>
      </c>
      <c r="D185" s="1015" t="s">
        <v>511</v>
      </c>
      <c r="E185" s="1011">
        <f>_xlfn.XLOOKUP($C185,INPUT_DATA!$DU:$DU,INPUT_DATA!$DW:$DW)</f>
        <v>214163730.75</v>
      </c>
      <c r="F185" s="1012">
        <f t="shared" si="8"/>
        <v>1.892872158469918E-2</v>
      </c>
      <c r="G185" s="1013">
        <f>_xlfn.XLOOKUP($C185,INPUT_DATA!$DU:$DU,INPUT_DATA!$DX:$DX)</f>
        <v>1131</v>
      </c>
      <c r="H185" s="1025">
        <f t="shared" si="9"/>
        <v>1.5045695813545118E-2</v>
      </c>
      <c r="M185" s="772"/>
    </row>
    <row r="186" spans="2:13" s="629" customFormat="1" ht="15">
      <c r="B186" s="767"/>
      <c r="C186" s="1332" t="s">
        <v>896</v>
      </c>
      <c r="D186" s="1015" t="s">
        <v>512</v>
      </c>
      <c r="E186" s="1011">
        <f>_xlfn.XLOOKUP($C186,INPUT_DATA!$DU:$DU,INPUT_DATA!$DW:$DW)</f>
        <v>162817466.66</v>
      </c>
      <c r="F186" s="1012">
        <f t="shared" si="8"/>
        <v>1.4390515540331198E-2</v>
      </c>
      <c r="G186" s="1013">
        <f>_xlfn.XLOOKUP($C186,INPUT_DATA!$DU:$DU,INPUT_DATA!$DX:$DX)</f>
        <v>800</v>
      </c>
      <c r="H186" s="1025">
        <f t="shared" si="9"/>
        <v>1.0642401990129172E-2</v>
      </c>
      <c r="M186" s="772"/>
    </row>
    <row r="187" spans="2:13" s="629" customFormat="1" ht="15">
      <c r="B187" s="767"/>
      <c r="C187" s="1332" t="s">
        <v>897</v>
      </c>
      <c r="D187" s="1015" t="s">
        <v>513</v>
      </c>
      <c r="E187" s="1011">
        <f>_xlfn.XLOOKUP($C187,INPUT_DATA!$DU:$DU,INPUT_DATA!$DW:$DW)</f>
        <v>4265685605.2199998</v>
      </c>
      <c r="F187" s="1012">
        <f t="shared" si="8"/>
        <v>0.37701983854270527</v>
      </c>
      <c r="G187" s="1013">
        <f>_xlfn.XLOOKUP($C187,INPUT_DATA!$DU:$DU,INPUT_DATA!$DX:$DX)</f>
        <v>20649</v>
      </c>
      <c r="H187" s="1025">
        <f t="shared" si="9"/>
        <v>0.27469369836772162</v>
      </c>
      <c r="M187" s="772"/>
    </row>
    <row r="188" spans="2:13" s="629" customFormat="1" ht="15">
      <c r="B188" s="767"/>
      <c r="C188" s="1332" t="s">
        <v>898</v>
      </c>
      <c r="D188" s="1015" t="s">
        <v>514</v>
      </c>
      <c r="E188" s="1011">
        <f>_xlfn.XLOOKUP($C188,INPUT_DATA!$DU:$DU,INPUT_DATA!$DW:$DW)</f>
        <v>182239122.58000001</v>
      </c>
      <c r="F188" s="1012">
        <f t="shared" si="8"/>
        <v>1.6107085924756594E-2</v>
      </c>
      <c r="G188" s="1013">
        <f>_xlfn.XLOOKUP($C188,INPUT_DATA!$DU:$DU,INPUT_DATA!$DX:$DX)</f>
        <v>967</v>
      </c>
      <c r="H188" s="1025">
        <f t="shared" si="9"/>
        <v>1.2864003405568637E-2</v>
      </c>
      <c r="M188" s="772"/>
    </row>
    <row r="189" spans="2:13" s="629" customFormat="1" ht="15">
      <c r="B189" s="767"/>
      <c r="C189" s="1332" t="s">
        <v>899</v>
      </c>
      <c r="D189" s="1015" t="s">
        <v>515</v>
      </c>
      <c r="E189" s="1011">
        <f>_xlfn.XLOOKUP($C189,INPUT_DATA!$DU:$DU,INPUT_DATA!$DW:$DW)</f>
        <v>351862336.04000002</v>
      </c>
      <c r="F189" s="1012">
        <f t="shared" si="8"/>
        <v>3.1099122954753745E-2</v>
      </c>
      <c r="G189" s="1013">
        <f>_xlfn.XLOOKUP($C189,INPUT_DATA!$DU:$DU,INPUT_DATA!$DX:$DX)</f>
        <v>1638</v>
      </c>
      <c r="H189" s="1025">
        <f t="shared" si="9"/>
        <v>2.179031807478948E-2</v>
      </c>
      <c r="M189" s="772"/>
    </row>
    <row r="190" spans="2:13" s="629" customFormat="1" ht="15">
      <c r="B190" s="767"/>
      <c r="C190" s="1332" t="s">
        <v>900</v>
      </c>
      <c r="D190" s="1015" t="s">
        <v>516</v>
      </c>
      <c r="E190" s="1011">
        <f>_xlfn.XLOOKUP($C190,INPUT_DATA!$DU:$DU,INPUT_DATA!$DW:$DW)</f>
        <v>30016673.059999999</v>
      </c>
      <c r="F190" s="1012">
        <f t="shared" si="8"/>
        <v>2.653004060313702E-3</v>
      </c>
      <c r="G190" s="1013">
        <f>_xlfn.XLOOKUP($C190,INPUT_DATA!$DU:$DU,INPUT_DATA!$DX:$DX)</f>
        <v>179</v>
      </c>
      <c r="H190" s="1025">
        <f t="shared" si="9"/>
        <v>2.3812374452914023E-3</v>
      </c>
      <c r="M190" s="772"/>
    </row>
    <row r="191" spans="2:13" s="629" customFormat="1" ht="16.899999999999999" customHeight="1">
      <c r="B191" s="767"/>
      <c r="C191" s="1332" t="s">
        <v>901</v>
      </c>
      <c r="D191" s="1015" t="s">
        <v>517</v>
      </c>
      <c r="E191" s="1011">
        <f>_xlfn.XLOOKUP($C191,INPUT_DATA!$DU:$DU,INPUT_DATA!$DW:$DW)</f>
        <v>3247905.07</v>
      </c>
      <c r="F191" s="1012">
        <f t="shared" si="8"/>
        <v>2.8706397011419687E-4</v>
      </c>
      <c r="G191" s="1013">
        <f>_xlfn.XLOOKUP($C191,INPUT_DATA!$DU:$DU,INPUT_DATA!$DX:$DX)</f>
        <v>28</v>
      </c>
      <c r="H191" s="1025">
        <f t="shared" si="9"/>
        <v>3.7248406965452105E-4</v>
      </c>
      <c r="M191" s="772"/>
    </row>
    <row r="192" spans="2:13" s="629" customFormat="1" ht="15">
      <c r="B192" s="767"/>
      <c r="C192" s="1332" t="s">
        <v>902</v>
      </c>
      <c r="D192" s="1016" t="s">
        <v>518</v>
      </c>
      <c r="E192" s="1011">
        <f>_xlfn.XLOOKUP($C192,INPUT_DATA!$DU:$DU,INPUT_DATA!$DW:$DW)</f>
        <v>26053624.690000001</v>
      </c>
      <c r="F192" s="1012">
        <f t="shared" si="8"/>
        <v>2.302732616312786E-3</v>
      </c>
      <c r="G192" s="1013">
        <f>_xlfn.XLOOKUP($C192,INPUT_DATA!$DU:$DU,INPUT_DATA!$DX:$DX)</f>
        <v>274</v>
      </c>
      <c r="H192" s="1025">
        <f t="shared" si="9"/>
        <v>3.6450226816192415E-3</v>
      </c>
      <c r="M192" s="772"/>
    </row>
    <row r="193" spans="1:13" s="629" customFormat="1" ht="15">
      <c r="B193" s="767"/>
      <c r="C193" s="1009"/>
      <c r="D193" s="1017" t="s">
        <v>415</v>
      </c>
      <c r="E193" s="1018">
        <f>SUM(E166:E192)</f>
        <v>11314220550.59</v>
      </c>
      <c r="F193" s="1019">
        <f>SUM(F166:F192)</f>
        <v>1</v>
      </c>
      <c r="G193" s="1020">
        <f>SUM(G166:G192)</f>
        <v>75171</v>
      </c>
      <c r="H193" s="1019">
        <f>SUM(H166:H192)</f>
        <v>1</v>
      </c>
      <c r="M193" s="772"/>
    </row>
    <row r="194" spans="1:13" s="629" customFormat="1" ht="15">
      <c r="B194" s="767"/>
      <c r="C194" s="1009"/>
      <c r="D194" s="813"/>
      <c r="G194" s="988"/>
      <c r="M194" s="772"/>
    </row>
    <row r="195" spans="1:13" s="629" customFormat="1" ht="15">
      <c r="B195" s="767"/>
      <c r="C195" s="1009"/>
      <c r="D195" s="813"/>
      <c r="G195" s="988"/>
      <c r="M195" s="772"/>
    </row>
    <row r="196" spans="1:13" s="629" customFormat="1" ht="15">
      <c r="B196" s="767"/>
      <c r="C196" s="1009"/>
      <c r="D196" s="813"/>
      <c r="G196" s="988"/>
      <c r="M196" s="772"/>
    </row>
    <row r="197" spans="1:13" s="629" customFormat="1" ht="15">
      <c r="B197" s="767"/>
      <c r="C197" s="1009"/>
      <c r="D197" s="813"/>
      <c r="G197" s="988"/>
      <c r="M197" s="772"/>
    </row>
    <row r="198" spans="1:13" s="629" customFormat="1" ht="24.6"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097" t="s">
        <v>443</v>
      </c>
      <c r="F200" s="2099"/>
      <c r="G200" s="2097" t="s">
        <v>444</v>
      </c>
      <c r="H200" s="2099"/>
      <c r="M200" s="772"/>
    </row>
    <row r="201" spans="1:13" s="629" customFormat="1" ht="15">
      <c r="B201" s="767"/>
      <c r="C201" s="1332" t="s">
        <v>903</v>
      </c>
      <c r="D201" s="1010" t="s">
        <v>520</v>
      </c>
      <c r="E201" s="1011">
        <f>_xlfn.XLOOKUP($C201,INPUT_DATA!$DU:$DU,INPUT_DATA!$DW:$DW)</f>
        <v>7657094.6399999997</v>
      </c>
      <c r="F201" s="1012">
        <f t="shared" ref="F201:F226" si="10">E201/$E$227</f>
        <v>6.7676731293705484E-4</v>
      </c>
      <c r="G201" s="1013">
        <f>_xlfn.XLOOKUP($C201,INPUT_DATA!$DU:$DU,INPUT_DATA!$DX:$DX)</f>
        <v>909</v>
      </c>
      <c r="H201" s="1025">
        <f t="shared" ref="H201:H226" si="11">G201/$G$227</f>
        <v>1.2092429261284272E-2</v>
      </c>
      <c r="M201" s="772"/>
    </row>
    <row r="202" spans="1:13" s="629" customFormat="1" ht="15">
      <c r="B202" s="767"/>
      <c r="C202" s="1332" t="s">
        <v>904</v>
      </c>
      <c r="D202" s="1015" t="s">
        <v>521</v>
      </c>
      <c r="E202" s="1011">
        <f>_xlfn.XLOOKUP($C202,INPUT_DATA!$DU:$DU,INPUT_DATA!$DW:$DW)</f>
        <v>26587906.300000001</v>
      </c>
      <c r="F202" s="1012">
        <f t="shared" si="10"/>
        <v>2.3499547477544556E-3</v>
      </c>
      <c r="G202" s="1013">
        <f>_xlfn.XLOOKUP($C202,INPUT_DATA!$DU:$DU,INPUT_DATA!$DX:$DX)</f>
        <v>1384</v>
      </c>
      <c r="H202" s="1025">
        <f t="shared" si="11"/>
        <v>1.841135544292347E-2</v>
      </c>
      <c r="M202" s="772"/>
    </row>
    <row r="203" spans="1:13" s="629" customFormat="1" ht="15">
      <c r="B203" s="767"/>
      <c r="C203" s="1332" t="s">
        <v>905</v>
      </c>
      <c r="D203" s="1015" t="s">
        <v>522</v>
      </c>
      <c r="E203" s="1011">
        <f>_xlfn.XLOOKUP($C203,INPUT_DATA!$DU:$DU,INPUT_DATA!$DW:$DW)</f>
        <v>50509109.57</v>
      </c>
      <c r="F203" s="1012">
        <f t="shared" si="10"/>
        <v>4.4642146884228901E-3</v>
      </c>
      <c r="G203" s="1013">
        <f>_xlfn.XLOOKUP($C203,INPUT_DATA!$DU:$DU,INPUT_DATA!$DX:$DX)</f>
        <v>1661</v>
      </c>
      <c r="H203" s="1025">
        <f t="shared" si="11"/>
        <v>2.2096287132005694E-2</v>
      </c>
      <c r="M203" s="772"/>
    </row>
    <row r="204" spans="1:13" s="629" customFormat="1" ht="15">
      <c r="B204" s="767"/>
      <c r="C204" s="1332" t="s">
        <v>906</v>
      </c>
      <c r="D204" s="1015" t="s">
        <v>523</v>
      </c>
      <c r="E204" s="1011">
        <f>_xlfn.XLOOKUP($C204,INPUT_DATA!$DU:$DU,INPUT_DATA!$DW:$DW)</f>
        <v>79689449.019999996</v>
      </c>
      <c r="F204" s="1012">
        <f t="shared" si="10"/>
        <v>7.0432999483861442E-3</v>
      </c>
      <c r="G204" s="1013">
        <f>_xlfn.XLOOKUP($C204,INPUT_DATA!$DU:$DU,INPUT_DATA!$DX:$DX)</f>
        <v>1880</v>
      </c>
      <c r="H204" s="1025">
        <f t="shared" si="11"/>
        <v>2.5009644676803555E-2</v>
      </c>
      <c r="M204" s="772"/>
    </row>
    <row r="205" spans="1:13" s="629" customFormat="1" ht="15">
      <c r="B205" s="767"/>
      <c r="C205" s="1332" t="s">
        <v>907</v>
      </c>
      <c r="D205" s="1015" t="s">
        <v>524</v>
      </c>
      <c r="E205" s="1011">
        <f>_xlfn.XLOOKUP($C205,INPUT_DATA!$DU:$DU,INPUT_DATA!$DW:$DW)</f>
        <v>121332948.3</v>
      </c>
      <c r="F205" s="1012">
        <f t="shared" si="10"/>
        <v>1.072393345679238E-2</v>
      </c>
      <c r="G205" s="1013">
        <f>_xlfn.XLOOKUP($C205,INPUT_DATA!$DU:$DU,INPUT_DATA!$DX:$DX)</f>
        <v>2332</v>
      </c>
      <c r="H205" s="1025">
        <f t="shared" si="11"/>
        <v>3.1022601801226537E-2</v>
      </c>
      <c r="M205" s="772"/>
    </row>
    <row r="206" spans="1:13" s="629" customFormat="1" ht="15">
      <c r="B206" s="767"/>
      <c r="C206" s="1332" t="s">
        <v>908</v>
      </c>
      <c r="D206" s="1015" t="s">
        <v>493</v>
      </c>
      <c r="E206" s="1011">
        <f>_xlfn.XLOOKUP($C206,INPUT_DATA!$DU:$DU,INPUT_DATA!$DW:$DW)</f>
        <v>168434817.91999999</v>
      </c>
      <c r="F206" s="1012">
        <f t="shared" si="10"/>
        <v>1.488700146571004E-2</v>
      </c>
      <c r="G206" s="1013">
        <f>_xlfn.XLOOKUP($C206,INPUT_DATA!$DU:$DU,INPUT_DATA!$DX:$DX)</f>
        <v>2694</v>
      </c>
      <c r="H206" s="1025">
        <f t="shared" si="11"/>
        <v>3.5838288701759986E-2</v>
      </c>
      <c r="M206" s="772"/>
    </row>
    <row r="207" spans="1:13" s="629" customFormat="1" ht="15">
      <c r="B207" s="767"/>
      <c r="C207" s="1332" t="s">
        <v>909</v>
      </c>
      <c r="D207" s="1015" t="s">
        <v>494</v>
      </c>
      <c r="E207" s="1011">
        <f>_xlfn.XLOOKUP($C207,INPUT_DATA!$DU:$DU,INPUT_DATA!$DW:$DW)</f>
        <v>202783394.91</v>
      </c>
      <c r="F207" s="1012">
        <f t="shared" si="10"/>
        <v>1.7922878027989784E-2</v>
      </c>
      <c r="G207" s="1013">
        <f>_xlfn.XLOOKUP($C207,INPUT_DATA!$DU:$DU,INPUT_DATA!$DX:$DX)</f>
        <v>2882</v>
      </c>
      <c r="H207" s="1025">
        <f t="shared" si="11"/>
        <v>3.833925316944034E-2</v>
      </c>
      <c r="M207" s="772"/>
    </row>
    <row r="208" spans="1:13" s="629" customFormat="1" ht="15">
      <c r="B208" s="767"/>
      <c r="C208" s="1332" t="s">
        <v>910</v>
      </c>
      <c r="D208" s="1015" t="s">
        <v>495</v>
      </c>
      <c r="E208" s="1011">
        <f>_xlfn.XLOOKUP($C208,INPUT_DATA!$DU:$DU,INPUT_DATA!$DW:$DW)</f>
        <v>254661611.71000001</v>
      </c>
      <c r="F208" s="1012">
        <f t="shared" si="10"/>
        <v>2.2508100365492719E-2</v>
      </c>
      <c r="G208" s="1013">
        <f>_xlfn.XLOOKUP($C208,INPUT_DATA!$DU:$DU,INPUT_DATA!$DX:$DX)</f>
        <v>2982</v>
      </c>
      <c r="H208" s="1025">
        <f t="shared" si="11"/>
        <v>3.9669553418206487E-2</v>
      </c>
      <c r="M208" s="772"/>
    </row>
    <row r="209" spans="2:13" s="629" customFormat="1" ht="15">
      <c r="B209" s="767"/>
      <c r="C209" s="1332" t="s">
        <v>911</v>
      </c>
      <c r="D209" s="1015" t="s">
        <v>496</v>
      </c>
      <c r="E209" s="1011">
        <f>_xlfn.XLOOKUP($C209,INPUT_DATA!$DU:$DU,INPUT_DATA!$DW:$DW)</f>
        <v>317036588.85000002</v>
      </c>
      <c r="F209" s="1012">
        <f t="shared" si="10"/>
        <v>2.8021072015735771E-2</v>
      </c>
      <c r="G209" s="1013">
        <f>_xlfn.XLOOKUP($C209,INPUT_DATA!$DU:$DU,INPUT_DATA!$DX:$DX)</f>
        <v>3337</v>
      </c>
      <c r="H209" s="1025">
        <f t="shared" si="11"/>
        <v>4.4392119301326312E-2</v>
      </c>
      <c r="M209" s="772"/>
    </row>
    <row r="210" spans="2:13" s="629" customFormat="1" ht="15">
      <c r="B210" s="767"/>
      <c r="C210" s="1332" t="s">
        <v>912</v>
      </c>
      <c r="D210" s="1015" t="s">
        <v>497</v>
      </c>
      <c r="E210" s="1011">
        <f>_xlfn.XLOOKUP($C210,INPUT_DATA!$DU:$DU,INPUT_DATA!$DW:$DW)</f>
        <v>383214195.94999999</v>
      </c>
      <c r="F210" s="1012">
        <f t="shared" si="10"/>
        <v>3.3870136633496736E-2</v>
      </c>
      <c r="G210" s="1013">
        <f>_xlfn.XLOOKUP($C210,INPUT_DATA!$DU:$DU,INPUT_DATA!$DX:$DX)</f>
        <v>3627</v>
      </c>
      <c r="H210" s="1025">
        <f t="shared" si="11"/>
        <v>4.8249990022748136E-2</v>
      </c>
      <c r="M210" s="772"/>
    </row>
    <row r="211" spans="2:13" s="629" customFormat="1" ht="15">
      <c r="B211" s="767"/>
      <c r="C211" s="1332" t="s">
        <v>913</v>
      </c>
      <c r="D211" s="1015" t="s">
        <v>498</v>
      </c>
      <c r="E211" s="1011">
        <f>_xlfn.XLOOKUP($C211,INPUT_DATA!$DU:$DU,INPUT_DATA!$DW:$DW)</f>
        <v>410949814.54000002</v>
      </c>
      <c r="F211" s="1012">
        <f t="shared" si="10"/>
        <v>3.6321531183035875E-2</v>
      </c>
      <c r="G211" s="1013">
        <f>_xlfn.XLOOKUP($C211,INPUT_DATA!$DU:$DU,INPUT_DATA!$DX:$DX)</f>
        <v>3563</v>
      </c>
      <c r="H211" s="1025">
        <f t="shared" si="11"/>
        <v>4.7398597863537797E-2</v>
      </c>
      <c r="M211" s="772"/>
    </row>
    <row r="212" spans="2:13" s="629" customFormat="1" ht="15">
      <c r="B212" s="767"/>
      <c r="C212" s="1332" t="s">
        <v>914</v>
      </c>
      <c r="D212" s="1015" t="s">
        <v>499</v>
      </c>
      <c r="E212" s="1011">
        <f>_xlfn.XLOOKUP($C212,INPUT_DATA!$DU:$DU,INPUT_DATA!$DW:$DW)</f>
        <v>473321968.76999998</v>
      </c>
      <c r="F212" s="1012">
        <f t="shared" si="10"/>
        <v>4.1834253332220732E-2</v>
      </c>
      <c r="G212" s="1013">
        <f>_xlfn.XLOOKUP($C212,INPUT_DATA!$DU:$DU,INPUT_DATA!$DX:$DX)</f>
        <v>3668</v>
      </c>
      <c r="H212" s="1025">
        <f t="shared" si="11"/>
        <v>4.8795413124742254E-2</v>
      </c>
      <c r="M212" s="772"/>
    </row>
    <row r="213" spans="2:13" s="629" customFormat="1" ht="15">
      <c r="B213" s="767"/>
      <c r="C213" s="1332" t="s">
        <v>1199</v>
      </c>
      <c r="D213" s="1015" t="s">
        <v>500</v>
      </c>
      <c r="E213" s="1011">
        <f>_xlfn.XLOOKUP($C213,INPUT_DATA!$DU:$DU,INPUT_DATA!$DW:$DW)</f>
        <v>484306048.68000001</v>
      </c>
      <c r="F213" s="1012">
        <f t="shared" si="10"/>
        <v>4.2805074067143317E-2</v>
      </c>
      <c r="G213" s="1013">
        <f>_xlfn.XLOOKUP($C213,INPUT_DATA!$DU:$DU,INPUT_DATA!$DX:$DX)</f>
        <v>3439</v>
      </c>
      <c r="H213" s="1025">
        <f t="shared" si="11"/>
        <v>4.5749025555067782E-2</v>
      </c>
      <c r="M213" s="772"/>
    </row>
    <row r="214" spans="2:13" s="629" customFormat="1" ht="15">
      <c r="B214" s="767"/>
      <c r="C214" s="1332" t="s">
        <v>1200</v>
      </c>
      <c r="D214" s="1015" t="s">
        <v>501</v>
      </c>
      <c r="E214" s="1011">
        <f>_xlfn.XLOOKUP($C214,INPUT_DATA!$DU:$DU,INPUT_DATA!$DW:$DW)</f>
        <v>578957530.61000001</v>
      </c>
      <c r="F214" s="1012">
        <f t="shared" si="10"/>
        <v>5.117078353044914E-2</v>
      </c>
      <c r="G214" s="1013">
        <f>_xlfn.XLOOKUP($C214,INPUT_DATA!$DU:$DU,INPUT_DATA!$DX:$DX)</f>
        <v>3862</v>
      </c>
      <c r="H214" s="1025">
        <f t="shared" si="11"/>
        <v>5.1376195607348581E-2</v>
      </c>
      <c r="M214" s="772"/>
    </row>
    <row r="215" spans="2:13" s="629" customFormat="1" ht="15">
      <c r="B215" s="767"/>
      <c r="C215" s="1332" t="s">
        <v>1201</v>
      </c>
      <c r="D215" s="1015" t="s">
        <v>502</v>
      </c>
      <c r="E215" s="1011">
        <f>_xlfn.XLOOKUP($C215,INPUT_DATA!$DU:$DU,INPUT_DATA!$DW:$DW)</f>
        <v>636906988.5</v>
      </c>
      <c r="F215" s="1012">
        <f t="shared" si="10"/>
        <v>5.6292608549758857E-2</v>
      </c>
      <c r="G215" s="1013">
        <f>_xlfn.XLOOKUP($C215,INPUT_DATA!$DU:$DU,INPUT_DATA!$DX:$DX)</f>
        <v>3832</v>
      </c>
      <c r="H215" s="1025">
        <f t="shared" si="11"/>
        <v>5.0977105532718732E-2</v>
      </c>
      <c r="M215" s="772"/>
    </row>
    <row r="216" spans="2:13" s="629" customFormat="1" ht="15">
      <c r="B216" s="767"/>
      <c r="C216" s="1332" t="s">
        <v>1202</v>
      </c>
      <c r="D216" s="1015" t="s">
        <v>503</v>
      </c>
      <c r="E216" s="1011">
        <f>_xlfn.XLOOKUP($C216,INPUT_DATA!$DU:$DU,INPUT_DATA!$DW:$DW)</f>
        <v>673950207.28999996</v>
      </c>
      <c r="F216" s="1012">
        <f t="shared" si="10"/>
        <v>5.956664926907896E-2</v>
      </c>
      <c r="G216" s="1013">
        <f>_xlfn.XLOOKUP($C216,INPUT_DATA!$DU:$DU,INPUT_DATA!$DX:$DX)</f>
        <v>3823</v>
      </c>
      <c r="H216" s="1025">
        <f t="shared" si="11"/>
        <v>5.085737851032978E-2</v>
      </c>
      <c r="M216" s="772"/>
    </row>
    <row r="217" spans="2:13" s="629" customFormat="1" ht="15">
      <c r="B217" s="767"/>
      <c r="C217" s="1332" t="s">
        <v>1203</v>
      </c>
      <c r="D217" s="1015" t="s">
        <v>504</v>
      </c>
      <c r="E217" s="1011">
        <f>_xlfn.XLOOKUP($C217,INPUT_DATA!$DU:$DU,INPUT_DATA!$DW:$DW)</f>
        <v>715314999.16999996</v>
      </c>
      <c r="F217" s="1012">
        <f t="shared" si="10"/>
        <v>6.3222649405813347E-2</v>
      </c>
      <c r="G217" s="1013">
        <f>_xlfn.XLOOKUP($C217,INPUT_DATA!$DU:$DU,INPUT_DATA!$DX:$DX)</f>
        <v>3874</v>
      </c>
      <c r="H217" s="1025">
        <f t="shared" si="11"/>
        <v>5.1535831637200519E-2</v>
      </c>
      <c r="M217" s="772"/>
    </row>
    <row r="218" spans="2:13" s="629" customFormat="1" ht="15">
      <c r="B218" s="767"/>
      <c r="C218" s="1332" t="s">
        <v>1204</v>
      </c>
      <c r="D218" s="1015" t="s">
        <v>505</v>
      </c>
      <c r="E218" s="1011">
        <f>_xlfn.XLOOKUP($C218,INPUT_DATA!$DU:$DU,INPUT_DATA!$DW:$DW)</f>
        <v>632195622.79999995</v>
      </c>
      <c r="F218" s="1012">
        <f t="shared" si="10"/>
        <v>5.5876197566878172E-2</v>
      </c>
      <c r="G218" s="1013">
        <f>_xlfn.XLOOKUP($C218,INPUT_DATA!$DU:$DU,INPUT_DATA!$DX:$DX)</f>
        <v>3388</v>
      </c>
      <c r="H218" s="1025">
        <f t="shared" si="11"/>
        <v>4.5070572428197044E-2</v>
      </c>
      <c r="M218" s="772"/>
    </row>
    <row r="219" spans="2:13" s="629" customFormat="1" ht="15">
      <c r="B219" s="767"/>
      <c r="C219" s="1332" t="s">
        <v>1205</v>
      </c>
      <c r="D219" s="1015" t="s">
        <v>506</v>
      </c>
      <c r="E219" s="1011">
        <f>_xlfn.XLOOKUP($C219,INPUT_DATA!$DU:$DU,INPUT_DATA!$DW:$DW)</f>
        <v>737311880.84000003</v>
      </c>
      <c r="F219" s="1012">
        <f t="shared" si="10"/>
        <v>6.5166829437627638E-2</v>
      </c>
      <c r="G219" s="1013">
        <f>_xlfn.XLOOKUP($C219,INPUT_DATA!$DU:$DU,INPUT_DATA!$DX:$DX)</f>
        <v>3831</v>
      </c>
      <c r="H219" s="1025">
        <f t="shared" si="11"/>
        <v>5.096380253023107E-2</v>
      </c>
      <c r="M219" s="772"/>
    </row>
    <row r="220" spans="2:13" s="629" customFormat="1" ht="15">
      <c r="B220" s="767"/>
      <c r="C220" s="1332" t="s">
        <v>1206</v>
      </c>
      <c r="D220" s="1015" t="s">
        <v>507</v>
      </c>
      <c r="E220" s="1011">
        <f>_xlfn.XLOOKUP($C220,INPUT_DATA!$DU:$DU,INPUT_DATA!$DW:$DW)</f>
        <v>673438263.70000005</v>
      </c>
      <c r="F220" s="1012">
        <f t="shared" si="10"/>
        <v>5.9521401468957791E-2</v>
      </c>
      <c r="G220" s="1013">
        <f>_xlfn.XLOOKUP($C220,INPUT_DATA!$DU:$DU,INPUT_DATA!$DX:$DX)</f>
        <v>3282</v>
      </c>
      <c r="H220" s="1025">
        <f t="shared" si="11"/>
        <v>4.3660454164504932E-2</v>
      </c>
      <c r="M220" s="772"/>
    </row>
    <row r="221" spans="2:13" s="629" customFormat="1" ht="15">
      <c r="B221" s="767"/>
      <c r="C221" s="1332" t="s">
        <v>1207</v>
      </c>
      <c r="D221" s="1015" t="s">
        <v>508</v>
      </c>
      <c r="E221" s="1011">
        <f>_xlfn.XLOOKUP($C221,INPUT_DATA!$DU:$DU,INPUT_DATA!$DW:$DW)</f>
        <v>729684022.01999998</v>
      </c>
      <c r="F221" s="1012">
        <f t="shared" si="10"/>
        <v>6.4492646113562757E-2</v>
      </c>
      <c r="G221" s="1013">
        <f>_xlfn.XLOOKUP($C221,INPUT_DATA!$DU:$DU,INPUT_DATA!$DX:$DX)</f>
        <v>3100</v>
      </c>
      <c r="H221" s="1025">
        <f t="shared" si="11"/>
        <v>4.1239307711750543E-2</v>
      </c>
      <c r="M221" s="772"/>
    </row>
    <row r="222" spans="2:13" s="629" customFormat="1" ht="15">
      <c r="B222" s="767"/>
      <c r="C222" s="1332" t="s">
        <v>1208</v>
      </c>
      <c r="D222" s="1015" t="s">
        <v>509</v>
      </c>
      <c r="E222" s="1011">
        <f>_xlfn.XLOOKUP($C222,INPUT_DATA!$DU:$DU,INPUT_DATA!$DW:$DW)</f>
        <v>1067006049.25</v>
      </c>
      <c r="F222" s="1012">
        <f t="shared" si="10"/>
        <v>9.4306633362769218E-2</v>
      </c>
      <c r="G222" s="1013">
        <f>_xlfn.XLOOKUP($C222,INPUT_DATA!$DU:$DU,INPUT_DATA!$DX:$DX)</f>
        <v>4040</v>
      </c>
      <c r="H222" s="1025">
        <f t="shared" si="11"/>
        <v>5.3744130050152321E-2</v>
      </c>
      <c r="M222" s="772"/>
    </row>
    <row r="223" spans="2:13" s="629" customFormat="1" ht="15">
      <c r="B223" s="767"/>
      <c r="C223" s="1332" t="s">
        <v>1209</v>
      </c>
      <c r="D223" s="1015" t="s">
        <v>510</v>
      </c>
      <c r="E223" s="1011">
        <f>_xlfn.XLOOKUP($C223,INPUT_DATA!$DU:$DU,INPUT_DATA!$DW:$DW)</f>
        <v>611314272.63</v>
      </c>
      <c r="F223" s="1012">
        <f t="shared" si="10"/>
        <v>5.4030613058724752E-2</v>
      </c>
      <c r="G223" s="1013">
        <f>_xlfn.XLOOKUP($C223,INPUT_DATA!$DU:$DU,INPUT_DATA!$DX:$DX)</f>
        <v>2627</v>
      </c>
      <c r="H223" s="1025">
        <f t="shared" si="11"/>
        <v>3.4946987535086668E-2</v>
      </c>
      <c r="M223" s="772"/>
    </row>
    <row r="224" spans="2:13" s="629" customFormat="1" ht="15">
      <c r="B224" s="767"/>
      <c r="C224" s="1332" t="s">
        <v>1210</v>
      </c>
      <c r="D224" s="1015" t="s">
        <v>511</v>
      </c>
      <c r="E224" s="1011">
        <f>_xlfn.XLOOKUP($C224,INPUT_DATA!$DU:$DU,INPUT_DATA!$DW:$DW)</f>
        <v>573761352.72000003</v>
      </c>
      <c r="F224" s="1012">
        <f t="shared" si="10"/>
        <v>5.0711522738531044E-2</v>
      </c>
      <c r="G224" s="1013">
        <f>_xlfn.XLOOKUP($C224,INPUT_DATA!$DU:$DU,INPUT_DATA!$DX:$DX)</f>
        <v>2499</v>
      </c>
      <c r="H224" s="1025">
        <f t="shared" si="11"/>
        <v>3.3244203216666005E-2</v>
      </c>
      <c r="M224" s="772"/>
    </row>
    <row r="225" spans="1:13" s="629" customFormat="1" ht="15">
      <c r="B225" s="767"/>
      <c r="C225" s="1332" t="s">
        <v>1211</v>
      </c>
      <c r="D225" s="1015" t="s">
        <v>512</v>
      </c>
      <c r="E225" s="1011">
        <f>_xlfn.XLOOKUP($C225,INPUT_DATA!$DU:$DU,INPUT_DATA!$DW:$DW)</f>
        <v>702157905.87</v>
      </c>
      <c r="F225" s="1012">
        <f t="shared" si="10"/>
        <v>6.2059768300467215E-2</v>
      </c>
      <c r="G225" s="1013">
        <f>_xlfn.XLOOKUP($C225,INPUT_DATA!$DU:$DU,INPUT_DATA!$DX:$DX)</f>
        <v>2649</v>
      </c>
      <c r="H225" s="1025">
        <f t="shared" si="11"/>
        <v>3.523965358981522E-2</v>
      </c>
      <c r="M225" s="772"/>
    </row>
    <row r="226" spans="1:13" s="629" customFormat="1" ht="15">
      <c r="B226" s="767"/>
      <c r="C226" s="1332" t="s">
        <v>1212</v>
      </c>
      <c r="D226" s="1015" t="s">
        <v>1213</v>
      </c>
      <c r="E226" s="1011">
        <f>_xlfn.XLOOKUP($C226,INPUT_DATA!$DU:$DU,INPUT_DATA!$DW:$DW)</f>
        <v>1736506.03</v>
      </c>
      <c r="F226" s="1012">
        <f t="shared" si="10"/>
        <v>1.5347995226321152E-4</v>
      </c>
      <c r="G226" s="1013">
        <f>_xlfn.XLOOKUP($C226,INPUT_DATA!$DU:$DU,INPUT_DATA!$DX:$DX)</f>
        <v>6</v>
      </c>
      <c r="H226" s="1025">
        <f t="shared" si="11"/>
        <v>7.9818014925968787E-5</v>
      </c>
      <c r="M226" s="772"/>
    </row>
    <row r="227" spans="1:13" s="629" customFormat="1" ht="15">
      <c r="B227" s="767"/>
      <c r="C227" s="1009"/>
      <c r="D227" s="1017" t="s">
        <v>415</v>
      </c>
      <c r="E227" s="1018">
        <f>SUM(E201:E226)</f>
        <v>11314220550.59</v>
      </c>
      <c r="F227" s="1019">
        <f>SUM(F201:F226)</f>
        <v>1</v>
      </c>
      <c r="G227" s="1020">
        <f>SUM(G201:G226)</f>
        <v>75171</v>
      </c>
      <c r="H227" s="1019">
        <f>SUM(H201:H226)</f>
        <v>0.99999999999999989</v>
      </c>
      <c r="M227" s="772"/>
    </row>
    <row r="228" spans="1:13" s="629" customFormat="1" ht="15">
      <c r="B228" s="767"/>
      <c r="C228" s="1009"/>
      <c r="D228" s="813"/>
      <c r="G228" s="988"/>
      <c r="M228" s="772"/>
    </row>
    <row r="229" spans="1:13" s="629" customFormat="1" ht="15">
      <c r="B229" s="767"/>
      <c r="C229" s="1009"/>
      <c r="D229" s="813"/>
      <c r="G229" s="988"/>
      <c r="M229" s="772"/>
    </row>
    <row r="230" spans="1:13" s="629" customFormat="1" ht="1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097" t="s">
        <v>443</v>
      </c>
      <c r="F233" s="2099"/>
      <c r="G233" s="2097" t="s">
        <v>444</v>
      </c>
      <c r="H233" s="2099"/>
      <c r="M233" s="772"/>
    </row>
    <row r="234" spans="1:13" s="629" customFormat="1" ht="15">
      <c r="B234" s="767"/>
      <c r="C234" s="1332" t="s">
        <v>915</v>
      </c>
      <c r="D234" s="1027">
        <v>2010</v>
      </c>
      <c r="E234" s="1011">
        <f>_xlfn.XLOOKUP($C234,INPUT_DATA!$DU:$DU,INPUT_DATA!$DW:$DW)</f>
        <v>90416927.609999999</v>
      </c>
      <c r="F234" s="1012">
        <f>E234/$E$250</f>
        <v>7.9914411430918285E-3</v>
      </c>
      <c r="G234" s="1013">
        <f>_xlfn.XLOOKUP($C234,INPUT_DATA!$DU:$DU,INPUT_DATA!$DX:$DX)</f>
        <v>1694</v>
      </c>
      <c r="H234" s="1025">
        <f>G234/$G$250</f>
        <v>2.2535286214098522E-2</v>
      </c>
      <c r="M234" s="772"/>
    </row>
    <row r="235" spans="1:13" s="629" customFormat="1" ht="15">
      <c r="B235" s="767"/>
      <c r="C235" s="1332" t="s">
        <v>916</v>
      </c>
      <c r="D235" s="1028">
        <v>2011</v>
      </c>
      <c r="E235" s="1011">
        <f>_xlfn.XLOOKUP($C235,INPUT_DATA!$DU:$DU,INPUT_DATA!$DW:$DW)</f>
        <v>79362486.200000003</v>
      </c>
      <c r="F235" s="1012">
        <f t="shared" ref="F235:F245" si="12">E235/$E$250</f>
        <v>7.0144015529078141E-3</v>
      </c>
      <c r="G235" s="1013">
        <f>_xlfn.XLOOKUP($C235,INPUT_DATA!$DU:$DU,INPUT_DATA!$DX:$DX)</f>
        <v>1512</v>
      </c>
      <c r="H235" s="1025">
        <f t="shared" ref="H235:H245" si="13">G235/$G$250</f>
        <v>2.0114139761344137E-2</v>
      </c>
      <c r="M235" s="772"/>
    </row>
    <row r="236" spans="1:13" s="629" customFormat="1" ht="15">
      <c r="B236" s="767"/>
      <c r="C236" s="1332" t="s">
        <v>1214</v>
      </c>
      <c r="D236" s="1028">
        <v>2012</v>
      </c>
      <c r="E236" s="1011">
        <f>_xlfn.XLOOKUP($C236,INPUT_DATA!$DU:$DU,INPUT_DATA!$DW:$DW)</f>
        <v>93766550.780000001</v>
      </c>
      <c r="F236" s="1012">
        <f t="shared" si="12"/>
        <v>8.2874954010959574E-3</v>
      </c>
      <c r="G236" s="1013">
        <f>_xlfn.XLOOKUP($C236,INPUT_DATA!$DU:$DU,INPUT_DATA!$DX:$DX)</f>
        <v>1778</v>
      </c>
      <c r="H236" s="1025">
        <f t="shared" si="13"/>
        <v>2.3652738423062085E-2</v>
      </c>
      <c r="M236" s="772"/>
    </row>
    <row r="237" spans="1:13" s="629" customFormat="1" ht="15">
      <c r="B237" s="767"/>
      <c r="C237" s="1332" t="s">
        <v>1215</v>
      </c>
      <c r="D237" s="1028">
        <v>2013</v>
      </c>
      <c r="E237" s="1011">
        <f>_xlfn.XLOOKUP($C237,INPUT_DATA!$DU:$DU,INPUT_DATA!$DW:$DW)</f>
        <v>97632966.870000005</v>
      </c>
      <c r="F237" s="1012">
        <f t="shared" si="12"/>
        <v>8.6292260640887675E-3</v>
      </c>
      <c r="G237" s="1013">
        <f>_xlfn.XLOOKUP($C237,INPUT_DATA!$DU:$DU,INPUT_DATA!$DX:$DX)</f>
        <v>1631</v>
      </c>
      <c r="H237" s="1025">
        <f t="shared" si="13"/>
        <v>2.1697197057375849E-2</v>
      </c>
      <c r="M237" s="772"/>
    </row>
    <row r="238" spans="1:13" s="629" customFormat="1" ht="15">
      <c r="B238" s="767"/>
      <c r="C238" s="1332" t="s">
        <v>1216</v>
      </c>
      <c r="D238" s="1028">
        <v>2014</v>
      </c>
      <c r="E238" s="1011">
        <f>_xlfn.XLOOKUP($C238,INPUT_DATA!$DU:$DU,INPUT_DATA!$DW:$DW)</f>
        <v>137217175.34999999</v>
      </c>
      <c r="F238" s="1012">
        <f t="shared" si="12"/>
        <v>1.2127850498976226E-2</v>
      </c>
      <c r="G238" s="1013">
        <f>_xlfn.XLOOKUP($C238,INPUT_DATA!$DU:$DU,INPUT_DATA!$DX:$DX)</f>
        <v>2095</v>
      </c>
      <c r="H238" s="1025">
        <f t="shared" si="13"/>
        <v>2.7869790211650768E-2</v>
      </c>
      <c r="M238" s="772"/>
    </row>
    <row r="239" spans="1:13" s="629" customFormat="1" ht="15">
      <c r="B239" s="767"/>
      <c r="C239" s="1332" t="s">
        <v>1217</v>
      </c>
      <c r="D239" s="1028">
        <v>2015</v>
      </c>
      <c r="E239" s="1011">
        <f>_xlfn.XLOOKUP($C239,INPUT_DATA!$DU:$DU,INPUT_DATA!$DW:$DW)</f>
        <v>320994861.30000001</v>
      </c>
      <c r="F239" s="1012">
        <f t="shared" si="12"/>
        <v>2.8370921343164126E-2</v>
      </c>
      <c r="G239" s="1013">
        <f>_xlfn.XLOOKUP($C239,INPUT_DATA!$DU:$DU,INPUT_DATA!$DX:$DX)</f>
        <v>4017</v>
      </c>
      <c r="H239" s="1025">
        <f t="shared" si="13"/>
        <v>5.3438160992936107E-2</v>
      </c>
      <c r="M239" s="772"/>
    </row>
    <row r="240" spans="1:13" s="629" customFormat="1" ht="15">
      <c r="B240" s="767"/>
      <c r="C240" s="1332" t="s">
        <v>1218</v>
      </c>
      <c r="D240" s="1028">
        <v>2016</v>
      </c>
      <c r="E240" s="1011">
        <f>_xlfn.XLOOKUP($C240,INPUT_DATA!$DU:$DU,INPUT_DATA!$DW:$DW)</f>
        <v>346814467.51999998</v>
      </c>
      <c r="F240" s="1012">
        <f t="shared" si="12"/>
        <v>3.0652970389720282E-2</v>
      </c>
      <c r="G240" s="1013">
        <f>_xlfn.XLOOKUP($C240,INPUT_DATA!$DU:$DU,INPUT_DATA!$DX:$DX)</f>
        <v>4082</v>
      </c>
      <c r="H240" s="1025">
        <f t="shared" si="13"/>
        <v>5.4302856154634101E-2</v>
      </c>
      <c r="M240" s="772"/>
    </row>
    <row r="241" spans="1:13" s="629" customFormat="1" ht="15">
      <c r="B241" s="767"/>
      <c r="C241" s="1332" t="s">
        <v>1219</v>
      </c>
      <c r="D241" s="1028">
        <v>2017</v>
      </c>
      <c r="E241" s="1011">
        <f>_xlfn.XLOOKUP($C241,INPUT_DATA!$DU:$DU,INPUT_DATA!$DW:$DW)</f>
        <v>578857519.19000006</v>
      </c>
      <c r="F241" s="1012">
        <f t="shared" si="12"/>
        <v>5.1161944086357276E-2</v>
      </c>
      <c r="G241" s="1013">
        <f>_xlfn.XLOOKUP($C241,INPUT_DATA!$DU:$DU,INPUT_DATA!$DX:$DX)</f>
        <v>5639</v>
      </c>
      <c r="H241" s="1025">
        <f t="shared" si="13"/>
        <v>7.5015631027922997E-2</v>
      </c>
      <c r="M241" s="772"/>
    </row>
    <row r="242" spans="1:13" s="629" customFormat="1" ht="15">
      <c r="B242" s="767"/>
      <c r="C242" s="1332" t="s">
        <v>1220</v>
      </c>
      <c r="D242" s="1028">
        <v>2018</v>
      </c>
      <c r="E242" s="1011">
        <f>_xlfn.XLOOKUP($C242,INPUT_DATA!$DU:$DU,INPUT_DATA!$DW:$DW)</f>
        <v>671914311.85000002</v>
      </c>
      <c r="F242" s="1012">
        <f t="shared" si="12"/>
        <v>5.938670797918659E-2</v>
      </c>
      <c r="G242" s="1013">
        <f>_xlfn.XLOOKUP($C242,INPUT_DATA!$DU:$DU,INPUT_DATA!$DX:$DX)</f>
        <v>5569</v>
      </c>
      <c r="H242" s="1025">
        <f t="shared" si="13"/>
        <v>7.4084420853786706E-2</v>
      </c>
      <c r="M242" s="772"/>
    </row>
    <row r="243" spans="1:13" s="629" customFormat="1" ht="15">
      <c r="B243" s="767"/>
      <c r="C243" s="1332" t="s">
        <v>1221</v>
      </c>
      <c r="D243" s="1028">
        <v>2019</v>
      </c>
      <c r="E243" s="1011">
        <f>_xlfn.XLOOKUP($C243,INPUT_DATA!$DU:$DU,INPUT_DATA!$DW:$DW)</f>
        <v>1172552377.75</v>
      </c>
      <c r="F243" s="1012">
        <f t="shared" si="12"/>
        <v>0.10363527673047307</v>
      </c>
      <c r="G243" s="1013">
        <f>_xlfn.XLOOKUP($C243,INPUT_DATA!$DU:$DU,INPUT_DATA!$DX:$DX)</f>
        <v>8076</v>
      </c>
      <c r="H243" s="1025">
        <f t="shared" si="13"/>
        <v>0.10743504809035399</v>
      </c>
      <c r="M243" s="772"/>
    </row>
    <row r="244" spans="1:13" s="629" customFormat="1" ht="15">
      <c r="B244" s="767"/>
      <c r="C244" s="1332" t="s">
        <v>1222</v>
      </c>
      <c r="D244" s="1028">
        <v>2020</v>
      </c>
      <c r="E244" s="1011">
        <f>_xlfn.XLOOKUP($C244,INPUT_DATA!$DU:$DU,INPUT_DATA!$DW:$DW)</f>
        <v>1119561437.8299999</v>
      </c>
      <c r="F244" s="1012">
        <f t="shared" si="12"/>
        <v>9.8951707086142884E-2</v>
      </c>
      <c r="G244" s="1013">
        <f>_xlfn.XLOOKUP($C244,INPUT_DATA!$DU:$DU,INPUT_DATA!$DX:$DX)</f>
        <v>6796</v>
      </c>
      <c r="H244" s="1025">
        <f t="shared" si="13"/>
        <v>9.0407204906147315E-2</v>
      </c>
      <c r="M244" s="772"/>
    </row>
    <row r="245" spans="1:13" s="629" customFormat="1" ht="15">
      <c r="B245" s="767"/>
      <c r="C245" s="1332" t="s">
        <v>1223</v>
      </c>
      <c r="D245" s="1028">
        <v>2021</v>
      </c>
      <c r="E245" s="1011">
        <f>_xlfn.XLOOKUP($C245,INPUT_DATA!$DU:$DU,INPUT_DATA!$DW:$DW)</f>
        <v>1961235320.8</v>
      </c>
      <c r="F245" s="1012">
        <f t="shared" si="12"/>
        <v>0.17334250397812229</v>
      </c>
      <c r="G245" s="1013">
        <f>_xlfn.XLOOKUP($C245,INPUT_DATA!$DU:$DU,INPUT_DATA!$DX:$DX)</f>
        <v>9820</v>
      </c>
      <c r="H245" s="1025">
        <f t="shared" si="13"/>
        <v>0.13063548442883557</v>
      </c>
      <c r="M245" s="772"/>
    </row>
    <row r="246" spans="1:13" s="629" customFormat="1" ht="15">
      <c r="B246" s="767"/>
      <c r="C246" s="1332" t="s">
        <v>1224</v>
      </c>
      <c r="D246" s="1028">
        <v>2022</v>
      </c>
      <c r="E246" s="1011">
        <f>_xlfn.XLOOKUP($C246,INPUT_DATA!$DU:$DU,INPUT_DATA!$DW:$DW)</f>
        <v>2092301189.97</v>
      </c>
      <c r="F246" s="1012">
        <f>E246/$E$250</f>
        <v>0.18492667529456047</v>
      </c>
      <c r="G246" s="1013">
        <f>_xlfn.XLOOKUP($C246,INPUT_DATA!$DU:$DU,INPUT_DATA!$DX:$DX)</f>
        <v>9680</v>
      </c>
      <c r="H246" s="1025">
        <f>G246/$G$250</f>
        <v>0.12877306408056299</v>
      </c>
      <c r="M246" s="772"/>
    </row>
    <row r="247" spans="1:13" s="629" customFormat="1" ht="15">
      <c r="B247" s="767"/>
      <c r="C247" s="1332" t="s">
        <v>1281</v>
      </c>
      <c r="D247" s="1028">
        <v>2023</v>
      </c>
      <c r="E247" s="1011">
        <f>_xlfn.XLOOKUP($C247,INPUT_DATA!$DU:$DU,INPUT_DATA!$DW:$DW)</f>
        <v>750522811.59000003</v>
      </c>
      <c r="F247" s="1012">
        <f>E247/$E$250</f>
        <v>6.6334468930859106E-2</v>
      </c>
      <c r="G247" s="1013">
        <f>_xlfn.XLOOKUP($C247,INPUT_DATA!$DU:$DU,INPUT_DATA!$DX:$DX)</f>
        <v>4189</v>
      </c>
      <c r="H247" s="1025">
        <f>G247/$G$250</f>
        <v>5.5726277420813874E-2</v>
      </c>
      <c r="M247" s="772"/>
    </row>
    <row r="248" spans="1:13" s="629" customFormat="1" ht="15">
      <c r="B248" s="767"/>
      <c r="C248" s="1332" t="s">
        <v>1282</v>
      </c>
      <c r="D248" s="1028">
        <v>2024</v>
      </c>
      <c r="E248" s="1011">
        <f>_xlfn.XLOOKUP($C248,INPUT_DATA!$DU:$DU,INPUT_DATA!$DW:$DW)</f>
        <v>805052915.58000004</v>
      </c>
      <c r="F248" s="1012">
        <f>E248/$E$250</f>
        <v>7.1154076587098089E-2</v>
      </c>
      <c r="G248" s="1013">
        <f>_xlfn.XLOOKUP($C248,INPUT_DATA!$DU:$DU,INPUT_DATA!$DX:$DX)</f>
        <v>4352</v>
      </c>
      <c r="H248" s="1025">
        <f>G248/$G$250</f>
        <v>5.7894666826302697E-2</v>
      </c>
      <c r="M248" s="772"/>
    </row>
    <row r="249" spans="1:13" s="629" customFormat="1" ht="15">
      <c r="B249" s="767"/>
      <c r="C249" s="1332" t="s">
        <v>2052</v>
      </c>
      <c r="D249" s="1028">
        <v>2025</v>
      </c>
      <c r="E249" s="1011">
        <f>_xlfn.XLOOKUP($C249,INPUT_DATA!$DU:$DU,INPUT_DATA!$DW:$DW)</f>
        <v>996017230.39999998</v>
      </c>
      <c r="F249" s="1012">
        <f>E249/$E$250</f>
        <v>8.803233293415523E-2</v>
      </c>
      <c r="G249" s="1013">
        <f>_xlfn.XLOOKUP($C249,INPUT_DATA!$DU:$DU,INPUT_DATA!$DX:$DX)</f>
        <v>4241</v>
      </c>
      <c r="H249" s="1025">
        <f>G249/$G$250</f>
        <v>5.6418033550172275E-2</v>
      </c>
      <c r="M249" s="772"/>
    </row>
    <row r="250" spans="1:13" s="629" customFormat="1" ht="15">
      <c r="B250" s="767"/>
      <c r="C250" s="1009"/>
      <c r="D250" s="1017" t="s">
        <v>415</v>
      </c>
      <c r="E250" s="1018">
        <f>SUM(E234:E249)</f>
        <v>11314220550.59</v>
      </c>
      <c r="F250" s="1019">
        <f>SUM(F234:F249)</f>
        <v>0.99999999999999989</v>
      </c>
      <c r="G250" s="1020">
        <f>SUM(G234:G249)</f>
        <v>75171</v>
      </c>
      <c r="H250" s="1019">
        <f>SUM(H234:H249)</f>
        <v>1</v>
      </c>
      <c r="M250" s="772"/>
    </row>
    <row r="251" spans="1:13" s="629" customFormat="1" ht="15">
      <c r="B251" s="767"/>
      <c r="C251" s="1009"/>
      <c r="D251" s="813"/>
      <c r="G251" s="988"/>
      <c r="M251" s="772"/>
    </row>
    <row r="252" spans="1:13" s="629" customFormat="1" ht="15">
      <c r="B252" s="767"/>
      <c r="C252" s="1009"/>
      <c r="D252" s="813"/>
      <c r="G252" s="988"/>
      <c r="M252" s="772"/>
    </row>
    <row r="253" spans="1:13" s="629" customFormat="1" ht="15">
      <c r="B253" s="767"/>
      <c r="C253" s="1009"/>
      <c r="D253" s="813"/>
      <c r="G253" s="988"/>
      <c r="M253" s="772"/>
    </row>
    <row r="254" spans="1:13" s="629" customFormat="1" ht="15">
      <c r="B254" s="767"/>
      <c r="C254" s="1009"/>
      <c r="D254" s="813"/>
      <c r="G254" s="988"/>
      <c r="M254" s="772"/>
    </row>
    <row r="255" spans="1:13" s="629" customFormat="1" ht="24.6"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097" t="s">
        <v>443</v>
      </c>
      <c r="F257" s="2099"/>
      <c r="G257" s="2097" t="s">
        <v>444</v>
      </c>
      <c r="H257" s="2099"/>
      <c r="M257" s="772"/>
    </row>
    <row r="258" spans="1:13" s="629" customFormat="1" ht="15">
      <c r="B258" s="767"/>
      <c r="C258" s="1332" t="s">
        <v>917</v>
      </c>
      <c r="D258" s="1010" t="s">
        <v>148</v>
      </c>
      <c r="E258" s="1011">
        <f>_xlfn.XLOOKUP($C258,INPUT_DATA!$DU:$DU,INPUT_DATA!$DW:$DW)</f>
        <v>11314220550.59</v>
      </c>
      <c r="F258" s="1012">
        <f>E258/$E$259</f>
        <v>1</v>
      </c>
      <c r="G258" s="1013">
        <f>_xlfn.XLOOKUP($C258,INPUT_DATA!$DU:$DU,INPUT_DATA!$DX:$DX)</f>
        <v>75171</v>
      </c>
      <c r="H258" s="1025">
        <f>G258/$G$259</f>
        <v>1</v>
      </c>
      <c r="M258" s="772"/>
    </row>
    <row r="259" spans="1:13" s="629" customFormat="1" ht="15">
      <c r="B259" s="767"/>
      <c r="C259" s="1009"/>
      <c r="D259" s="1017" t="s">
        <v>415</v>
      </c>
      <c r="E259" s="1018">
        <f>SUM(E258:E258)</f>
        <v>11314220550.59</v>
      </c>
      <c r="F259" s="1019">
        <f>SUM(F258:F258)</f>
        <v>1</v>
      </c>
      <c r="G259" s="1020">
        <f>SUM(G258:G258)</f>
        <v>75171</v>
      </c>
      <c r="H259" s="1019">
        <f>SUM(H258:H258)</f>
        <v>1</v>
      </c>
      <c r="M259" s="772"/>
    </row>
    <row r="260" spans="1:13" s="629" customFormat="1" ht="15">
      <c r="B260" s="767"/>
      <c r="C260" s="1009"/>
      <c r="D260" s="1029"/>
      <c r="E260" s="1030"/>
      <c r="F260" s="1031"/>
      <c r="G260" s="1032"/>
      <c r="H260" s="1031"/>
      <c r="M260" s="772"/>
    </row>
    <row r="261" spans="1:13" s="629" customFormat="1" ht="15">
      <c r="B261" s="767"/>
      <c r="C261" s="1009"/>
      <c r="D261" s="1029"/>
      <c r="E261" s="1030"/>
      <c r="F261" s="1031"/>
      <c r="G261" s="1032"/>
      <c r="H261" s="1031"/>
      <c r="M261" s="772"/>
    </row>
    <row r="262" spans="1:13" s="629" customFormat="1" ht="15">
      <c r="B262" s="767"/>
      <c r="C262" s="1009"/>
      <c r="D262" s="1029"/>
      <c r="E262" s="1030"/>
      <c r="F262" s="1031"/>
      <c r="G262" s="1032"/>
      <c r="H262" s="1031"/>
      <c r="M262" s="772"/>
    </row>
    <row r="263" spans="1:13" s="629" customFormat="1" ht="24.6"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097" t="s">
        <v>443</v>
      </c>
      <c r="F265" s="2099"/>
      <c r="G265" s="2097" t="s">
        <v>444</v>
      </c>
      <c r="H265" s="2099"/>
      <c r="M265" s="772"/>
    </row>
    <row r="266" spans="1:13" s="629" customFormat="1" ht="15">
      <c r="B266" s="767"/>
      <c r="C266" s="1332" t="s">
        <v>918</v>
      </c>
      <c r="D266" s="1010" t="s">
        <v>1118</v>
      </c>
      <c r="E266" s="1011">
        <f>_xlfn.XLOOKUP($C266,INPUT_DATA!$DU:$DU,INPUT_DATA!$DW:$DW)</f>
        <v>2788946456.54</v>
      </c>
      <c r="F266" s="1012">
        <f t="shared" ref="F266:F275" si="14">E266/$E$276</f>
        <v>0.24649921256790119</v>
      </c>
      <c r="G266" s="1013">
        <f>_xlfn.XLOOKUP($C266,INPUT_DATA!$DU:$DU,INPUT_DATA!$DX:$DX)</f>
        <v>18945</v>
      </c>
      <c r="H266" s="1025">
        <f>G266/$G$276</f>
        <v>0.25202538212874648</v>
      </c>
      <c r="M266" s="772"/>
    </row>
    <row r="267" spans="1:13" s="629" customFormat="1" ht="15">
      <c r="B267" s="767"/>
      <c r="C267" s="1332" t="s">
        <v>919</v>
      </c>
      <c r="D267" s="1015" t="s">
        <v>1119</v>
      </c>
      <c r="E267" s="1011">
        <f>_xlfn.XLOOKUP($C267,INPUT_DATA!$DU:$DU,INPUT_DATA!$DW:$DW)</f>
        <v>3822329882.0900002</v>
      </c>
      <c r="F267" s="1012">
        <f t="shared" si="14"/>
        <v>0.33783413227618925</v>
      </c>
      <c r="G267" s="1013">
        <f>_xlfn.XLOOKUP($C267,INPUT_DATA!$DU:$DU,INPUT_DATA!$DX:$DX)</f>
        <v>24016</v>
      </c>
      <c r="H267" s="1025">
        <f t="shared" ref="H267:H275" si="15">G267/$G$276</f>
        <v>0.31948490774367777</v>
      </c>
      <c r="M267" s="772"/>
    </row>
    <row r="268" spans="1:13" s="629" customFormat="1" ht="15">
      <c r="B268" s="767"/>
      <c r="C268" s="1332" t="s">
        <v>920</v>
      </c>
      <c r="D268" s="1015" t="s">
        <v>1120</v>
      </c>
      <c r="E268" s="1011">
        <f>_xlfn.XLOOKUP($C268,INPUT_DATA!$DU:$DU,INPUT_DATA!$DW:$DW)</f>
        <v>1641959501.6800001</v>
      </c>
      <c r="F268" s="1012">
        <f t="shared" si="14"/>
        <v>0.14512351905623561</v>
      </c>
      <c r="G268" s="1013">
        <f>_xlfn.XLOOKUP($C268,INPUT_DATA!$DU:$DU,INPUT_DATA!$DX:$DX)</f>
        <v>12822</v>
      </c>
      <c r="H268" s="1025">
        <f t="shared" si="15"/>
        <v>0.17057109789679531</v>
      </c>
      <c r="M268" s="772"/>
    </row>
    <row r="269" spans="1:13" s="629" customFormat="1" ht="15">
      <c r="B269" s="767"/>
      <c r="C269" s="1332" t="s">
        <v>921</v>
      </c>
      <c r="D269" s="1015" t="s">
        <v>1121</v>
      </c>
      <c r="E269" s="1011">
        <f>_xlfn.XLOOKUP($C269,INPUT_DATA!$DU:$DU,INPUT_DATA!$DW:$DW)</f>
        <v>652882196.66999996</v>
      </c>
      <c r="F269" s="1012">
        <f t="shared" si="14"/>
        <v>5.7704566898862011E-2</v>
      </c>
      <c r="G269" s="1013">
        <f>_xlfn.XLOOKUP($C269,INPUT_DATA!$DU:$DU,INPUT_DATA!$DX:$DX)</f>
        <v>5499</v>
      </c>
      <c r="H269" s="1025">
        <f t="shared" si="15"/>
        <v>7.3153210679650402E-2</v>
      </c>
      <c r="M269" s="772"/>
    </row>
    <row r="270" spans="1:13" s="629" customFormat="1" ht="15">
      <c r="B270" s="767"/>
      <c r="C270" s="1332" t="s">
        <v>922</v>
      </c>
      <c r="D270" s="1015" t="s">
        <v>1122</v>
      </c>
      <c r="E270" s="1011">
        <f>_xlfn.XLOOKUP($C270,INPUT_DATA!$DU:$DU,INPUT_DATA!$DW:$DW)</f>
        <v>860531674.54999995</v>
      </c>
      <c r="F270" s="1012">
        <f t="shared" si="14"/>
        <v>7.6057530494676992E-2</v>
      </c>
      <c r="G270" s="1013">
        <f>_xlfn.XLOOKUP($C270,INPUT_DATA!$DU:$DU,INPUT_DATA!$DX:$DX)</f>
        <v>4910</v>
      </c>
      <c r="H270" s="1025">
        <f t="shared" si="15"/>
        <v>6.5317742214417787E-2</v>
      </c>
      <c r="M270" s="772"/>
    </row>
    <row r="271" spans="1:13" s="629" customFormat="1" ht="15">
      <c r="B271" s="767"/>
      <c r="C271" s="1332" t="s">
        <v>923</v>
      </c>
      <c r="D271" s="1015" t="s">
        <v>1123</v>
      </c>
      <c r="E271" s="1011">
        <f>_xlfn.XLOOKUP($C271,INPUT_DATA!$DU:$DU,INPUT_DATA!$DW:$DW)</f>
        <v>765046091.37</v>
      </c>
      <c r="F271" s="1012">
        <f t="shared" si="14"/>
        <v>6.7618099536702544E-2</v>
      </c>
      <c r="G271" s="1013">
        <f>_xlfn.XLOOKUP($C271,INPUT_DATA!$DU:$DU,INPUT_DATA!$DX:$DX)</f>
        <v>4209</v>
      </c>
      <c r="H271" s="1025">
        <f t="shared" si="15"/>
        <v>5.5992337470567109E-2</v>
      </c>
      <c r="M271" s="772"/>
    </row>
    <row r="272" spans="1:13" s="629" customFormat="1" ht="15">
      <c r="B272" s="767"/>
      <c r="C272" s="1332" t="s">
        <v>924</v>
      </c>
      <c r="D272" s="1015" t="s">
        <v>1124</v>
      </c>
      <c r="E272" s="1011">
        <f>_xlfn.XLOOKUP($C272,INPUT_DATA!$DU:$DU,INPUT_DATA!$DW:$DW)</f>
        <v>545220472.5</v>
      </c>
      <c r="F272" s="1012">
        <f t="shared" si="14"/>
        <v>4.8188955665317008E-2</v>
      </c>
      <c r="G272" s="1013">
        <f>_xlfn.XLOOKUP($C272,INPUT_DATA!$DU:$DU,INPUT_DATA!$DX:$DX)</f>
        <v>3023</v>
      </c>
      <c r="H272" s="1025">
        <f t="shared" si="15"/>
        <v>4.0214976520200611E-2</v>
      </c>
      <c r="M272" s="772"/>
    </row>
    <row r="273" spans="1:13" s="629" customFormat="1" ht="15">
      <c r="B273" s="767"/>
      <c r="C273" s="1332" t="s">
        <v>925</v>
      </c>
      <c r="D273" s="1015" t="s">
        <v>1125</v>
      </c>
      <c r="E273" s="1011">
        <f>_xlfn.XLOOKUP($C273,INPUT_DATA!$DU:$DU,INPUT_DATA!$DW:$DW)</f>
        <v>187342237.06</v>
      </c>
      <c r="F273" s="1012">
        <f t="shared" si="14"/>
        <v>1.6558121367912591E-2</v>
      </c>
      <c r="G273" s="1013">
        <f>_xlfn.XLOOKUP($C273,INPUT_DATA!$DU:$DU,INPUT_DATA!$DX:$DX)</f>
        <v>1355</v>
      </c>
      <c r="H273" s="1025">
        <f t="shared" si="15"/>
        <v>1.8025568370781286E-2</v>
      </c>
      <c r="M273" s="772"/>
    </row>
    <row r="274" spans="1:13" s="629" customFormat="1" ht="15">
      <c r="B274" s="767"/>
      <c r="C274" s="1332" t="s">
        <v>926</v>
      </c>
      <c r="D274" s="1015" t="s">
        <v>1126</v>
      </c>
      <c r="E274" s="1011">
        <f>_xlfn.XLOOKUP($C274,INPUT_DATA!$DU:$DU,INPUT_DATA!$DW:$DW)</f>
        <v>49523377.920000002</v>
      </c>
      <c r="F274" s="1012">
        <f t="shared" si="14"/>
        <v>4.3770914398002896E-3</v>
      </c>
      <c r="G274" s="1013">
        <f>_xlfn.XLOOKUP($C274,INPUT_DATA!$DU:$DU,INPUT_DATA!$DX:$DX)</f>
        <v>386</v>
      </c>
      <c r="H274" s="1025">
        <f t="shared" si="15"/>
        <v>5.1349589602373256E-3</v>
      </c>
      <c r="M274" s="772"/>
    </row>
    <row r="275" spans="1:13" s="629" customFormat="1" ht="15">
      <c r="B275" s="767"/>
      <c r="C275" s="1332" t="s">
        <v>927</v>
      </c>
      <c r="D275" s="1015" t="s">
        <v>1127</v>
      </c>
      <c r="E275" s="1011">
        <f>_xlfn.XLOOKUP($C275,INPUT_DATA!$DU:$DU,INPUT_DATA!$DW:$DW)</f>
        <v>438660.21</v>
      </c>
      <c r="F275" s="1012">
        <f t="shared" si="14"/>
        <v>3.8770696402689919E-5</v>
      </c>
      <c r="G275" s="1013">
        <f>_xlfn.XLOOKUP($C275,INPUT_DATA!$DU:$DU,INPUT_DATA!$DX:$DX)</f>
        <v>6</v>
      </c>
      <c r="H275" s="1025">
        <f t="shared" si="15"/>
        <v>7.9818014925968787E-5</v>
      </c>
      <c r="M275" s="772"/>
    </row>
    <row r="276" spans="1:13" s="629" customFormat="1" ht="15">
      <c r="B276" s="767"/>
      <c r="C276" s="1009"/>
      <c r="D276" s="1017" t="s">
        <v>415</v>
      </c>
      <c r="E276" s="1018">
        <f>SUM(E266:E275)</f>
        <v>11314220550.589998</v>
      </c>
      <c r="F276" s="1019">
        <f>SUM(F266:F275)</f>
        <v>1.0000000000000002</v>
      </c>
      <c r="G276" s="1020">
        <f>SUM(G266:G275)</f>
        <v>75171</v>
      </c>
      <c r="H276" s="1019">
        <f>SUM(H266:H275)</f>
        <v>1</v>
      </c>
      <c r="M276" s="772"/>
    </row>
    <row r="277" spans="1:13" s="629" customFormat="1" ht="15">
      <c r="B277" s="767"/>
      <c r="C277" s="1009"/>
      <c r="D277" s="813"/>
      <c r="E277" s="1035"/>
      <c r="F277" s="1035"/>
      <c r="G277" s="1036"/>
      <c r="H277" s="1035"/>
      <c r="M277" s="772"/>
    </row>
    <row r="278" spans="1:13" s="629" customFormat="1" ht="15">
      <c r="B278" s="767"/>
      <c r="C278" s="1009"/>
      <c r="D278" s="813"/>
      <c r="E278" s="1035"/>
      <c r="F278" s="1035"/>
      <c r="G278" s="1036"/>
      <c r="H278" s="1035"/>
      <c r="M278" s="772"/>
    </row>
    <row r="279" spans="1:13" s="629" customFormat="1" ht="24.6"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097" t="s">
        <v>443</v>
      </c>
      <c r="F281" s="2099"/>
      <c r="G281" s="2097" t="s">
        <v>444</v>
      </c>
      <c r="H281" s="2099"/>
      <c r="M281" s="772"/>
    </row>
    <row r="282" spans="1:13" s="629" customFormat="1" ht="15">
      <c r="B282" s="767"/>
      <c r="C282" s="1332" t="s">
        <v>928</v>
      </c>
      <c r="D282" s="1010" t="s">
        <v>1225</v>
      </c>
      <c r="E282" s="1011">
        <f>_xlfn.XLOOKUP($C282,INPUT_DATA!$DU:$DU,INPUT_DATA!$DW:$DW)</f>
        <v>56796496.799999997</v>
      </c>
      <c r="F282" s="1012">
        <f t="shared" ref="F282:F292" si="16">E282/$E$276</f>
        <v>5.0199213057622654E-3</v>
      </c>
      <c r="G282" s="1013">
        <f>_xlfn.XLOOKUP($C282,INPUT_DATA!$DU:$DU,INPUT_DATA!$DX:$DX)</f>
        <v>659</v>
      </c>
      <c r="H282" s="1025">
        <f>G282/$G$293</f>
        <v>8.766678639368905E-3</v>
      </c>
      <c r="M282" s="772"/>
    </row>
    <row r="283" spans="1:13" s="629" customFormat="1" ht="15">
      <c r="B283" s="767"/>
      <c r="C283" s="1332" t="s">
        <v>929</v>
      </c>
      <c r="D283" s="1015" t="s">
        <v>1226</v>
      </c>
      <c r="E283" s="1011">
        <f>_xlfn.XLOOKUP($C283,INPUT_DATA!$DU:$DU,INPUT_DATA!$DW:$DW)</f>
        <v>174620258.38</v>
      </c>
      <c r="F283" s="1012">
        <f t="shared" si="16"/>
        <v>1.5433697584310759E-2</v>
      </c>
      <c r="G283" s="1013">
        <f>_xlfn.XLOOKUP($C283,INPUT_DATA!$DU:$DU,INPUT_DATA!$DX:$DX)</f>
        <v>1655</v>
      </c>
      <c r="H283" s="1025">
        <f t="shared" ref="H283:H291" si="17">G283/$G$293</f>
        <v>2.2016469117079725E-2</v>
      </c>
      <c r="M283" s="772"/>
    </row>
    <row r="284" spans="1:13" s="629" customFormat="1" ht="15">
      <c r="B284" s="767"/>
      <c r="C284" s="1332" t="s">
        <v>930</v>
      </c>
      <c r="D284" s="1015" t="s">
        <v>1227</v>
      </c>
      <c r="E284" s="1011">
        <f>_xlfn.XLOOKUP($C284,INPUT_DATA!$DU:$DU,INPUT_DATA!$DW:$DW)</f>
        <v>442390067.38999999</v>
      </c>
      <c r="F284" s="1012">
        <f t="shared" si="16"/>
        <v>3.9100357414097855E-2</v>
      </c>
      <c r="G284" s="1013">
        <f>_xlfn.XLOOKUP($C284,INPUT_DATA!$DU:$DU,INPUT_DATA!$DX:$DX)</f>
        <v>3775</v>
      </c>
      <c r="H284" s="1025">
        <f t="shared" si="17"/>
        <v>5.0218834390922028E-2</v>
      </c>
      <c r="M284" s="772"/>
    </row>
    <row r="285" spans="1:13" s="629" customFormat="1" ht="15">
      <c r="B285" s="767"/>
      <c r="C285" s="1332" t="s">
        <v>931</v>
      </c>
      <c r="D285" s="1015" t="s">
        <v>1228</v>
      </c>
      <c r="E285" s="1011">
        <f>_xlfn.XLOOKUP($C285,INPUT_DATA!$DU:$DU,INPUT_DATA!$DW:$DW)</f>
        <v>1061839516.13</v>
      </c>
      <c r="F285" s="1012">
        <f t="shared" si="16"/>
        <v>9.3849992704502186E-2</v>
      </c>
      <c r="G285" s="1013">
        <f>_xlfn.XLOOKUP($C285,INPUT_DATA!$DU:$DU,INPUT_DATA!$DX:$DX)</f>
        <v>8417</v>
      </c>
      <c r="H285" s="1025">
        <f t="shared" si="17"/>
        <v>0.11197137193864655</v>
      </c>
      <c r="M285" s="772"/>
    </row>
    <row r="286" spans="1:13" s="629" customFormat="1" ht="15">
      <c r="B286" s="767"/>
      <c r="C286" s="1332" t="s">
        <v>1229</v>
      </c>
      <c r="D286" s="1015" t="s">
        <v>1230</v>
      </c>
      <c r="E286" s="1011">
        <f>_xlfn.XLOOKUP($C286,INPUT_DATA!$DU:$DU,INPUT_DATA!$DW:$DW)</f>
        <v>2109506021.0699999</v>
      </c>
      <c r="F286" s="1012">
        <f t="shared" si="16"/>
        <v>0.18644731306391196</v>
      </c>
      <c r="G286" s="1013">
        <f>_xlfn.XLOOKUP($C286,INPUT_DATA!$DU:$DU,INPUT_DATA!$DX:$DX)</f>
        <v>15038</v>
      </c>
      <c r="H286" s="1025">
        <f t="shared" si="17"/>
        <v>0.2000505514094531</v>
      </c>
      <c r="M286" s="772"/>
    </row>
    <row r="287" spans="1:13" s="629" customFormat="1" ht="15">
      <c r="B287" s="767"/>
      <c r="C287" s="1332" t="s">
        <v>1231</v>
      </c>
      <c r="D287" s="1015" t="s">
        <v>1232</v>
      </c>
      <c r="E287" s="1011">
        <f>_xlfn.XLOOKUP($C287,INPUT_DATA!$DU:$DU,INPUT_DATA!$DW:$DW)</f>
        <v>3999880787.4099998</v>
      </c>
      <c r="F287" s="1012">
        <f t="shared" si="16"/>
        <v>0.35352685317782845</v>
      </c>
      <c r="G287" s="1013">
        <f>_xlfn.XLOOKUP($C287,INPUT_DATA!$DU:$DU,INPUT_DATA!$DX:$DX)</f>
        <v>24475</v>
      </c>
      <c r="H287" s="1025">
        <f t="shared" si="17"/>
        <v>0.32559098588551438</v>
      </c>
      <c r="M287" s="772"/>
    </row>
    <row r="288" spans="1:13" s="629" customFormat="1" ht="15">
      <c r="B288" s="767"/>
      <c r="C288" s="1332" t="s">
        <v>1233</v>
      </c>
      <c r="D288" s="1015" t="s">
        <v>1234</v>
      </c>
      <c r="E288" s="1011">
        <f>_xlfn.XLOOKUP($C288,INPUT_DATA!$DU:$DU,INPUT_DATA!$DW:$DW)</f>
        <v>1747776952.24</v>
      </c>
      <c r="F288" s="1012">
        <f t="shared" si="16"/>
        <v>0.15447612537028541</v>
      </c>
      <c r="G288" s="1013">
        <f>_xlfn.XLOOKUP($C288,INPUT_DATA!$DU:$DU,INPUT_DATA!$DX:$DX)</f>
        <v>10822</v>
      </c>
      <c r="H288" s="1025">
        <f t="shared" si="17"/>
        <v>0.14396509292147239</v>
      </c>
      <c r="M288" s="772"/>
    </row>
    <row r="289" spans="1:13" s="629" customFormat="1" ht="15">
      <c r="B289" s="767"/>
      <c r="C289" s="1332" t="s">
        <v>1235</v>
      </c>
      <c r="D289" s="1015" t="s">
        <v>1236</v>
      </c>
      <c r="E289" s="1011">
        <f>_xlfn.XLOOKUP($C289,INPUT_DATA!$DU:$DU,INPUT_DATA!$DW:$DW)</f>
        <v>874962384.67999995</v>
      </c>
      <c r="F289" s="1012">
        <f t="shared" si="16"/>
        <v>7.7332979392413709E-2</v>
      </c>
      <c r="G289" s="1013">
        <f>_xlfn.XLOOKUP($C289,INPUT_DATA!$DU:$DU,INPUT_DATA!$DX:$DX)</f>
        <v>5022</v>
      </c>
      <c r="H289" s="1025">
        <f t="shared" si="17"/>
        <v>6.6807678493035871E-2</v>
      </c>
      <c r="M289" s="772"/>
    </row>
    <row r="290" spans="1:13" s="629" customFormat="1" ht="15">
      <c r="B290" s="767"/>
      <c r="C290" s="1332" t="s">
        <v>1237</v>
      </c>
      <c r="D290" s="1015" t="s">
        <v>1238</v>
      </c>
      <c r="E290" s="1011">
        <f>_xlfn.XLOOKUP($C290,INPUT_DATA!$DU:$DU,INPUT_DATA!$DW:$DW)</f>
        <v>477439309.13</v>
      </c>
      <c r="F290" s="1012">
        <f t="shared" si="16"/>
        <v>4.2198161773070897E-2</v>
      </c>
      <c r="G290" s="1013">
        <f>_xlfn.XLOOKUP($C290,INPUT_DATA!$DU:$DU,INPUT_DATA!$DX:$DX)</f>
        <v>2938</v>
      </c>
      <c r="H290" s="1025">
        <f t="shared" si="17"/>
        <v>3.9084221308749383E-2</v>
      </c>
      <c r="M290" s="772"/>
    </row>
    <row r="291" spans="1:13" s="629" customFormat="1" ht="15">
      <c r="B291" s="767"/>
      <c r="C291" s="1332" t="s">
        <v>1239</v>
      </c>
      <c r="D291" s="1015" t="s">
        <v>1240</v>
      </c>
      <c r="E291" s="1011">
        <f>_xlfn.XLOOKUP($C291,INPUT_DATA!$DU:$DU,INPUT_DATA!$DW:$DW)</f>
        <v>224546483.38</v>
      </c>
      <c r="F291" s="1012">
        <f t="shared" si="16"/>
        <v>1.9846394400389399E-2</v>
      </c>
      <c r="G291" s="1013">
        <f>_xlfn.XLOOKUP($C291,INPUT_DATA!$DU:$DU,INPUT_DATA!$DX:$DX)</f>
        <v>1417</v>
      </c>
      <c r="H291" s="1025">
        <f t="shared" si="17"/>
        <v>1.8850354525016298E-2</v>
      </c>
      <c r="M291" s="772"/>
    </row>
    <row r="292" spans="1:13" s="629" customFormat="1" ht="15">
      <c r="B292" s="767"/>
      <c r="C292" s="1332" t="s">
        <v>1241</v>
      </c>
      <c r="D292" s="1015" t="s">
        <v>1242</v>
      </c>
      <c r="E292" s="1011">
        <f>_xlfn.XLOOKUP($C292,INPUT_DATA!$DU:$DU,INPUT_DATA!$DW:$DW)</f>
        <v>144462273.97999999</v>
      </c>
      <c r="F292" s="1012">
        <f t="shared" si="16"/>
        <v>1.2768203813427234E-2</v>
      </c>
      <c r="G292" s="1013">
        <f>_xlfn.XLOOKUP($C292,INPUT_DATA!$DU:$DU,INPUT_DATA!$DX:$DX)</f>
        <v>953</v>
      </c>
      <c r="H292" s="1025">
        <f>G292/$G$293</f>
        <v>1.2677761370741376E-2</v>
      </c>
      <c r="M292" s="772"/>
    </row>
    <row r="293" spans="1:13" s="629" customFormat="1" ht="15">
      <c r="B293" s="767"/>
      <c r="C293" s="1009"/>
      <c r="D293" s="1017" t="s">
        <v>415</v>
      </c>
      <c r="E293" s="1018">
        <f>SUM(E282:E292)</f>
        <v>11314220550.589998</v>
      </c>
      <c r="F293" s="1019">
        <f>SUM(F282:F292)</f>
        <v>1</v>
      </c>
      <c r="G293" s="1020">
        <f>SUM(G282:G292)</f>
        <v>75171</v>
      </c>
      <c r="H293" s="1019">
        <f>SUM(H282:H292)</f>
        <v>0.99999999999999989</v>
      </c>
      <c r="M293" s="772"/>
    </row>
    <row r="294" spans="1:13" s="629" customFormat="1" ht="15">
      <c r="B294" s="767"/>
      <c r="C294" s="1009"/>
      <c r="D294" s="813"/>
      <c r="E294" s="1035"/>
      <c r="F294" s="1035"/>
      <c r="G294" s="1036"/>
      <c r="H294" s="1035"/>
      <c r="M294" s="772"/>
    </row>
    <row r="295" spans="1:13" s="629" customFormat="1" ht="15">
      <c r="B295" s="767"/>
      <c r="C295" s="1009"/>
      <c r="D295" s="813"/>
      <c r="E295" s="1035"/>
      <c r="F295" s="1035"/>
      <c r="G295" s="1036"/>
      <c r="H295" s="1035"/>
      <c r="M295" s="772"/>
    </row>
    <row r="296" spans="1:13" s="629" customFormat="1" ht="1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097" t="s">
        <v>443</v>
      </c>
      <c r="F299" s="2099"/>
      <c r="G299" s="2097" t="s">
        <v>444</v>
      </c>
      <c r="H299" s="2099"/>
      <c r="M299" s="772"/>
    </row>
    <row r="300" spans="1:13" s="629" customFormat="1" ht="15">
      <c r="B300" s="767"/>
      <c r="C300" s="1332" t="s">
        <v>932</v>
      </c>
      <c r="D300" s="1010" t="s">
        <v>530</v>
      </c>
      <c r="E300" s="1011">
        <f>_xlfn.XLOOKUP($C300,INPUT_DATA!$DU:$DU,INPUT_DATA!$DW:$DW)</f>
        <v>4273811381.96</v>
      </c>
      <c r="F300" s="1012">
        <f>E300/$E$313</f>
        <v>0.37773803001720124</v>
      </c>
      <c r="G300" s="1013">
        <f>_xlfn.XLOOKUP($C300,INPUT_DATA!$DU:$DU,INPUT_DATA!$DX:$DX)</f>
        <v>23829</v>
      </c>
      <c r="H300" s="1025">
        <f>G300/$G$313</f>
        <v>0.31699724627848508</v>
      </c>
      <c r="M300" s="772"/>
    </row>
    <row r="301" spans="1:13" s="629" customFormat="1" ht="15">
      <c r="B301" s="767"/>
      <c r="C301" s="1332" t="s">
        <v>933</v>
      </c>
      <c r="D301" s="1015" t="s">
        <v>531</v>
      </c>
      <c r="E301" s="1011">
        <f>_xlfn.XLOOKUP($C301,INPUT_DATA!$DU:$DU,INPUT_DATA!$DW:$DW)</f>
        <v>338726016.22000003</v>
      </c>
      <c r="F301" s="1012">
        <f t="shared" ref="F301:F312" si="18">E301/$E$313</f>
        <v>2.9938077899881191E-2</v>
      </c>
      <c r="G301" s="1013">
        <f>_xlfn.XLOOKUP($C301,INPUT_DATA!$DU:$DU,INPUT_DATA!$DX:$DX)</f>
        <v>2908</v>
      </c>
      <c r="H301" s="1025">
        <f t="shared" ref="H301:H312" si="19">G301/$G$313</f>
        <v>3.8685131234119541E-2</v>
      </c>
      <c r="M301" s="772"/>
    </row>
    <row r="302" spans="1:13" s="629" customFormat="1" ht="15">
      <c r="B302" s="767"/>
      <c r="C302" s="1332" t="s">
        <v>934</v>
      </c>
      <c r="D302" s="1015" t="s">
        <v>532</v>
      </c>
      <c r="E302" s="1011">
        <f>_xlfn.XLOOKUP($C302,INPUT_DATA!$DU:$DU,INPUT_DATA!$DW:$DW)</f>
        <v>1336794404.5</v>
      </c>
      <c r="F302" s="1012">
        <f t="shared" si="18"/>
        <v>0.11815170108472835</v>
      </c>
      <c r="G302" s="1013">
        <f>_xlfn.XLOOKUP($C302,INPUT_DATA!$DU:$DU,INPUT_DATA!$DX:$DX)</f>
        <v>10573</v>
      </c>
      <c r="H302" s="1025">
        <f t="shared" si="19"/>
        <v>0.14065264530204466</v>
      </c>
      <c r="M302" s="772"/>
    </row>
    <row r="303" spans="1:13" s="629" customFormat="1" ht="15">
      <c r="B303" s="767"/>
      <c r="C303" s="1332" t="s">
        <v>935</v>
      </c>
      <c r="D303" s="1015" t="s">
        <v>533</v>
      </c>
      <c r="E303" s="1011">
        <f>_xlfn.XLOOKUP($C303,INPUT_DATA!$DU:$DU,INPUT_DATA!$DW:$DW)</f>
        <v>491797943.69</v>
      </c>
      <c r="F303" s="1012">
        <f t="shared" si="18"/>
        <v>4.3467240318587778E-2</v>
      </c>
      <c r="G303" s="1013">
        <f>_xlfn.XLOOKUP($C303,INPUT_DATA!$DU:$DU,INPUT_DATA!$DX:$DX)</f>
        <v>4103</v>
      </c>
      <c r="H303" s="1025">
        <f t="shared" si="19"/>
        <v>5.4582219206874991E-2</v>
      </c>
      <c r="M303" s="772"/>
    </row>
    <row r="304" spans="1:13" s="629" customFormat="1" ht="15">
      <c r="B304" s="767"/>
      <c r="C304" s="1332" t="s">
        <v>936</v>
      </c>
      <c r="D304" s="1015" t="s">
        <v>534</v>
      </c>
      <c r="E304" s="1011">
        <f>_xlfn.XLOOKUP($C304,INPUT_DATA!$DU:$DU,INPUT_DATA!$DW:$DW)</f>
        <v>144138523.94</v>
      </c>
      <c r="F304" s="1012">
        <f t="shared" si="18"/>
        <v>1.2739589377412628E-2</v>
      </c>
      <c r="G304" s="1013">
        <f>_xlfn.XLOOKUP($C304,INPUT_DATA!$DU:$DU,INPUT_DATA!$DX:$DX)</f>
        <v>1334</v>
      </c>
      <c r="H304" s="1025">
        <f t="shared" si="19"/>
        <v>1.7746205318540393E-2</v>
      </c>
      <c r="M304" s="772"/>
    </row>
    <row r="305" spans="1:13" s="629" customFormat="1" ht="15">
      <c r="B305" s="767"/>
      <c r="C305" s="1332" t="s">
        <v>937</v>
      </c>
      <c r="D305" s="1015" t="s">
        <v>535</v>
      </c>
      <c r="E305" s="1011">
        <f>_xlfn.XLOOKUP($C305,INPUT_DATA!$DU:$DU,INPUT_DATA!$DW:$DW)</f>
        <v>365035449.76999998</v>
      </c>
      <c r="F305" s="1012">
        <f t="shared" si="18"/>
        <v>3.2263420015350916E-2</v>
      </c>
      <c r="G305" s="1013">
        <f>_xlfn.XLOOKUP($C305,INPUT_DATA!$DU:$DU,INPUT_DATA!$DX:$DX)</f>
        <v>2795</v>
      </c>
      <c r="H305" s="1025">
        <f t="shared" si="19"/>
        <v>3.7181891953013795E-2</v>
      </c>
      <c r="M305" s="772"/>
    </row>
    <row r="306" spans="1:13" s="629" customFormat="1" ht="15">
      <c r="B306" s="767"/>
      <c r="C306" s="1332" t="s">
        <v>938</v>
      </c>
      <c r="D306" s="1015" t="s">
        <v>536</v>
      </c>
      <c r="E306" s="1011">
        <f>_xlfn.XLOOKUP($C306,INPUT_DATA!$DU:$DU,INPUT_DATA!$DW:$DW)</f>
        <v>287925662.74000001</v>
      </c>
      <c r="F306" s="1012">
        <f t="shared" si="18"/>
        <v>2.5448121808531093E-2</v>
      </c>
      <c r="G306" s="1013">
        <f>_xlfn.XLOOKUP($C306,INPUT_DATA!$DU:$DU,INPUT_DATA!$DX:$DX)</f>
        <v>2027</v>
      </c>
      <c r="H306" s="1025">
        <f t="shared" si="19"/>
        <v>2.6965186042489792E-2</v>
      </c>
      <c r="M306" s="772"/>
    </row>
    <row r="307" spans="1:13" s="629" customFormat="1" ht="15">
      <c r="B307" s="767"/>
      <c r="C307" s="1332" t="s">
        <v>939</v>
      </c>
      <c r="D307" s="1015" t="s">
        <v>537</v>
      </c>
      <c r="E307" s="1011">
        <f>_xlfn.XLOOKUP($C307,INPUT_DATA!$DU:$DU,INPUT_DATA!$DW:$DW)</f>
        <v>811473321.12</v>
      </c>
      <c r="F307" s="1012">
        <f t="shared" si="18"/>
        <v>7.1721539940962559E-2</v>
      </c>
      <c r="G307" s="1013">
        <f>_xlfn.XLOOKUP($C307,INPUT_DATA!$DU:$DU,INPUT_DATA!$DX:$DX)</f>
        <v>5588</v>
      </c>
      <c r="H307" s="1025">
        <f t="shared" si="19"/>
        <v>7.4337177901052265E-2</v>
      </c>
      <c r="M307" s="772"/>
    </row>
    <row r="308" spans="1:13" s="629" customFormat="1" ht="15">
      <c r="B308" s="767"/>
      <c r="C308" s="1332" t="s">
        <v>940</v>
      </c>
      <c r="D308" s="1015" t="s">
        <v>538</v>
      </c>
      <c r="E308" s="1011">
        <f>_xlfn.XLOOKUP($C308,INPUT_DATA!$DU:$DU,INPUT_DATA!$DW:$DW)</f>
        <v>1085812776.8599999</v>
      </c>
      <c r="F308" s="1012">
        <f t="shared" si="18"/>
        <v>9.5968853709801377E-2</v>
      </c>
      <c r="G308" s="1013">
        <f>_xlfn.XLOOKUP($C308,INPUT_DATA!$DU:$DU,INPUT_DATA!$DX:$DX)</f>
        <v>7064</v>
      </c>
      <c r="H308" s="1025">
        <f t="shared" si="19"/>
        <v>9.3972409572840587E-2</v>
      </c>
      <c r="M308" s="772"/>
    </row>
    <row r="309" spans="1:13" s="629" customFormat="1" ht="15">
      <c r="B309" s="767"/>
      <c r="C309" s="1332" t="s">
        <v>941</v>
      </c>
      <c r="D309" s="1015" t="s">
        <v>539</v>
      </c>
      <c r="E309" s="1011">
        <f>_xlfn.XLOOKUP($C309,INPUT_DATA!$DU:$DU,INPUT_DATA!$DW:$DW)</f>
        <v>1226217868.1400001</v>
      </c>
      <c r="F309" s="1012">
        <f t="shared" si="18"/>
        <v>0.10837846607790026</v>
      </c>
      <c r="G309" s="1013">
        <f>_xlfn.XLOOKUP($C309,INPUT_DATA!$DU:$DU,INPUT_DATA!$DX:$DX)</f>
        <v>7346</v>
      </c>
      <c r="H309" s="1025">
        <f t="shared" si="19"/>
        <v>9.7723856274361129E-2</v>
      </c>
      <c r="M309" s="772"/>
    </row>
    <row r="310" spans="1:13" s="629" customFormat="1" ht="15">
      <c r="B310" s="767"/>
      <c r="C310" s="1332" t="s">
        <v>942</v>
      </c>
      <c r="D310" s="1015" t="s">
        <v>540</v>
      </c>
      <c r="E310" s="1011">
        <f>_xlfn.XLOOKUP($C310,INPUT_DATA!$DU:$DU,INPUT_DATA!$DW:$DW)</f>
        <v>89485061.430000007</v>
      </c>
      <c r="F310" s="1012">
        <f t="shared" si="18"/>
        <v>7.9090787588839834E-3</v>
      </c>
      <c r="G310" s="1013">
        <f>_xlfn.XLOOKUP($C310,INPUT_DATA!$DU:$DU,INPUT_DATA!$DX:$DX)</f>
        <v>588</v>
      </c>
      <c r="H310" s="1025">
        <f t="shared" si="19"/>
        <v>7.822165462744942E-3</v>
      </c>
      <c r="M310" s="772"/>
    </row>
    <row r="311" spans="1:13" s="629" customFormat="1" ht="15">
      <c r="B311" s="767"/>
      <c r="C311" s="1332" t="s">
        <v>943</v>
      </c>
      <c r="D311" s="1015" t="s">
        <v>541</v>
      </c>
      <c r="E311" s="1011">
        <f>_xlfn.XLOOKUP($C311,INPUT_DATA!$DU:$DU,INPUT_DATA!$DW:$DW)</f>
        <v>168334613.38</v>
      </c>
      <c r="F311" s="1012">
        <f t="shared" si="18"/>
        <v>1.4878144952833001E-2</v>
      </c>
      <c r="G311" s="1013">
        <f>_xlfn.XLOOKUP($C311,INPUT_DATA!$DU:$DU,INPUT_DATA!$DX:$DX)</f>
        <v>1598</v>
      </c>
      <c r="H311" s="1025">
        <f t="shared" si="19"/>
        <v>2.1258197975283021E-2</v>
      </c>
      <c r="M311" s="772"/>
    </row>
    <row r="312" spans="1:13" s="629" customFormat="1" ht="15">
      <c r="B312" s="767"/>
      <c r="C312" s="1332" t="s">
        <v>944</v>
      </c>
      <c r="D312" s="1016" t="s">
        <v>542</v>
      </c>
      <c r="E312" s="1011">
        <f>_xlfn.XLOOKUP($C312,INPUT_DATA!$DU:$DU,INPUT_DATA!$DW:$DW)</f>
        <v>694667526.84000003</v>
      </c>
      <c r="F312" s="1012">
        <f t="shared" si="18"/>
        <v>6.1397736037925782E-2</v>
      </c>
      <c r="G312" s="1013">
        <f>_xlfn.XLOOKUP($C312,INPUT_DATA!$DU:$DU,INPUT_DATA!$DX:$DX)</f>
        <v>5418</v>
      </c>
      <c r="H312" s="1025">
        <f t="shared" si="19"/>
        <v>7.2075667478149821E-2</v>
      </c>
      <c r="M312" s="772"/>
    </row>
    <row r="313" spans="1:13" s="629" customFormat="1" ht="15">
      <c r="B313" s="767"/>
      <c r="C313" s="1009"/>
      <c r="D313" s="1017" t="s">
        <v>415</v>
      </c>
      <c r="E313" s="1018">
        <f>SUM(E300:E312)</f>
        <v>11314220550.589998</v>
      </c>
      <c r="F313" s="1019">
        <f>SUM(F300:F312)</f>
        <v>1</v>
      </c>
      <c r="G313" s="1020">
        <f>SUM(G300:G312)</f>
        <v>75171</v>
      </c>
      <c r="H313" s="1019">
        <f>SUM(H300:H312)</f>
        <v>1</v>
      </c>
      <c r="M313" s="772"/>
    </row>
    <row r="314" spans="1:13" s="629" customFormat="1" ht="15">
      <c r="B314" s="767"/>
      <c r="C314" s="1009"/>
      <c r="D314" s="813"/>
      <c r="E314" s="1035"/>
      <c r="F314" s="1035"/>
      <c r="G314" s="1036"/>
      <c r="H314" s="1035"/>
      <c r="M314" s="772"/>
    </row>
    <row r="315" spans="1:13" s="629" customFormat="1" ht="15">
      <c r="B315" s="767"/>
      <c r="C315" s="1009"/>
      <c r="D315" s="813"/>
      <c r="E315" s="1035"/>
      <c r="F315" s="1035"/>
      <c r="G315" s="1036"/>
      <c r="H315" s="1035"/>
      <c r="M315" s="772"/>
    </row>
    <row r="316" spans="1:13" s="629" customFormat="1" ht="15">
      <c r="B316" s="767"/>
      <c r="C316" s="1009"/>
      <c r="D316" s="813"/>
      <c r="E316" s="1035"/>
      <c r="F316" s="1035"/>
      <c r="G316" s="1036"/>
      <c r="H316" s="1035"/>
      <c r="M316" s="772"/>
    </row>
    <row r="317" spans="1:13" s="629" customFormat="1" ht="15">
      <c r="B317" s="767"/>
      <c r="C317" s="1009"/>
      <c r="D317" s="813"/>
      <c r="E317" s="1035"/>
      <c r="F317" s="1035"/>
      <c r="G317" s="1036"/>
      <c r="H317" s="1035"/>
      <c r="M317" s="772"/>
    </row>
    <row r="318" spans="1:13" s="629" customFormat="1" ht="24.6"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097" t="s">
        <v>443</v>
      </c>
      <c r="F320" s="2099"/>
      <c r="G320" s="2097" t="s">
        <v>444</v>
      </c>
      <c r="H320" s="2099"/>
      <c r="M320" s="772"/>
    </row>
    <row r="321" spans="1:13" s="629" customFormat="1" ht="15">
      <c r="B321" s="767"/>
      <c r="C321" s="1332" t="s">
        <v>945</v>
      </c>
      <c r="D321" s="1010" t="s">
        <v>544</v>
      </c>
      <c r="E321" s="1011">
        <f>_xlfn.XLOOKUP($C321,INPUT_DATA!$DU:$DU,INPUT_DATA!$DW:$DW)</f>
        <v>2013907945.25</v>
      </c>
      <c r="F321" s="1012">
        <f>E321/$E$324</f>
        <v>0.17799793951736084</v>
      </c>
      <c r="G321" s="1013">
        <f>_xlfn.XLOOKUP($C321,INPUT_DATA!$DU:$DU,INPUT_DATA!$DX:$DX)</f>
        <v>15525</v>
      </c>
      <c r="H321" s="1025">
        <f>G321/$G$324</f>
        <v>0.20652911362094425</v>
      </c>
      <c r="M321" s="772"/>
    </row>
    <row r="322" spans="1:13" s="629" customFormat="1" ht="15">
      <c r="B322" s="767"/>
      <c r="C322" s="1332" t="s">
        <v>946</v>
      </c>
      <c r="D322" s="1015" t="s">
        <v>545</v>
      </c>
      <c r="E322" s="1011">
        <f>_xlfn.XLOOKUP($C322,INPUT_DATA!$DU:$DU,INPUT_DATA!$DW:$DW)</f>
        <v>1413224842.5599999</v>
      </c>
      <c r="F322" s="1012">
        <f>E322/$E$324</f>
        <v>0.12490695547616003</v>
      </c>
      <c r="G322" s="1013">
        <f>_xlfn.XLOOKUP($C322,INPUT_DATA!$DU:$DU,INPUT_DATA!$DX:$DX)</f>
        <v>10581</v>
      </c>
      <c r="H322" s="1025">
        <f>G322/$G$324</f>
        <v>0.14075906932194596</v>
      </c>
      <c r="M322" s="772"/>
    </row>
    <row r="323" spans="1:13" s="629" customFormat="1" ht="15">
      <c r="B323" s="767"/>
      <c r="C323" s="1332" t="s">
        <v>947</v>
      </c>
      <c r="D323" s="1015" t="s">
        <v>546</v>
      </c>
      <c r="E323" s="1011">
        <f>_xlfn.XLOOKUP($C323,INPUT_DATA!$DU:$DU,INPUT_DATA!$DW:$DW)</f>
        <v>7887087762.7799997</v>
      </c>
      <c r="F323" s="1012">
        <f>E323/$E$324</f>
        <v>0.69709510500647909</v>
      </c>
      <c r="G323" s="1013">
        <f>_xlfn.XLOOKUP($C323,INPUT_DATA!$DU:$DU,INPUT_DATA!$DX:$DX)</f>
        <v>49065</v>
      </c>
      <c r="H323" s="1025">
        <f>G323/$G$324</f>
        <v>0.65271181705710979</v>
      </c>
      <c r="M323" s="772"/>
    </row>
    <row r="324" spans="1:13" s="629" customFormat="1" ht="15">
      <c r="B324" s="767"/>
      <c r="C324" s="1009"/>
      <c r="D324" s="1017" t="s">
        <v>415</v>
      </c>
      <c r="E324" s="1018">
        <f>SUM(E321:E323)</f>
        <v>11314220550.59</v>
      </c>
      <c r="F324" s="1019">
        <f>SUM(F321:F323)</f>
        <v>1</v>
      </c>
      <c r="G324" s="1020">
        <f>SUM(G321:G323)</f>
        <v>75171</v>
      </c>
      <c r="H324" s="1019">
        <f>SUM(H321:H323)</f>
        <v>1</v>
      </c>
      <c r="M324" s="772"/>
    </row>
    <row r="325" spans="1:13" s="629" customFormat="1" ht="15">
      <c r="B325" s="767"/>
      <c r="C325" s="1009"/>
      <c r="D325" s="813"/>
      <c r="E325" s="1035"/>
      <c r="F325" s="1035"/>
      <c r="G325" s="1036"/>
      <c r="H325" s="1035"/>
      <c r="M325" s="772"/>
    </row>
    <row r="326" spans="1:13" s="629" customFormat="1" ht="15">
      <c r="B326" s="767"/>
      <c r="C326" s="1009"/>
      <c r="D326" s="813"/>
      <c r="E326" s="1035"/>
      <c r="F326" s="1035"/>
      <c r="G326" s="1036"/>
      <c r="H326" s="1035"/>
      <c r="M326" s="772"/>
    </row>
    <row r="327" spans="1:13" s="629" customFormat="1" ht="24.6"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097" t="s">
        <v>443</v>
      </c>
      <c r="F329" s="2099"/>
      <c r="G329" s="2097" t="s">
        <v>444</v>
      </c>
      <c r="H329" s="2099"/>
      <c r="M329" s="772"/>
    </row>
    <row r="330" spans="1:13" s="629" customFormat="1" ht="15">
      <c r="B330" s="767"/>
      <c r="C330" s="1332" t="s">
        <v>948</v>
      </c>
      <c r="D330" s="1010" t="s">
        <v>1243</v>
      </c>
      <c r="E330" s="1011">
        <f>_xlfn.XLOOKUP($C330,INPUT_DATA!$DU:$DU,INPUT_DATA!$DW:$DW)</f>
        <v>1202499157.6600001</v>
      </c>
      <c r="F330" s="1012">
        <f>E330/$E$332</f>
        <v>0.10628210333033446</v>
      </c>
      <c r="G330" s="1013">
        <f>_xlfn.XLOOKUP($C330,INPUT_DATA!$DU:$DU,INPUT_DATA!$DX:$DX)</f>
        <v>8689</v>
      </c>
      <c r="H330" s="1025">
        <f>G330/$G$332</f>
        <v>0.11558978861529047</v>
      </c>
      <c r="M330" s="772"/>
    </row>
    <row r="331" spans="1:13" s="629" customFormat="1" ht="15">
      <c r="B331" s="767"/>
      <c r="C331" s="1332" t="s">
        <v>949</v>
      </c>
      <c r="D331" s="1015" t="s">
        <v>1293</v>
      </c>
      <c r="E331" s="1011">
        <f>_xlfn.XLOOKUP($C331,INPUT_DATA!$DU:$DU,INPUT_DATA!$DW:$DW)</f>
        <v>10111721392.93</v>
      </c>
      <c r="F331" s="1012">
        <f>E331/$E$332</f>
        <v>0.89371789666966561</v>
      </c>
      <c r="G331" s="1013">
        <f>_xlfn.XLOOKUP($C331,INPUT_DATA!$DU:$DU,INPUT_DATA!$DX:$DX)</f>
        <v>66482</v>
      </c>
      <c r="H331" s="1025">
        <f>G331/$G$332</f>
        <v>0.88441021138470954</v>
      </c>
      <c r="M331" s="772"/>
    </row>
    <row r="332" spans="1:13" s="629" customFormat="1" ht="15">
      <c r="B332" s="767"/>
      <c r="C332" s="1009"/>
      <c r="D332" s="1017" t="s">
        <v>415</v>
      </c>
      <c r="E332" s="1018">
        <f>SUM(E330:E331)</f>
        <v>11314220550.59</v>
      </c>
      <c r="F332" s="1019">
        <f>SUM(F330:F331)</f>
        <v>1</v>
      </c>
      <c r="G332" s="1020">
        <f>SUM(G330:G331)</f>
        <v>75171</v>
      </c>
      <c r="H332" s="1019">
        <f>SUM(H330:H331)</f>
        <v>1</v>
      </c>
      <c r="M332" s="772"/>
    </row>
    <row r="333" spans="1:13" s="629" customFormat="1" ht="15">
      <c r="B333" s="767"/>
      <c r="C333" s="1009"/>
      <c r="D333" s="813"/>
      <c r="E333" s="1035"/>
      <c r="F333" s="1035"/>
      <c r="G333" s="1036"/>
      <c r="H333" s="1035"/>
      <c r="M333" s="772"/>
    </row>
    <row r="334" spans="1:13" s="629" customFormat="1" ht="15">
      <c r="B334" s="767"/>
      <c r="C334" s="1009"/>
      <c r="D334" s="813"/>
      <c r="E334" s="1035"/>
      <c r="F334" s="1035"/>
      <c r="G334" s="1036"/>
      <c r="H334" s="1035"/>
      <c r="M334" s="772"/>
    </row>
    <row r="335" spans="1:13" s="629" customFormat="1" ht="15">
      <c r="B335" s="767"/>
      <c r="C335" s="1009"/>
      <c r="D335" s="813"/>
      <c r="E335" s="1035"/>
      <c r="F335" s="1035"/>
      <c r="G335" s="1036"/>
      <c r="H335" s="1035"/>
      <c r="M335" s="772"/>
    </row>
    <row r="336" spans="1:13" s="629" customFormat="1" ht="15">
      <c r="B336" s="767"/>
      <c r="C336" s="1009"/>
      <c r="D336" s="813"/>
      <c r="E336" s="1035"/>
      <c r="F336" s="1035"/>
      <c r="G336" s="1036"/>
      <c r="H336" s="1035"/>
      <c r="M336" s="772"/>
    </row>
    <row r="337" spans="1:13" s="629" customFormat="1" ht="24.6"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097" t="s">
        <v>443</v>
      </c>
      <c r="F339" s="2099"/>
      <c r="G339" s="2097" t="s">
        <v>444</v>
      </c>
      <c r="H339" s="2099"/>
      <c r="M339" s="772"/>
    </row>
    <row r="340" spans="1:13" s="629" customFormat="1" ht="15">
      <c r="B340" s="767"/>
      <c r="C340" s="1332" t="s">
        <v>1244</v>
      </c>
      <c r="D340" s="1010" t="s">
        <v>549</v>
      </c>
      <c r="E340" s="1011">
        <f>_xlfn.XLOOKUP($C340,INPUT_DATA!$DU:$DU,INPUT_DATA!$DW:$DW)</f>
        <v>2503654.71</v>
      </c>
      <c r="F340" s="1014">
        <f>E340/$F$17</f>
        <v>2.2128388772388232E-4</v>
      </c>
      <c r="G340" s="1013">
        <f>_xlfn.XLOOKUP($C340,INPUT_DATA!$DU:$DU,INPUT_DATA!$DX:$DX)</f>
        <v>2</v>
      </c>
      <c r="H340" s="1025">
        <f>G340/$F$16</f>
        <v>2.6606004975322931E-5</v>
      </c>
      <c r="M340" s="772"/>
    </row>
    <row r="341" spans="1:13" s="629" customFormat="1" ht="15">
      <c r="B341" s="767"/>
      <c r="C341" s="1332" t="s">
        <v>1245</v>
      </c>
      <c r="D341" s="1015" t="s">
        <v>550</v>
      </c>
      <c r="E341" s="1011">
        <f>_xlfn.XLOOKUP($C341,INPUT_DATA!$DU:$DU,INPUT_DATA!$DW:$DW)</f>
        <v>2379118.71</v>
      </c>
      <c r="F341" s="1014">
        <f t="shared" ref="F341:F359" si="20">E341/$F$17</f>
        <v>2.1027685463281305E-4</v>
      </c>
      <c r="G341" s="1013">
        <f>_xlfn.XLOOKUP($C341,INPUT_DATA!$DU:$DU,INPUT_DATA!$DX:$DX)</f>
        <v>1</v>
      </c>
      <c r="H341" s="1025">
        <f t="shared" ref="H341:H359" si="21">G341/$F$16</f>
        <v>1.3303002487661466E-5</v>
      </c>
      <c r="M341" s="772"/>
    </row>
    <row r="342" spans="1:13" s="629" customFormat="1" ht="15">
      <c r="B342" s="767"/>
      <c r="C342" s="1332" t="s">
        <v>1246</v>
      </c>
      <c r="D342" s="1015" t="s">
        <v>551</v>
      </c>
      <c r="E342" s="1011">
        <f>_xlfn.XLOOKUP($C342,INPUT_DATA!$DU:$DU,INPUT_DATA!$DW:$DW)</f>
        <v>2349925.7799999998</v>
      </c>
      <c r="F342" s="1014">
        <f t="shared" si="20"/>
        <v>2.0769665656530429E-4</v>
      </c>
      <c r="G342" s="1013">
        <f>_xlfn.XLOOKUP($C342,INPUT_DATA!$DU:$DU,INPUT_DATA!$DX:$DX)</f>
        <v>1</v>
      </c>
      <c r="H342" s="1025">
        <f t="shared" si="21"/>
        <v>1.3303002487661466E-5</v>
      </c>
      <c r="M342" s="772"/>
    </row>
    <row r="343" spans="1:13" s="629" customFormat="1" ht="15">
      <c r="B343" s="767"/>
      <c r="C343" s="1332" t="s">
        <v>1247</v>
      </c>
      <c r="D343" s="1015" t="s">
        <v>552</v>
      </c>
      <c r="E343" s="1011">
        <f>_xlfn.XLOOKUP($C343,INPUT_DATA!$DU:$DU,INPUT_DATA!$DW:$DW)</f>
        <v>2296347.37</v>
      </c>
      <c r="F343" s="1014">
        <f t="shared" si="20"/>
        <v>2.0296116376132092E-4</v>
      </c>
      <c r="G343" s="1013">
        <f>_xlfn.XLOOKUP($C343,INPUT_DATA!$DU:$DU,INPUT_DATA!$DX:$DX)</f>
        <v>1</v>
      </c>
      <c r="H343" s="1025">
        <f t="shared" si="21"/>
        <v>1.3303002487661466E-5</v>
      </c>
      <c r="M343" s="772"/>
    </row>
    <row r="344" spans="1:13" s="629" customFormat="1" ht="15">
      <c r="B344" s="767"/>
      <c r="C344" s="1332" t="s">
        <v>1248</v>
      </c>
      <c r="D344" s="1015" t="s">
        <v>553</v>
      </c>
      <c r="E344" s="1011">
        <f>_xlfn.XLOOKUP($C344,INPUT_DATA!$DU:$DU,INPUT_DATA!$DW:$DW)</f>
        <v>2283325.11</v>
      </c>
      <c r="F344" s="1014">
        <f t="shared" si="20"/>
        <v>2.0181019980920661E-4</v>
      </c>
      <c r="G344" s="1013">
        <f>_xlfn.XLOOKUP($C344,INPUT_DATA!$DU:$DU,INPUT_DATA!$DX:$DX)</f>
        <v>1</v>
      </c>
      <c r="H344" s="1025">
        <f t="shared" si="21"/>
        <v>1.3303002487661466E-5</v>
      </c>
      <c r="M344" s="772"/>
    </row>
    <row r="345" spans="1:13" s="629" customFormat="1" ht="15">
      <c r="B345" s="767"/>
      <c r="C345" s="1332" t="s">
        <v>1249</v>
      </c>
      <c r="D345" s="1015" t="s">
        <v>554</v>
      </c>
      <c r="E345" s="1011">
        <f>_xlfn.XLOOKUP($C345,INPUT_DATA!$DU:$DU,INPUT_DATA!$DW:$DW)</f>
        <v>2191949.15</v>
      </c>
      <c r="F345" s="1014">
        <f t="shared" si="20"/>
        <v>1.9373399521416403E-4</v>
      </c>
      <c r="G345" s="1013">
        <f>_xlfn.XLOOKUP($C345,INPUT_DATA!$DU:$DU,INPUT_DATA!$DX:$DX)</f>
        <v>1</v>
      </c>
      <c r="H345" s="1025">
        <f t="shared" si="21"/>
        <v>1.3303002487661466E-5</v>
      </c>
      <c r="M345" s="772"/>
    </row>
    <row r="346" spans="1:13" s="629" customFormat="1" ht="15">
      <c r="B346" s="767"/>
      <c r="C346" s="1332" t="s">
        <v>1250</v>
      </c>
      <c r="D346" s="1015" t="s">
        <v>555</v>
      </c>
      <c r="E346" s="1011">
        <f>_xlfn.XLOOKUP($C346,INPUT_DATA!$DU:$DU,INPUT_DATA!$DW:$DW)</f>
        <v>2159938.62</v>
      </c>
      <c r="F346" s="1014">
        <f t="shared" si="20"/>
        <v>1.9090476540934725E-4</v>
      </c>
      <c r="G346" s="1013">
        <f>_xlfn.XLOOKUP($C346,INPUT_DATA!$DU:$DU,INPUT_DATA!$DX:$DX)</f>
        <v>1</v>
      </c>
      <c r="H346" s="1025">
        <f t="shared" si="21"/>
        <v>1.3303002487661466E-5</v>
      </c>
      <c r="M346" s="772"/>
    </row>
    <row r="347" spans="1:13" s="629" customFormat="1" ht="15">
      <c r="B347" s="767"/>
      <c r="C347" s="1332" t="s">
        <v>1251</v>
      </c>
      <c r="D347" s="1015" t="s">
        <v>556</v>
      </c>
      <c r="E347" s="1011">
        <f>_xlfn.XLOOKUP($C347,INPUT_DATA!$DU:$DU,INPUT_DATA!$DW:$DW)</f>
        <v>2102473.64</v>
      </c>
      <c r="F347" s="1014">
        <f t="shared" si="20"/>
        <v>1.8582576065218762E-4</v>
      </c>
      <c r="G347" s="1013">
        <f>_xlfn.XLOOKUP($C347,INPUT_DATA!$DU:$DU,INPUT_DATA!$DX:$DX)</f>
        <v>1</v>
      </c>
      <c r="H347" s="1025">
        <f t="shared" si="21"/>
        <v>1.3303002487661466E-5</v>
      </c>
      <c r="M347" s="772"/>
    </row>
    <row r="348" spans="1:13" s="629" customFormat="1" ht="15">
      <c r="B348" s="767"/>
      <c r="C348" s="1332" t="s">
        <v>1252</v>
      </c>
      <c r="D348" s="1015" t="s">
        <v>557</v>
      </c>
      <c r="E348" s="1011">
        <f>_xlfn.XLOOKUP($C348,INPUT_DATA!$DU:$DU,INPUT_DATA!$DW:$DW)</f>
        <v>2099428.86</v>
      </c>
      <c r="F348" s="1014">
        <f t="shared" si="20"/>
        <v>1.8555664975883124E-4</v>
      </c>
      <c r="G348" s="1013">
        <f>_xlfn.XLOOKUP($C348,INPUT_DATA!$DU:$DU,INPUT_DATA!$DX:$DX)</f>
        <v>1</v>
      </c>
      <c r="H348" s="1025">
        <f t="shared" si="21"/>
        <v>1.3303002487661466E-5</v>
      </c>
      <c r="M348" s="772"/>
    </row>
    <row r="349" spans="1:13" s="629" customFormat="1" ht="15">
      <c r="B349" s="767"/>
      <c r="C349" s="1332" t="s">
        <v>1253</v>
      </c>
      <c r="D349" s="1015" t="s">
        <v>558</v>
      </c>
      <c r="E349" s="1011">
        <f>_xlfn.XLOOKUP($C349,INPUT_DATA!$DU:$DU,INPUT_DATA!$DW:$DW)</f>
        <v>2050657.95</v>
      </c>
      <c r="F349" s="1014">
        <f t="shared" si="20"/>
        <v>1.8124606470509933E-4</v>
      </c>
      <c r="G349" s="1013">
        <f>_xlfn.XLOOKUP($C349,INPUT_DATA!$DU:$DU,INPUT_DATA!$DX:$DX)</f>
        <v>1</v>
      </c>
      <c r="H349" s="1025">
        <f t="shared" si="21"/>
        <v>1.3303002487661466E-5</v>
      </c>
      <c r="M349" s="772"/>
    </row>
    <row r="350" spans="1:13" s="629" customFormat="1" ht="15">
      <c r="B350" s="767"/>
      <c r="C350" s="1332" t="s">
        <v>1254</v>
      </c>
      <c r="D350" s="1015" t="s">
        <v>559</v>
      </c>
      <c r="E350" s="1011">
        <f>_xlfn.XLOOKUP($C350,INPUT_DATA!$DU:$DU,INPUT_DATA!$DW:$DW)</f>
        <v>2046438.9</v>
      </c>
      <c r="F350" s="1014">
        <f t="shared" si="20"/>
        <v>1.8087316672409079E-4</v>
      </c>
      <c r="G350" s="1013">
        <f>_xlfn.XLOOKUP($C350,INPUT_DATA!$DU:$DU,INPUT_DATA!$DX:$DX)</f>
        <v>7</v>
      </c>
      <c r="H350" s="1025">
        <f t="shared" si="21"/>
        <v>9.3121017413630262E-5</v>
      </c>
      <c r="M350" s="772"/>
    </row>
    <row r="351" spans="1:13" s="629" customFormat="1" ht="15">
      <c r="B351" s="767"/>
      <c r="C351" s="1332" t="s">
        <v>1255</v>
      </c>
      <c r="D351" s="1015" t="s">
        <v>560</v>
      </c>
      <c r="E351" s="1011">
        <f>_xlfn.XLOOKUP($C351,INPUT_DATA!$DU:$DU,INPUT_DATA!$DW:$DW)</f>
        <v>2037935.42</v>
      </c>
      <c r="F351" s="1014">
        <f t="shared" si="20"/>
        <v>1.8012159219343905E-4</v>
      </c>
      <c r="G351" s="1013">
        <f>_xlfn.XLOOKUP($C351,INPUT_DATA!$DU:$DU,INPUT_DATA!$DX:$DX)</f>
        <v>1</v>
      </c>
      <c r="H351" s="1025">
        <f t="shared" si="21"/>
        <v>1.3303002487661466E-5</v>
      </c>
      <c r="M351" s="772"/>
    </row>
    <row r="352" spans="1:13" s="629" customFormat="1" ht="15">
      <c r="B352" s="767"/>
      <c r="C352" s="1332" t="s">
        <v>1256</v>
      </c>
      <c r="D352" s="1015" t="s">
        <v>561</v>
      </c>
      <c r="E352" s="1011">
        <f>_xlfn.XLOOKUP($C352,INPUT_DATA!$DU:$DU,INPUT_DATA!$DW:$DW)</f>
        <v>2025726.91</v>
      </c>
      <c r="F352" s="1014">
        <f t="shared" si="20"/>
        <v>1.7904255100404282E-4</v>
      </c>
      <c r="G352" s="1013">
        <f>_xlfn.XLOOKUP($C352,INPUT_DATA!$DU:$DU,INPUT_DATA!$DX:$DX)</f>
        <v>1</v>
      </c>
      <c r="H352" s="1025">
        <f t="shared" si="21"/>
        <v>1.3303002487661466E-5</v>
      </c>
      <c r="M352" s="772"/>
    </row>
    <row r="353" spans="1:13" s="629" customFormat="1" ht="15">
      <c r="B353" s="767"/>
      <c r="C353" s="1332" t="s">
        <v>1257</v>
      </c>
      <c r="D353" s="1015" t="s">
        <v>562</v>
      </c>
      <c r="E353" s="1011">
        <f>_xlfn.XLOOKUP($C353,INPUT_DATA!$DU:$DU,INPUT_DATA!$DW:$DW)</f>
        <v>2025594.97</v>
      </c>
      <c r="F353" s="1014">
        <f t="shared" si="20"/>
        <v>1.7903088957324341E-4</v>
      </c>
      <c r="G353" s="1013">
        <f>_xlfn.XLOOKUP($C353,INPUT_DATA!$DU:$DU,INPUT_DATA!$DX:$DX)</f>
        <v>1</v>
      </c>
      <c r="H353" s="1025">
        <f t="shared" si="21"/>
        <v>1.3303002487661466E-5</v>
      </c>
      <c r="M353" s="772"/>
    </row>
    <row r="354" spans="1:13" s="629" customFormat="1" ht="15">
      <c r="B354" s="767"/>
      <c r="C354" s="1332" t="s">
        <v>1258</v>
      </c>
      <c r="D354" s="1015" t="s">
        <v>563</v>
      </c>
      <c r="E354" s="1011">
        <f>_xlfn.XLOOKUP($C354,INPUT_DATA!$DU:$DU,INPUT_DATA!$DW:$DW)</f>
        <v>1990556.92</v>
      </c>
      <c r="F354" s="1014">
        <f t="shared" si="20"/>
        <v>1.7593407438890683E-4</v>
      </c>
      <c r="G354" s="1013">
        <f>_xlfn.XLOOKUP($C354,INPUT_DATA!$DU:$DU,INPUT_DATA!$DX:$DX)</f>
        <v>1</v>
      </c>
      <c r="H354" s="1025">
        <f t="shared" si="21"/>
        <v>1.3303002487661466E-5</v>
      </c>
      <c r="M354" s="772"/>
    </row>
    <row r="355" spans="1:13" s="629" customFormat="1" ht="15">
      <c r="B355" s="767"/>
      <c r="C355" s="1332" t="s">
        <v>1259</v>
      </c>
      <c r="D355" s="1015" t="s">
        <v>564</v>
      </c>
      <c r="E355" s="1011">
        <f>_xlfn.XLOOKUP($C355,INPUT_DATA!$DU:$DU,INPUT_DATA!$DW:$DW)</f>
        <v>1985595.75</v>
      </c>
      <c r="F355" s="1014">
        <f t="shared" si="20"/>
        <v>1.7549558461598641E-4</v>
      </c>
      <c r="G355" s="1013">
        <f>_xlfn.XLOOKUP($C355,INPUT_DATA!$DU:$DU,INPUT_DATA!$DX:$DX)</f>
        <v>1</v>
      </c>
      <c r="H355" s="1025">
        <f t="shared" si="21"/>
        <v>1.3303002487661466E-5</v>
      </c>
      <c r="M355" s="772"/>
    </row>
    <row r="356" spans="1:13" s="629" customFormat="1" ht="15">
      <c r="B356" s="767"/>
      <c r="C356" s="1332" t="s">
        <v>1260</v>
      </c>
      <c r="D356" s="1015" t="s">
        <v>565</v>
      </c>
      <c r="E356" s="1011">
        <f>_xlfn.XLOOKUP($C356,INPUT_DATA!$DU:$DU,INPUT_DATA!$DW:$DW)</f>
        <v>1980441.34</v>
      </c>
      <c r="F356" s="1014">
        <f t="shared" si="20"/>
        <v>1.7504001545176934E-4</v>
      </c>
      <c r="G356" s="1013">
        <f>_xlfn.XLOOKUP($C356,INPUT_DATA!$DU:$DU,INPUT_DATA!$DX:$DX)</f>
        <v>1</v>
      </c>
      <c r="H356" s="1025">
        <f t="shared" si="21"/>
        <v>1.3303002487661466E-5</v>
      </c>
      <c r="M356" s="772"/>
    </row>
    <row r="357" spans="1:13" s="629" customFormat="1" ht="15">
      <c r="B357" s="767"/>
      <c r="C357" s="1332" t="s">
        <v>1261</v>
      </c>
      <c r="D357" s="1015" t="s">
        <v>566</v>
      </c>
      <c r="E357" s="1011">
        <f>_xlfn.XLOOKUP($C357,INPUT_DATA!$DU:$DU,INPUT_DATA!$DW:$DW)</f>
        <v>1972214.64</v>
      </c>
      <c r="F357" s="1014">
        <f t="shared" si="20"/>
        <v>1.743129039407982E-4</v>
      </c>
      <c r="G357" s="1013">
        <f>_xlfn.XLOOKUP($C357,INPUT_DATA!$DU:$DU,INPUT_DATA!$DX:$DX)</f>
        <v>2</v>
      </c>
      <c r="H357" s="1025">
        <f t="shared" si="21"/>
        <v>2.6606004975322931E-5</v>
      </c>
      <c r="M357" s="772"/>
    </row>
    <row r="358" spans="1:13" s="629" customFormat="1" ht="15">
      <c r="B358" s="767"/>
      <c r="C358" s="1332" t="s">
        <v>1262</v>
      </c>
      <c r="D358" s="1015" t="s">
        <v>567</v>
      </c>
      <c r="E358" s="1011">
        <f>_xlfn.XLOOKUP($C358,INPUT_DATA!$DU:$DU,INPUT_DATA!$DW:$DW)</f>
        <v>1955849.93</v>
      </c>
      <c r="F358" s="1014">
        <f t="shared" si="20"/>
        <v>1.728665197266292E-4</v>
      </c>
      <c r="G358" s="1013">
        <f>_xlfn.XLOOKUP($C358,INPUT_DATA!$DU:$DU,INPUT_DATA!$DX:$DX)</f>
        <v>1</v>
      </c>
      <c r="H358" s="1025">
        <f t="shared" si="21"/>
        <v>1.3303002487661466E-5</v>
      </c>
      <c r="M358" s="772"/>
    </row>
    <row r="359" spans="1:13" s="629" customFormat="1" ht="15">
      <c r="B359" s="767"/>
      <c r="C359" s="1332" t="s">
        <v>1263</v>
      </c>
      <c r="D359" s="1016" t="s">
        <v>568</v>
      </c>
      <c r="E359" s="1011">
        <f>_xlfn.XLOOKUP($C359,INPUT_DATA!$DU:$DU,INPUT_DATA!$DW:$DW)</f>
        <v>1938627.56</v>
      </c>
      <c r="F359" s="1014">
        <f t="shared" si="20"/>
        <v>1.7134433179304663E-4</v>
      </c>
      <c r="G359" s="1013">
        <f>_xlfn.XLOOKUP($C359,INPUT_DATA!$DU:$DU,INPUT_DATA!$DX:$DX)</f>
        <v>2</v>
      </c>
      <c r="H359" s="1025">
        <f t="shared" si="21"/>
        <v>2.6606004975322931E-5</v>
      </c>
      <c r="M359" s="772"/>
    </row>
    <row r="360" spans="1:13" s="629" customFormat="1" ht="15">
      <c r="B360" s="767"/>
      <c r="C360" s="1009"/>
      <c r="D360" s="1017" t="s">
        <v>415</v>
      </c>
      <c r="E360" s="1018">
        <f>SUM(E340:E359)</f>
        <v>42375802.240000002</v>
      </c>
      <c r="F360" s="1019">
        <f>SUM(F340:F359)</f>
        <v>3.7453576276441094E-3</v>
      </c>
      <c r="G360" s="1020">
        <f>SUM(G340:G359)</f>
        <v>29</v>
      </c>
      <c r="H360" s="1019">
        <f>SUM(H340:H359)</f>
        <v>3.8578707214218265E-4</v>
      </c>
      <c r="M360" s="772"/>
    </row>
    <row r="361" spans="1:13" s="629" customFormat="1" ht="15">
      <c r="B361" s="767"/>
      <c r="C361" s="1009"/>
      <c r="D361" s="813"/>
      <c r="E361" s="1035"/>
      <c r="F361" s="1035"/>
      <c r="G361" s="1036"/>
      <c r="H361" s="1035"/>
      <c r="M361" s="772"/>
    </row>
    <row r="362" spans="1:13" s="629" customFormat="1" ht="15">
      <c r="B362" s="767"/>
      <c r="C362" s="1009"/>
      <c r="D362" s="813"/>
      <c r="E362" s="1035"/>
      <c r="F362" s="1035"/>
      <c r="G362" s="1036"/>
      <c r="H362" s="1035"/>
      <c r="M362" s="772"/>
    </row>
    <row r="363" spans="1:13" s="629" customFormat="1" ht="24.6"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097" t="s">
        <v>443</v>
      </c>
      <c r="F365" s="2099"/>
      <c r="G365" s="2097" t="s">
        <v>444</v>
      </c>
      <c r="H365" s="2099"/>
      <c r="M365" s="772"/>
    </row>
    <row r="366" spans="1:13" s="629" customFormat="1" ht="15">
      <c r="B366" s="767"/>
      <c r="C366" s="1332" t="s">
        <v>106</v>
      </c>
      <c r="D366" s="1010" t="s">
        <v>1264</v>
      </c>
      <c r="E366" s="1011">
        <f>_xlfn.XLOOKUP($C366,INPUT_DATA!$DU:$DU,INPUT_DATA!$DW:$DW)</f>
        <v>11314220550.59</v>
      </c>
      <c r="F366" s="1014">
        <f>E366/$E$388</f>
        <v>1</v>
      </c>
      <c r="G366" s="1013">
        <f>_xlfn.XLOOKUP($C366,INPUT_DATA!$DU:$DU,INPUT_DATA!$DX:$DX)</f>
        <v>75171</v>
      </c>
      <c r="H366" s="1025">
        <f>G366/$G$388</f>
        <v>1</v>
      </c>
      <c r="M366" s="772"/>
    </row>
    <row r="367" spans="1:13" s="629" customFormat="1" ht="15">
      <c r="B367" s="767"/>
      <c r="C367" s="1009"/>
      <c r="D367" s="1017" t="s">
        <v>415</v>
      </c>
      <c r="E367" s="1018">
        <f>SUM(E366:E366)</f>
        <v>11314220550.59</v>
      </c>
      <c r="F367" s="1019">
        <f>SUM(F366:F366)</f>
        <v>1</v>
      </c>
      <c r="G367" s="1020">
        <f>SUM(G366:G366)</f>
        <v>75171</v>
      </c>
      <c r="H367" s="1019">
        <f>SUM(H366:H366)</f>
        <v>1</v>
      </c>
      <c r="M367" s="772"/>
    </row>
    <row r="368" spans="1:13" s="629" customFormat="1" ht="15">
      <c r="B368" s="767"/>
      <c r="C368" s="1009"/>
      <c r="D368" s="1029"/>
      <c r="E368" s="1030"/>
      <c r="F368" s="1031"/>
      <c r="G368" s="1032"/>
      <c r="H368" s="1031"/>
      <c r="M368" s="772"/>
    </row>
    <row r="369" spans="1:13" s="629" customFormat="1" ht="15">
      <c r="B369" s="767"/>
      <c r="C369" s="1009"/>
      <c r="D369" s="813"/>
      <c r="E369" s="1035"/>
      <c r="F369" s="1035"/>
      <c r="G369" s="1036"/>
      <c r="H369" s="1035"/>
      <c r="M369" s="772"/>
    </row>
    <row r="370" spans="1:13" s="629" customFormat="1" ht="24.6"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097" t="s">
        <v>443</v>
      </c>
      <c r="F372" s="2099"/>
      <c r="G372" s="2097" t="s">
        <v>444</v>
      </c>
      <c r="H372" s="2099"/>
      <c r="M372" s="772"/>
    </row>
    <row r="373" spans="1:13" s="629" customFormat="1" ht="15">
      <c r="B373" s="767"/>
      <c r="C373" s="1332" t="s">
        <v>1265</v>
      </c>
      <c r="D373" s="1010" t="s">
        <v>1266</v>
      </c>
      <c r="E373" s="1011">
        <f>_xlfn.XLOOKUP($C373,INPUT_DATA!$DU:$DU,INPUT_DATA!$DW:$DW)</f>
        <v>8322724815.8999996</v>
      </c>
      <c r="F373" s="1014">
        <f>E373/$E$388</f>
        <v>0.7355986016611632</v>
      </c>
      <c r="G373" s="1013">
        <f>_xlfn.XLOOKUP($C373,INPUT_DATA!$DU:$DU,INPUT_DATA!$DX:$DX)</f>
        <v>50457</v>
      </c>
      <c r="H373" s="1025">
        <f>G373/$G$388</f>
        <v>0.67122959651993452</v>
      </c>
      <c r="M373" s="772"/>
    </row>
    <row r="374" spans="1:13" s="629" customFormat="1" ht="15">
      <c r="B374" s="767"/>
      <c r="C374" s="1332" t="s">
        <v>1267</v>
      </c>
      <c r="D374" s="1015" t="s">
        <v>1268</v>
      </c>
      <c r="E374" s="1011">
        <f>_xlfn.XLOOKUP($C374,INPUT_DATA!$DU:$DU,INPUT_DATA!$DW:$DW)</f>
        <v>550927714.40999997</v>
      </c>
      <c r="F374" s="1014">
        <f>E374/$E$388</f>
        <v>4.8693386517135805E-2</v>
      </c>
      <c r="G374" s="1013">
        <f>_xlfn.XLOOKUP($C374,INPUT_DATA!$DU:$DU,INPUT_DATA!$DX:$DX)</f>
        <v>3486</v>
      </c>
      <c r="H374" s="1025">
        <f>G374/$G$388</f>
        <v>4.6374266671987865E-2</v>
      </c>
      <c r="M374" s="772"/>
    </row>
    <row r="375" spans="1:13" s="629" customFormat="1" ht="15">
      <c r="B375" s="767"/>
      <c r="C375" s="1332" t="s">
        <v>1269</v>
      </c>
      <c r="D375" s="1015" t="s">
        <v>1270</v>
      </c>
      <c r="E375" s="1011">
        <f>_xlfn.XLOOKUP($C375,INPUT_DATA!$DU:$DU,INPUT_DATA!$DW:$DW)</f>
        <v>2440568020.2800002</v>
      </c>
      <c r="F375" s="1014">
        <f>E375/$E$388</f>
        <v>0.21570801182170102</v>
      </c>
      <c r="G375" s="1013">
        <f>_xlfn.XLOOKUP($C375,INPUT_DATA!$DU:$DU,INPUT_DATA!$DX:$DX)</f>
        <v>21228</v>
      </c>
      <c r="H375" s="1025">
        <f>G375/$G$388</f>
        <v>0.28239613680807757</v>
      </c>
      <c r="M375" s="772"/>
    </row>
    <row r="376" spans="1:13" s="629" customFormat="1" ht="15">
      <c r="B376" s="767"/>
      <c r="C376" s="1009"/>
      <c r="D376" s="1017" t="s">
        <v>415</v>
      </c>
      <c r="E376" s="1018">
        <f>SUM(E373:E375)</f>
        <v>11314220550.59</v>
      </c>
      <c r="F376" s="1019">
        <f>SUM(F373:F375)</f>
        <v>1</v>
      </c>
      <c r="G376" s="1020">
        <f>SUM(G373:G375)</f>
        <v>75171</v>
      </c>
      <c r="H376" s="1019">
        <f>SUM(H373:H375)</f>
        <v>1</v>
      </c>
      <c r="M376" s="772"/>
    </row>
    <row r="377" spans="1:13" s="629" customFormat="1" ht="15">
      <c r="B377" s="767"/>
      <c r="C377" s="1009"/>
      <c r="D377" s="1029"/>
      <c r="E377" s="1030"/>
      <c r="F377" s="1031"/>
      <c r="G377" s="1032"/>
      <c r="H377" s="1031"/>
      <c r="M377" s="772"/>
    </row>
    <row r="378" spans="1:13" s="629" customFormat="1" ht="15">
      <c r="B378" s="767"/>
      <c r="C378" s="1009"/>
      <c r="D378" s="813"/>
      <c r="E378" s="1035"/>
      <c r="F378" s="1035"/>
      <c r="G378" s="1036"/>
      <c r="H378" s="1035"/>
      <c r="M378" s="772"/>
    </row>
    <row r="379" spans="1:13" s="629" customFormat="1" ht="15">
      <c r="B379" s="767"/>
      <c r="C379" s="1009"/>
      <c r="D379" s="813"/>
      <c r="E379" s="1035"/>
      <c r="F379" s="1035"/>
      <c r="G379" s="1036"/>
      <c r="H379" s="1035"/>
      <c r="M379" s="772"/>
    </row>
    <row r="380" spans="1:13" s="629" customFormat="1" ht="15">
      <c r="B380" s="767"/>
      <c r="C380" s="1009"/>
      <c r="D380" s="813"/>
      <c r="E380" s="1035"/>
      <c r="F380" s="1035"/>
      <c r="G380" s="1036"/>
      <c r="H380" s="1035"/>
      <c r="M380" s="772"/>
    </row>
    <row r="381" spans="1:13" s="629" customFormat="1" ht="24.6"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097" t="s">
        <v>443</v>
      </c>
      <c r="F383" s="2099"/>
      <c r="G383" s="2097" t="s">
        <v>444</v>
      </c>
      <c r="H383" s="2099"/>
      <c r="M383" s="772"/>
    </row>
    <row r="384" spans="1:13" s="629" customFormat="1" ht="15">
      <c r="B384" s="767"/>
      <c r="C384" s="1332" t="s">
        <v>1271</v>
      </c>
      <c r="D384" s="1010" t="s">
        <v>570</v>
      </c>
      <c r="E384" s="1011">
        <f>_xlfn.XLOOKUP($C384,INPUT_DATA!$DU:$DU,INPUT_DATA!$DW:$DW)</f>
        <v>9499085100.2000008</v>
      </c>
      <c r="F384" s="1014">
        <f>E384/$E$388</f>
        <v>0.83957043772711804</v>
      </c>
      <c r="G384" s="1013">
        <f>_xlfn.XLOOKUP($C384,INPUT_DATA!$DU:$DU,INPUT_DATA!$DX:$DX)</f>
        <v>60883</v>
      </c>
      <c r="H384" s="1025">
        <f>G384/$G$388</f>
        <v>0.809926700456293</v>
      </c>
      <c r="M384" s="772"/>
    </row>
    <row r="385" spans="2:13" s="629" customFormat="1" ht="15">
      <c r="B385" s="767"/>
      <c r="C385" s="1332" t="s">
        <v>1272</v>
      </c>
      <c r="D385" s="1015" t="s">
        <v>571</v>
      </c>
      <c r="E385" s="1011">
        <f>_xlfn.XLOOKUP($C385,INPUT_DATA!$DU:$DU,INPUT_DATA!$DW:$DW)</f>
        <v>1154692176.9100001</v>
      </c>
      <c r="F385" s="1014">
        <f>E385/$E$388</f>
        <v>0.1020567145343288</v>
      </c>
      <c r="G385" s="1013">
        <f>_xlfn.XLOOKUP($C385,INPUT_DATA!$DU:$DU,INPUT_DATA!$DX:$DX)</f>
        <v>7672</v>
      </c>
      <c r="H385" s="1025">
        <f>G385/$G$388</f>
        <v>0.10206063508533876</v>
      </c>
      <c r="M385" s="772"/>
    </row>
    <row r="386" spans="2:13" s="629" customFormat="1" ht="15">
      <c r="B386" s="767"/>
      <c r="C386" s="1332" t="s">
        <v>1273</v>
      </c>
      <c r="D386" s="1015" t="s">
        <v>572</v>
      </c>
      <c r="E386" s="1011">
        <f>_xlfn.XLOOKUP($C386,INPUT_DATA!$DU:$DU,INPUT_DATA!$DW:$DW)</f>
        <v>0</v>
      </c>
      <c r="F386" s="1014">
        <f>E386/$E$388</f>
        <v>0</v>
      </c>
      <c r="G386" s="1013">
        <f>_xlfn.XLOOKUP($C386,INPUT_DATA!$DU:$DU,INPUT_DATA!$DX:$DX)</f>
        <v>0</v>
      </c>
      <c r="H386" s="1025">
        <f>G386/$G$388</f>
        <v>0</v>
      </c>
      <c r="M386" s="772"/>
    </row>
    <row r="387" spans="2:13" s="629" customFormat="1" ht="15">
      <c r="B387" s="767"/>
      <c r="C387" s="1332" t="s">
        <v>1276</v>
      </c>
      <c r="D387" s="1016" t="s">
        <v>547</v>
      </c>
      <c r="E387" s="1011">
        <f>_xlfn.XLOOKUP($C387,INPUT_DATA!$DU:$DU,INPUT_DATA!$DW:$DW)</f>
        <v>660443273.48000002</v>
      </c>
      <c r="F387" s="1037">
        <f>E387/$E$388</f>
        <v>5.8372847738553231E-2</v>
      </c>
      <c r="G387" s="1013">
        <f>_xlfn.XLOOKUP($C387,INPUT_DATA!$DU:$DU,INPUT_DATA!$DX:$DX)</f>
        <v>6616</v>
      </c>
      <c r="H387" s="1025">
        <f>G387/$G$388</f>
        <v>8.801266445836825E-2</v>
      </c>
      <c r="M387" s="772"/>
    </row>
    <row r="388" spans="2:13" s="629" customFormat="1" ht="15">
      <c r="B388" s="767"/>
      <c r="C388" s="1009"/>
      <c r="D388" s="1017" t="s">
        <v>415</v>
      </c>
      <c r="E388" s="1018">
        <f>SUM(E384:E387)</f>
        <v>11314220550.59</v>
      </c>
      <c r="F388" s="1019">
        <f>SUM(F384:F387)</f>
        <v>1</v>
      </c>
      <c r="G388" s="1020">
        <f>SUM(G384:G387)</f>
        <v>75171</v>
      </c>
      <c r="H388" s="1019">
        <f>SUM(H384:H387)</f>
        <v>1</v>
      </c>
      <c r="M388" s="772"/>
    </row>
    <row r="389" spans="2:13" s="629" customFormat="1" ht="15">
      <c r="B389" s="767"/>
      <c r="C389" s="1009"/>
      <c r="D389" s="1029"/>
      <c r="E389" s="1030"/>
      <c r="F389" s="1031"/>
      <c r="G389" s="1032"/>
      <c r="H389" s="1031"/>
      <c r="M389" s="772"/>
    </row>
    <row r="390" spans="2:13" s="629" customFormat="1" ht="15">
      <c r="B390" s="767"/>
      <c r="C390" s="1009"/>
      <c r="D390" s="1029"/>
      <c r="E390" s="1030"/>
      <c r="F390" s="1031"/>
      <c r="G390" s="1032"/>
      <c r="H390" s="1031"/>
      <c r="M390" s="772"/>
    </row>
    <row r="391" spans="2:13" s="629" customFormat="1" ht="13.5" thickBot="1">
      <c r="B391" s="780"/>
      <c r="C391" s="1038"/>
      <c r="D391" s="1039"/>
      <c r="E391" s="1040"/>
      <c r="F391" s="1040"/>
      <c r="G391" s="1041"/>
      <c r="H391" s="1040"/>
      <c r="I391" s="1038"/>
      <c r="J391" s="1038"/>
      <c r="K391" s="1038"/>
      <c r="L391" s="1038"/>
      <c r="M391" s="784"/>
    </row>
    <row r="392" spans="2:13" ht="13.5"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7:F257"/>
    <mergeCell ref="G257:H257"/>
    <mergeCell ref="E265:F265"/>
    <mergeCell ref="G265:H265"/>
    <mergeCell ref="E383:F383"/>
    <mergeCell ref="G383:H383"/>
    <mergeCell ref="E299:F299"/>
    <mergeCell ref="G299:H299"/>
    <mergeCell ref="E320:F320"/>
    <mergeCell ref="G320:H320"/>
    <mergeCell ref="E339:F339"/>
    <mergeCell ref="G339:H339"/>
    <mergeCell ref="E372:F372"/>
    <mergeCell ref="G372:H372"/>
    <mergeCell ref="E281:F281"/>
    <mergeCell ref="G281:H281"/>
    <mergeCell ref="E329:F329"/>
    <mergeCell ref="G329:H329"/>
    <mergeCell ref="E365:F365"/>
    <mergeCell ref="G365:H365"/>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zoomScale="85" zoomScaleNormal="85" workbookViewId="0">
      <selection activeCell="A17" sqref="A17"/>
    </sheetView>
  </sheetViews>
  <sheetFormatPr defaultColWidth="9.140625" defaultRowHeight="12.75"/>
  <cols>
    <col min="1" max="1" width="1.140625" style="156" customWidth="1"/>
    <col min="2" max="2" width="31.5703125" style="3" bestFit="1" customWidth="1"/>
    <col min="3" max="3" width="17.85546875" style="3" bestFit="1" customWidth="1"/>
    <col min="4" max="4" width="17.42578125" style="3" bestFit="1" customWidth="1"/>
    <col min="5" max="5" width="19.42578125" style="3" customWidth="1"/>
    <col min="6"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3" bestFit="1" customWidth="1"/>
    <col min="44" max="45" width="14.5703125" style="83" customWidth="1"/>
    <col min="46" max="46" width="20.140625" style="83" bestFit="1" customWidth="1"/>
    <col min="47" max="48" width="14.5703125" style="83" customWidth="1"/>
    <col min="49" max="49" width="20.140625" style="83" bestFit="1" customWidth="1"/>
    <col min="50" max="51" width="14.5703125" style="83"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c r="B3" s="80"/>
      <c r="C3" s="80"/>
      <c r="D3" s="80"/>
      <c r="G3" s="80"/>
      <c r="H3" s="80"/>
      <c r="I3" s="80"/>
      <c r="J3" s="80"/>
      <c r="K3" s="80"/>
      <c r="L3" s="80"/>
      <c r="M3" s="80"/>
      <c r="N3" s="80"/>
      <c r="O3" s="80"/>
      <c r="P3" s="1213" t="s">
        <v>99</v>
      </c>
      <c r="Q3" s="1213">
        <f>'00 - Cover'!$F$17</f>
        <v>46022</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c r="B4" s="80"/>
      <c r="C4" s="80"/>
      <c r="D4" s="80"/>
      <c r="G4" s="80"/>
      <c r="H4" s="80"/>
      <c r="I4" s="80"/>
      <c r="J4" s="80"/>
      <c r="K4" s="80"/>
      <c r="L4" s="80"/>
      <c r="M4" s="80"/>
      <c r="N4" s="80"/>
      <c r="O4" s="80"/>
      <c r="P4" s="1213" t="s">
        <v>4</v>
      </c>
      <c r="Q4" s="1213">
        <f>'00 - Cover'!$F$19</f>
        <v>46042</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c r="B5" s="80"/>
      <c r="C5" s="80"/>
      <c r="D5" s="80"/>
      <c r="G5" s="80"/>
      <c r="H5" s="80"/>
      <c r="I5" s="80"/>
      <c r="J5" s="80"/>
      <c r="K5" s="80"/>
      <c r="L5" s="80"/>
      <c r="M5" s="80"/>
      <c r="N5" s="80"/>
      <c r="O5" s="80"/>
      <c r="P5" s="1213" t="s">
        <v>5</v>
      </c>
      <c r="Q5" s="1213">
        <f>'00 - Cover'!$F$20</f>
        <v>46049</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75">
      <c r="B8" s="1765"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5">
      <c r="J10" s="1834">
        <f>'02 - Monthly Asset Follow up'!M17+'02 - Monthly Asset Follow up'!BJ17+INPUT_DATA!BN4+INPUT_DATA!BN5-'04 - Repurchased Receivables'!AJ13+'02 - Monthly Asset Follow up'!AK17+'02 - Monthly Asset Follow up'!AL17+'02 - Monthly Asset Follow up'!AM17+'02 - Monthly Asset Follow up'!CJ17+'02 - Monthly Asset Follow up'!CK17+'02 - Monthly Asset Follow up'!CL17</f>
        <v>6929596.1399999997</v>
      </c>
      <c r="K10" s="156"/>
      <c r="L10" s="1834"/>
      <c r="M10" s="1835"/>
      <c r="N10" s="1836"/>
      <c r="O10" s="1835"/>
      <c r="P10" s="1854">
        <f>P17+M17+AQ17+BJ17+BL17+CP17</f>
        <v>11322699881.050001</v>
      </c>
      <c r="Q10" s="1837"/>
      <c r="R10" s="1834"/>
      <c r="S10" s="83"/>
      <c r="T10" s="83"/>
      <c r="U10" s="83"/>
      <c r="AQ10" s="88"/>
      <c r="BJ10" s="83">
        <v>413299.32</v>
      </c>
      <c r="BV10" s="83"/>
    </row>
    <row r="11" spans="2:103" ht="13.5" thickBot="1">
      <c r="B11" s="89"/>
      <c r="C11" s="1864"/>
      <c r="D11" s="1864"/>
      <c r="E11" s="1864"/>
      <c r="F11" s="1864"/>
      <c r="G11" s="1864"/>
      <c r="H11" s="1864"/>
      <c r="I11" s="1864"/>
      <c r="J11" s="1865"/>
      <c r="K11" s="1865"/>
      <c r="L11" s="1865"/>
      <c r="M11" s="1866">
        <f>P18-P17</f>
        <v>96319470.119998932</v>
      </c>
      <c r="N11" s="1867"/>
      <c r="O11" s="1868"/>
      <c r="P11" s="1869">
        <f>P17+AQ17+BL17+CP17</f>
        <v>11315780729.290001</v>
      </c>
      <c r="Q11" s="1870">
        <f>M17+AK17+BJ17+CJ17+CK17+AL17</f>
        <v>6923022.8799999999</v>
      </c>
      <c r="R11" s="1871">
        <f>Q11-'04 - Repurchased Receivables'!AO13</f>
        <v>0</v>
      </c>
      <c r="S11" s="1872"/>
      <c r="T11" s="1864"/>
      <c r="U11" s="1864"/>
      <c r="V11" s="1864"/>
      <c r="W11" s="1864"/>
      <c r="X11" s="1864"/>
      <c r="Y11" s="1864"/>
      <c r="Z11" s="1864"/>
      <c r="AA11" s="1864"/>
      <c r="AB11" s="1864"/>
      <c r="AC11" s="1864"/>
      <c r="AD11" s="1864"/>
      <c r="AE11" s="1864"/>
      <c r="AF11" s="1864"/>
      <c r="AG11" s="1864"/>
      <c r="AH11" s="1864"/>
      <c r="AI11" s="1864"/>
      <c r="AJ11" s="1864"/>
      <c r="AK11" s="1864"/>
      <c r="AL11" s="1864"/>
      <c r="AM11" s="1864"/>
      <c r="AN11" s="1864"/>
      <c r="AO11" s="1864"/>
      <c r="AP11" s="1864"/>
      <c r="AQ11" s="1873"/>
      <c r="AR11" s="1873"/>
      <c r="AS11" s="1873"/>
      <c r="AT11" s="1873"/>
      <c r="AU11" s="1873"/>
      <c r="AV11" s="1873"/>
      <c r="AW11" s="1873"/>
      <c r="AX11" s="1873"/>
      <c r="AY11" s="1873"/>
    </row>
    <row r="12" spans="2:103" ht="17.25" customHeight="1" thickBot="1">
      <c r="B12" s="89"/>
      <c r="C12" s="1874"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1862"/>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1863"/>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31" t="s">
        <v>44</v>
      </c>
      <c r="C14" s="1933" t="s">
        <v>45</v>
      </c>
      <c r="D14" s="1919" t="s">
        <v>46</v>
      </c>
      <c r="E14" s="1919" t="s">
        <v>47</v>
      </c>
      <c r="F14" s="1919" t="s">
        <v>48</v>
      </c>
      <c r="G14" s="1928" t="s">
        <v>49</v>
      </c>
      <c r="H14" s="1929"/>
      <c r="I14" s="1930"/>
      <c r="J14" s="1919" t="s">
        <v>50</v>
      </c>
      <c r="K14" s="1919" t="s">
        <v>51</v>
      </c>
      <c r="L14" s="1919" t="s">
        <v>1134</v>
      </c>
      <c r="M14" s="1919" t="s">
        <v>52</v>
      </c>
      <c r="N14" s="1919" t="s">
        <v>53</v>
      </c>
      <c r="O14" s="1921" t="s">
        <v>54</v>
      </c>
      <c r="P14" s="1923" t="s">
        <v>55</v>
      </c>
      <c r="Q14" s="1923" t="s">
        <v>56</v>
      </c>
      <c r="R14" s="1927"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925" t="s">
        <v>45</v>
      </c>
      <c r="BB14" s="1914" t="s">
        <v>47</v>
      </c>
      <c r="BC14" s="1914" t="s">
        <v>48</v>
      </c>
      <c r="BD14" s="1916" t="s">
        <v>49</v>
      </c>
      <c r="BE14" s="1917"/>
      <c r="BF14" s="1918"/>
      <c r="BG14" s="1914" t="s">
        <v>50</v>
      </c>
      <c r="BH14" s="1914" t="s">
        <v>51</v>
      </c>
      <c r="BI14" s="1914" t="s">
        <v>1134</v>
      </c>
      <c r="BJ14" s="1914" t="s">
        <v>52</v>
      </c>
      <c r="BK14" s="1914" t="s">
        <v>67</v>
      </c>
      <c r="BL14" s="1910" t="s">
        <v>54</v>
      </c>
      <c r="BM14" s="1910" t="s">
        <v>55</v>
      </c>
      <c r="BN14" s="1912"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32"/>
      <c r="C15" s="1934"/>
      <c r="D15" s="1920"/>
      <c r="E15" s="1920"/>
      <c r="F15" s="1920"/>
      <c r="G15" s="99" t="s">
        <v>68</v>
      </c>
      <c r="H15" s="110" t="s">
        <v>69</v>
      </c>
      <c r="I15" s="100" t="s">
        <v>70</v>
      </c>
      <c r="J15" s="1920"/>
      <c r="K15" s="1920"/>
      <c r="L15" s="1920"/>
      <c r="M15" s="1920"/>
      <c r="N15" s="1920"/>
      <c r="O15" s="1922"/>
      <c r="P15" s="1924"/>
      <c r="Q15" s="1924"/>
      <c r="R15" s="1924"/>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926"/>
      <c r="BB15" s="1915"/>
      <c r="BC15" s="1915"/>
      <c r="BD15" s="114" t="s">
        <v>68</v>
      </c>
      <c r="BE15" s="114" t="s">
        <v>69</v>
      </c>
      <c r="BF15" s="114" t="s">
        <v>70</v>
      </c>
      <c r="BG15" s="1915"/>
      <c r="BH15" s="1915"/>
      <c r="BI15" s="1915"/>
      <c r="BJ15" s="1915"/>
      <c r="BK15" s="1915"/>
      <c r="BL15" s="1911"/>
      <c r="BM15" s="1911"/>
      <c r="BN15" s="1913"/>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c r="B17" s="1252">
        <f>'00 - Cover'!F16</f>
        <v>46022</v>
      </c>
      <c r="C17" s="123">
        <f>IF($B17=0,"",SUMIFS(INPUT_DATA!C:C,INPUT_DATA!$A:$A,$B17,INPUT_DATA!$B:$B,"S"))</f>
        <v>11410540020.709999</v>
      </c>
      <c r="D17" s="124">
        <f>IF($B17=0,"",SUMIFS(INPUT_DATA!D:D,INPUT_DATA!$A:$A,$B17,INPUT_DATA!$B:$B,"S"))</f>
        <v>0</v>
      </c>
      <c r="E17" s="125">
        <f>IF($B17=0,"",SUMIFS(INPUT_DATA!E:E,INPUT_DATA!$A:$A,$B17,INPUT_DATA!$B:$B,"S"))</f>
        <v>58524038.359999999</v>
      </c>
      <c r="F17" s="125">
        <f>IF($B17=0,"",SUMIFS(INPUT_DATA!F:F,INPUT_DATA!$A:$A,$B17,INPUT_DATA!$B:$B,"S"))</f>
        <v>28299915.91</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998490.2</v>
      </c>
      <c r="L17" s="125">
        <f>IF($B17=0,"",SUMIFS(INPUT_DATA!L:L,INPUT_DATA!$A:$A,$B17,INPUT_DATA!$B:$B,"S"))</f>
        <v>0</v>
      </c>
      <c r="M17" s="125">
        <f>IF($B17=0,"",SUMIFS(INPUT_DATA!M:M,INPUT_DATA!$A:$A,$B17,INPUT_DATA!$B:$B,"S"))</f>
        <v>6666114.5899999999</v>
      </c>
      <c r="N17" s="125">
        <f>IF($B17=0,"",SUMIFS(INPUT_DATA!N:N,INPUT_DATA!$A:$A,$B17,INPUT_DATA!$B:$B,"S"))</f>
        <v>1830911.06</v>
      </c>
      <c r="O17" s="126">
        <f>IF($B17=0,"",C17+D17-E17-F17+G17+H17+I17-J17-K17-M17-N17-L17)</f>
        <v>11314220550.589998</v>
      </c>
      <c r="P17" s="127">
        <f>IF($B17=0,"",SUMIFS(INPUT_DATA!O:O,INPUT_DATA!$A:$A,$B17,INPUT_DATA!$B:$B,"S"))</f>
        <v>11314220550.59</v>
      </c>
      <c r="Q17" s="127">
        <f>IF($B17=0,"",O17-P17)</f>
        <v>-1.9073486328125E-6</v>
      </c>
      <c r="R17" s="127">
        <f>IF($B17=0,"",SUMIFS(INPUT_DATA!BL:BL,INPUT_DATA!$A:$A,$B17,INPUT_DATA!$B:$B,"S"))</f>
        <v>12559387.16</v>
      </c>
      <c r="S17" s="128">
        <f>IF($B17=0,"",SUMIFS(INPUT_DATA!P:P,INPUT_DATA!$A:$A,$B17,INPUT_DATA!$B:$B,"S"))</f>
        <v>556760.09</v>
      </c>
      <c r="T17" s="128">
        <f>IF($B17=0,"",SUMIFS(INPUT_DATA!Q:Q,INPUT_DATA!$A:$A,$B17,INPUT_DATA!$B:$B,"S"))</f>
        <v>115694.64</v>
      </c>
      <c r="U17" s="128">
        <f>IF($B17=0,"",SUMIFS(INPUT_DATA!R:R,INPUT_DATA!$A:$A,$B17,INPUT_DATA!$B:$B,"S"))</f>
        <v>0</v>
      </c>
      <c r="V17" s="128">
        <f>IF($B17=0,"",SUMIFS(INPUT_DATA!S:S,INPUT_DATA!$A:$A,$B17,INPUT_DATA!$B:$B,"S"))</f>
        <v>212463.82</v>
      </c>
      <c r="W17" s="128">
        <f>IF($B17=0,"",SUMIFS(INPUT_DATA!T:T,INPUT_DATA!$A:$A,$B17,INPUT_DATA!$B:$B,"S"))</f>
        <v>47612.74</v>
      </c>
      <c r="X17" s="128">
        <f>IF($B17=0,"",SUMIFS(INPUT_DATA!U:U,INPUT_DATA!$A:$A,$B17,INPUT_DATA!$B:$B,"S"))</f>
        <v>0</v>
      </c>
      <c r="Y17" s="128">
        <f>IF($B17=0,"",SUMIFS(INPUT_DATA!V:V,INPUT_DATA!$A:$A,$B17,INPUT_DATA!$B:$B,"S"))</f>
        <v>202390.91</v>
      </c>
      <c r="Z17" s="128">
        <f>IF($B17=0,"",SUMIFS(INPUT_DATA!W:W,INPUT_DATA!$A:$A,$B17,INPUT_DATA!$B:$B,"S"))</f>
        <v>39626.28</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1027.08</v>
      </c>
      <c r="AI17" s="128">
        <f>IF($B17=0,"",SUMIFS(INPUT_DATA!AF:AF,INPUT_DATA!$A:$A,$B17,INPUT_DATA!$B:$B,"S"))</f>
        <v>531</v>
      </c>
      <c r="AJ17" s="128">
        <f>IF($B17=0,"",SUMIFS(INPUT_DATA!AG:AG,INPUT_DATA!$A:$A,$B17,INPUT_DATA!$B:$B,"S"))</f>
        <v>0</v>
      </c>
      <c r="AK17" s="128">
        <f>IF($B17=0,"",SUMIFS(INPUT_DATA!AK:AK,INPUT_DATA!$A:$A,$B17,INPUT_DATA!$B:$B,"S"))</f>
        <v>1669.38</v>
      </c>
      <c r="AL17" s="128">
        <f>IF($B17=0,"",SUMIFS(INPUT_DATA!AL:AL,INPUT_DATA!$A:$A,$B17,INPUT_DATA!$B:$B,"S"))</f>
        <v>1130.08</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564136.53999999992</v>
      </c>
      <c r="AR17" s="130">
        <f t="shared" si="0"/>
        <v>122020.02</v>
      </c>
      <c r="AS17" s="131">
        <f t="shared" si="0"/>
        <v>0</v>
      </c>
      <c r="AT17" s="129">
        <f>IF($B17=0,"",SUMIFS(INPUT_DATA!AQ:AQ,INPUT_DATA!$A:$A,$B17,INPUT_DATA!$B:$B,"S"))</f>
        <v>564136.54</v>
      </c>
      <c r="AU17" s="130">
        <f>IF($B17=0,"",SUMIFS(INPUT_DATA!AR:AR,INPUT_DATA!$A:$A,$B17,INPUT_DATA!$B:$B,"S"))</f>
        <v>122020.02</v>
      </c>
      <c r="AV17" s="131">
        <f>IF($B17=0,"",SUMIFS(INPUT_DATA!AS:AS,INPUT_DATA!$A:$A,$B17,INPUT_DATA!$B:$B,"S"))</f>
        <v>0</v>
      </c>
      <c r="AW17" s="129">
        <f t="shared" ref="AW17:AY18" si="1">IF($B17=0,"",AQ17-AT17)</f>
        <v>-1.1641532182693481E-10</v>
      </c>
      <c r="AX17" s="130">
        <f t="shared" si="1"/>
        <v>0</v>
      </c>
      <c r="AY17" s="131">
        <f t="shared" si="1"/>
        <v>0</v>
      </c>
      <c r="AZ17" s="132"/>
      <c r="BA17" s="123">
        <f>IF($B17=0,"",SUMIFS(INPUT_DATA!C:C,INPUT_DATA!$A:$A,$B17,INPUT_DATA!$B:$B,"D"))</f>
        <v>253797.1</v>
      </c>
      <c r="BB17" s="133">
        <f>IF($B17=0,"",SUMIFS(INPUT_DATA!E:E,INPUT_DATA!$A:$A,$B17,INPUT_DATA!$B:$B,"D"))</f>
        <v>382967.3</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998490.2</v>
      </c>
      <c r="BI17" s="133">
        <f>IF($B17=0,"",SUMIFS(INPUT_DATA!L:L,INPUT_DATA!$A:$A,$B17,INPUT_DATA!$B:$B,"D"))</f>
        <v>0</v>
      </c>
      <c r="BJ17" s="133">
        <f>IF($B17=0,"",SUMIFS(INPUT_DATA!M:M,INPUT_DATA!$A:$A,$B17,INPUT_DATA!$B:$B,"D"))</f>
        <v>253037.17</v>
      </c>
      <c r="BK17" s="133">
        <f>IF($B17=0,"",SUMIFS(INPUT_DATA!N:N,INPUT_DATA!$A:$A,$B17,INPUT_DATA!$B:$B,"D"))</f>
        <v>0</v>
      </c>
      <c r="BL17" s="134">
        <f>IF($B17=0,"",BA17-BB17-BC17+BD17+BE17+BF17-BG17+BH17-BJ17-BK17)</f>
        <v>616282.82999999996</v>
      </c>
      <c r="BM17" s="134">
        <f>IF($B17=0,"",SUMIFS(INPUT_DATA!O:O,INPUT_DATA!$A:$A,$B17,INPUT_DATA!$B:$B,"D"))</f>
        <v>616282.82999999996</v>
      </c>
      <c r="BN17" s="134">
        <f>IF($B17=0,"",BL17-BM17)</f>
        <v>0</v>
      </c>
      <c r="BO17" s="123">
        <f>IF($B17=0,"",SUMIFS(INPUT_DATA!P:P,INPUT_DATA!$A:$A,$B17,INPUT_DATA!$B:$B,"D"))</f>
        <v>5018.46</v>
      </c>
      <c r="BP17" s="124">
        <f>IF($B17=0,"",SUMIFS(INPUT_DATA!Q:Q,INPUT_DATA!$A:$A,$B17,INPUT_DATA!$B:$B,"D"))</f>
        <v>1157.96</v>
      </c>
      <c r="BQ17" s="124">
        <f>IF($B17=0,"",SUMIFS(INPUT_DATA!R:R,INPUT_DATA!$A:$A,$B17,INPUT_DATA!$B:$B,"D"))</f>
        <v>0</v>
      </c>
      <c r="BR17" s="133">
        <f>IF($B17=0,"",SUMIFS(INPUT_DATA!S:S,INPUT_DATA!$A:$A,$B17,INPUT_DATA!$B:$B,"D"))</f>
        <v>378732.25</v>
      </c>
      <c r="BS17" s="133">
        <f>IF($B17=0,"",SUMIFS(INPUT_DATA!T:T,INPUT_DATA!$A:$A,$B17,INPUT_DATA!$B:$B,"D"))</f>
        <v>220.5</v>
      </c>
      <c r="BT17" s="133">
        <f>IF($B17=0,"",SUMIFS(INPUT_DATA!U:U,INPUT_DATA!$A:$A,$B17,INPUT_DATA!$B:$B,"D"))</f>
        <v>0</v>
      </c>
      <c r="BU17" s="133">
        <f>IF($B17=0,"",SUMIFS(INPUT_DATA!V:V,INPUT_DATA!$A:$A,$B17,INPUT_DATA!$B:$B,"D"))</f>
        <v>3983.18</v>
      </c>
      <c r="BV17" s="133">
        <f>IF($B17=0,"",SUMIFS(INPUT_DATA!W:W,INPUT_DATA!$A:$A,$B17,INPUT_DATA!$B:$B,"D"))</f>
        <v>1123.48</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1027.08</v>
      </c>
      <c r="CE17" s="133">
        <f>IF($B17=0,"",SUMIFS(INPUT_DATA!AF:AF,INPUT_DATA!$A:$A,$B17,INPUT_DATA!$B:$B,"D"))</f>
        <v>531</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1035.28</v>
      </c>
      <c r="CK17" s="135">
        <f>IF($B17=0,"",SUMIFS(INPUT_DATA!AL:AL,INPUT_DATA!$A:$A,$B17,INPUT_DATA!$B:$B,"D"))</f>
        <v>36.380000000000003</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379759.33</v>
      </c>
      <c r="CQ17" s="130">
        <f t="shared" ref="CQ17:CQ80" si="2">IF($B17=0,"",BP17+BS17-BV17-BY17-CB17+CE17-CK17-CN17+CH17)</f>
        <v>749.6</v>
      </c>
      <c r="CR17" s="130">
        <f t="shared" ref="CR17:CR80" si="3">IF($B17=0,"",BQ17+BT17-BW17-BZ17-CC17+CF17-CL17-CO17+CI17)</f>
        <v>0</v>
      </c>
      <c r="CS17" s="124">
        <f>IF($B17=0,"",SUMIFS(INPUT_DATA!AQ:AQ,INPUT_DATA!$A:$A,$B17,INPUT_DATA!$B:$B,"D"))</f>
        <v>379759.33</v>
      </c>
      <c r="CT17" s="124">
        <f>IF($B17=0,"",SUMIFS(INPUT_DATA!AR:AR,INPUT_DATA!$A:$A,$B17,INPUT_DATA!$B:$B,"D"))</f>
        <v>749.6</v>
      </c>
      <c r="CU17" s="124">
        <f>IF($B17=0,"",SUMIFS(INPUT_DATA!AS:AS,INPUT_DATA!$A:$A,$B17,INPUT_DATA!$B:$B,"D"))</f>
        <v>0</v>
      </c>
      <c r="CV17" s="124">
        <f t="shared" ref="CV17:CX20" si="4">IF($B17=0,"",CP17-CS17)</f>
        <v>0</v>
      </c>
      <c r="CW17" s="130">
        <f t="shared" si="4"/>
        <v>0</v>
      </c>
      <c r="CX17" s="136">
        <f t="shared" si="4"/>
        <v>0</v>
      </c>
      <c r="CY17" s="132"/>
      <c r="CZ17" s="1592"/>
    </row>
    <row r="18" spans="2:104">
      <c r="B18" s="137">
        <f>INPUT_DATA!CN5</f>
        <v>45991</v>
      </c>
      <c r="C18" s="139">
        <f>IF($B18=0,"",SUMIFS(INPUT_DATA!C:C,INPUT_DATA!$A:$A,$B18,INPUT_DATA!$B:$B,"S"))</f>
        <v>11501221849.950001</v>
      </c>
      <c r="D18" s="139">
        <f>IF($B18=0,"",SUMIFS(INPUT_DATA!D:D,INPUT_DATA!$A:$A,$B18,INPUT_DATA!$B:$B,"S"))</f>
        <v>0</v>
      </c>
      <c r="E18" s="140">
        <f>IF($B18=0,"",SUMIFS(INPUT_DATA!E:E,INPUT_DATA!$A:$A,$B18,INPUT_DATA!$B:$B,"S"))</f>
        <v>59631882.020000003</v>
      </c>
      <c r="F18" s="140">
        <f>IF($B18=0,"",SUMIFS(INPUT_DATA!F:F,INPUT_DATA!$A:$A,$B18,INPUT_DATA!$B:$B,"S"))</f>
        <v>24036133.25</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563823.34</v>
      </c>
      <c r="L18" s="140">
        <f>IF($B18=0,"",SUMIFS(INPUT_DATA!L:L,INPUT_DATA!$A:$A,$B18,INPUT_DATA!$B:$B,"S"))</f>
        <v>0</v>
      </c>
      <c r="M18" s="140">
        <f>IF($B18=0,"",SUMIFS(INPUT_DATA!M:M,INPUT_DATA!$A:$A,$B18,INPUT_DATA!$B:$B,"S"))</f>
        <v>4522273.3600000003</v>
      </c>
      <c r="N18" s="140">
        <f>IF($B18=0,"",SUMIFS(INPUT_DATA!N:N,INPUT_DATA!$A:$A,$B18,INPUT_DATA!$B:$B,"S"))</f>
        <v>1927717.27</v>
      </c>
      <c r="O18" s="141">
        <f>IF($B18=0,"",C18+D18-E18-F18+G18+H18+I18-J18-K18-M18-N18-L18)</f>
        <v>11410540020.709999</v>
      </c>
      <c r="P18" s="142">
        <f>IF($B18=0,"",SUMIFS(INPUT_DATA!O:O,INPUT_DATA!$A:$A,$B18,INPUT_DATA!$B:$B,"S"))</f>
        <v>11410540020.709999</v>
      </c>
      <c r="Q18" s="142">
        <f>IF($B18=0,"",O18-P18)</f>
        <v>0</v>
      </c>
      <c r="R18" s="142">
        <f>IF($B18=0,"",SUMIFS(INPUT_DATA!BL:BL,INPUT_DATA!$A:$A,$B18,INPUT_DATA!$B:$B,"S"))</f>
        <v>12539551.01</v>
      </c>
      <c r="S18" s="143">
        <f>IF($B18=0,"",SUMIFS(INPUT_DATA!P:P,INPUT_DATA!$A:$A,$B18,INPUT_DATA!$B:$B,"S"))</f>
        <v>401562.93</v>
      </c>
      <c r="T18" s="143">
        <f>IF($B18=0,"",SUMIFS(INPUT_DATA!Q:Q,INPUT_DATA!$A:$A,$B18,INPUT_DATA!$B:$B,"S"))</f>
        <v>77747.23</v>
      </c>
      <c r="U18" s="143">
        <f>IF($B18=0,"",SUMIFS(INPUT_DATA!R:R,INPUT_DATA!$A:$A,$B18,INPUT_DATA!$B:$B,"S"))</f>
        <v>0</v>
      </c>
      <c r="V18" s="144">
        <f>IF($B18=0,"",SUMIFS(INPUT_DATA!S:S,INPUT_DATA!$A:$A,$B18,INPUT_DATA!$B:$B,"S"))</f>
        <v>274989.53000000003</v>
      </c>
      <c r="W18" s="144">
        <f>IF($B18=0,"",SUMIFS(INPUT_DATA!T:T,INPUT_DATA!$A:$A,$B18,INPUT_DATA!$B:$B,"S"))</f>
        <v>60552.51</v>
      </c>
      <c r="X18" s="144">
        <f>IF($B18=0,"",SUMIFS(INPUT_DATA!U:U,INPUT_DATA!$A:$A,$B18,INPUT_DATA!$B:$B,"S"))</f>
        <v>0</v>
      </c>
      <c r="Y18" s="144">
        <f>IF($B18=0,"",SUMIFS(INPUT_DATA!V:V,INPUT_DATA!$A:$A,$B18,INPUT_DATA!$B:$B,"S"))</f>
        <v>114071.03999999999</v>
      </c>
      <c r="Z18" s="144">
        <f>IF($B18=0,"",SUMIFS(INPUT_DATA!W:W,INPUT_DATA!$A:$A,$B18,INPUT_DATA!$B:$B,"S"))</f>
        <v>21453.08</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5721.33</v>
      </c>
      <c r="AI18" s="144">
        <f>IF($B18=0,"",SUMIFS(INPUT_DATA!AF:AF,INPUT_DATA!$A:$A,$B18,INPUT_DATA!$B:$B,"S"))</f>
        <v>1152.02</v>
      </c>
      <c r="AJ18" s="144">
        <f>IF($B18=0,"",SUMIFS(INPUT_DATA!AG:AG,INPUT_DATA!$A:$A,$B18,INPUT_DATA!$B:$B,"S"))</f>
        <v>0</v>
      </c>
      <c r="AK18" s="144">
        <f>IF($B18=0,"",SUMIFS(INPUT_DATA!AK:AK,INPUT_DATA!$A:$A,$B18,INPUT_DATA!$B:$B,"S"))</f>
        <v>0</v>
      </c>
      <c r="AL18" s="144">
        <f>IF($B18=0,"",SUMIFS(INPUT_DATA!AL:AL,INPUT_DATA!$A:$A,$B18,INPUT_DATA!$B:$B,"S"))</f>
        <v>0</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556760.09</v>
      </c>
      <c r="AR18" s="146">
        <f t="shared" si="0"/>
        <v>115694.63999999998</v>
      </c>
      <c r="AS18" s="147">
        <f t="shared" si="0"/>
        <v>0</v>
      </c>
      <c r="AT18" s="145">
        <f>IF($B18=0,"",SUMIFS(INPUT_DATA!AQ:AQ,INPUT_DATA!$A:$A,$B18,INPUT_DATA!$B:$B,"S"))</f>
        <v>556760.09</v>
      </c>
      <c r="AU18" s="146">
        <f>IF($B18=0,"",SUMIFS(INPUT_DATA!AR:AR,INPUT_DATA!$A:$A,$B18,INPUT_DATA!$B:$B,"S"))</f>
        <v>115694.64</v>
      </c>
      <c r="AV18" s="147">
        <f>IF($B18=0,"",SUMIFS(INPUT_DATA!AS:AS,INPUT_DATA!$A:$A,$B18,INPUT_DATA!$B:$B,"S"))</f>
        <v>0</v>
      </c>
      <c r="AW18" s="145">
        <f t="shared" si="1"/>
        <v>0</v>
      </c>
      <c r="AX18" s="146">
        <f t="shared" si="1"/>
        <v>-1.4551915228366852E-11</v>
      </c>
      <c r="AY18" s="147">
        <f t="shared" si="1"/>
        <v>0</v>
      </c>
      <c r="AZ18" s="148"/>
      <c r="BA18" s="138">
        <f>IF($B18=0,"",SUMIFS(INPUT_DATA!C:C,INPUT_DATA!$A:$A,$B18,INPUT_DATA!$B:$B,"D"))</f>
        <v>210535.09</v>
      </c>
      <c r="BB18" s="149">
        <f>IF($B18=0,"",SUMIFS(INPUT_DATA!E:E,INPUT_DATA!$A:$A,$B18,INPUT_DATA!$B:$B,"D"))</f>
        <v>310026.23999999999</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563823.34</v>
      </c>
      <c r="BI18" s="149">
        <f>IF($B18=0,"",SUMIFS(INPUT_DATA!L:L,INPUT_DATA!$A:$A,$B18,INPUT_DATA!$B:$B,"D"))</f>
        <v>0</v>
      </c>
      <c r="BJ18" s="149">
        <f>IF($B18=0,"",SUMIFS(INPUT_DATA!M:M,INPUT_DATA!$A:$A,$B18,INPUT_DATA!$B:$B,"D"))</f>
        <v>210535.09</v>
      </c>
      <c r="BK18" s="149">
        <f>IF($B18=0,"",SUMIFS(INPUT_DATA!N:N,INPUT_DATA!$A:$A,$B18,INPUT_DATA!$B:$B,"D"))</f>
        <v>0</v>
      </c>
      <c r="BL18" s="150">
        <f t="shared" ref="BL18:BL81" si="5">IF($B18=0,"",AZ18+BA18-BB18-BC18+BD18+BE18+BF18-BG18+BH18-BJ18-BK18)</f>
        <v>253797.09999999995</v>
      </c>
      <c r="BM18" s="150">
        <f>IF($B18=0,"",SUMIFS(INPUT_DATA!O:O,INPUT_DATA!$A:$A,$B18,INPUT_DATA!$B:$B,"D"))</f>
        <v>253797.1</v>
      </c>
      <c r="BN18" s="150">
        <f>IF($B18=0,"",BL18-BM18)</f>
        <v>-5.8207660913467407E-11</v>
      </c>
      <c r="BO18" s="138">
        <f>IF($B18=0,"",SUMIFS(INPUT_DATA!P:P,INPUT_DATA!$A:$A,$B18,INPUT_DATA!$B:$B,"D"))</f>
        <v>19395.57</v>
      </c>
      <c r="BP18" s="151">
        <f>IF($B18=0,"",SUMIFS(INPUT_DATA!Q:Q,INPUT_DATA!$A:$A,$B18,INPUT_DATA!$B:$B,"D"))</f>
        <v>192.91</v>
      </c>
      <c r="BQ18" s="151">
        <f>IF($B18=0,"",SUMIFS(INPUT_DATA!R:R,INPUT_DATA!$A:$A,$B18,INPUT_DATA!$B:$B,"D"))</f>
        <v>0</v>
      </c>
      <c r="BR18" s="149">
        <f>IF($B18=0,"",SUMIFS(INPUT_DATA!S:S,INPUT_DATA!$A:$A,$B18,INPUT_DATA!$B:$B,"D"))</f>
        <v>1321.45</v>
      </c>
      <c r="BS18" s="149">
        <f>IF($B18=0,"",SUMIFS(INPUT_DATA!T:T,INPUT_DATA!$A:$A,$B18,INPUT_DATA!$B:$B,"D"))</f>
        <v>370.57</v>
      </c>
      <c r="BT18" s="149">
        <f>IF($B18=0,"",SUMIFS(INPUT_DATA!U:U,INPUT_DATA!$A:$A,$B18,INPUT_DATA!$B:$B,"D"))</f>
        <v>0</v>
      </c>
      <c r="BU18" s="149">
        <f>IF($B18=0,"",SUMIFS(INPUT_DATA!V:V,INPUT_DATA!$A:$A,$B18,INPUT_DATA!$B:$B,"D"))</f>
        <v>2024.32</v>
      </c>
      <c r="BV18" s="149">
        <f>IF($B18=0,"",SUMIFS(INPUT_DATA!W:W,INPUT_DATA!$A:$A,$B18,INPUT_DATA!$B:$B,"D"))</f>
        <v>364.63</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5721.33</v>
      </c>
      <c r="CE18" s="149">
        <f>IF($B18=0,"",SUMIFS(INPUT_DATA!AF:AF,INPUT_DATA!$A:$A,$B18,INPUT_DATA!$B:$B,"D"))</f>
        <v>1152.02</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19395.57</v>
      </c>
      <c r="CK18" s="140">
        <f>IF($B18=0,"",SUMIFS(INPUT_DATA!AL:AL,INPUT_DATA!$A:$A,$B18,INPUT_DATA!$B:$B,"D"))</f>
        <v>192.91</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5018.4599999999991</v>
      </c>
      <c r="CQ18" s="146">
        <f t="shared" si="2"/>
        <v>1157.9599999999998</v>
      </c>
      <c r="CR18" s="146">
        <f t="shared" si="3"/>
        <v>0</v>
      </c>
      <c r="CS18" s="151">
        <f>IF($B18=0,"",SUMIFS(INPUT_DATA!AQ:AQ,INPUT_DATA!$A:$A,$B18,INPUT_DATA!$B:$B,"D"))</f>
        <v>5018.46</v>
      </c>
      <c r="CT18" s="151">
        <f>IF($B18=0,"",SUMIFS(INPUT_DATA!AR:AR,INPUT_DATA!$A:$A,$B18,INPUT_DATA!$B:$B,"D"))</f>
        <v>1157.96</v>
      </c>
      <c r="CU18" s="151">
        <f>IF($B18=0,"",SUMIFS(INPUT_DATA!AS:AS,INPUT_DATA!$A:$A,$B18,INPUT_DATA!$B:$B,"D"))</f>
        <v>0</v>
      </c>
      <c r="CV18" s="151">
        <f t="shared" si="4"/>
        <v>-9.0949470177292824E-13</v>
      </c>
      <c r="CW18" s="146">
        <f t="shared" si="4"/>
        <v>-2.2737367544323206E-13</v>
      </c>
      <c r="CX18" s="152">
        <f t="shared" si="4"/>
        <v>0</v>
      </c>
      <c r="CY18" s="148"/>
    </row>
    <row r="19" spans="2:104">
      <c r="B19" s="137">
        <f>INPUT_DATA!CN6</f>
        <v>45961</v>
      </c>
      <c r="C19" s="139">
        <f>IF($B19=0,"",SUMIFS(INPUT_DATA!C:C,INPUT_DATA!$A:$A,$B19,INPUT_DATA!$B:$B,"S"))</f>
        <v>11613993146.950001</v>
      </c>
      <c r="D19" s="139">
        <f>IF($B19=0,"",SUMIFS(INPUT_DATA!D:D,INPUT_DATA!$A:$A,$B19,INPUT_DATA!$B:$B,"S"))</f>
        <v>0</v>
      </c>
      <c r="E19" s="140">
        <f>IF($B19=0,"",SUMIFS(INPUT_DATA!E:E,INPUT_DATA!$A:$A,$B19,INPUT_DATA!$B:$B,"S"))</f>
        <v>60920128.090000004</v>
      </c>
      <c r="F19" s="140">
        <f>IF($B19=0,"",SUMIFS(INPUT_DATA!F:F,INPUT_DATA!$A:$A,$B19,INPUT_DATA!$B:$B,"S"))</f>
        <v>30948441.43</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229091.41</v>
      </c>
      <c r="L19" s="140">
        <f>IF($B19=0,"",SUMIFS(INPUT_DATA!L:L,INPUT_DATA!$A:$A,$B19,INPUT_DATA!$B:$B,"S"))</f>
        <v>0</v>
      </c>
      <c r="M19" s="140">
        <f>IF($B19=0,"",SUMIFS(INPUT_DATA!M:M,INPUT_DATA!$A:$A,$B19,INPUT_DATA!$B:$B,"S"))</f>
        <v>17011954.719999999</v>
      </c>
      <c r="N19" s="140">
        <f>IF($B19=0,"",SUMIFS(INPUT_DATA!N:N,INPUT_DATA!$A:$A,$B19,INPUT_DATA!$B:$B,"S"))</f>
        <v>3661681.35</v>
      </c>
      <c r="O19" s="141">
        <f t="shared" ref="O19:O82" si="7">IF($B19=0,"",C19+D19-E19-F19+G19+H19+I19-J19-K19-M19-N19-L19)</f>
        <v>11501221849.950001</v>
      </c>
      <c r="P19" s="142">
        <f>IF($B19=0,"",SUMIFS(INPUT_DATA!O:O,INPUT_DATA!$A:$A,$B19,INPUT_DATA!$B:$B,"S"))</f>
        <v>11501221849.950001</v>
      </c>
      <c r="Q19" s="142">
        <f t="shared" ref="Q19:Q82" si="8">IF($B19=0,"",O19-P19)</f>
        <v>0</v>
      </c>
      <c r="R19" s="142">
        <f>IF($B19=0,"",SUMIFS(INPUT_DATA!BL:BL,INPUT_DATA!$A:$A,$B19,INPUT_DATA!$B:$B,"S"))</f>
        <v>12775388.98</v>
      </c>
      <c r="S19" s="143">
        <f>IF($B19=0,"",SUMIFS(INPUT_DATA!P:P,INPUT_DATA!$A:$A,$B19,INPUT_DATA!$B:$B,"S"))</f>
        <v>337301.18</v>
      </c>
      <c r="T19" s="143">
        <f>IF($B19=0,"",SUMIFS(INPUT_DATA!Q:Q,INPUT_DATA!$A:$A,$B19,INPUT_DATA!$B:$B,"S"))</f>
        <v>63173.58</v>
      </c>
      <c r="U19" s="143">
        <f>IF($B19=0,"",SUMIFS(INPUT_DATA!R:R,INPUT_DATA!$A:$A,$B19,INPUT_DATA!$B:$B,"S"))</f>
        <v>0</v>
      </c>
      <c r="V19" s="144">
        <f>IF($B19=0,"",SUMIFS(INPUT_DATA!S:S,INPUT_DATA!$A:$A,$B19,INPUT_DATA!$B:$B,"S"))</f>
        <v>218614.39</v>
      </c>
      <c r="W19" s="144">
        <f>IF($B19=0,"",SUMIFS(INPUT_DATA!T:T,INPUT_DATA!$A:$A,$B19,INPUT_DATA!$B:$B,"S"))</f>
        <v>39904.74</v>
      </c>
      <c r="X19" s="144">
        <f>IF($B19=0,"",SUMIFS(INPUT_DATA!U:U,INPUT_DATA!$A:$A,$B19,INPUT_DATA!$B:$B,"S"))</f>
        <v>0</v>
      </c>
      <c r="Y19" s="144">
        <f>IF($B19=0,"",SUMIFS(INPUT_DATA!V:V,INPUT_DATA!$A:$A,$B19,INPUT_DATA!$B:$B,"S"))</f>
        <v>149461.65</v>
      </c>
      <c r="Z19" s="144">
        <f>IF($B19=0,"",SUMIFS(INPUT_DATA!W:W,INPUT_DATA!$A:$A,$B19,INPUT_DATA!$B:$B,"S"))</f>
        <v>24638.29</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1821.86</v>
      </c>
      <c r="AI19" s="144">
        <f>IF($B19=0,"",SUMIFS(INPUT_DATA!AF:AF,INPUT_DATA!$A:$A,$B19,INPUT_DATA!$B:$B,"S"))</f>
        <v>166.55</v>
      </c>
      <c r="AJ19" s="144">
        <f>IF($B19=0,"",SUMIFS(INPUT_DATA!AG:AG,INPUT_DATA!$A:$A,$B19,INPUT_DATA!$B:$B,"S"))</f>
        <v>0</v>
      </c>
      <c r="AK19" s="144">
        <f>IF($B19=0,"",SUMIFS(INPUT_DATA!AK:AK,INPUT_DATA!$A:$A,$B19,INPUT_DATA!$B:$B,"S"))</f>
        <v>3069.13</v>
      </c>
      <c r="AL19" s="144">
        <f>IF($B19=0,"",SUMIFS(INPUT_DATA!AL:AL,INPUT_DATA!$A:$A,$B19,INPUT_DATA!$B:$B,"S"))</f>
        <v>526.25</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401562.93000000005</v>
      </c>
      <c r="AR19" s="146">
        <f t="shared" ref="AR19:AR82" si="10">IF($B19=0,"",T19+W19-Z19-AC19-AF19-AI19-AL19-AO19)</f>
        <v>77747.23</v>
      </c>
      <c r="AS19" s="147">
        <f t="shared" ref="AS19:AS82" si="11">IF($B19=0,"",U19+X19-AA19-AD19-AG19-AJ19-AM19-AP19)</f>
        <v>0</v>
      </c>
      <c r="AT19" s="145">
        <f>IF($B19=0,"",SUMIFS(INPUT_DATA!AQ:AQ,INPUT_DATA!$A:$A,$B19,INPUT_DATA!$B:$B,"S"))</f>
        <v>401562.93</v>
      </c>
      <c r="AU19" s="146">
        <f>IF($B19=0,"",SUMIFS(INPUT_DATA!AR:AR,INPUT_DATA!$A:$A,$B19,INPUT_DATA!$B:$B,"S"))</f>
        <v>77747.23</v>
      </c>
      <c r="AV19" s="147">
        <f>IF($B19=0,"",SUMIFS(INPUT_DATA!AS:AS,INPUT_DATA!$A:$A,$B19,INPUT_DATA!$B:$B,"S"))</f>
        <v>0</v>
      </c>
      <c r="AW19" s="145">
        <f t="shared" ref="AW19:AW82" si="12">IF($B19=0,"",AQ19-AT19)</f>
        <v>5.8207660913467407E-11</v>
      </c>
      <c r="AX19" s="146">
        <f t="shared" ref="AX19:AX82" si="13">IF($B19=0,"",AR19-AU19)</f>
        <v>0</v>
      </c>
      <c r="AY19" s="147">
        <f t="shared" ref="AY19:AY82" si="14">IF($B19=0,"",AS19-AV19)</f>
        <v>0</v>
      </c>
      <c r="AZ19" s="148"/>
      <c r="BA19" s="138">
        <f>IF($B19=0,"",SUMIFS(INPUT_DATA!C:C,INPUT_DATA!$A:$A,$B19,INPUT_DATA!$B:$B,"D"))</f>
        <v>0</v>
      </c>
      <c r="BB19" s="149">
        <f>IF($B19=0,"",SUMIFS(INPUT_DATA!E:E,INPUT_DATA!$A:$A,$B19,INPUT_DATA!$B:$B,"D"))</f>
        <v>18556.32</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229091.41</v>
      </c>
      <c r="BI19" s="149">
        <f>IF($B19=0,"",SUMIFS(INPUT_DATA!L:L,INPUT_DATA!$A:$A,$B19,INPUT_DATA!$B:$B,"D"))</f>
        <v>0</v>
      </c>
      <c r="BJ19" s="149">
        <f>IF($B19=0,"",SUMIFS(INPUT_DATA!M:M,INPUT_DATA!$A:$A,$B19,INPUT_DATA!$B:$B,"D"))</f>
        <v>0</v>
      </c>
      <c r="BK19" s="149">
        <f>IF($B19=0,"",SUMIFS(INPUT_DATA!N:N,INPUT_DATA!$A:$A,$B19,INPUT_DATA!$B:$B,"D"))</f>
        <v>0</v>
      </c>
      <c r="BL19" s="150">
        <f t="shared" si="5"/>
        <v>210535.09</v>
      </c>
      <c r="BM19" s="150">
        <f>IF($B19=0,"",SUMIFS(INPUT_DATA!O:O,INPUT_DATA!$A:$A,$B19,INPUT_DATA!$B:$B,"D"))</f>
        <v>210535.09</v>
      </c>
      <c r="BN19" s="150">
        <f t="shared" ref="BN19:BN82" si="15">IF($B19=0,"",BL19-BM19)</f>
        <v>0</v>
      </c>
      <c r="BO19" s="138">
        <f>IF($B19=0,"",SUMIFS(INPUT_DATA!P:P,INPUT_DATA!$A:$A,$B19,INPUT_DATA!$B:$B,"D"))</f>
        <v>0</v>
      </c>
      <c r="BP19" s="151">
        <f>IF($B19=0,"",SUMIFS(INPUT_DATA!Q:Q,INPUT_DATA!$A:$A,$B19,INPUT_DATA!$B:$B,"D"))</f>
        <v>0</v>
      </c>
      <c r="BQ19" s="151">
        <f>IF($B19=0,"",SUMIFS(INPUT_DATA!R:R,INPUT_DATA!$A:$A,$B19,INPUT_DATA!$B:$B,"D"))</f>
        <v>0</v>
      </c>
      <c r="BR19" s="149">
        <f>IF($B19=0,"",SUMIFS(INPUT_DATA!S:S,INPUT_DATA!$A:$A,$B19,INPUT_DATA!$B:$B,"D"))</f>
        <v>17573.71</v>
      </c>
      <c r="BS19" s="149">
        <f>IF($B19=0,"",SUMIFS(INPUT_DATA!T:T,INPUT_DATA!$A:$A,$B19,INPUT_DATA!$B:$B,"D"))</f>
        <v>26.36</v>
      </c>
      <c r="BT19" s="149">
        <f>IF($B19=0,"",SUMIFS(INPUT_DATA!U:U,INPUT_DATA!$A:$A,$B19,INPUT_DATA!$B:$B,"D"))</f>
        <v>0</v>
      </c>
      <c r="BU19" s="149">
        <f>IF($B19=0,"",SUMIFS(INPUT_DATA!V:V,INPUT_DATA!$A:$A,$B19,INPUT_DATA!$B:$B,"D"))</f>
        <v>0</v>
      </c>
      <c r="BV19" s="149">
        <f>IF($B19=0,"",SUMIFS(INPUT_DATA!W:W,INPUT_DATA!$A:$A,$B19,INPUT_DATA!$B:$B,"D"))</f>
        <v>0</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1821.86</v>
      </c>
      <c r="CE19" s="149">
        <f>IF($B19=0,"",SUMIFS(INPUT_DATA!AF:AF,INPUT_DATA!$A:$A,$B19,INPUT_DATA!$B:$B,"D"))</f>
        <v>166.55</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0</v>
      </c>
      <c r="CK19" s="140">
        <f>IF($B19=0,"",SUMIFS(INPUT_DATA!AL:AL,INPUT_DATA!$A:$A,$B19,INPUT_DATA!$B:$B,"D"))</f>
        <v>0</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19395.57</v>
      </c>
      <c r="CQ19" s="146">
        <f t="shared" si="16"/>
        <v>192.91000000000003</v>
      </c>
      <c r="CR19" s="146">
        <f t="shared" si="16"/>
        <v>0</v>
      </c>
      <c r="CS19" s="151">
        <f>IF($B19=0,"",SUMIFS(INPUT_DATA!AQ:AQ,INPUT_DATA!$A:$A,$B19,INPUT_DATA!$B:$B,"D"))</f>
        <v>19395.57</v>
      </c>
      <c r="CT19" s="151">
        <f>IF($B19=0,"",SUMIFS(INPUT_DATA!AR:AR,INPUT_DATA!$A:$A,$B19,INPUT_DATA!$B:$B,"D"))</f>
        <v>192.91</v>
      </c>
      <c r="CU19" s="151">
        <f>IF($B19=0,"",SUMIFS(INPUT_DATA!AS:AS,INPUT_DATA!$A:$A,$B19,INPUT_DATA!$B:$B,"D"))</f>
        <v>0</v>
      </c>
      <c r="CV19" s="151">
        <f t="shared" si="4"/>
        <v>0</v>
      </c>
      <c r="CW19" s="146">
        <f t="shared" si="4"/>
        <v>2.8421709430404007E-14</v>
      </c>
      <c r="CX19" s="152">
        <f t="shared" si="4"/>
        <v>0</v>
      </c>
      <c r="CY19" s="148"/>
      <c r="CZ19" s="83"/>
    </row>
    <row r="20" spans="2:104">
      <c r="B20" s="137">
        <f>INPUT_DATA!CN7</f>
        <v>45930</v>
      </c>
      <c r="C20" s="139">
        <f>IF($B20=0,"",SUMIFS(INPUT_DATA!C:C,INPUT_DATA!$A:$A,$B20,INPUT_DATA!$B:$B,"S"))</f>
        <v>7430770897.8500004</v>
      </c>
      <c r="D20" s="139">
        <f>IF($B20=0,"",SUMIFS(INPUT_DATA!D:D,INPUT_DATA!$A:$A,$B20,INPUT_DATA!$B:$B,"S"))</f>
        <v>4246326267.73</v>
      </c>
      <c r="E20" s="140">
        <f>IF($B20=0,"",SUMIFS(INPUT_DATA!E:E,INPUT_DATA!$A:$A,$B20,INPUT_DATA!$B:$B,"S"))</f>
        <v>40886125.289999999</v>
      </c>
      <c r="F20" s="140">
        <f>IF($B20=0,"",SUMIFS(INPUT_DATA!F:F,INPUT_DATA!$A:$A,$B20,INPUT_DATA!$B:$B,"S"))</f>
        <v>18140271.010000002</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414679.66</v>
      </c>
      <c r="L20" s="140">
        <f>IF($B20=0,"",SUMIFS(INPUT_DATA!L:L,INPUT_DATA!$A:$A,$B20,INPUT_DATA!$B:$B,"S"))</f>
        <v>0</v>
      </c>
      <c r="M20" s="140">
        <f>IF($B20=0,"",SUMIFS(INPUT_DATA!M:M,INPUT_DATA!$A:$A,$B20,INPUT_DATA!$B:$B,"S"))</f>
        <v>3662942.67</v>
      </c>
      <c r="N20" s="140">
        <f>IF($B20=0,"",SUMIFS(INPUT_DATA!N:N,INPUT_DATA!$A:$A,$B20,INPUT_DATA!$B:$B,"S"))</f>
        <v>0</v>
      </c>
      <c r="O20" s="141">
        <f t="shared" si="7"/>
        <v>11613993146.949999</v>
      </c>
      <c r="P20" s="142">
        <f>IF($B20=0,"",SUMIFS(INPUT_DATA!O:O,INPUT_DATA!$A:$A,$B20,INPUT_DATA!$B:$B,"S"))</f>
        <v>11613993146.950001</v>
      </c>
      <c r="Q20" s="142">
        <f t="shared" si="8"/>
        <v>-1.9073486328125E-6</v>
      </c>
      <c r="R20" s="142">
        <f>IF($B20=0,"",SUMIFS(INPUT_DATA!BL:BL,INPUT_DATA!$A:$A,$B20,INPUT_DATA!$B:$B,"S"))</f>
        <v>12728722.32</v>
      </c>
      <c r="S20" s="143">
        <f>IF($B20=0,"",SUMIFS(INPUT_DATA!P:P,INPUT_DATA!$A:$A,$B20,INPUT_DATA!$B:$B,"S"))</f>
        <v>556818.38</v>
      </c>
      <c r="T20" s="143">
        <f>IF($B20=0,"",SUMIFS(INPUT_DATA!Q:Q,INPUT_DATA!$A:$A,$B20,INPUT_DATA!$B:$B,"S"))</f>
        <v>104028.52</v>
      </c>
      <c r="U20" s="143">
        <f>IF($B20=0,"",SUMIFS(INPUT_DATA!R:R,INPUT_DATA!$A:$A,$B20,INPUT_DATA!$B:$B,"S"))</f>
        <v>0</v>
      </c>
      <c r="V20" s="144">
        <f>IF($B20=0,"",SUMIFS(INPUT_DATA!S:S,INPUT_DATA!$A:$A,$B20,INPUT_DATA!$B:$B,"S"))</f>
        <v>127109.58</v>
      </c>
      <c r="W20" s="144">
        <f>IF($B20=0,"",SUMIFS(INPUT_DATA!T:T,INPUT_DATA!$A:$A,$B20,INPUT_DATA!$B:$B,"S"))</f>
        <v>23600.81</v>
      </c>
      <c r="X20" s="144">
        <f>IF($B20=0,"",SUMIFS(INPUT_DATA!U:U,INPUT_DATA!$A:$A,$B20,INPUT_DATA!$B:$B,"S"))</f>
        <v>0</v>
      </c>
      <c r="Y20" s="144">
        <f>IF($B20=0,"",SUMIFS(INPUT_DATA!V:V,INPUT_DATA!$A:$A,$B20,INPUT_DATA!$B:$B,"S"))</f>
        <v>343243.5</v>
      </c>
      <c r="Z20" s="144">
        <f>IF($B20=0,"",SUMIFS(INPUT_DATA!W:W,INPUT_DATA!$A:$A,$B20,INPUT_DATA!$B:$B,"S"))</f>
        <v>64031.839999999997</v>
      </c>
      <c r="AA20" s="144">
        <f>IF($B20=0,"",SUMIFS(INPUT_DATA!X:X,INPUT_DATA!$A:$A,$B20,INPUT_DATA!$B:$B,"S"))</f>
        <v>0</v>
      </c>
      <c r="AB20" s="144">
        <f>IF($B20=0,"",SUMIFS(INPUT_DATA!Y:Y,INPUT_DATA!$A:$A,$B20,INPUT_DATA!$B:$B,"S"))</f>
        <v>339.56</v>
      </c>
      <c r="AC20" s="144">
        <f>IF($B20=0,"",SUMIFS(INPUT_DATA!Z:Z,INPUT_DATA!$A:$A,$B20,INPUT_DATA!$B:$B,"S"))</f>
        <v>57.87</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1384.77</v>
      </c>
      <c r="AI20" s="144">
        <f>IF($B20=0,"",SUMIFS(INPUT_DATA!AF:AF,INPUT_DATA!$A:$A,$B20,INPUT_DATA!$B:$B,"S"))</f>
        <v>342.25</v>
      </c>
      <c r="AJ20" s="144">
        <f>IF($B20=0,"",SUMIFS(INPUT_DATA!AG:AG,INPUT_DATA!$A:$A,$B20,INPUT_DATA!$B:$B,"S"))</f>
        <v>0</v>
      </c>
      <c r="AK20" s="144">
        <f>IF($B20=0,"",SUMIFS(INPUT_DATA!AK:AK,INPUT_DATA!$A:$A,$B20,INPUT_DATA!$B:$B,"S"))</f>
        <v>1658.95</v>
      </c>
      <c r="AL20" s="144">
        <f>IF($B20=0,"",SUMIFS(INPUT_DATA!AL:AL,INPUT_DATA!$A:$A,$B20,INPUT_DATA!$B:$B,"S"))</f>
        <v>23.79</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337301.17999999993</v>
      </c>
      <c r="AR20" s="146">
        <f t="shared" si="10"/>
        <v>63173.58</v>
      </c>
      <c r="AS20" s="147">
        <f t="shared" si="11"/>
        <v>0</v>
      </c>
      <c r="AT20" s="145">
        <f>IF($B20=0,"",SUMIFS(INPUT_DATA!AQ:AQ,INPUT_DATA!$A:$A,$B20,INPUT_DATA!$B:$B,"S"))</f>
        <v>337301.18</v>
      </c>
      <c r="AU20" s="146">
        <f>IF($B20=0,"",SUMIFS(INPUT_DATA!AR:AR,INPUT_DATA!$A:$A,$B20,INPUT_DATA!$B:$B,"S"))</f>
        <v>63173.58</v>
      </c>
      <c r="AV20" s="147">
        <f>IF($B20=0,"",SUMIFS(INPUT_DATA!AS:AS,INPUT_DATA!$A:$A,$B20,INPUT_DATA!$B:$B,"S"))</f>
        <v>0</v>
      </c>
      <c r="AW20" s="145">
        <f t="shared" si="12"/>
        <v>-5.8207660913467407E-11</v>
      </c>
      <c r="AX20" s="146">
        <f t="shared" si="13"/>
        <v>0</v>
      </c>
      <c r="AY20" s="147">
        <f t="shared" si="14"/>
        <v>0</v>
      </c>
      <c r="AZ20" s="148"/>
      <c r="BA20" s="138">
        <f>IF($B20=0,"",SUMIFS(INPUT_DATA!C:C,INPUT_DATA!$A:$A,$B20,INPUT_DATA!$B:$B,"D"))</f>
        <v>324731.81</v>
      </c>
      <c r="BB20" s="149">
        <f>IF($B20=0,"",SUMIFS(INPUT_DATA!E:E,INPUT_DATA!$A:$A,$B20,INPUT_DATA!$B:$B,"D"))</f>
        <v>1380.34</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414679.66</v>
      </c>
      <c r="BI20" s="149">
        <f>IF($B20=0,"",SUMIFS(INPUT_DATA!L:L,INPUT_DATA!$A:$A,$B20,INPUT_DATA!$B:$B,"D"))</f>
        <v>0</v>
      </c>
      <c r="BJ20" s="149">
        <f>IF($B20=0,"",SUMIFS(INPUT_DATA!M:M,INPUT_DATA!$A:$A,$B20,INPUT_DATA!$B:$B,"D"))</f>
        <v>738031.13</v>
      </c>
      <c r="BK20" s="149">
        <f>IF($B20=0,"",SUMIFS(INPUT_DATA!N:N,INPUT_DATA!$A:$A,$B20,INPUT_DATA!$B:$B,"D"))</f>
        <v>0</v>
      </c>
      <c r="BL20" s="150">
        <f t="shared" si="5"/>
        <v>-1.1641532182693481E-10</v>
      </c>
      <c r="BM20" s="150">
        <f>IF($B20=0,"",SUMIFS(INPUT_DATA!O:O,INPUT_DATA!$A:$A,$B20,INPUT_DATA!$B:$B,"D"))</f>
        <v>0</v>
      </c>
      <c r="BN20" s="150">
        <f t="shared" si="15"/>
        <v>-1.1641532182693481E-10</v>
      </c>
      <c r="BO20" s="138">
        <f>IF($B20=0,"",SUMIFS(INPUT_DATA!P:P,INPUT_DATA!$A:$A,$B20,INPUT_DATA!$B:$B,"D"))</f>
        <v>0</v>
      </c>
      <c r="BP20" s="151">
        <f>IF($B20=0,"",SUMIFS(INPUT_DATA!Q:Q,INPUT_DATA!$A:$A,$B20,INPUT_DATA!$B:$B,"D"))</f>
        <v>0</v>
      </c>
      <c r="BQ20" s="151">
        <f>IF($B20=0,"",SUMIFS(INPUT_DATA!R:R,INPUT_DATA!$A:$A,$B20,INPUT_DATA!$B:$B,"D"))</f>
        <v>0</v>
      </c>
      <c r="BR20" s="149">
        <f>IF($B20=0,"",SUMIFS(INPUT_DATA!S:S,INPUT_DATA!$A:$A,$B20,INPUT_DATA!$B:$B,"D"))</f>
        <v>119.79</v>
      </c>
      <c r="BS20" s="149">
        <f>IF($B20=0,"",SUMIFS(INPUT_DATA!T:T,INPUT_DATA!$A:$A,$B20,INPUT_DATA!$B:$B,"D"))</f>
        <v>36.96</v>
      </c>
      <c r="BT20" s="149">
        <f>IF($B20=0,"",SUMIFS(INPUT_DATA!U:U,INPUT_DATA!$A:$A,$B20,INPUT_DATA!$B:$B,"D"))</f>
        <v>0</v>
      </c>
      <c r="BU20" s="149">
        <f>IF($B20=0,"",SUMIFS(INPUT_DATA!V:V,INPUT_DATA!$A:$A,$B20,INPUT_DATA!$B:$B,"D"))</f>
        <v>81.849999999999994</v>
      </c>
      <c r="BV20" s="149">
        <f>IF($B20=0,"",SUMIFS(INPUT_DATA!W:W,INPUT_DATA!$A:$A,$B20,INPUT_DATA!$B:$B,"D"))</f>
        <v>64.900000000000006</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1384.77</v>
      </c>
      <c r="CE20" s="149">
        <f>IF($B20=0,"",SUMIFS(INPUT_DATA!AF:AF,INPUT_DATA!$A:$A,$B20,INPUT_DATA!$B:$B,"D"))</f>
        <v>342.25</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1422.71</v>
      </c>
      <c r="CK20" s="140">
        <f>IF($B20=0,"",SUMIFS(INPUT_DATA!AL:AL,INPUT_DATA!$A:$A,$B20,INPUT_DATA!$B:$B,"D"))</f>
        <v>314.31</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0</v>
      </c>
      <c r="CQ20" s="146">
        <f t="shared" si="16"/>
        <v>0</v>
      </c>
      <c r="CR20" s="146">
        <f t="shared" si="16"/>
        <v>0</v>
      </c>
      <c r="CS20" s="151">
        <f>IF($B20=0,"",SUMIFS(INPUT_DATA!AQ:AQ,INPUT_DATA!$A:$A,$B20,INPUT_DATA!$B:$B,"D"))</f>
        <v>0</v>
      </c>
      <c r="CT20" s="151">
        <f>IF($B20=0,"",SUMIFS(INPUT_DATA!AR:AR,INPUT_DATA!$A:$A,$B20,INPUT_DATA!$B:$B,"D"))</f>
        <v>0</v>
      </c>
      <c r="CU20" s="151">
        <f>IF($B20=0,"",SUMIFS(INPUT_DATA!AS:AS,INPUT_DATA!$A:$A,$B20,INPUT_DATA!$B:$B,"D"))</f>
        <v>0</v>
      </c>
      <c r="CV20" s="151">
        <f t="shared" si="4"/>
        <v>0</v>
      </c>
      <c r="CW20" s="146">
        <f t="shared" si="4"/>
        <v>0</v>
      </c>
      <c r="CX20" s="152">
        <f t="shared" si="4"/>
        <v>0</v>
      </c>
      <c r="CY20" s="148"/>
    </row>
    <row r="21" spans="2:104">
      <c r="B21" s="137">
        <f>INPUT_DATA!CN8</f>
        <v>45900</v>
      </c>
      <c r="C21" s="139">
        <f>IF($B21=0,"",SUMIFS(INPUT_DATA!C:C,INPUT_DATA!$A:$A,$B21,INPUT_DATA!$B:$B,"S"))</f>
        <v>7501402080.4799995</v>
      </c>
      <c r="D21" s="139">
        <f>IF($B21=0,"",SUMIFS(INPUT_DATA!D:D,INPUT_DATA!$A:$A,$B21,INPUT_DATA!$B:$B,"S"))</f>
        <v>0</v>
      </c>
      <c r="E21" s="140">
        <f>IF($B21=0,"",SUMIFS(INPUT_DATA!E:E,INPUT_DATA!$A:$A,$B21,INPUT_DATA!$B:$B,"S"))</f>
        <v>41134016</v>
      </c>
      <c r="F21" s="140">
        <f>IF($B21=0,"",SUMIFS(INPUT_DATA!F:F,INPUT_DATA!$A:$A,$B21,INPUT_DATA!$B:$B,"S"))</f>
        <v>24368146.75</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325275.99</v>
      </c>
      <c r="L21" s="140">
        <f>IF($B21=0,"",SUMIFS(INPUT_DATA!L:L,INPUT_DATA!$A:$A,$B21,INPUT_DATA!$B:$B,"S"))</f>
        <v>0</v>
      </c>
      <c r="M21" s="140">
        <f>IF($B21=0,"",SUMIFS(INPUT_DATA!M:M,INPUT_DATA!$A:$A,$B21,INPUT_DATA!$B:$B,"S"))</f>
        <v>4803743.8899999997</v>
      </c>
      <c r="N21" s="140">
        <f>IF($B21=0,"",SUMIFS(INPUT_DATA!N:N,INPUT_DATA!$A:$A,$B21,INPUT_DATA!$B:$B,"S"))</f>
        <v>0</v>
      </c>
      <c r="O21" s="141">
        <f t="shared" si="7"/>
        <v>7430770897.8499994</v>
      </c>
      <c r="P21" s="142">
        <f>IF($B21=0,"",SUMIFS(INPUT_DATA!O:O,INPUT_DATA!$A:$A,$B21,INPUT_DATA!$B:$B,"S"))</f>
        <v>7430770897.8500004</v>
      </c>
      <c r="Q21" s="142">
        <f t="shared" si="8"/>
        <v>-9.5367431640625E-7</v>
      </c>
      <c r="R21" s="142">
        <f>IF($B21=0,"",SUMIFS(INPUT_DATA!BL:BL,INPUT_DATA!$A:$A,$B21,INPUT_DATA!$B:$B,"S"))</f>
        <v>7344940.4400000004</v>
      </c>
      <c r="S21" s="143">
        <f>IF($B21=0,"",SUMIFS(INPUT_DATA!P:P,INPUT_DATA!$A:$A,$B21,INPUT_DATA!$B:$B,"S"))</f>
        <v>486832.33</v>
      </c>
      <c r="T21" s="143">
        <f>IF($B21=0,"",SUMIFS(INPUT_DATA!Q:Q,INPUT_DATA!$A:$A,$B21,INPUT_DATA!$B:$B,"S"))</f>
        <v>104936.02</v>
      </c>
      <c r="U21" s="143">
        <f>IF($B21=0,"",SUMIFS(INPUT_DATA!R:R,INPUT_DATA!$A:$A,$B21,INPUT_DATA!$B:$B,"S"))</f>
        <v>0</v>
      </c>
      <c r="V21" s="144">
        <f>IF($B21=0,"",SUMIFS(INPUT_DATA!S:S,INPUT_DATA!$A:$A,$B21,INPUT_DATA!$B:$B,"S"))</f>
        <v>209210.51</v>
      </c>
      <c r="W21" s="144">
        <f>IF($B21=0,"",SUMIFS(INPUT_DATA!T:T,INPUT_DATA!$A:$A,$B21,INPUT_DATA!$B:$B,"S"))</f>
        <v>35903.72</v>
      </c>
      <c r="X21" s="144">
        <f>IF($B21=0,"",SUMIFS(INPUT_DATA!U:U,INPUT_DATA!$A:$A,$B21,INPUT_DATA!$B:$B,"S"))</f>
        <v>0</v>
      </c>
      <c r="Y21" s="144">
        <f>IF($B21=0,"",SUMIFS(INPUT_DATA!V:V,INPUT_DATA!$A:$A,$B21,INPUT_DATA!$B:$B,"S"))</f>
        <v>139224.46</v>
      </c>
      <c r="Z21" s="144">
        <f>IF($B21=0,"",SUMIFS(INPUT_DATA!W:W,INPUT_DATA!$A:$A,$B21,INPUT_DATA!$B:$B,"S"))</f>
        <v>36811.22</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0</v>
      </c>
      <c r="AI21" s="144">
        <f>IF($B21=0,"",SUMIFS(INPUT_DATA!AF:AF,INPUT_DATA!$A:$A,$B21,INPUT_DATA!$B:$B,"S"))</f>
        <v>0</v>
      </c>
      <c r="AJ21" s="144">
        <f>IF($B21=0,"",SUMIFS(INPUT_DATA!AG:AG,INPUT_DATA!$A:$A,$B21,INPUT_DATA!$B:$B,"S"))</f>
        <v>0</v>
      </c>
      <c r="AK21" s="144">
        <f>IF($B21=0,"",SUMIFS(INPUT_DATA!AK:AK,INPUT_DATA!$A:$A,$B21,INPUT_DATA!$B:$B,"S"))</f>
        <v>0</v>
      </c>
      <c r="AL21" s="144">
        <f>IF($B21=0,"",SUMIFS(INPUT_DATA!AL:AL,INPUT_DATA!$A:$A,$B21,INPUT_DATA!$B:$B,"S"))</f>
        <v>0</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556818.38000000012</v>
      </c>
      <c r="AR21" s="146">
        <f t="shared" si="10"/>
        <v>104028.51999999999</v>
      </c>
      <c r="AS21" s="147">
        <f t="shared" si="11"/>
        <v>0</v>
      </c>
      <c r="AT21" s="145">
        <f>IF($B21=0,"",SUMIFS(INPUT_DATA!AQ:AQ,INPUT_DATA!$A:$A,$B21,INPUT_DATA!$B:$B,"S"))</f>
        <v>556818.38</v>
      </c>
      <c r="AU21" s="146">
        <f>IF($B21=0,"",SUMIFS(INPUT_DATA!AR:AR,INPUT_DATA!$A:$A,$B21,INPUT_DATA!$B:$B,"S"))</f>
        <v>104028.52</v>
      </c>
      <c r="AV21" s="147">
        <f>IF($B21=0,"",SUMIFS(INPUT_DATA!AS:AS,INPUT_DATA!$A:$A,$B21,INPUT_DATA!$B:$B,"S"))</f>
        <v>0</v>
      </c>
      <c r="AW21" s="145">
        <f t="shared" si="12"/>
        <v>1.1641532182693481E-10</v>
      </c>
      <c r="AX21" s="146">
        <f t="shared" si="13"/>
        <v>-1.4551915228366852E-11</v>
      </c>
      <c r="AY21" s="147">
        <f t="shared" si="14"/>
        <v>0</v>
      </c>
      <c r="AZ21" s="148"/>
      <c r="BA21" s="138">
        <f>IF($B21=0,"",SUMIFS(INPUT_DATA!C:C,INPUT_DATA!$A:$A,$B21,INPUT_DATA!$B:$B,"D"))</f>
        <v>616580.66</v>
      </c>
      <c r="BB21" s="149">
        <f>IF($B21=0,"",SUMIFS(INPUT_DATA!E:E,INPUT_DATA!$A:$A,$B21,INPUT_DATA!$B:$B,"D"))</f>
        <v>1716.2</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325275.99</v>
      </c>
      <c r="BI21" s="149">
        <f>IF($B21=0,"",SUMIFS(INPUT_DATA!L:L,INPUT_DATA!$A:$A,$B21,INPUT_DATA!$B:$B,"D"))</f>
        <v>0</v>
      </c>
      <c r="BJ21" s="149">
        <f>IF($B21=0,"",SUMIFS(INPUT_DATA!M:M,INPUT_DATA!$A:$A,$B21,INPUT_DATA!$B:$B,"D"))</f>
        <v>615408.64000000001</v>
      </c>
      <c r="BK21" s="149">
        <f>IF($B21=0,"",SUMIFS(INPUT_DATA!N:N,INPUT_DATA!$A:$A,$B21,INPUT_DATA!$B:$B,"D"))</f>
        <v>0</v>
      </c>
      <c r="BL21" s="150">
        <f t="shared" si="5"/>
        <v>324731.81000000006</v>
      </c>
      <c r="BM21" s="150">
        <f>IF($B21=0,"",SUMIFS(INPUT_DATA!O:O,INPUT_DATA!$A:$A,$B21,INPUT_DATA!$B:$B,"D"))</f>
        <v>324731.81</v>
      </c>
      <c r="BN21" s="150">
        <f t="shared" si="15"/>
        <v>5.8207660913467407E-11</v>
      </c>
      <c r="BO21" s="138">
        <f>IF($B21=0,"",SUMIFS(INPUT_DATA!P:P,INPUT_DATA!$A:$A,$B21,INPUT_DATA!$B:$B,"D"))</f>
        <v>2694.84</v>
      </c>
      <c r="BP21" s="151">
        <f>IF($B21=0,"",SUMIFS(INPUT_DATA!Q:Q,INPUT_DATA!$A:$A,$B21,INPUT_DATA!$B:$B,"D"))</f>
        <v>248.83</v>
      </c>
      <c r="BQ21" s="151">
        <f>IF($B21=0,"",SUMIFS(INPUT_DATA!R:R,INPUT_DATA!$A:$A,$B21,INPUT_DATA!$B:$B,"D"))</f>
        <v>0</v>
      </c>
      <c r="BR21" s="149">
        <f>IF($B21=0,"",SUMIFS(INPUT_DATA!S:S,INPUT_DATA!$A:$A,$B21,INPUT_DATA!$B:$B,"D"))</f>
        <v>0</v>
      </c>
      <c r="BS21" s="149">
        <f>IF($B21=0,"",SUMIFS(INPUT_DATA!T:T,INPUT_DATA!$A:$A,$B21,INPUT_DATA!$B:$B,"D"))</f>
        <v>0</v>
      </c>
      <c r="BT21" s="149">
        <f>IF($B21=0,"",SUMIFS(INPUT_DATA!U:U,INPUT_DATA!$A:$A,$B21,INPUT_DATA!$B:$B,"D"))</f>
        <v>0</v>
      </c>
      <c r="BU21" s="149">
        <f>IF($B21=0,"",SUMIFS(INPUT_DATA!V:V,INPUT_DATA!$A:$A,$B21,INPUT_DATA!$B:$B,"D"))</f>
        <v>0</v>
      </c>
      <c r="BV21" s="149">
        <f>IF($B21=0,"",SUMIFS(INPUT_DATA!W:W,INPUT_DATA!$A:$A,$B21,INPUT_DATA!$B:$B,"D"))</f>
        <v>0</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0</v>
      </c>
      <c r="CE21" s="149">
        <f>IF($B21=0,"",SUMIFS(INPUT_DATA!AF:AF,INPUT_DATA!$A:$A,$B21,INPUT_DATA!$B:$B,"D"))</f>
        <v>0</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2694.84</v>
      </c>
      <c r="CK21" s="140">
        <f>IF($B21=0,"",SUMIFS(INPUT_DATA!AL:AL,INPUT_DATA!$A:$A,$B21,INPUT_DATA!$B:$B,"D"))</f>
        <v>248.83</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0</v>
      </c>
      <c r="CQ21" s="146">
        <f t="shared" si="16"/>
        <v>0</v>
      </c>
      <c r="CR21" s="146">
        <f t="shared" si="16"/>
        <v>0</v>
      </c>
      <c r="CS21" s="151">
        <f>IF($B21=0,"",SUMIFS(INPUT_DATA!AQ:AQ,INPUT_DATA!$A:$A,$B21,INPUT_DATA!$B:$B,"D"))</f>
        <v>0</v>
      </c>
      <c r="CT21" s="151">
        <f>IF($B21=0,"",SUMIFS(INPUT_DATA!AR:AR,INPUT_DATA!$A:$A,$B21,INPUT_DATA!$B:$B,"D"))</f>
        <v>0</v>
      </c>
      <c r="CU21" s="151">
        <f>IF($B21=0,"",SUMIFS(INPUT_DATA!AS:AS,INPUT_DATA!$A:$A,$B21,INPUT_DATA!$B:$B,"D"))</f>
        <v>0</v>
      </c>
      <c r="CV21" s="151">
        <f t="shared" ref="CV21:CV84" si="17">IF($B21=0,"",CP21-CS21)</f>
        <v>0</v>
      </c>
      <c r="CW21" s="146">
        <f t="shared" ref="CW21:CW84" si="18">IF($B21=0,"",CQ21-CT21)</f>
        <v>0</v>
      </c>
      <c r="CX21" s="152">
        <f t="shared" ref="CX21:CX84" si="19">IF($B21=0,"",CR21-CU21)</f>
        <v>0</v>
      </c>
      <c r="CY21" s="148"/>
    </row>
    <row r="22" spans="2:104">
      <c r="B22" s="137">
        <f>INPUT_DATA!CN9</f>
        <v>45869</v>
      </c>
      <c r="C22" s="139">
        <f>IF($B22=0,"",SUMIFS(INPUT_DATA!C:C,INPUT_DATA!$A:$A,$B22,INPUT_DATA!$B:$B,"S"))</f>
        <v>7570005186.9899998</v>
      </c>
      <c r="D22" s="139">
        <f>IF($B22=0,"",SUMIFS(INPUT_DATA!D:D,INPUT_DATA!$A:$A,$B22,INPUT_DATA!$B:$B,"S"))</f>
        <v>0</v>
      </c>
      <c r="E22" s="140">
        <f>IF($B22=0,"",SUMIFS(INPUT_DATA!E:E,INPUT_DATA!$A:$A,$B22,INPUT_DATA!$B:$B,"S"))</f>
        <v>41404450.689999998</v>
      </c>
      <c r="F22" s="140">
        <f>IF($B22=0,"",SUMIFS(INPUT_DATA!F:F,INPUT_DATA!$A:$A,$B22,INPUT_DATA!$B:$B,"S"))</f>
        <v>23530806</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619098.98</v>
      </c>
      <c r="L22" s="140">
        <f>IF($B22=0,"",SUMIFS(INPUT_DATA!L:L,INPUT_DATA!$A:$A,$B22,INPUT_DATA!$B:$B,"S"))</f>
        <v>0</v>
      </c>
      <c r="M22" s="140">
        <f>IF($B22=0,"",SUMIFS(INPUT_DATA!M:M,INPUT_DATA!$A:$A,$B22,INPUT_DATA!$B:$B,"S"))</f>
        <v>3048750.84</v>
      </c>
      <c r="N22" s="140">
        <f>IF($B22=0,"",SUMIFS(INPUT_DATA!N:N,INPUT_DATA!$A:$A,$B22,INPUT_DATA!$B:$B,"S"))</f>
        <v>0</v>
      </c>
      <c r="O22" s="141">
        <f t="shared" si="7"/>
        <v>7501402080.4800005</v>
      </c>
      <c r="P22" s="142">
        <f>IF($B22=0,"",SUMIFS(INPUT_DATA!O:O,INPUT_DATA!$A:$A,$B22,INPUT_DATA!$B:$B,"S"))</f>
        <v>7501402080.4799995</v>
      </c>
      <c r="Q22" s="142">
        <f t="shared" si="8"/>
        <v>9.5367431640625E-7</v>
      </c>
      <c r="R22" s="142">
        <f>IF($B22=0,"",SUMIFS(INPUT_DATA!BL:BL,INPUT_DATA!$A:$A,$B22,INPUT_DATA!$B:$B,"S"))</f>
        <v>7414518.2800000003</v>
      </c>
      <c r="S22" s="143">
        <f>IF($B22=0,"",SUMIFS(INPUT_DATA!P:P,INPUT_DATA!$A:$A,$B22,INPUT_DATA!$B:$B,"S"))</f>
        <v>468786.21</v>
      </c>
      <c r="T22" s="143">
        <f>IF($B22=0,"",SUMIFS(INPUT_DATA!Q:Q,INPUT_DATA!$A:$A,$B22,INPUT_DATA!$B:$B,"S"))</f>
        <v>91992.76</v>
      </c>
      <c r="U22" s="143">
        <f>IF($B22=0,"",SUMIFS(INPUT_DATA!R:R,INPUT_DATA!$A:$A,$B22,INPUT_DATA!$B:$B,"S"))</f>
        <v>0</v>
      </c>
      <c r="V22" s="144">
        <f>IF($B22=0,"",SUMIFS(INPUT_DATA!S:S,INPUT_DATA!$A:$A,$B22,INPUT_DATA!$B:$B,"S"))</f>
        <v>185325.96</v>
      </c>
      <c r="W22" s="144">
        <f>IF($B22=0,"",SUMIFS(INPUT_DATA!T:T,INPUT_DATA!$A:$A,$B22,INPUT_DATA!$B:$B,"S"))</f>
        <v>45370.559999999998</v>
      </c>
      <c r="X22" s="144">
        <f>IF($B22=0,"",SUMIFS(INPUT_DATA!U:U,INPUT_DATA!$A:$A,$B22,INPUT_DATA!$B:$B,"S"))</f>
        <v>0</v>
      </c>
      <c r="Y22" s="144">
        <f>IF($B22=0,"",SUMIFS(INPUT_DATA!V:V,INPUT_DATA!$A:$A,$B22,INPUT_DATA!$B:$B,"S"))</f>
        <v>164764.35</v>
      </c>
      <c r="Z22" s="144">
        <f>IF($B22=0,"",SUMIFS(INPUT_DATA!W:W,INPUT_DATA!$A:$A,$B22,INPUT_DATA!$B:$B,"S"))</f>
        <v>32176.720000000001</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2515.4899999999998</v>
      </c>
      <c r="AI22" s="144">
        <f>IF($B22=0,"",SUMIFS(INPUT_DATA!AF:AF,INPUT_DATA!$A:$A,$B22,INPUT_DATA!$B:$B,"S"))</f>
        <v>250.58</v>
      </c>
      <c r="AJ22" s="144">
        <f>IF($B22=0,"",SUMIFS(INPUT_DATA!AG:AG,INPUT_DATA!$A:$A,$B22,INPUT_DATA!$B:$B,"S"))</f>
        <v>0</v>
      </c>
      <c r="AK22" s="144">
        <f>IF($B22=0,"",SUMIFS(INPUT_DATA!AK:AK,INPUT_DATA!$A:$A,$B22,INPUT_DATA!$B:$B,"S"))</f>
        <v>0</v>
      </c>
      <c r="AL22" s="144">
        <f>IF($B22=0,"",SUMIFS(INPUT_DATA!AL:AL,INPUT_DATA!$A:$A,$B22,INPUT_DATA!$B:$B,"S"))</f>
        <v>0</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486832.33000000007</v>
      </c>
      <c r="AR22" s="146">
        <f t="shared" si="10"/>
        <v>104936.02</v>
      </c>
      <c r="AS22" s="147">
        <f t="shared" si="11"/>
        <v>0</v>
      </c>
      <c r="AT22" s="145">
        <f>IF($B22=0,"",SUMIFS(INPUT_DATA!AQ:AQ,INPUT_DATA!$A:$A,$B22,INPUT_DATA!$B:$B,"S"))</f>
        <v>486832.33</v>
      </c>
      <c r="AU22" s="146">
        <f>IF($B22=0,"",SUMIFS(INPUT_DATA!AR:AR,INPUT_DATA!$A:$A,$B22,INPUT_DATA!$B:$B,"S"))</f>
        <v>104936.02</v>
      </c>
      <c r="AV22" s="147">
        <f>IF($B22=0,"",SUMIFS(INPUT_DATA!AS:AS,INPUT_DATA!$A:$A,$B22,INPUT_DATA!$B:$B,"S"))</f>
        <v>0</v>
      </c>
      <c r="AW22" s="145">
        <f t="shared" si="12"/>
        <v>5.8207660913467407E-11</v>
      </c>
      <c r="AX22" s="146">
        <f t="shared" si="13"/>
        <v>0</v>
      </c>
      <c r="AY22" s="147">
        <f t="shared" si="14"/>
        <v>0</v>
      </c>
      <c r="AZ22" s="148"/>
      <c r="BA22" s="138">
        <f>IF($B22=0,"",SUMIFS(INPUT_DATA!C:C,INPUT_DATA!$A:$A,$B22,INPUT_DATA!$B:$B,"D"))</f>
        <v>180457.8</v>
      </c>
      <c r="BB22" s="149">
        <f>IF($B22=0,"",SUMIFS(INPUT_DATA!E:E,INPUT_DATA!$A:$A,$B22,INPUT_DATA!$B:$B,"D"))</f>
        <v>2915.56</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619098.98</v>
      </c>
      <c r="BI22" s="149">
        <f>IF($B22=0,"",SUMIFS(INPUT_DATA!L:L,INPUT_DATA!$A:$A,$B22,INPUT_DATA!$B:$B,"D"))</f>
        <v>0</v>
      </c>
      <c r="BJ22" s="149">
        <f>IF($B22=0,"",SUMIFS(INPUT_DATA!M:M,INPUT_DATA!$A:$A,$B22,INPUT_DATA!$B:$B,"D"))</f>
        <v>180060.56</v>
      </c>
      <c r="BK22" s="149">
        <f>IF($B22=0,"",SUMIFS(INPUT_DATA!N:N,INPUT_DATA!$A:$A,$B22,INPUT_DATA!$B:$B,"D"))</f>
        <v>0</v>
      </c>
      <c r="BL22" s="150">
        <f t="shared" si="5"/>
        <v>616580.65999999992</v>
      </c>
      <c r="BM22" s="150">
        <f>IF($B22=0,"",SUMIFS(INPUT_DATA!O:O,INPUT_DATA!$A:$A,$B22,INPUT_DATA!$B:$B,"D"))</f>
        <v>616580.66</v>
      </c>
      <c r="BN22" s="150">
        <f t="shared" si="15"/>
        <v>-1.1641532182693481E-10</v>
      </c>
      <c r="BO22" s="138">
        <f>IF($B22=0,"",SUMIFS(INPUT_DATA!P:P,INPUT_DATA!$A:$A,$B22,INPUT_DATA!$B:$B,"D"))</f>
        <v>2013.48</v>
      </c>
      <c r="BP22" s="151">
        <f>IF($B22=0,"",SUMIFS(INPUT_DATA!Q:Q,INPUT_DATA!$A:$A,$B22,INPUT_DATA!$B:$B,"D"))</f>
        <v>100.74</v>
      </c>
      <c r="BQ22" s="151">
        <f>IF($B22=0,"",SUMIFS(INPUT_DATA!R:R,INPUT_DATA!$A:$A,$B22,INPUT_DATA!$B:$B,"D"))</f>
        <v>0</v>
      </c>
      <c r="BR22" s="149">
        <f>IF($B22=0,"",SUMIFS(INPUT_DATA!S:S,INPUT_DATA!$A:$A,$B22,INPUT_DATA!$B:$B,"D"))</f>
        <v>179.35</v>
      </c>
      <c r="BS22" s="149">
        <f>IF($B22=0,"",SUMIFS(INPUT_DATA!T:T,INPUT_DATA!$A:$A,$B22,INPUT_DATA!$B:$B,"D"))</f>
        <v>0</v>
      </c>
      <c r="BT22" s="149">
        <f>IF($B22=0,"",SUMIFS(INPUT_DATA!U:U,INPUT_DATA!$A:$A,$B22,INPUT_DATA!$B:$B,"D"))</f>
        <v>0</v>
      </c>
      <c r="BU22" s="149">
        <f>IF($B22=0,"",SUMIFS(INPUT_DATA!V:V,INPUT_DATA!$A:$A,$B22,INPUT_DATA!$B:$B,"D"))</f>
        <v>2013.48</v>
      </c>
      <c r="BV22" s="149">
        <f>IF($B22=0,"",SUMIFS(INPUT_DATA!W:W,INPUT_DATA!$A:$A,$B22,INPUT_DATA!$B:$B,"D"))</f>
        <v>102.49</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2515.4899999999998</v>
      </c>
      <c r="CE22" s="149">
        <f>IF($B22=0,"",SUMIFS(INPUT_DATA!AF:AF,INPUT_DATA!$A:$A,$B22,INPUT_DATA!$B:$B,"D"))</f>
        <v>250.58</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0</v>
      </c>
      <c r="CK22" s="140">
        <f>IF($B22=0,"",SUMIFS(INPUT_DATA!AL:AL,INPUT_DATA!$A:$A,$B22,INPUT_DATA!$B:$B,"D"))</f>
        <v>0</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2694.8399999999997</v>
      </c>
      <c r="CQ22" s="146">
        <f t="shared" si="2"/>
        <v>248.83</v>
      </c>
      <c r="CR22" s="146">
        <f t="shared" si="3"/>
        <v>0</v>
      </c>
      <c r="CS22" s="151">
        <f>IF($B22=0,"",SUMIFS(INPUT_DATA!AQ:AQ,INPUT_DATA!$A:$A,$B22,INPUT_DATA!$B:$B,"D"))</f>
        <v>2694.84</v>
      </c>
      <c r="CT22" s="151">
        <f>IF($B22=0,"",SUMIFS(INPUT_DATA!AR:AR,INPUT_DATA!$A:$A,$B22,INPUT_DATA!$B:$B,"D"))</f>
        <v>248.83</v>
      </c>
      <c r="CU22" s="151">
        <f>IF($B22=0,"",SUMIFS(INPUT_DATA!AS:AS,INPUT_DATA!$A:$A,$B22,INPUT_DATA!$B:$B,"D"))</f>
        <v>0</v>
      </c>
      <c r="CV22" s="151">
        <f t="shared" si="17"/>
        <v>-4.5474735088646412E-13</v>
      </c>
      <c r="CW22" s="146">
        <f t="shared" si="18"/>
        <v>0</v>
      </c>
      <c r="CX22" s="152">
        <f t="shared" si="19"/>
        <v>0</v>
      </c>
      <c r="CY22" s="148"/>
    </row>
    <row r="23" spans="2:104">
      <c r="B23" s="137">
        <f>INPUT_DATA!CN10</f>
        <v>45838</v>
      </c>
      <c r="C23" s="139">
        <f>IF($B23=0,"",SUMIFS(INPUT_DATA!C:C,INPUT_DATA!$A:$A,$B23,INPUT_DATA!$B:$B,"S"))</f>
        <v>7635175945.3199997</v>
      </c>
      <c r="D23" s="139">
        <f>IF($B23=0,"",SUMIFS(INPUT_DATA!D:D,INPUT_DATA!$A:$A,$B23,INPUT_DATA!$B:$B,"S"))</f>
        <v>0</v>
      </c>
      <c r="E23" s="140">
        <f>IF($B23=0,"",SUMIFS(INPUT_DATA!E:E,INPUT_DATA!$A:$A,$B23,INPUT_DATA!$B:$B,"S"))</f>
        <v>41396387.259999998</v>
      </c>
      <c r="F23" s="140">
        <f>IF($B23=0,"",SUMIFS(INPUT_DATA!F:F,INPUT_DATA!$A:$A,$B23,INPUT_DATA!$B:$B,"S"))</f>
        <v>17402933.100000001</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183346.71</v>
      </c>
      <c r="L23" s="140">
        <f>IF($B23=0,"",SUMIFS(INPUT_DATA!L:L,INPUT_DATA!$A:$A,$B23,INPUT_DATA!$B:$B,"S"))</f>
        <v>0</v>
      </c>
      <c r="M23" s="140">
        <f>IF($B23=0,"",SUMIFS(INPUT_DATA!M:M,INPUT_DATA!$A:$A,$B23,INPUT_DATA!$B:$B,"S"))</f>
        <v>6188091.2599999998</v>
      </c>
      <c r="N23" s="140">
        <f>IF($B23=0,"",SUMIFS(INPUT_DATA!N:N,INPUT_DATA!$A:$A,$B23,INPUT_DATA!$B:$B,"S"))</f>
        <v>0</v>
      </c>
      <c r="O23" s="141">
        <f t="shared" si="7"/>
        <v>7570005186.9899988</v>
      </c>
      <c r="P23" s="142">
        <f>IF($B23=0,"",SUMIFS(INPUT_DATA!O:O,INPUT_DATA!$A:$A,$B23,INPUT_DATA!$B:$B,"S"))</f>
        <v>7570005186.9899998</v>
      </c>
      <c r="Q23" s="142">
        <f t="shared" si="8"/>
        <v>-9.5367431640625E-7</v>
      </c>
      <c r="R23" s="142">
        <f>IF($B23=0,"",SUMIFS(INPUT_DATA!BL:BL,INPUT_DATA!$A:$A,$B23,INPUT_DATA!$B:$B,"S"))</f>
        <v>7406086.4199999999</v>
      </c>
      <c r="S23" s="143">
        <f>IF($B23=0,"",SUMIFS(INPUT_DATA!P:P,INPUT_DATA!$A:$A,$B23,INPUT_DATA!$B:$B,"S"))</f>
        <v>384443.79</v>
      </c>
      <c r="T23" s="143">
        <f>IF($B23=0,"",SUMIFS(INPUT_DATA!Q:Q,INPUT_DATA!$A:$A,$B23,INPUT_DATA!$B:$B,"S"))</f>
        <v>77984.66</v>
      </c>
      <c r="U23" s="143">
        <f>IF($B23=0,"",SUMIFS(INPUT_DATA!R:R,INPUT_DATA!$A:$A,$B23,INPUT_DATA!$B:$B,"S"))</f>
        <v>0</v>
      </c>
      <c r="V23" s="144">
        <f>IF($B23=0,"",SUMIFS(INPUT_DATA!S:S,INPUT_DATA!$A:$A,$B23,INPUT_DATA!$B:$B,"S"))</f>
        <v>215287.02</v>
      </c>
      <c r="W23" s="144">
        <f>IF($B23=0,"",SUMIFS(INPUT_DATA!T:T,INPUT_DATA!$A:$A,$B23,INPUT_DATA!$B:$B,"S"))</f>
        <v>40982.550000000003</v>
      </c>
      <c r="X23" s="144">
        <f>IF($B23=0,"",SUMIFS(INPUT_DATA!U:U,INPUT_DATA!$A:$A,$B23,INPUT_DATA!$B:$B,"S"))</f>
        <v>0</v>
      </c>
      <c r="Y23" s="144">
        <f>IF($B23=0,"",SUMIFS(INPUT_DATA!V:V,INPUT_DATA!$A:$A,$B23,INPUT_DATA!$B:$B,"S"))</f>
        <v>129163.94</v>
      </c>
      <c r="Z23" s="144">
        <f>IF($B23=0,"",SUMIFS(INPUT_DATA!W:W,INPUT_DATA!$A:$A,$B23,INPUT_DATA!$B:$B,"S"))</f>
        <v>26974.45</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1780.66</v>
      </c>
      <c r="AI23" s="144">
        <f>IF($B23=0,"",SUMIFS(INPUT_DATA!AF:AF,INPUT_DATA!$A:$A,$B23,INPUT_DATA!$B:$B,"S"))</f>
        <v>0</v>
      </c>
      <c r="AJ23" s="144">
        <f>IF($B23=0,"",SUMIFS(INPUT_DATA!AG:AG,INPUT_DATA!$A:$A,$B23,INPUT_DATA!$B:$B,"S"))</f>
        <v>0</v>
      </c>
      <c r="AK23" s="144">
        <f>IF($B23=0,"",SUMIFS(INPUT_DATA!AK:AK,INPUT_DATA!$A:$A,$B23,INPUT_DATA!$B:$B,"S"))</f>
        <v>0</v>
      </c>
      <c r="AL23" s="144">
        <f>IF($B23=0,"",SUMIFS(INPUT_DATA!AL:AL,INPUT_DATA!$A:$A,$B23,INPUT_DATA!$B:$B,"S"))</f>
        <v>0</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468786.20999999996</v>
      </c>
      <c r="AR23" s="146">
        <f t="shared" si="10"/>
        <v>91992.760000000009</v>
      </c>
      <c r="AS23" s="147">
        <f t="shared" si="11"/>
        <v>0</v>
      </c>
      <c r="AT23" s="145">
        <f>IF($B23=0,"",SUMIFS(INPUT_DATA!AQ:AQ,INPUT_DATA!$A:$A,$B23,INPUT_DATA!$B:$B,"S"))</f>
        <v>468786.21</v>
      </c>
      <c r="AU23" s="146">
        <f>IF($B23=0,"",SUMIFS(INPUT_DATA!AR:AR,INPUT_DATA!$A:$A,$B23,INPUT_DATA!$B:$B,"S"))</f>
        <v>91992.76</v>
      </c>
      <c r="AV23" s="147">
        <f>IF($B23=0,"",SUMIFS(INPUT_DATA!AS:AS,INPUT_DATA!$A:$A,$B23,INPUT_DATA!$B:$B,"S"))</f>
        <v>0</v>
      </c>
      <c r="AW23" s="145">
        <f t="shared" si="12"/>
        <v>-5.8207660913467407E-11</v>
      </c>
      <c r="AX23" s="146">
        <f t="shared" si="13"/>
        <v>1.4551915228366852E-11</v>
      </c>
      <c r="AY23" s="147">
        <f t="shared" si="14"/>
        <v>0</v>
      </c>
      <c r="AZ23" s="148"/>
      <c r="BA23" s="138">
        <f>IF($B23=0,"",SUMIFS(INPUT_DATA!C:C,INPUT_DATA!$A:$A,$B23,INPUT_DATA!$B:$B,"D"))</f>
        <v>719043.86</v>
      </c>
      <c r="BB23" s="149">
        <f>IF($B23=0,"",SUMIFS(INPUT_DATA!E:E,INPUT_DATA!$A:$A,$B23,INPUT_DATA!$B:$B,"D"))</f>
        <v>7555.82</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183346.71</v>
      </c>
      <c r="BI23" s="149">
        <f>IF($B23=0,"",SUMIFS(INPUT_DATA!L:L,INPUT_DATA!$A:$A,$B23,INPUT_DATA!$B:$B,"D"))</f>
        <v>0</v>
      </c>
      <c r="BJ23" s="149">
        <f>IF($B23=0,"",SUMIFS(INPUT_DATA!M:M,INPUT_DATA!$A:$A,$B23,INPUT_DATA!$B:$B,"D"))</f>
        <v>714376.95</v>
      </c>
      <c r="BK23" s="149">
        <f>IF($B23=0,"",SUMIFS(INPUT_DATA!N:N,INPUT_DATA!$A:$A,$B23,INPUT_DATA!$B:$B,"D"))</f>
        <v>0</v>
      </c>
      <c r="BL23" s="150">
        <f t="shared" si="5"/>
        <v>180457.80000000005</v>
      </c>
      <c r="BM23" s="150">
        <f>IF($B23=0,"",SUMIFS(INPUT_DATA!O:O,INPUT_DATA!$A:$A,$B23,INPUT_DATA!$B:$B,"D"))</f>
        <v>180457.8</v>
      </c>
      <c r="BN23" s="150">
        <f t="shared" si="15"/>
        <v>5.8207660913467407E-11</v>
      </c>
      <c r="BO23" s="153">
        <f>IF($B23=0,"",SUMIFS(INPUT_DATA!P:P,INPUT_DATA!$A:$A,$B23,INPUT_DATA!$B:$B,"D"))</f>
        <v>0</v>
      </c>
      <c r="BP23" s="139">
        <f>IF($B23=0,"",SUMIFS(INPUT_DATA!Q:Q,INPUT_DATA!$A:$A,$B23,INPUT_DATA!$B:$B,"D"))</f>
        <v>0</v>
      </c>
      <c r="BQ23" s="139">
        <f>IF($B23=0,"",SUMIFS(INPUT_DATA!R:R,INPUT_DATA!$A:$A,$B23,INPUT_DATA!$B:$B,"D"))</f>
        <v>0</v>
      </c>
      <c r="BR23" s="149">
        <f>IF($B23=0,"",SUMIFS(INPUT_DATA!S:S,INPUT_DATA!$A:$A,$B23,INPUT_DATA!$B:$B,"D"))</f>
        <v>232.82</v>
      </c>
      <c r="BS23" s="149">
        <f>IF($B23=0,"",SUMIFS(INPUT_DATA!T:T,INPUT_DATA!$A:$A,$B23,INPUT_DATA!$B:$B,"D"))</f>
        <v>100.74</v>
      </c>
      <c r="BT23" s="149">
        <f>IF($B23=0,"",SUMIFS(INPUT_DATA!U:U,INPUT_DATA!$A:$A,$B23,INPUT_DATA!$B:$B,"D"))</f>
        <v>0</v>
      </c>
      <c r="BU23" s="149">
        <f>IF($B23=0,"",SUMIFS(INPUT_DATA!V:V,INPUT_DATA!$A:$A,$B23,INPUT_DATA!$B:$B,"D"))</f>
        <v>0</v>
      </c>
      <c r="BV23" s="149">
        <f>IF($B23=0,"",SUMIFS(INPUT_DATA!W:W,INPUT_DATA!$A:$A,$B23,INPUT_DATA!$B:$B,"D"))</f>
        <v>0</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1780.66</v>
      </c>
      <c r="CE23" s="149">
        <f>IF($B23=0,"",SUMIFS(INPUT_DATA!AF:AF,INPUT_DATA!$A:$A,$B23,INPUT_DATA!$B:$B,"D"))</f>
        <v>0</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0</v>
      </c>
      <c r="CK23" s="140">
        <f>IF($B23=0,"",SUMIFS(INPUT_DATA!AL:AL,INPUT_DATA!$A:$A,$B23,INPUT_DATA!$B:$B,"D"))</f>
        <v>0</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2013.48</v>
      </c>
      <c r="CQ23" s="154">
        <f t="shared" si="2"/>
        <v>100.74</v>
      </c>
      <c r="CR23" s="154">
        <f t="shared" si="3"/>
        <v>0</v>
      </c>
      <c r="CS23" s="139">
        <f>IF($B23=0,"",SUMIFS(INPUT_DATA!AQ:AQ,INPUT_DATA!$A:$A,$B23,INPUT_DATA!$B:$B,"D"))</f>
        <v>2013.48</v>
      </c>
      <c r="CT23" s="154">
        <f>IF($B23=0,"",SUMIFS(INPUT_DATA!AR:AR,INPUT_DATA!$A:$A,$B23,INPUT_DATA!$B:$B,"D"))</f>
        <v>100.74</v>
      </c>
      <c r="CU23" s="154">
        <f>IF($B23=0,"",SUMIFS(INPUT_DATA!AS:AS,INPUT_DATA!$A:$A,$B23,INPUT_DATA!$B:$B,"D"))</f>
        <v>0</v>
      </c>
      <c r="CV23" s="139">
        <f t="shared" si="17"/>
        <v>0</v>
      </c>
      <c r="CW23" s="154">
        <f t="shared" si="18"/>
        <v>0</v>
      </c>
      <c r="CX23" s="155">
        <f t="shared" si="19"/>
        <v>0</v>
      </c>
      <c r="CY23" s="148"/>
    </row>
    <row r="24" spans="2:104">
      <c r="B24" s="137">
        <f>INPUT_DATA!CN11</f>
        <v>45808</v>
      </c>
      <c r="C24" s="139">
        <f>IF($B24=0,"",SUMIFS(INPUT_DATA!C:C,INPUT_DATA!$A:$A,$B24,INPUT_DATA!$B:$B,"S"))</f>
        <v>7700874478.6099997</v>
      </c>
      <c r="D24" s="139">
        <f>IF($B24=0,"",SUMIFS(INPUT_DATA!D:D,INPUT_DATA!$A:$A,$B24,INPUT_DATA!$B:$B,"S"))</f>
        <v>0</v>
      </c>
      <c r="E24" s="140">
        <f>IF($B24=0,"",SUMIFS(INPUT_DATA!E:E,INPUT_DATA!$A:$A,$B24,INPUT_DATA!$B:$B,"S"))</f>
        <v>41702863.289999999</v>
      </c>
      <c r="F24" s="140">
        <f>IF($B24=0,"",SUMIFS(INPUT_DATA!F:F,INPUT_DATA!$A:$A,$B24,INPUT_DATA!$B:$B,"S"))</f>
        <v>19519847.550000001</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723701.24</v>
      </c>
      <c r="L24" s="140">
        <f>IF($B24=0,"",SUMIFS(INPUT_DATA!L:L,INPUT_DATA!$A:$A,$B24,INPUT_DATA!$B:$B,"S"))</f>
        <v>0</v>
      </c>
      <c r="M24" s="140">
        <f>IF($B24=0,"",SUMIFS(INPUT_DATA!M:M,INPUT_DATA!$A:$A,$B24,INPUT_DATA!$B:$B,"S"))</f>
        <v>3752121.21</v>
      </c>
      <c r="N24" s="140">
        <f>IF($B24=0,"",SUMIFS(INPUT_DATA!N:N,INPUT_DATA!$A:$A,$B24,INPUT_DATA!$B:$B,"S"))</f>
        <v>0</v>
      </c>
      <c r="O24" s="141">
        <f t="shared" si="7"/>
        <v>7635175945.3199997</v>
      </c>
      <c r="P24" s="142">
        <f>IF($B24=0,"",SUMIFS(INPUT_DATA!O:O,INPUT_DATA!$A:$A,$B24,INPUT_DATA!$B:$B,"S"))</f>
        <v>7635175945.3199997</v>
      </c>
      <c r="Q24" s="142">
        <f t="shared" si="8"/>
        <v>0</v>
      </c>
      <c r="R24" s="142">
        <f>IF($B24=0,"",SUMIFS(INPUT_DATA!BL:BL,INPUT_DATA!$A:$A,$B24,INPUT_DATA!$B:$B,"S"))</f>
        <v>7545687.3099999996</v>
      </c>
      <c r="S24" s="143">
        <f>IF($B24=0,"",SUMIFS(INPUT_DATA!P:P,INPUT_DATA!$A:$A,$B24,INPUT_DATA!$B:$B,"S"))</f>
        <v>301091.21000000002</v>
      </c>
      <c r="T24" s="143">
        <f>IF($B24=0,"",SUMIFS(INPUT_DATA!Q:Q,INPUT_DATA!$A:$A,$B24,INPUT_DATA!$B:$B,"S"))</f>
        <v>58617.81</v>
      </c>
      <c r="U24" s="143">
        <f>IF($B24=0,"",SUMIFS(INPUT_DATA!R:R,INPUT_DATA!$A:$A,$B24,INPUT_DATA!$B:$B,"S"))</f>
        <v>0</v>
      </c>
      <c r="V24" s="144">
        <f>IF($B24=0,"",SUMIFS(INPUT_DATA!S:S,INPUT_DATA!$A:$A,$B24,INPUT_DATA!$B:$B,"S"))</f>
        <v>188255.53</v>
      </c>
      <c r="W24" s="144">
        <f>IF($B24=0,"",SUMIFS(INPUT_DATA!T:T,INPUT_DATA!$A:$A,$B24,INPUT_DATA!$B:$B,"S"))</f>
        <v>37467.33</v>
      </c>
      <c r="X24" s="144">
        <f>IF($B24=0,"",SUMIFS(INPUT_DATA!U:U,INPUT_DATA!$A:$A,$B24,INPUT_DATA!$B:$B,"S"))</f>
        <v>0</v>
      </c>
      <c r="Y24" s="144">
        <f>IF($B24=0,"",SUMIFS(INPUT_DATA!V:V,INPUT_DATA!$A:$A,$B24,INPUT_DATA!$B:$B,"S"))</f>
        <v>103621.29</v>
      </c>
      <c r="Z24" s="144">
        <f>IF($B24=0,"",SUMIFS(INPUT_DATA!W:W,INPUT_DATA!$A:$A,$B24,INPUT_DATA!$B:$B,"S"))</f>
        <v>18039.490000000002</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0</v>
      </c>
      <c r="AI24" s="144">
        <f>IF($B24=0,"",SUMIFS(INPUT_DATA!AF:AF,INPUT_DATA!$A:$A,$B24,INPUT_DATA!$B:$B,"S"))</f>
        <v>0</v>
      </c>
      <c r="AJ24" s="144">
        <f>IF($B24=0,"",SUMIFS(INPUT_DATA!AG:AG,INPUT_DATA!$A:$A,$B24,INPUT_DATA!$B:$B,"S"))</f>
        <v>0</v>
      </c>
      <c r="AK24" s="144">
        <f>IF($B24=0,"",SUMIFS(INPUT_DATA!AK:AK,INPUT_DATA!$A:$A,$B24,INPUT_DATA!$B:$B,"S"))</f>
        <v>1281.6600000000001</v>
      </c>
      <c r="AL24" s="144">
        <f>IF($B24=0,"",SUMIFS(INPUT_DATA!AL:AL,INPUT_DATA!$A:$A,$B24,INPUT_DATA!$B:$B,"S"))</f>
        <v>60.99</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384443.79000000004</v>
      </c>
      <c r="AR24" s="146">
        <f t="shared" si="10"/>
        <v>77984.659999999989</v>
      </c>
      <c r="AS24" s="147">
        <f t="shared" si="11"/>
        <v>0</v>
      </c>
      <c r="AT24" s="145">
        <f>IF($B24=0,"",SUMIFS(INPUT_DATA!AQ:AQ,INPUT_DATA!$A:$A,$B24,INPUT_DATA!$B:$B,"S"))</f>
        <v>384443.79</v>
      </c>
      <c r="AU24" s="146">
        <f>IF($B24=0,"",SUMIFS(INPUT_DATA!AR:AR,INPUT_DATA!$A:$A,$B24,INPUT_DATA!$B:$B,"S"))</f>
        <v>77984.66</v>
      </c>
      <c r="AV24" s="147">
        <f>IF($B24=0,"",SUMIFS(INPUT_DATA!AS:AS,INPUT_DATA!$A:$A,$B24,INPUT_DATA!$B:$B,"S"))</f>
        <v>0</v>
      </c>
      <c r="AW24" s="145">
        <f t="shared" si="12"/>
        <v>5.8207660913467407E-11</v>
      </c>
      <c r="AX24" s="146">
        <f t="shared" si="13"/>
        <v>-1.4551915228366852E-11</v>
      </c>
      <c r="AY24" s="147">
        <f t="shared" si="14"/>
        <v>0</v>
      </c>
      <c r="AZ24" s="148"/>
      <c r="BA24" s="138">
        <f>IF($B24=0,"",SUMIFS(INPUT_DATA!C:C,INPUT_DATA!$A:$A,$B24,INPUT_DATA!$B:$B,"D"))</f>
        <v>1231515.1100000001</v>
      </c>
      <c r="BB24" s="149">
        <f>IF($B24=0,"",SUMIFS(INPUT_DATA!E:E,INPUT_DATA!$A:$A,$B24,INPUT_DATA!$B:$B,"D"))</f>
        <v>9058.5400000000009</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723701.24</v>
      </c>
      <c r="BI24" s="149">
        <f>IF($B24=0,"",SUMIFS(INPUT_DATA!L:L,INPUT_DATA!$A:$A,$B24,INPUT_DATA!$B:$B,"D"))</f>
        <v>0</v>
      </c>
      <c r="BJ24" s="149">
        <f>IF($B24=0,"",SUMIFS(INPUT_DATA!M:M,INPUT_DATA!$A:$A,$B24,INPUT_DATA!$B:$B,"D"))</f>
        <v>1227113.95</v>
      </c>
      <c r="BK24" s="149">
        <f>IF($B24=0,"",SUMIFS(INPUT_DATA!N:N,INPUT_DATA!$A:$A,$B24,INPUT_DATA!$B:$B,"D"))</f>
        <v>0</v>
      </c>
      <c r="BL24" s="150">
        <f t="shared" si="5"/>
        <v>719043.8600000001</v>
      </c>
      <c r="BM24" s="150">
        <f>IF($B24=0,"",SUMIFS(INPUT_DATA!O:O,INPUT_DATA!$A:$A,$B24,INPUT_DATA!$B:$B,"D"))</f>
        <v>719043.86</v>
      </c>
      <c r="BN24" s="150">
        <f t="shared" si="15"/>
        <v>1.1641532182693481E-10</v>
      </c>
      <c r="BO24" s="153">
        <f>IF($B24=0,"",SUMIFS(INPUT_DATA!P:P,INPUT_DATA!$A:$A,$B24,INPUT_DATA!$B:$B,"D"))</f>
        <v>1846.72</v>
      </c>
      <c r="BP24" s="139">
        <f>IF($B24=0,"",SUMIFS(INPUT_DATA!Q:Q,INPUT_DATA!$A:$A,$B24,INPUT_DATA!$B:$B,"D"))</f>
        <v>375.72</v>
      </c>
      <c r="BQ24" s="139">
        <f>IF($B24=0,"",SUMIFS(INPUT_DATA!R:R,INPUT_DATA!$A:$A,$B24,INPUT_DATA!$B:$B,"D"))</f>
        <v>0</v>
      </c>
      <c r="BR24" s="149">
        <f>IF($B24=0,"",SUMIFS(INPUT_DATA!S:S,INPUT_DATA!$A:$A,$B24,INPUT_DATA!$B:$B,"D"))</f>
        <v>0</v>
      </c>
      <c r="BS24" s="149">
        <f>IF($B24=0,"",SUMIFS(INPUT_DATA!T:T,INPUT_DATA!$A:$A,$B24,INPUT_DATA!$B:$B,"D"))</f>
        <v>0</v>
      </c>
      <c r="BT24" s="149">
        <f>IF($B24=0,"",SUMIFS(INPUT_DATA!U:U,INPUT_DATA!$A:$A,$B24,INPUT_DATA!$B:$B,"D"))</f>
        <v>0</v>
      </c>
      <c r="BU24" s="149">
        <f>IF($B24=0,"",SUMIFS(INPUT_DATA!V:V,INPUT_DATA!$A:$A,$B24,INPUT_DATA!$B:$B,"D"))</f>
        <v>1846.72</v>
      </c>
      <c r="BV24" s="149">
        <f>IF($B24=0,"",SUMIFS(INPUT_DATA!W:W,INPUT_DATA!$A:$A,$B24,INPUT_DATA!$B:$B,"D"))</f>
        <v>375.72</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0</v>
      </c>
      <c r="CE24" s="149">
        <f>IF($B24=0,"",SUMIFS(INPUT_DATA!AF:AF,INPUT_DATA!$A:$A,$B24,INPUT_DATA!$B:$B,"D"))</f>
        <v>0</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0</v>
      </c>
      <c r="CK24" s="140">
        <f>IF($B24=0,"",SUMIFS(INPUT_DATA!AL:AL,INPUT_DATA!$A:$A,$B24,INPUT_DATA!$B:$B,"D"))</f>
        <v>0</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0</v>
      </c>
      <c r="CQ24" s="154">
        <f t="shared" si="2"/>
        <v>0</v>
      </c>
      <c r="CR24" s="154">
        <f t="shared" si="3"/>
        <v>0</v>
      </c>
      <c r="CS24" s="139">
        <f>IF($B24=0,"",SUMIFS(INPUT_DATA!AQ:AQ,INPUT_DATA!$A:$A,$B24,INPUT_DATA!$B:$B,"D"))</f>
        <v>0</v>
      </c>
      <c r="CT24" s="154">
        <f>IF($B24=0,"",SUMIFS(INPUT_DATA!AR:AR,INPUT_DATA!$A:$A,$B24,INPUT_DATA!$B:$B,"D"))</f>
        <v>0</v>
      </c>
      <c r="CU24" s="154">
        <f>IF($B24=0,"",SUMIFS(INPUT_DATA!AS:AS,INPUT_DATA!$A:$A,$B24,INPUT_DATA!$B:$B,"D"))</f>
        <v>0</v>
      </c>
      <c r="CV24" s="139">
        <f t="shared" si="17"/>
        <v>0</v>
      </c>
      <c r="CW24" s="154">
        <f t="shared" si="18"/>
        <v>0</v>
      </c>
      <c r="CX24" s="155">
        <f t="shared" si="19"/>
        <v>0</v>
      </c>
      <c r="CY24" s="148"/>
    </row>
    <row r="25" spans="2:104">
      <c r="B25" s="137">
        <f>INPUT_DATA!CN12</f>
        <v>45777</v>
      </c>
      <c r="C25" s="139">
        <f>IF($B25=0,"",SUMIFS(INPUT_DATA!C:C,INPUT_DATA!$A:$A,$B25,INPUT_DATA!$B:$B,"S"))</f>
        <v>7762584280.3299999</v>
      </c>
      <c r="D25" s="139">
        <f>IF($B25=0,"",SUMIFS(INPUT_DATA!D:D,INPUT_DATA!$A:$A,$B25,INPUT_DATA!$B:$B,"S"))</f>
        <v>0</v>
      </c>
      <c r="E25" s="140">
        <f>IF($B25=0,"",SUMIFS(INPUT_DATA!E:E,INPUT_DATA!$A:$A,$B25,INPUT_DATA!$B:$B,"S"))</f>
        <v>41510862.210000001</v>
      </c>
      <c r="F25" s="140">
        <f>IF($B25=0,"",SUMIFS(INPUT_DATA!F:F,INPUT_DATA!$A:$A,$B25,INPUT_DATA!$B:$B,"S"))</f>
        <v>14842897.939999999</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1236920.96</v>
      </c>
      <c r="L25" s="140">
        <f>IF($B25=0,"",SUMIFS(INPUT_DATA!L:L,INPUT_DATA!$A:$A,$B25,INPUT_DATA!$B:$B,"S"))</f>
        <v>0</v>
      </c>
      <c r="M25" s="140">
        <f>IF($B25=0,"",SUMIFS(INPUT_DATA!M:M,INPUT_DATA!$A:$A,$B25,INPUT_DATA!$B:$B,"S"))</f>
        <v>4119120.61</v>
      </c>
      <c r="N25" s="140">
        <f>IF($B25=0,"",SUMIFS(INPUT_DATA!N:N,INPUT_DATA!$A:$A,$B25,INPUT_DATA!$B:$B,"S"))</f>
        <v>0</v>
      </c>
      <c r="O25" s="141">
        <f t="shared" si="7"/>
        <v>7700874478.6100006</v>
      </c>
      <c r="P25" s="142">
        <f>IF($B25=0,"",SUMIFS(INPUT_DATA!O:O,INPUT_DATA!$A:$A,$B25,INPUT_DATA!$B:$B,"S"))</f>
        <v>7700874478.6099997</v>
      </c>
      <c r="Q25" s="142">
        <f t="shared" si="8"/>
        <v>9.5367431640625E-7</v>
      </c>
      <c r="R25" s="142">
        <f>IF($B25=0,"",SUMIFS(INPUT_DATA!BL:BL,INPUT_DATA!$A:$A,$B25,INPUT_DATA!$B:$B,"S"))</f>
        <v>7532055.3600000003</v>
      </c>
      <c r="S25" s="143">
        <f>IF($B25=0,"",SUMIFS(INPUT_DATA!P:P,INPUT_DATA!$A:$A,$B25,INPUT_DATA!$B:$B,"S"))</f>
        <v>163151.37</v>
      </c>
      <c r="T25" s="143">
        <f>IF($B25=0,"",SUMIFS(INPUT_DATA!Q:Q,INPUT_DATA!$A:$A,$B25,INPUT_DATA!$B:$B,"S"))</f>
        <v>48664.54</v>
      </c>
      <c r="U25" s="143">
        <f>IF($B25=0,"",SUMIFS(INPUT_DATA!R:R,INPUT_DATA!$A:$A,$B25,INPUT_DATA!$B:$B,"S"))</f>
        <v>0</v>
      </c>
      <c r="V25" s="144">
        <f>IF($B25=0,"",SUMIFS(INPUT_DATA!S:S,INPUT_DATA!$A:$A,$B25,INPUT_DATA!$B:$B,"S"))</f>
        <v>203012.38</v>
      </c>
      <c r="W25" s="144">
        <f>IF($B25=0,"",SUMIFS(INPUT_DATA!T:T,INPUT_DATA!$A:$A,$B25,INPUT_DATA!$B:$B,"S"))</f>
        <v>37302.400000000001</v>
      </c>
      <c r="X25" s="144">
        <f>IF($B25=0,"",SUMIFS(INPUT_DATA!U:U,INPUT_DATA!$A:$A,$B25,INPUT_DATA!$B:$B,"S"))</f>
        <v>0</v>
      </c>
      <c r="Y25" s="144">
        <f>IF($B25=0,"",SUMIFS(INPUT_DATA!V:V,INPUT_DATA!$A:$A,$B25,INPUT_DATA!$B:$B,"S"))</f>
        <v>63727.519999999997</v>
      </c>
      <c r="Z25" s="144">
        <f>IF($B25=0,"",SUMIFS(INPUT_DATA!W:W,INPUT_DATA!$A:$A,$B25,INPUT_DATA!$B:$B,"S"))</f>
        <v>27098.03</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1345.02</v>
      </c>
      <c r="AI25" s="144">
        <f>IF($B25=0,"",SUMIFS(INPUT_DATA!AF:AF,INPUT_DATA!$A:$A,$B25,INPUT_DATA!$B:$B,"S"))</f>
        <v>251.1</v>
      </c>
      <c r="AJ25" s="144">
        <f>IF($B25=0,"",SUMIFS(INPUT_DATA!AG:AG,INPUT_DATA!$A:$A,$B25,INPUT_DATA!$B:$B,"S"))</f>
        <v>0</v>
      </c>
      <c r="AK25" s="144">
        <f>IF($B25=0,"",SUMIFS(INPUT_DATA!AK:AK,INPUT_DATA!$A:$A,$B25,INPUT_DATA!$B:$B,"S"))</f>
        <v>0</v>
      </c>
      <c r="AL25" s="144">
        <f>IF($B25=0,"",SUMIFS(INPUT_DATA!AL:AL,INPUT_DATA!$A:$A,$B25,INPUT_DATA!$B:$B,"S"))</f>
        <v>0</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301091.20999999996</v>
      </c>
      <c r="AR25" s="146">
        <f t="shared" si="10"/>
        <v>58617.810000000005</v>
      </c>
      <c r="AS25" s="147">
        <f t="shared" si="11"/>
        <v>0</v>
      </c>
      <c r="AT25" s="145">
        <f>IF($B25=0,"",SUMIFS(INPUT_DATA!AQ:AQ,INPUT_DATA!$A:$A,$B25,INPUT_DATA!$B:$B,"S"))</f>
        <v>301091.21000000002</v>
      </c>
      <c r="AU25" s="146">
        <f>IF($B25=0,"",SUMIFS(INPUT_DATA!AR:AR,INPUT_DATA!$A:$A,$B25,INPUT_DATA!$B:$B,"S"))</f>
        <v>58617.81</v>
      </c>
      <c r="AV25" s="147">
        <f>IF($B25=0,"",SUMIFS(INPUT_DATA!AS:AS,INPUT_DATA!$A:$A,$B25,INPUT_DATA!$B:$B,"S"))</f>
        <v>0</v>
      </c>
      <c r="AW25" s="145">
        <f t="shared" si="12"/>
        <v>-5.8207660913467407E-11</v>
      </c>
      <c r="AX25" s="146">
        <f t="shared" si="13"/>
        <v>7.2759576141834259E-12</v>
      </c>
      <c r="AY25" s="147">
        <f t="shared" si="14"/>
        <v>0</v>
      </c>
      <c r="AZ25" s="148"/>
      <c r="BA25" s="138">
        <f>IF($B25=0,"",SUMIFS(INPUT_DATA!C:C,INPUT_DATA!$A:$A,$B25,INPUT_DATA!$B:$B,"D"))</f>
        <v>279860.34999999998</v>
      </c>
      <c r="BB25" s="149">
        <f>IF($B25=0,"",SUMIFS(INPUT_DATA!E:E,INPUT_DATA!$A:$A,$B25,INPUT_DATA!$B:$B,"D"))</f>
        <v>5405.85</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1236920.96</v>
      </c>
      <c r="BI25" s="149">
        <f>IF($B25=0,"",SUMIFS(INPUT_DATA!L:L,INPUT_DATA!$A:$A,$B25,INPUT_DATA!$B:$B,"D"))</f>
        <v>0</v>
      </c>
      <c r="BJ25" s="149">
        <f>IF($B25=0,"",SUMIFS(INPUT_DATA!M:M,INPUT_DATA!$A:$A,$B25,INPUT_DATA!$B:$B,"D"))</f>
        <v>279860.34999999998</v>
      </c>
      <c r="BK25" s="149">
        <f>IF($B25=0,"",SUMIFS(INPUT_DATA!N:N,INPUT_DATA!$A:$A,$B25,INPUT_DATA!$B:$B,"D"))</f>
        <v>0</v>
      </c>
      <c r="BL25" s="150">
        <f t="shared" si="5"/>
        <v>1231515.1099999999</v>
      </c>
      <c r="BM25" s="150">
        <f>IF($B25=0,"",SUMIFS(INPUT_DATA!O:O,INPUT_DATA!$A:$A,$B25,INPUT_DATA!$B:$B,"D"))</f>
        <v>1231515.1100000001</v>
      </c>
      <c r="BN25" s="150">
        <f t="shared" si="15"/>
        <v>-2.3283064365386963E-10</v>
      </c>
      <c r="BO25" s="153">
        <f>IF($B25=0,"",SUMIFS(INPUT_DATA!P:P,INPUT_DATA!$A:$A,$B25,INPUT_DATA!$B:$B,"D"))</f>
        <v>1664.98</v>
      </c>
      <c r="BP25" s="139">
        <f>IF($B25=0,"",SUMIFS(INPUT_DATA!Q:Q,INPUT_DATA!$A:$A,$B25,INPUT_DATA!$B:$B,"D"))</f>
        <v>438.03</v>
      </c>
      <c r="BQ25" s="139">
        <f>IF($B25=0,"",SUMIFS(INPUT_DATA!R:R,INPUT_DATA!$A:$A,$B25,INPUT_DATA!$B:$B,"D"))</f>
        <v>0</v>
      </c>
      <c r="BR25" s="149">
        <f>IF($B25=0,"",SUMIFS(INPUT_DATA!S:S,INPUT_DATA!$A:$A,$B25,INPUT_DATA!$B:$B,"D"))</f>
        <v>1057.32</v>
      </c>
      <c r="BS25" s="149">
        <f>IF($B25=0,"",SUMIFS(INPUT_DATA!T:T,INPUT_DATA!$A:$A,$B25,INPUT_DATA!$B:$B,"D"))</f>
        <v>307.64999999999998</v>
      </c>
      <c r="BT25" s="149">
        <f>IF($B25=0,"",SUMIFS(INPUT_DATA!U:U,INPUT_DATA!$A:$A,$B25,INPUT_DATA!$B:$B,"D"))</f>
        <v>0</v>
      </c>
      <c r="BU25" s="149">
        <f>IF($B25=0,"",SUMIFS(INPUT_DATA!V:V,INPUT_DATA!$A:$A,$B25,INPUT_DATA!$B:$B,"D"))</f>
        <v>0</v>
      </c>
      <c r="BV25" s="149">
        <f>IF($B25=0,"",SUMIFS(INPUT_DATA!W:W,INPUT_DATA!$A:$A,$B25,INPUT_DATA!$B:$B,"D"))</f>
        <v>0</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1345.02</v>
      </c>
      <c r="CE25" s="149">
        <f>IF($B25=0,"",SUMIFS(INPUT_DATA!AF:AF,INPUT_DATA!$A:$A,$B25,INPUT_DATA!$B:$B,"D"))</f>
        <v>251.1</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2220.6</v>
      </c>
      <c r="CK25" s="140">
        <f>IF($B25=0,"",SUMIFS(INPUT_DATA!AL:AL,INPUT_DATA!$A:$A,$B25,INPUT_DATA!$B:$B,"D"))</f>
        <v>621.05999999999995</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1846.7200000000003</v>
      </c>
      <c r="CQ25" s="154">
        <f t="shared" si="2"/>
        <v>375.72</v>
      </c>
      <c r="CR25" s="154">
        <f t="shared" si="3"/>
        <v>0</v>
      </c>
      <c r="CS25" s="139">
        <f>IF($B25=0,"",SUMIFS(INPUT_DATA!AQ:AQ,INPUT_DATA!$A:$A,$B25,INPUT_DATA!$B:$B,"D"))</f>
        <v>1846.72</v>
      </c>
      <c r="CT25" s="154">
        <f>IF($B25=0,"",SUMIFS(INPUT_DATA!AR:AR,INPUT_DATA!$A:$A,$B25,INPUT_DATA!$B:$B,"D"))</f>
        <v>375.72</v>
      </c>
      <c r="CU25" s="154">
        <f>IF($B25=0,"",SUMIFS(INPUT_DATA!AS:AS,INPUT_DATA!$A:$A,$B25,INPUT_DATA!$B:$B,"D"))</f>
        <v>0</v>
      </c>
      <c r="CV25" s="139">
        <f t="shared" si="17"/>
        <v>2.2737367544323206E-13</v>
      </c>
      <c r="CW25" s="154">
        <f t="shared" si="18"/>
        <v>0</v>
      </c>
      <c r="CX25" s="155">
        <f t="shared" si="19"/>
        <v>0</v>
      </c>
      <c r="CY25" s="148"/>
    </row>
    <row r="26" spans="2:104">
      <c r="B26" s="137">
        <f>INPUT_DATA!CN13</f>
        <v>45747</v>
      </c>
      <c r="C26" s="139">
        <f>IF($B26=0,"",SUMIFS(INPUT_DATA!C:C,INPUT_DATA!$A:$A,$B26,INPUT_DATA!$B:$B,"S"))</f>
        <v>7821840687.46</v>
      </c>
      <c r="D26" s="139">
        <f>IF($B26=0,"",SUMIFS(INPUT_DATA!D:D,INPUT_DATA!$A:$A,$B26,INPUT_DATA!$B:$B,"S"))</f>
        <v>0</v>
      </c>
      <c r="E26" s="140">
        <f>IF($B26=0,"",SUMIFS(INPUT_DATA!E:E,INPUT_DATA!$A:$A,$B26,INPUT_DATA!$B:$B,"S"))</f>
        <v>41439704.270000003</v>
      </c>
      <c r="F26" s="140">
        <f>IF($B26=0,"",SUMIFS(INPUT_DATA!F:F,INPUT_DATA!$A:$A,$B26,INPUT_DATA!$B:$B,"S"))</f>
        <v>15107591.52</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394532.89</v>
      </c>
      <c r="L26" s="140">
        <f>IF($B26=0,"",SUMIFS(INPUT_DATA!L:L,INPUT_DATA!$A:$A,$B26,INPUT_DATA!$B:$B,"S"))</f>
        <v>0</v>
      </c>
      <c r="M26" s="140">
        <f>IF($B26=0,"",SUMIFS(INPUT_DATA!M:M,INPUT_DATA!$A:$A,$B26,INPUT_DATA!$B:$B,"S"))</f>
        <v>1994383.54</v>
      </c>
      <c r="N26" s="140">
        <f>IF($B26=0,"",SUMIFS(INPUT_DATA!N:N,INPUT_DATA!$A:$A,$B26,INPUT_DATA!$B:$B,"S"))</f>
        <v>320194.90999999997</v>
      </c>
      <c r="O26" s="141">
        <f t="shared" si="7"/>
        <v>7762584280.329999</v>
      </c>
      <c r="P26" s="142">
        <f>IF($B26=0,"",SUMIFS(INPUT_DATA!O:O,INPUT_DATA!$A:$A,$B26,INPUT_DATA!$B:$B,"S"))</f>
        <v>7762584280.3299999</v>
      </c>
      <c r="Q26" s="142">
        <f t="shared" si="8"/>
        <v>-9.5367431640625E-7</v>
      </c>
      <c r="R26" s="142">
        <f>IF($B26=0,"",SUMIFS(INPUT_DATA!BL:BL,INPUT_DATA!$A:$A,$B26,INPUT_DATA!$B:$B,"S"))</f>
        <v>7640469.7000000002</v>
      </c>
      <c r="S26" s="143">
        <f>IF($B26=0,"",SUMIFS(INPUT_DATA!P:P,INPUT_DATA!$A:$A,$B26,INPUT_DATA!$B:$B,"S"))</f>
        <v>236010.43</v>
      </c>
      <c r="T26" s="143">
        <f>IF($B26=0,"",SUMIFS(INPUT_DATA!Q:Q,INPUT_DATA!$A:$A,$B26,INPUT_DATA!$B:$B,"S"))</f>
        <v>48694.12</v>
      </c>
      <c r="U26" s="143">
        <f>IF($B26=0,"",SUMIFS(INPUT_DATA!R:R,INPUT_DATA!$A:$A,$B26,INPUT_DATA!$B:$B,"S"))</f>
        <v>0</v>
      </c>
      <c r="V26" s="144">
        <f>IF($B26=0,"",SUMIFS(INPUT_DATA!S:S,INPUT_DATA!$A:$A,$B26,INPUT_DATA!$B:$B,"S"))</f>
        <v>38751.35</v>
      </c>
      <c r="W26" s="144">
        <f>IF($B26=0,"",SUMIFS(INPUT_DATA!T:T,INPUT_DATA!$A:$A,$B26,INPUT_DATA!$B:$B,"S"))</f>
        <v>26348.73</v>
      </c>
      <c r="X26" s="144">
        <f>IF($B26=0,"",SUMIFS(INPUT_DATA!U:U,INPUT_DATA!$A:$A,$B26,INPUT_DATA!$B:$B,"S"))</f>
        <v>0</v>
      </c>
      <c r="Y26" s="144">
        <f>IF($B26=0,"",SUMIFS(INPUT_DATA!V:V,INPUT_DATA!$A:$A,$B26,INPUT_DATA!$B:$B,"S"))</f>
        <v>110479.05</v>
      </c>
      <c r="Z26" s="144">
        <f>IF($B26=0,"",SUMIFS(INPUT_DATA!W:W,INPUT_DATA!$A:$A,$B26,INPUT_DATA!$B:$B,"S"))</f>
        <v>26077.64</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1131.3599999999999</v>
      </c>
      <c r="AI26" s="144">
        <f>IF($B26=0,"",SUMIFS(INPUT_DATA!AF:AF,INPUT_DATA!$A:$A,$B26,INPUT_DATA!$B:$B,"S"))</f>
        <v>300.67</v>
      </c>
      <c r="AJ26" s="144">
        <f>IF($B26=0,"",SUMIFS(INPUT_DATA!AG:AG,INPUT_DATA!$A:$A,$B26,INPUT_DATA!$B:$B,"S"))</f>
        <v>0</v>
      </c>
      <c r="AK26" s="144">
        <f>IF($B26=0,"",SUMIFS(INPUT_DATA!AK:AK,INPUT_DATA!$A:$A,$B26,INPUT_DATA!$B:$B,"S"))</f>
        <v>0</v>
      </c>
      <c r="AL26" s="144">
        <f>IF($B26=0,"",SUMIFS(INPUT_DATA!AL:AL,INPUT_DATA!$A:$A,$B26,INPUT_DATA!$B:$B,"S"))</f>
        <v>0</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163151.37</v>
      </c>
      <c r="AR26" s="146">
        <f t="shared" si="10"/>
        <v>48664.540000000008</v>
      </c>
      <c r="AS26" s="147">
        <f t="shared" si="11"/>
        <v>0</v>
      </c>
      <c r="AT26" s="145">
        <f>IF($B26=0,"",SUMIFS(INPUT_DATA!AQ:AQ,INPUT_DATA!$A:$A,$B26,INPUT_DATA!$B:$B,"S"))</f>
        <v>163151.37</v>
      </c>
      <c r="AU26" s="146">
        <f>IF($B26=0,"",SUMIFS(INPUT_DATA!AR:AR,INPUT_DATA!$A:$A,$B26,INPUT_DATA!$B:$B,"S"))</f>
        <v>48664.54</v>
      </c>
      <c r="AV26" s="147">
        <f>IF($B26=0,"",SUMIFS(INPUT_DATA!AS:AS,INPUT_DATA!$A:$A,$B26,INPUT_DATA!$B:$B,"S"))</f>
        <v>0</v>
      </c>
      <c r="AW26" s="145">
        <f t="shared" si="12"/>
        <v>0</v>
      </c>
      <c r="AX26" s="146">
        <f t="shared" si="13"/>
        <v>7.2759576141834259E-12</v>
      </c>
      <c r="AY26" s="147">
        <f t="shared" si="14"/>
        <v>0</v>
      </c>
      <c r="AZ26" s="148"/>
      <c r="BA26" s="138">
        <f>IF($B26=0,"",SUMIFS(INPUT_DATA!C:C,INPUT_DATA!$A:$A,$B26,INPUT_DATA!$B:$B,"D"))</f>
        <v>207269.66</v>
      </c>
      <c r="BB26" s="149">
        <f>IF($B26=0,"",SUMIFS(INPUT_DATA!E:E,INPUT_DATA!$A:$A,$B26,INPUT_DATA!$B:$B,"D"))</f>
        <v>115232.36</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394532.89</v>
      </c>
      <c r="BI26" s="149">
        <f>IF($B26=0,"",SUMIFS(INPUT_DATA!L:L,INPUT_DATA!$A:$A,$B26,INPUT_DATA!$B:$B,"D"))</f>
        <v>0</v>
      </c>
      <c r="BJ26" s="149">
        <f>IF($B26=0,"",SUMIFS(INPUT_DATA!M:M,INPUT_DATA!$A:$A,$B26,INPUT_DATA!$B:$B,"D"))</f>
        <v>206709.84</v>
      </c>
      <c r="BK26" s="149">
        <f>IF($B26=0,"",SUMIFS(INPUT_DATA!N:N,INPUT_DATA!$A:$A,$B26,INPUT_DATA!$B:$B,"D"))</f>
        <v>0</v>
      </c>
      <c r="BL26" s="150">
        <f t="shared" si="5"/>
        <v>279860.34999999998</v>
      </c>
      <c r="BM26" s="150">
        <f>IF($B26=0,"",SUMIFS(INPUT_DATA!O:O,INPUT_DATA!$A:$A,$B26,INPUT_DATA!$B:$B,"D"))</f>
        <v>279860.34999999998</v>
      </c>
      <c r="BN26" s="150">
        <f t="shared" si="15"/>
        <v>0</v>
      </c>
      <c r="BO26" s="153">
        <f>IF($B26=0,"",SUMIFS(INPUT_DATA!P:P,INPUT_DATA!$A:$A,$B26,INPUT_DATA!$B:$B,"D"))</f>
        <v>0</v>
      </c>
      <c r="BP26" s="139">
        <f>IF($B26=0,"",SUMIFS(INPUT_DATA!Q:Q,INPUT_DATA!$A:$A,$B26,INPUT_DATA!$B:$B,"D"))</f>
        <v>0</v>
      </c>
      <c r="BQ26" s="139">
        <f>IF($B26=0,"",SUMIFS(INPUT_DATA!R:R,INPUT_DATA!$A:$A,$B26,INPUT_DATA!$B:$B,"D"))</f>
        <v>0</v>
      </c>
      <c r="BR26" s="149">
        <f>IF($B26=0,"",SUMIFS(INPUT_DATA!S:S,INPUT_DATA!$A:$A,$B26,INPUT_DATA!$B:$B,"D"))</f>
        <v>533.62</v>
      </c>
      <c r="BS26" s="149">
        <f>IF($B26=0,"",SUMIFS(INPUT_DATA!T:T,INPUT_DATA!$A:$A,$B26,INPUT_DATA!$B:$B,"D"))</f>
        <v>137.36000000000001</v>
      </c>
      <c r="BT26" s="149">
        <f>IF($B26=0,"",SUMIFS(INPUT_DATA!U:U,INPUT_DATA!$A:$A,$B26,INPUT_DATA!$B:$B,"D"))</f>
        <v>0</v>
      </c>
      <c r="BU26" s="149">
        <f>IF($B26=0,"",SUMIFS(INPUT_DATA!V:V,INPUT_DATA!$A:$A,$B26,INPUT_DATA!$B:$B,"D"))</f>
        <v>0</v>
      </c>
      <c r="BV26" s="149">
        <f>IF($B26=0,"",SUMIFS(INPUT_DATA!W:W,INPUT_DATA!$A:$A,$B26,INPUT_DATA!$B:$B,"D"))</f>
        <v>0</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1131.3599999999999</v>
      </c>
      <c r="CE26" s="149">
        <f>IF($B26=0,"",SUMIFS(INPUT_DATA!AF:AF,INPUT_DATA!$A:$A,$B26,INPUT_DATA!$B:$B,"D"))</f>
        <v>300.67</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0</v>
      </c>
      <c r="CK26" s="140">
        <f>IF($B26=0,"",SUMIFS(INPUT_DATA!AL:AL,INPUT_DATA!$A:$A,$B26,INPUT_DATA!$B:$B,"D"))</f>
        <v>0</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1664.98</v>
      </c>
      <c r="CQ26" s="154">
        <f t="shared" si="2"/>
        <v>438.03000000000003</v>
      </c>
      <c r="CR26" s="154">
        <f t="shared" si="3"/>
        <v>0</v>
      </c>
      <c r="CS26" s="139">
        <f>IF($B26=0,"",SUMIFS(INPUT_DATA!AQ:AQ,INPUT_DATA!$A:$A,$B26,INPUT_DATA!$B:$B,"D"))</f>
        <v>1664.98</v>
      </c>
      <c r="CT26" s="154">
        <f>IF($B26=0,"",SUMIFS(INPUT_DATA!AR:AR,INPUT_DATA!$A:$A,$B26,INPUT_DATA!$B:$B,"D"))</f>
        <v>438.03</v>
      </c>
      <c r="CU26" s="154">
        <f>IF($B26=0,"",SUMIFS(INPUT_DATA!AS:AS,INPUT_DATA!$A:$A,$B26,INPUT_DATA!$B:$B,"D"))</f>
        <v>0</v>
      </c>
      <c r="CV26" s="139">
        <f t="shared" si="17"/>
        <v>0</v>
      </c>
      <c r="CW26" s="154">
        <f t="shared" si="18"/>
        <v>5.6843418860808015E-14</v>
      </c>
      <c r="CX26" s="155">
        <f t="shared" si="19"/>
        <v>0</v>
      </c>
      <c r="CY26" s="148"/>
    </row>
    <row r="27" spans="2:104">
      <c r="B27" s="137">
        <f>INPUT_DATA!CN14</f>
        <v>45716</v>
      </c>
      <c r="C27" s="139">
        <f>IF($B27=0,"",SUMIFS(INPUT_DATA!C:C,INPUT_DATA!$A:$A,$B27,INPUT_DATA!$B:$B,"S"))</f>
        <v>7882097726.96</v>
      </c>
      <c r="D27" s="139">
        <f>IF($B27=0,"",SUMIFS(INPUT_DATA!D:D,INPUT_DATA!$A:$A,$B27,INPUT_DATA!$B:$B,"S"))</f>
        <v>0</v>
      </c>
      <c r="E27" s="140">
        <f>IF($B27=0,"",SUMIFS(INPUT_DATA!E:E,INPUT_DATA!$A:$A,$B27,INPUT_DATA!$B:$B,"S"))</f>
        <v>41925555.68</v>
      </c>
      <c r="F27" s="140">
        <f>IF($B27=0,"",SUMIFS(INPUT_DATA!F:F,INPUT_DATA!$A:$A,$B27,INPUT_DATA!$B:$B,"S"))</f>
        <v>13656654.539999999</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208258.58</v>
      </c>
      <c r="L27" s="140">
        <f>IF($B27=0,"",SUMIFS(INPUT_DATA!L:L,INPUT_DATA!$A:$A,$B27,INPUT_DATA!$B:$B,"S"))</f>
        <v>0</v>
      </c>
      <c r="M27" s="140">
        <f>IF($B27=0,"",SUMIFS(INPUT_DATA!M:M,INPUT_DATA!$A:$A,$B27,INPUT_DATA!$B:$B,"S"))</f>
        <v>4466570.7</v>
      </c>
      <c r="N27" s="140">
        <f>IF($B27=0,"",SUMIFS(INPUT_DATA!N:N,INPUT_DATA!$A:$A,$B27,INPUT_DATA!$B:$B,"S"))</f>
        <v>0</v>
      </c>
      <c r="O27" s="141">
        <f t="shared" si="7"/>
        <v>7821840687.46</v>
      </c>
      <c r="P27" s="142">
        <f>IF($B27=0,"",SUMIFS(INPUT_DATA!O:O,INPUT_DATA!$A:$A,$B27,INPUT_DATA!$B:$B,"S"))</f>
        <v>7821840687.46</v>
      </c>
      <c r="Q27" s="142">
        <f t="shared" si="8"/>
        <v>0</v>
      </c>
      <c r="R27" s="142">
        <f>IF($B27=0,"",SUMIFS(INPUT_DATA!BL:BL,INPUT_DATA!$A:$A,$B27,INPUT_DATA!$B:$B,"S"))</f>
        <v>7458308.79</v>
      </c>
      <c r="S27" s="143">
        <f>IF($B27=0,"",SUMIFS(INPUT_DATA!P:P,INPUT_DATA!$A:$A,$B27,INPUT_DATA!$B:$B,"S"))</f>
        <v>206735.54</v>
      </c>
      <c r="T27" s="143">
        <f>IF($B27=0,"",SUMIFS(INPUT_DATA!Q:Q,INPUT_DATA!$A:$A,$B27,INPUT_DATA!$B:$B,"S"))</f>
        <v>41688.910000000003</v>
      </c>
      <c r="U27" s="143">
        <f>IF($B27=0,"",SUMIFS(INPUT_DATA!R:R,INPUT_DATA!$A:$A,$B27,INPUT_DATA!$B:$B,"S"))</f>
        <v>0</v>
      </c>
      <c r="V27" s="144">
        <f>IF($B27=0,"",SUMIFS(INPUT_DATA!S:S,INPUT_DATA!$A:$A,$B27,INPUT_DATA!$B:$B,"S"))</f>
        <v>128060.42</v>
      </c>
      <c r="W27" s="144">
        <f>IF($B27=0,"",SUMIFS(INPUT_DATA!T:T,INPUT_DATA!$A:$A,$B27,INPUT_DATA!$B:$B,"S"))</f>
        <v>27565.85</v>
      </c>
      <c r="X27" s="144">
        <f>IF($B27=0,"",SUMIFS(INPUT_DATA!U:U,INPUT_DATA!$A:$A,$B27,INPUT_DATA!$B:$B,"S"))</f>
        <v>0</v>
      </c>
      <c r="Y27" s="144">
        <f>IF($B27=0,"",SUMIFS(INPUT_DATA!V:V,INPUT_DATA!$A:$A,$B27,INPUT_DATA!$B:$B,"S"))</f>
        <v>98785.53</v>
      </c>
      <c r="Z27" s="144">
        <f>IF($B27=0,"",SUMIFS(INPUT_DATA!W:W,INPUT_DATA!$A:$A,$B27,INPUT_DATA!$B:$B,"S"))</f>
        <v>20560.64</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0</v>
      </c>
      <c r="AI27" s="144">
        <f>IF($B27=0,"",SUMIFS(INPUT_DATA!AF:AF,INPUT_DATA!$A:$A,$B27,INPUT_DATA!$B:$B,"S"))</f>
        <v>0</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236010.43000000002</v>
      </c>
      <c r="AR27" s="146">
        <f t="shared" si="10"/>
        <v>48694.12000000001</v>
      </c>
      <c r="AS27" s="147">
        <f t="shared" si="11"/>
        <v>0</v>
      </c>
      <c r="AT27" s="145">
        <f>IF($B27=0,"",SUMIFS(INPUT_DATA!AQ:AQ,INPUT_DATA!$A:$A,$B27,INPUT_DATA!$B:$B,"S"))</f>
        <v>236010.43</v>
      </c>
      <c r="AU27" s="146">
        <f>IF($B27=0,"",SUMIFS(INPUT_DATA!AR:AR,INPUT_DATA!$A:$A,$B27,INPUT_DATA!$B:$B,"S"))</f>
        <v>48694.12</v>
      </c>
      <c r="AV27" s="147">
        <f>IF($B27=0,"",SUMIFS(INPUT_DATA!AS:AS,INPUT_DATA!$A:$A,$B27,INPUT_DATA!$B:$B,"S"))</f>
        <v>0</v>
      </c>
      <c r="AW27" s="145">
        <f t="shared" si="12"/>
        <v>2.9103830456733704E-11</v>
      </c>
      <c r="AX27" s="146">
        <f t="shared" si="13"/>
        <v>7.2759576141834259E-12</v>
      </c>
      <c r="AY27" s="147">
        <f t="shared" si="14"/>
        <v>0</v>
      </c>
      <c r="AZ27" s="148"/>
      <c r="BA27" s="138">
        <f>IF($B27=0,"",SUMIFS(INPUT_DATA!C:C,INPUT_DATA!$A:$A,$B27,INPUT_DATA!$B:$B,"D"))</f>
        <v>411276.35</v>
      </c>
      <c r="BB27" s="149">
        <f>IF($B27=0,"",SUMIFS(INPUT_DATA!E:E,INPUT_DATA!$A:$A,$B27,INPUT_DATA!$B:$B,"D"))</f>
        <v>2900.75</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208258.58</v>
      </c>
      <c r="BI27" s="149">
        <f>IF($B27=0,"",SUMIFS(INPUT_DATA!L:L,INPUT_DATA!$A:$A,$B27,INPUT_DATA!$B:$B,"D"))</f>
        <v>0</v>
      </c>
      <c r="BJ27" s="149">
        <f>IF($B27=0,"",SUMIFS(INPUT_DATA!M:M,INPUT_DATA!$A:$A,$B27,INPUT_DATA!$B:$B,"D"))</f>
        <v>409364.52</v>
      </c>
      <c r="BK27" s="149">
        <f>IF($B27=0,"",SUMIFS(INPUT_DATA!N:N,INPUT_DATA!$A:$A,$B27,INPUT_DATA!$B:$B,"D"))</f>
        <v>0</v>
      </c>
      <c r="BL27" s="150">
        <f t="shared" si="5"/>
        <v>207269.65999999992</v>
      </c>
      <c r="BM27" s="150">
        <f>IF($B27=0,"",SUMIFS(INPUT_DATA!O:O,INPUT_DATA!$A:$A,$B27,INPUT_DATA!$B:$B,"D"))</f>
        <v>207269.66</v>
      </c>
      <c r="BN27" s="150">
        <f t="shared" si="15"/>
        <v>-8.7311491370201111E-11</v>
      </c>
      <c r="BO27" s="153">
        <f>IF($B27=0,"",SUMIFS(INPUT_DATA!P:P,INPUT_DATA!$A:$A,$B27,INPUT_DATA!$B:$B,"D"))</f>
        <v>0</v>
      </c>
      <c r="BP27" s="139">
        <f>IF($B27=0,"",SUMIFS(INPUT_DATA!Q:Q,INPUT_DATA!$A:$A,$B27,INPUT_DATA!$B:$B,"D"))</f>
        <v>0</v>
      </c>
      <c r="BQ27" s="139">
        <f>IF($B27=0,"",SUMIFS(INPUT_DATA!R:R,INPUT_DATA!$A:$A,$B27,INPUT_DATA!$B:$B,"D"))</f>
        <v>0</v>
      </c>
      <c r="BR27" s="149">
        <f>IF($B27=0,"",SUMIFS(INPUT_DATA!S:S,INPUT_DATA!$A:$A,$B27,INPUT_DATA!$B:$B,"D"))</f>
        <v>0</v>
      </c>
      <c r="BS27" s="149">
        <f>IF($B27=0,"",SUMIFS(INPUT_DATA!T:T,INPUT_DATA!$A:$A,$B27,INPUT_DATA!$B:$B,"D"))</f>
        <v>0</v>
      </c>
      <c r="BT27" s="149">
        <f>IF($B27=0,"",SUMIFS(INPUT_DATA!U:U,INPUT_DATA!$A:$A,$B27,INPUT_DATA!$B:$B,"D"))</f>
        <v>0</v>
      </c>
      <c r="BU27" s="149">
        <f>IF($B27=0,"",SUMIFS(INPUT_DATA!V:V,INPUT_DATA!$A:$A,$B27,INPUT_DATA!$B:$B,"D"))</f>
        <v>0</v>
      </c>
      <c r="BV27" s="149">
        <f>IF($B27=0,"",SUMIFS(INPUT_DATA!W:W,INPUT_DATA!$A:$A,$B27,INPUT_DATA!$B:$B,"D"))</f>
        <v>0</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0</v>
      </c>
      <c r="CE27" s="149">
        <f>IF($B27=0,"",SUMIFS(INPUT_DATA!AF:AF,INPUT_DATA!$A:$A,$B27,INPUT_DATA!$B:$B,"D"))</f>
        <v>0</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0</v>
      </c>
      <c r="CK27" s="140">
        <f>IF($B27=0,"",SUMIFS(INPUT_DATA!AL:AL,INPUT_DATA!$A:$A,$B27,INPUT_DATA!$B:$B,"D"))</f>
        <v>0</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0</v>
      </c>
      <c r="CQ27" s="154">
        <f t="shared" si="2"/>
        <v>0</v>
      </c>
      <c r="CR27" s="154">
        <f t="shared" si="3"/>
        <v>0</v>
      </c>
      <c r="CS27" s="139">
        <f>IF($B27=0,"",SUMIFS(INPUT_DATA!AQ:AQ,INPUT_DATA!$A:$A,$B27,INPUT_DATA!$B:$B,"D"))</f>
        <v>0</v>
      </c>
      <c r="CT27" s="154">
        <f>IF($B27=0,"",SUMIFS(INPUT_DATA!AR:AR,INPUT_DATA!$A:$A,$B27,INPUT_DATA!$B:$B,"D"))</f>
        <v>0</v>
      </c>
      <c r="CU27" s="154">
        <f>IF($B27=0,"",SUMIFS(INPUT_DATA!AS:AS,INPUT_DATA!$A:$A,$B27,INPUT_DATA!$B:$B,"D"))</f>
        <v>0</v>
      </c>
      <c r="CV27" s="139">
        <f t="shared" si="17"/>
        <v>0</v>
      </c>
      <c r="CW27" s="154">
        <f t="shared" si="18"/>
        <v>0</v>
      </c>
      <c r="CX27" s="155">
        <f t="shared" si="19"/>
        <v>0</v>
      </c>
      <c r="CY27" s="148"/>
    </row>
    <row r="28" spans="2:104">
      <c r="B28" s="137">
        <f>INPUT_DATA!CN15</f>
        <v>45688</v>
      </c>
      <c r="C28" s="139">
        <f>IF($B28=0,"",SUMIFS(INPUT_DATA!C:C,INPUT_DATA!$A:$A,$B28,INPUT_DATA!$B:$B,"S"))</f>
        <v>7942231678.1999998</v>
      </c>
      <c r="D28" s="139">
        <f>IF($B28=0,"",SUMIFS(INPUT_DATA!D:D,INPUT_DATA!$A:$A,$B28,INPUT_DATA!$B:$B,"S"))</f>
        <v>0</v>
      </c>
      <c r="E28" s="140">
        <f>IF($B28=0,"",SUMIFS(INPUT_DATA!E:E,INPUT_DATA!$A:$A,$B28,INPUT_DATA!$B:$B,"S"))</f>
        <v>42177775.649999999</v>
      </c>
      <c r="F28" s="140">
        <f>IF($B28=0,"",SUMIFS(INPUT_DATA!F:F,INPUT_DATA!$A:$A,$B28,INPUT_DATA!$B:$B,"S"))</f>
        <v>13800626.789999999</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411919.03</v>
      </c>
      <c r="L28" s="140">
        <f>IF($B28=0,"",SUMIFS(INPUT_DATA!L:L,INPUT_DATA!$A:$A,$B28,INPUT_DATA!$B:$B,"S"))</f>
        <v>0</v>
      </c>
      <c r="M28" s="140">
        <f>IF($B28=0,"",SUMIFS(INPUT_DATA!M:M,INPUT_DATA!$A:$A,$B28,INPUT_DATA!$B:$B,"S"))</f>
        <v>3743629.77</v>
      </c>
      <c r="N28" s="140">
        <f>IF($B28=0,"",SUMIFS(INPUT_DATA!N:N,INPUT_DATA!$A:$A,$B28,INPUT_DATA!$B:$B,"S"))</f>
        <v>0</v>
      </c>
      <c r="O28" s="141">
        <f t="shared" si="7"/>
        <v>7882097726.96</v>
      </c>
      <c r="P28" s="142">
        <f>IF($B28=0,"",SUMIFS(INPUT_DATA!O:O,INPUT_DATA!$A:$A,$B28,INPUT_DATA!$B:$B,"S"))</f>
        <v>7882097726.96</v>
      </c>
      <c r="Q28" s="142">
        <f t="shared" si="8"/>
        <v>0</v>
      </c>
      <c r="R28" s="142">
        <f>IF($B28=0,"",SUMIFS(INPUT_DATA!BL:BL,INPUT_DATA!$A:$A,$B28,INPUT_DATA!$B:$B,"S"))</f>
        <v>7755240.1500000004</v>
      </c>
      <c r="S28" s="143">
        <f>IF($B28=0,"",SUMIFS(INPUT_DATA!P:P,INPUT_DATA!$A:$A,$B28,INPUT_DATA!$B:$B,"S"))</f>
        <v>172771.65</v>
      </c>
      <c r="T28" s="143">
        <f>IF($B28=0,"",SUMIFS(INPUT_DATA!Q:Q,INPUT_DATA!$A:$A,$B28,INPUT_DATA!$B:$B,"S"))</f>
        <v>38241.730000000003</v>
      </c>
      <c r="U28" s="143">
        <f>IF($B28=0,"",SUMIFS(INPUT_DATA!R:R,INPUT_DATA!$A:$A,$B28,INPUT_DATA!$B:$B,"S"))</f>
        <v>0</v>
      </c>
      <c r="V28" s="144">
        <f>IF($B28=0,"",SUMIFS(INPUT_DATA!S:S,INPUT_DATA!$A:$A,$B28,INPUT_DATA!$B:$B,"S"))</f>
        <v>106679.76</v>
      </c>
      <c r="W28" s="144">
        <f>IF($B28=0,"",SUMIFS(INPUT_DATA!T:T,INPUT_DATA!$A:$A,$B28,INPUT_DATA!$B:$B,"S"))</f>
        <v>21253.25</v>
      </c>
      <c r="X28" s="144">
        <f>IF($B28=0,"",SUMIFS(INPUT_DATA!U:U,INPUT_DATA!$A:$A,$B28,INPUT_DATA!$B:$B,"S"))</f>
        <v>0</v>
      </c>
      <c r="Y28" s="144">
        <f>IF($B28=0,"",SUMIFS(INPUT_DATA!V:V,INPUT_DATA!$A:$A,$B28,INPUT_DATA!$B:$B,"S"))</f>
        <v>71746.8</v>
      </c>
      <c r="Z28" s="144">
        <f>IF($B28=0,"",SUMIFS(INPUT_DATA!W:W,INPUT_DATA!$A:$A,$B28,INPUT_DATA!$B:$B,"S"))</f>
        <v>17792.560000000001</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969.07</v>
      </c>
      <c r="AI28" s="144">
        <f>IF($B28=0,"",SUMIFS(INPUT_DATA!AF:AF,INPUT_DATA!$A:$A,$B28,INPUT_DATA!$B:$B,"S"))</f>
        <v>13.51</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206735.53999999998</v>
      </c>
      <c r="AR28" s="146">
        <f t="shared" si="10"/>
        <v>41688.909999999996</v>
      </c>
      <c r="AS28" s="147">
        <f t="shared" si="11"/>
        <v>0</v>
      </c>
      <c r="AT28" s="145">
        <f>IF($B28=0,"",SUMIFS(INPUT_DATA!AQ:AQ,INPUT_DATA!$A:$A,$B28,INPUT_DATA!$B:$B,"S"))</f>
        <v>206735.54</v>
      </c>
      <c r="AU28" s="146">
        <f>IF($B28=0,"",SUMIFS(INPUT_DATA!AR:AR,INPUT_DATA!$A:$A,$B28,INPUT_DATA!$B:$B,"S"))</f>
        <v>41688.910000000003</v>
      </c>
      <c r="AV28" s="147">
        <f>IF($B28=0,"",SUMIFS(INPUT_DATA!AS:AS,INPUT_DATA!$A:$A,$B28,INPUT_DATA!$B:$B,"S"))</f>
        <v>0</v>
      </c>
      <c r="AW28" s="145">
        <f t="shared" si="12"/>
        <v>-2.9103830456733704E-11</v>
      </c>
      <c r="AX28" s="146">
        <f t="shared" si="13"/>
        <v>-7.2759576141834259E-12</v>
      </c>
      <c r="AY28" s="147">
        <f t="shared" si="14"/>
        <v>0</v>
      </c>
      <c r="AZ28" s="148"/>
      <c r="BA28" s="138">
        <f>IF($B28=0,"",SUMIFS(INPUT_DATA!C:C,INPUT_DATA!$A:$A,$B28,INPUT_DATA!$B:$B,"D"))</f>
        <v>238668.41</v>
      </c>
      <c r="BB28" s="149">
        <f>IF($B28=0,"",SUMIFS(INPUT_DATA!E:E,INPUT_DATA!$A:$A,$B28,INPUT_DATA!$B:$B,"D"))</f>
        <v>642.67999999999995</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411919.03</v>
      </c>
      <c r="BI28" s="149">
        <f>IF($B28=0,"",SUMIFS(INPUT_DATA!L:L,INPUT_DATA!$A:$A,$B28,INPUT_DATA!$B:$B,"D"))</f>
        <v>0</v>
      </c>
      <c r="BJ28" s="149">
        <f>IF($B28=0,"",SUMIFS(INPUT_DATA!M:M,INPUT_DATA!$A:$A,$B28,INPUT_DATA!$B:$B,"D"))</f>
        <v>238668.41</v>
      </c>
      <c r="BK28" s="149">
        <f>IF($B28=0,"",SUMIFS(INPUT_DATA!N:N,INPUT_DATA!$A:$A,$B28,INPUT_DATA!$B:$B,"D"))</f>
        <v>0</v>
      </c>
      <c r="BL28" s="150">
        <f t="shared" si="5"/>
        <v>411276.35</v>
      </c>
      <c r="BM28" s="150">
        <f>IF($B28=0,"",SUMIFS(INPUT_DATA!O:O,INPUT_DATA!$A:$A,$B28,INPUT_DATA!$B:$B,"D"))</f>
        <v>411276.35</v>
      </c>
      <c r="BN28" s="150">
        <f t="shared" si="15"/>
        <v>0</v>
      </c>
      <c r="BO28" s="153">
        <f>IF($B28=0,"",SUMIFS(INPUT_DATA!P:P,INPUT_DATA!$A:$A,$B28,INPUT_DATA!$B:$B,"D"))</f>
        <v>0</v>
      </c>
      <c r="BP28" s="139">
        <f>IF($B28=0,"",SUMIFS(INPUT_DATA!Q:Q,INPUT_DATA!$A:$A,$B28,INPUT_DATA!$B:$B,"D"))</f>
        <v>0</v>
      </c>
      <c r="BQ28" s="139">
        <f>IF($B28=0,"",SUMIFS(INPUT_DATA!R:R,INPUT_DATA!$A:$A,$B28,INPUT_DATA!$B:$B,"D"))</f>
        <v>0</v>
      </c>
      <c r="BR28" s="149">
        <f>IF($B28=0,"",SUMIFS(INPUT_DATA!S:S,INPUT_DATA!$A:$A,$B28,INPUT_DATA!$B:$B,"D"))</f>
        <v>0</v>
      </c>
      <c r="BS28" s="149">
        <f>IF($B28=0,"",SUMIFS(INPUT_DATA!T:T,INPUT_DATA!$A:$A,$B28,INPUT_DATA!$B:$B,"D"))</f>
        <v>0</v>
      </c>
      <c r="BT28" s="149">
        <f>IF($B28=0,"",SUMIFS(INPUT_DATA!U:U,INPUT_DATA!$A:$A,$B28,INPUT_DATA!$B:$B,"D"))</f>
        <v>0</v>
      </c>
      <c r="BU28" s="149">
        <f>IF($B28=0,"",SUMIFS(INPUT_DATA!V:V,INPUT_DATA!$A:$A,$B28,INPUT_DATA!$B:$B,"D"))</f>
        <v>969.07</v>
      </c>
      <c r="BV28" s="149">
        <f>IF($B28=0,"",SUMIFS(INPUT_DATA!W:W,INPUT_DATA!$A:$A,$B28,INPUT_DATA!$B:$B,"D"))</f>
        <v>13.51</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969.07</v>
      </c>
      <c r="CE28" s="149">
        <f>IF($B28=0,"",SUMIFS(INPUT_DATA!AF:AF,INPUT_DATA!$A:$A,$B28,INPUT_DATA!$B:$B,"D"))</f>
        <v>13.51</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0</v>
      </c>
      <c r="CQ28" s="154">
        <f t="shared" si="2"/>
        <v>0</v>
      </c>
      <c r="CR28" s="154">
        <f t="shared" si="3"/>
        <v>0</v>
      </c>
      <c r="CS28" s="139">
        <f>IF($B28=0,"",SUMIFS(INPUT_DATA!AQ:AQ,INPUT_DATA!$A:$A,$B28,INPUT_DATA!$B:$B,"D"))</f>
        <v>0</v>
      </c>
      <c r="CT28" s="154">
        <f>IF($B28=0,"",SUMIFS(INPUT_DATA!AR:AR,INPUT_DATA!$A:$A,$B28,INPUT_DATA!$B:$B,"D"))</f>
        <v>0</v>
      </c>
      <c r="CU28" s="154">
        <f>IF($B28=0,"",SUMIFS(INPUT_DATA!AS:AS,INPUT_DATA!$A:$A,$B28,INPUT_DATA!$B:$B,"D"))</f>
        <v>0</v>
      </c>
      <c r="CV28" s="139">
        <f t="shared" si="17"/>
        <v>0</v>
      </c>
      <c r="CW28" s="154">
        <f t="shared" si="18"/>
        <v>0</v>
      </c>
      <c r="CX28" s="155">
        <f t="shared" si="19"/>
        <v>0</v>
      </c>
      <c r="CY28" s="148"/>
    </row>
    <row r="29" spans="2:104">
      <c r="B29" s="137">
        <f>INPUT_DATA!CN16</f>
        <v>45657</v>
      </c>
      <c r="C29" s="139">
        <f>IF($B29=0,"",SUMIFS(INPUT_DATA!C:C,INPUT_DATA!$A:$A,$B29,INPUT_DATA!$B:$B,"S"))</f>
        <v>8062678431.4300003</v>
      </c>
      <c r="D29" s="139">
        <f>IF($B29=0,"",SUMIFS(INPUT_DATA!D:D,INPUT_DATA!$A:$A,$B29,INPUT_DATA!$B:$B,"S"))</f>
        <v>0</v>
      </c>
      <c r="E29" s="140">
        <f>IF($B29=0,"",SUMIFS(INPUT_DATA!E:E,INPUT_DATA!$A:$A,$B29,INPUT_DATA!$B:$B,"S"))</f>
        <v>41765874.259999998</v>
      </c>
      <c r="F29" s="140">
        <f>IF($B29=0,"",SUMIFS(INPUT_DATA!F:F,INPUT_DATA!$A:$A,$B29,INPUT_DATA!$B:$B,"S"))</f>
        <v>14770590.32</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282412.90999999997</v>
      </c>
      <c r="L29" s="140">
        <f>IF($B29=0,"",SUMIFS(INPUT_DATA!L:L,INPUT_DATA!$A:$A,$B29,INPUT_DATA!$B:$B,"S"))</f>
        <v>0</v>
      </c>
      <c r="M29" s="140">
        <f>IF($B29=0,"",SUMIFS(INPUT_DATA!M:M,INPUT_DATA!$A:$A,$B29,INPUT_DATA!$B:$B,"S"))</f>
        <v>3390909.64</v>
      </c>
      <c r="N29" s="140">
        <f>IF($B29=0,"",SUMIFS(INPUT_DATA!N:N,INPUT_DATA!$A:$A,$B29,INPUT_DATA!$B:$B,"S"))</f>
        <v>60236966.100000001</v>
      </c>
      <c r="O29" s="141">
        <f t="shared" si="7"/>
        <v>7942231678.1999998</v>
      </c>
      <c r="P29" s="142">
        <f>IF($B29=0,"",SUMIFS(INPUT_DATA!O:O,INPUT_DATA!$A:$A,$B29,INPUT_DATA!$B:$B,"S"))</f>
        <v>7942231678.1999998</v>
      </c>
      <c r="Q29" s="142">
        <f t="shared" si="8"/>
        <v>0</v>
      </c>
      <c r="R29" s="142">
        <f>IF($B29=0,"",SUMIFS(INPUT_DATA!BL:BL,INPUT_DATA!$A:$A,$B29,INPUT_DATA!$B:$B,"S"))</f>
        <v>7868933.2199999997</v>
      </c>
      <c r="S29" s="143">
        <f>IF($B29=0,"",SUMIFS(INPUT_DATA!P:P,INPUT_DATA!$A:$A,$B29,INPUT_DATA!$B:$B,"S"))</f>
        <v>129108.29</v>
      </c>
      <c r="T29" s="143">
        <f>IF($B29=0,"",SUMIFS(INPUT_DATA!Q:Q,INPUT_DATA!$A:$A,$B29,INPUT_DATA!$B:$B,"S"))</f>
        <v>24117.33</v>
      </c>
      <c r="U29" s="143">
        <f>IF($B29=0,"",SUMIFS(INPUT_DATA!R:R,INPUT_DATA!$A:$A,$B29,INPUT_DATA!$B:$B,"S"))</f>
        <v>0</v>
      </c>
      <c r="V29" s="144">
        <f>IF($B29=0,"",SUMIFS(INPUT_DATA!S:S,INPUT_DATA!$A:$A,$B29,INPUT_DATA!$B:$B,"S"))</f>
        <v>122480.08</v>
      </c>
      <c r="W29" s="144">
        <f>IF($B29=0,"",SUMIFS(INPUT_DATA!T:T,INPUT_DATA!$A:$A,$B29,INPUT_DATA!$B:$B,"S"))</f>
        <v>29989.43</v>
      </c>
      <c r="X29" s="144">
        <f>IF($B29=0,"",SUMIFS(INPUT_DATA!U:U,INPUT_DATA!$A:$A,$B29,INPUT_DATA!$B:$B,"S"))</f>
        <v>0</v>
      </c>
      <c r="Y29" s="144">
        <f>IF($B29=0,"",SUMIFS(INPUT_DATA!V:V,INPUT_DATA!$A:$A,$B29,INPUT_DATA!$B:$B,"S"))</f>
        <v>77115.009999999995</v>
      </c>
      <c r="Z29" s="144">
        <f>IF($B29=0,"",SUMIFS(INPUT_DATA!W:W,INPUT_DATA!$A:$A,$B29,INPUT_DATA!$B:$B,"S"))</f>
        <v>15738.69</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0</v>
      </c>
      <c r="AI29" s="144">
        <f>IF($B29=0,"",SUMIFS(INPUT_DATA!AF:AF,INPUT_DATA!$A:$A,$B29,INPUT_DATA!$B:$B,"S"))</f>
        <v>0</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1701.71</v>
      </c>
      <c r="AO29" s="144">
        <f>IF($B29=0,"",SUMIFS(INPUT_DATA!AO:AO,INPUT_DATA!$A:$A,$B29,INPUT_DATA!$B:$B,"S"))</f>
        <v>126.34</v>
      </c>
      <c r="AP29" s="144">
        <f>IF($B29=0,"",SUMIFS(INPUT_DATA!AP:AP,INPUT_DATA!$A:$A,$B29,INPUT_DATA!$B:$B,"S"))</f>
        <v>0</v>
      </c>
      <c r="AQ29" s="145">
        <f t="shared" si="9"/>
        <v>172771.65</v>
      </c>
      <c r="AR29" s="146">
        <f t="shared" si="10"/>
        <v>38241.730000000003</v>
      </c>
      <c r="AS29" s="147">
        <f t="shared" si="11"/>
        <v>0</v>
      </c>
      <c r="AT29" s="145">
        <f>IF($B29=0,"",SUMIFS(INPUT_DATA!AQ:AQ,INPUT_DATA!$A:$A,$B29,INPUT_DATA!$B:$B,"S"))</f>
        <v>172771.65</v>
      </c>
      <c r="AU29" s="146">
        <f>IF($B29=0,"",SUMIFS(INPUT_DATA!AR:AR,INPUT_DATA!$A:$A,$B29,INPUT_DATA!$B:$B,"S"))</f>
        <v>38241.730000000003</v>
      </c>
      <c r="AV29" s="147">
        <f>IF($B29=0,"",SUMIFS(INPUT_DATA!AS:AS,INPUT_DATA!$A:$A,$B29,INPUT_DATA!$B:$B,"S"))</f>
        <v>0</v>
      </c>
      <c r="AW29" s="145">
        <f t="shared" si="12"/>
        <v>0</v>
      </c>
      <c r="AX29" s="146">
        <f t="shared" si="13"/>
        <v>0</v>
      </c>
      <c r="AY29" s="147">
        <f t="shared" si="14"/>
        <v>0</v>
      </c>
      <c r="AZ29" s="148"/>
      <c r="BA29" s="138">
        <f>IF($B29=0,"",SUMIFS(INPUT_DATA!C:C,INPUT_DATA!$A:$A,$B29,INPUT_DATA!$B:$B,"D"))</f>
        <v>256996.09</v>
      </c>
      <c r="BB29" s="149">
        <f>IF($B29=0,"",SUMIFS(INPUT_DATA!E:E,INPUT_DATA!$A:$A,$B29,INPUT_DATA!$B:$B,"D"))</f>
        <v>45908.84</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282412.90999999997</v>
      </c>
      <c r="BI29" s="149">
        <f>IF($B29=0,"",SUMIFS(INPUT_DATA!L:L,INPUT_DATA!$A:$A,$B29,INPUT_DATA!$B:$B,"D"))</f>
        <v>0</v>
      </c>
      <c r="BJ29" s="149">
        <f>IF($B29=0,"",SUMIFS(INPUT_DATA!M:M,INPUT_DATA!$A:$A,$B29,INPUT_DATA!$B:$B,"D"))</f>
        <v>254831.75</v>
      </c>
      <c r="BK29" s="149">
        <f>IF($B29=0,"",SUMIFS(INPUT_DATA!N:N,INPUT_DATA!$A:$A,$B29,INPUT_DATA!$B:$B,"D"))</f>
        <v>0</v>
      </c>
      <c r="BL29" s="150">
        <f t="shared" si="5"/>
        <v>238668.40999999997</v>
      </c>
      <c r="BM29" s="150">
        <f>IF($B29=0,"",SUMIFS(INPUT_DATA!O:O,INPUT_DATA!$A:$A,$B29,INPUT_DATA!$B:$B,"D"))</f>
        <v>238668.41</v>
      </c>
      <c r="BN29" s="150">
        <f t="shared" si="15"/>
        <v>-2.9103830456733704E-11</v>
      </c>
      <c r="BO29" s="153">
        <f>IF($B29=0,"",SUMIFS(INPUT_DATA!P:P,INPUT_DATA!$A:$A,$B29,INPUT_DATA!$B:$B,"D"))</f>
        <v>3909.79</v>
      </c>
      <c r="BP29" s="139">
        <f>IF($B29=0,"",SUMIFS(INPUT_DATA!Q:Q,INPUT_DATA!$A:$A,$B29,INPUT_DATA!$B:$B,"D"))</f>
        <v>230.22</v>
      </c>
      <c r="BQ29" s="139">
        <f>IF($B29=0,"",SUMIFS(INPUT_DATA!R:R,INPUT_DATA!$A:$A,$B29,INPUT_DATA!$B:$B,"D"))</f>
        <v>0</v>
      </c>
      <c r="BR29" s="149">
        <f>IF($B29=0,"",SUMIFS(INPUT_DATA!S:S,INPUT_DATA!$A:$A,$B29,INPUT_DATA!$B:$B,"D"))</f>
        <v>0</v>
      </c>
      <c r="BS29" s="149">
        <f>IF($B29=0,"",SUMIFS(INPUT_DATA!T:T,INPUT_DATA!$A:$A,$B29,INPUT_DATA!$B:$B,"D"))</f>
        <v>0</v>
      </c>
      <c r="BT29" s="149">
        <f>IF($B29=0,"",SUMIFS(INPUT_DATA!U:U,INPUT_DATA!$A:$A,$B29,INPUT_DATA!$B:$B,"D"))</f>
        <v>0</v>
      </c>
      <c r="BU29" s="149">
        <f>IF($B29=0,"",SUMIFS(INPUT_DATA!V:V,INPUT_DATA!$A:$A,$B29,INPUT_DATA!$B:$B,"D"))</f>
        <v>3909.79</v>
      </c>
      <c r="BV29" s="149">
        <f>IF($B29=0,"",SUMIFS(INPUT_DATA!W:W,INPUT_DATA!$A:$A,$B29,INPUT_DATA!$B:$B,"D"))</f>
        <v>230.22</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0</v>
      </c>
      <c r="CE29" s="149">
        <f>IF($B29=0,"",SUMIFS(INPUT_DATA!AF:AF,INPUT_DATA!$A:$A,$B29,INPUT_DATA!$B:$B,"D"))</f>
        <v>0</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0</v>
      </c>
      <c r="CQ29" s="154">
        <f t="shared" si="2"/>
        <v>0</v>
      </c>
      <c r="CR29" s="154">
        <f t="shared" si="3"/>
        <v>0</v>
      </c>
      <c r="CS29" s="139">
        <f>IF($B29=0,"",SUMIFS(INPUT_DATA!AQ:AQ,INPUT_DATA!$A:$A,$B29,INPUT_DATA!$B:$B,"D"))</f>
        <v>0</v>
      </c>
      <c r="CT29" s="154">
        <f>IF($B29=0,"",SUMIFS(INPUT_DATA!AR:AR,INPUT_DATA!$A:$A,$B29,INPUT_DATA!$B:$B,"D"))</f>
        <v>0</v>
      </c>
      <c r="CU29" s="154">
        <f>IF($B29=0,"",SUMIFS(INPUT_DATA!AS:AS,INPUT_DATA!$A:$A,$B29,INPUT_DATA!$B:$B,"D"))</f>
        <v>0</v>
      </c>
      <c r="CV29" s="139">
        <f t="shared" si="17"/>
        <v>0</v>
      </c>
      <c r="CW29" s="154">
        <f t="shared" si="18"/>
        <v>0</v>
      </c>
      <c r="CX29" s="155">
        <f t="shared" si="19"/>
        <v>0</v>
      </c>
      <c r="CY29" s="148"/>
    </row>
    <row r="30" spans="2:104">
      <c r="B30" s="137">
        <f>INPUT_DATA!CN17</f>
        <v>45626</v>
      </c>
      <c r="C30" s="139">
        <f>IF($B30=0,"",SUMIFS(INPUT_DATA!C:C,INPUT_DATA!$A:$A,$B30,INPUT_DATA!$B:$B,"S"))</f>
        <v>8120798931.6599998</v>
      </c>
      <c r="D30" s="139">
        <f>IF($B30=0,"",SUMIFS(INPUT_DATA!D:D,INPUT_DATA!$A:$A,$B30,INPUT_DATA!$B:$B,"S"))</f>
        <v>0</v>
      </c>
      <c r="E30" s="140">
        <f>IF($B30=0,"",SUMIFS(INPUT_DATA!E:E,INPUT_DATA!$A:$A,$B30,INPUT_DATA!$B:$B,"S"))</f>
        <v>41993813.539999999</v>
      </c>
      <c r="F30" s="140">
        <f>IF($B30=0,"",SUMIFS(INPUT_DATA!F:F,INPUT_DATA!$A:$A,$B30,INPUT_DATA!$B:$B,"S"))</f>
        <v>12780562.119999999</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259157.33</v>
      </c>
      <c r="L30" s="140">
        <f>IF($B30=0,"",SUMIFS(INPUT_DATA!L:L,INPUT_DATA!$A:$A,$B30,INPUT_DATA!$B:$B,"S"))</f>
        <v>0</v>
      </c>
      <c r="M30" s="140">
        <f>IF($B30=0,"",SUMIFS(INPUT_DATA!M:M,INPUT_DATA!$A:$A,$B30,INPUT_DATA!$B:$B,"S"))</f>
        <v>3086967.24</v>
      </c>
      <c r="N30" s="140">
        <f>IF($B30=0,"",SUMIFS(INPUT_DATA!N:N,INPUT_DATA!$A:$A,$B30,INPUT_DATA!$B:$B,"S"))</f>
        <v>0</v>
      </c>
      <c r="O30" s="141">
        <f t="shared" si="7"/>
        <v>8062678431.4300003</v>
      </c>
      <c r="P30" s="142">
        <f>IF($B30=0,"",SUMIFS(INPUT_DATA!O:O,INPUT_DATA!$A:$A,$B30,INPUT_DATA!$B:$B,"S"))</f>
        <v>8062678431.4300003</v>
      </c>
      <c r="Q30" s="142">
        <f t="shared" si="8"/>
        <v>0</v>
      </c>
      <c r="R30" s="142">
        <f>IF($B30=0,"",SUMIFS(INPUT_DATA!BL:BL,INPUT_DATA!$A:$A,$B30,INPUT_DATA!$B:$B,"S"))</f>
        <v>7863322.6900000004</v>
      </c>
      <c r="S30" s="143">
        <f>IF($B30=0,"",SUMIFS(INPUT_DATA!P:P,INPUT_DATA!$A:$A,$B30,INPUT_DATA!$B:$B,"S"))</f>
        <v>0</v>
      </c>
      <c r="T30" s="143">
        <f>IF($B30=0,"",SUMIFS(INPUT_DATA!Q:Q,INPUT_DATA!$A:$A,$B30,INPUT_DATA!$B:$B,"S"))</f>
        <v>0</v>
      </c>
      <c r="U30" s="143">
        <f>IF($B30=0,"",SUMIFS(INPUT_DATA!R:R,INPUT_DATA!$A:$A,$B30,INPUT_DATA!$B:$B,"S"))</f>
        <v>0</v>
      </c>
      <c r="V30" s="144">
        <f>IF($B30=0,"",SUMIFS(INPUT_DATA!S:S,INPUT_DATA!$A:$A,$B30,INPUT_DATA!$B:$B,"S"))</f>
        <v>129108.29</v>
      </c>
      <c r="W30" s="144">
        <f>IF($B30=0,"",SUMIFS(INPUT_DATA!T:T,INPUT_DATA!$A:$A,$B30,INPUT_DATA!$B:$B,"S"))</f>
        <v>24117.33</v>
      </c>
      <c r="X30" s="144">
        <f>IF($B30=0,"",SUMIFS(INPUT_DATA!U:U,INPUT_DATA!$A:$A,$B30,INPUT_DATA!$B:$B,"S"))</f>
        <v>0</v>
      </c>
      <c r="Y30" s="144">
        <f>IF($B30=0,"",SUMIFS(INPUT_DATA!V:V,INPUT_DATA!$A:$A,$B30,INPUT_DATA!$B:$B,"S"))</f>
        <v>0</v>
      </c>
      <c r="Z30" s="144">
        <f>IF($B30=0,"",SUMIFS(INPUT_DATA!W:W,INPUT_DATA!$A:$A,$B30,INPUT_DATA!$B:$B,"S"))</f>
        <v>0</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0</v>
      </c>
      <c r="AI30" s="144">
        <f>IF($B30=0,"",SUMIFS(INPUT_DATA!AF:AF,INPUT_DATA!$A:$A,$B30,INPUT_DATA!$B:$B,"S"))</f>
        <v>0</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129108.29</v>
      </c>
      <c r="AR30" s="146">
        <f t="shared" si="10"/>
        <v>24117.33</v>
      </c>
      <c r="AS30" s="147">
        <f t="shared" si="11"/>
        <v>0</v>
      </c>
      <c r="AT30" s="145">
        <f>IF($B30=0,"",SUMIFS(INPUT_DATA!AQ:AQ,INPUT_DATA!$A:$A,$B30,INPUT_DATA!$B:$B,"S"))</f>
        <v>129108.29</v>
      </c>
      <c r="AU30" s="146">
        <f>IF($B30=0,"",SUMIFS(INPUT_DATA!AR:AR,INPUT_DATA!$A:$A,$B30,INPUT_DATA!$B:$B,"S"))</f>
        <v>24117.33</v>
      </c>
      <c r="AV30" s="147">
        <f>IF($B30=0,"",SUMIFS(INPUT_DATA!AS:AS,INPUT_DATA!$A:$A,$B30,INPUT_DATA!$B:$B,"S"))</f>
        <v>0</v>
      </c>
      <c r="AW30" s="145">
        <f t="shared" si="12"/>
        <v>0</v>
      </c>
      <c r="AX30" s="146">
        <f t="shared" si="13"/>
        <v>0</v>
      </c>
      <c r="AY30" s="147">
        <f t="shared" si="14"/>
        <v>0</v>
      </c>
      <c r="AZ30" s="148"/>
      <c r="BA30" s="138">
        <f>IF($B30=0,"",SUMIFS(INPUT_DATA!C:C,INPUT_DATA!$A:$A,$B30,INPUT_DATA!$B:$B,"D"))</f>
        <v>64473.05</v>
      </c>
      <c r="BB30" s="149">
        <f>IF($B30=0,"",SUMIFS(INPUT_DATA!E:E,INPUT_DATA!$A:$A,$B30,INPUT_DATA!$B:$B,"D"))</f>
        <v>2865.87</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259157.33</v>
      </c>
      <c r="BI30" s="149">
        <f>IF($B30=0,"",SUMIFS(INPUT_DATA!L:L,INPUT_DATA!$A:$A,$B30,INPUT_DATA!$B:$B,"D"))</f>
        <v>0</v>
      </c>
      <c r="BJ30" s="149">
        <f>IF($B30=0,"",SUMIFS(INPUT_DATA!M:M,INPUT_DATA!$A:$A,$B30,INPUT_DATA!$B:$B,"D"))</f>
        <v>63768.42</v>
      </c>
      <c r="BK30" s="149">
        <f>IF($B30=0,"",SUMIFS(INPUT_DATA!N:N,INPUT_DATA!$A:$A,$B30,INPUT_DATA!$B:$B,"D"))</f>
        <v>0</v>
      </c>
      <c r="BL30" s="150">
        <f t="shared" si="5"/>
        <v>256996.09000000003</v>
      </c>
      <c r="BM30" s="150">
        <f>IF($B30=0,"",SUMIFS(INPUT_DATA!O:O,INPUT_DATA!$A:$A,$B30,INPUT_DATA!$B:$B,"D"))</f>
        <v>256996.09</v>
      </c>
      <c r="BN30" s="150">
        <f t="shared" si="15"/>
        <v>2.9103830456733704E-11</v>
      </c>
      <c r="BO30" s="153">
        <f>IF($B30=0,"",SUMIFS(INPUT_DATA!P:P,INPUT_DATA!$A:$A,$B30,INPUT_DATA!$B:$B,"D"))</f>
        <v>0</v>
      </c>
      <c r="BP30" s="139">
        <f>IF($B30=0,"",SUMIFS(INPUT_DATA!Q:Q,INPUT_DATA!$A:$A,$B30,INPUT_DATA!$B:$B,"D"))</f>
        <v>0</v>
      </c>
      <c r="BQ30" s="139">
        <f>IF($B30=0,"",SUMIFS(INPUT_DATA!R:R,INPUT_DATA!$A:$A,$B30,INPUT_DATA!$B:$B,"D"))</f>
        <v>0</v>
      </c>
      <c r="BR30" s="149">
        <f>IF($B30=0,"",SUMIFS(INPUT_DATA!S:S,INPUT_DATA!$A:$A,$B30,INPUT_DATA!$B:$B,"D"))</f>
        <v>3909.79</v>
      </c>
      <c r="BS30" s="149">
        <f>IF($B30=0,"",SUMIFS(INPUT_DATA!T:T,INPUT_DATA!$A:$A,$B30,INPUT_DATA!$B:$B,"D"))</f>
        <v>230.22</v>
      </c>
      <c r="BT30" s="149">
        <f>IF($B30=0,"",SUMIFS(INPUT_DATA!U:U,INPUT_DATA!$A:$A,$B30,INPUT_DATA!$B:$B,"D"))</f>
        <v>0</v>
      </c>
      <c r="BU30" s="149">
        <f>IF($B30=0,"",SUMIFS(INPUT_DATA!V:V,INPUT_DATA!$A:$A,$B30,INPUT_DATA!$B:$B,"D"))</f>
        <v>0</v>
      </c>
      <c r="BV30" s="149">
        <f>IF($B30=0,"",SUMIFS(INPUT_DATA!W:W,INPUT_DATA!$A:$A,$B30,INPUT_DATA!$B:$B,"D"))</f>
        <v>0</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0</v>
      </c>
      <c r="CE30" s="149">
        <f>IF($B30=0,"",SUMIFS(INPUT_DATA!AF:AF,INPUT_DATA!$A:$A,$B30,INPUT_DATA!$B:$B,"D"))</f>
        <v>0</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3909.79</v>
      </c>
      <c r="CQ30" s="154">
        <f t="shared" si="2"/>
        <v>230.22</v>
      </c>
      <c r="CR30" s="154">
        <f t="shared" si="3"/>
        <v>0</v>
      </c>
      <c r="CS30" s="139">
        <f>IF($B30=0,"",SUMIFS(INPUT_DATA!AQ:AQ,INPUT_DATA!$A:$A,$B30,INPUT_DATA!$B:$B,"D"))</f>
        <v>3909.79</v>
      </c>
      <c r="CT30" s="154">
        <f>IF($B30=0,"",SUMIFS(INPUT_DATA!AR:AR,INPUT_DATA!$A:$A,$B30,INPUT_DATA!$B:$B,"D"))</f>
        <v>230.22</v>
      </c>
      <c r="CU30" s="154">
        <f>IF($B30=0,"",SUMIFS(INPUT_DATA!AS:AS,INPUT_DATA!$A:$A,$B30,INPUT_DATA!$B:$B,"D"))</f>
        <v>0</v>
      </c>
      <c r="CV30" s="139">
        <f t="shared" si="17"/>
        <v>0</v>
      </c>
      <c r="CW30" s="154">
        <f t="shared" si="18"/>
        <v>0</v>
      </c>
      <c r="CX30" s="155">
        <f t="shared" si="19"/>
        <v>0</v>
      </c>
      <c r="CY30" s="148"/>
    </row>
    <row r="31" spans="2:104">
      <c r="B31" s="137">
        <f>INPUT_DATA!CN18</f>
        <v>45596</v>
      </c>
      <c r="C31" s="139">
        <f>IF($B31=0,"",SUMIFS(INPUT_DATA!C:C,INPUT_DATA!$A:$A,$B31,INPUT_DATA!$B:$B,"S"))</f>
        <v>8182368484.4700003</v>
      </c>
      <c r="D31" s="139">
        <f>IF($B31=0,"",SUMIFS(INPUT_DATA!D:D,INPUT_DATA!$A:$A,$B31,INPUT_DATA!$B:$B,"S"))</f>
        <v>0</v>
      </c>
      <c r="E31" s="140">
        <f>IF($B31=0,"",SUMIFS(INPUT_DATA!E:E,INPUT_DATA!$A:$A,$B31,INPUT_DATA!$B:$B,"S"))</f>
        <v>42217161.75</v>
      </c>
      <c r="F31" s="140">
        <f>IF($B31=0,"",SUMIFS(INPUT_DATA!F:F,INPUT_DATA!$A:$A,$B31,INPUT_DATA!$B:$B,"S"))</f>
        <v>12577297.26</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65384.86</v>
      </c>
      <c r="L31" s="140">
        <f>IF($B31=0,"",SUMIFS(INPUT_DATA!L:L,INPUT_DATA!$A:$A,$B31,INPUT_DATA!$B:$B,"S"))</f>
        <v>0</v>
      </c>
      <c r="M31" s="140">
        <f>IF($B31=0,"",SUMIFS(INPUT_DATA!M:M,INPUT_DATA!$A:$A,$B31,INPUT_DATA!$B:$B,"S"))</f>
        <v>1682935.28</v>
      </c>
      <c r="N31" s="140">
        <f>IF($B31=0,"",SUMIFS(INPUT_DATA!N:N,INPUT_DATA!$A:$A,$B31,INPUT_DATA!$B:$B,"S"))</f>
        <v>5026773.66</v>
      </c>
      <c r="O31" s="141">
        <f t="shared" si="7"/>
        <v>8120798931.6600008</v>
      </c>
      <c r="P31" s="142">
        <f>IF($B31=0,"",SUMIFS(INPUT_DATA!O:O,INPUT_DATA!$A:$A,$B31,INPUT_DATA!$B:$B,"S"))</f>
        <v>8120798931.6599998</v>
      </c>
      <c r="Q31" s="142">
        <f t="shared" si="8"/>
        <v>9.5367431640625E-7</v>
      </c>
      <c r="R31" s="142">
        <f>IF($B31=0,"",SUMIFS(INPUT_DATA!BL:BL,INPUT_DATA!$A:$A,$B31,INPUT_DATA!$B:$B,"S"))</f>
        <v>8000386.2400000002</v>
      </c>
      <c r="S31" s="143">
        <f>IF($B31=0,"",SUMIFS(INPUT_DATA!P:P,INPUT_DATA!$A:$A,$B31,INPUT_DATA!$B:$B,"S"))</f>
        <v>0</v>
      </c>
      <c r="T31" s="143">
        <f>IF($B31=0,"",SUMIFS(INPUT_DATA!Q:Q,INPUT_DATA!$A:$A,$B31,INPUT_DATA!$B:$B,"S"))</f>
        <v>0</v>
      </c>
      <c r="U31" s="143">
        <f>IF($B31=0,"",SUMIFS(INPUT_DATA!R:R,INPUT_DATA!$A:$A,$B31,INPUT_DATA!$B:$B,"S"))</f>
        <v>0</v>
      </c>
      <c r="V31" s="144">
        <f>IF($B31=0,"",SUMIFS(INPUT_DATA!S:S,INPUT_DATA!$A:$A,$B31,INPUT_DATA!$B:$B,"S"))</f>
        <v>0</v>
      </c>
      <c r="W31" s="144">
        <f>IF($B31=0,"",SUMIFS(INPUT_DATA!T:T,INPUT_DATA!$A:$A,$B31,INPUT_DATA!$B:$B,"S"))</f>
        <v>0</v>
      </c>
      <c r="X31" s="144">
        <f>IF($B31=0,"",SUMIFS(INPUT_DATA!U:U,INPUT_DATA!$A:$A,$B31,INPUT_DATA!$B:$B,"S"))</f>
        <v>0</v>
      </c>
      <c r="Y31" s="144">
        <f>IF($B31=0,"",SUMIFS(INPUT_DATA!V:V,INPUT_DATA!$A:$A,$B31,INPUT_DATA!$B:$B,"S"))</f>
        <v>0</v>
      </c>
      <c r="Z31" s="144">
        <f>IF($B31=0,"",SUMIFS(INPUT_DATA!W:W,INPUT_DATA!$A:$A,$B31,INPUT_DATA!$B:$B,"S"))</f>
        <v>0</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0</v>
      </c>
      <c r="AI31" s="144">
        <f>IF($B31=0,"",SUMIFS(INPUT_DATA!AF:AF,INPUT_DATA!$A:$A,$B31,INPUT_DATA!$B:$B,"S"))</f>
        <v>0</v>
      </c>
      <c r="AJ31" s="144">
        <f>IF($B31=0,"",SUMIFS(INPUT_DATA!AG:AG,INPUT_DATA!$A:$A,$B31,INPUT_DATA!$B:$B,"S"))</f>
        <v>0</v>
      </c>
      <c r="AK31" s="144">
        <f>IF($B31=0,"",SUMIFS(INPUT_DATA!AK:AK,INPUT_DATA!$A:$A,$B31,INPUT_DATA!$B:$B,"S"))</f>
        <v>0</v>
      </c>
      <c r="AL31" s="144">
        <f>IF($B31=0,"",SUMIFS(INPUT_DATA!AL:AL,INPUT_DATA!$A:$A,$B31,INPUT_DATA!$B:$B,"S"))</f>
        <v>0</v>
      </c>
      <c r="AM31" s="144">
        <f>IF($B31=0,"",SUMIFS(INPUT_DATA!AM:AM,INPUT_DATA!$A:$A,$B31,INPUT_DATA!$B:$B,"S"))</f>
        <v>0</v>
      </c>
      <c r="AN31" s="144">
        <f>IF($B31=0,"",SUMIFS(INPUT_DATA!AN:AN,INPUT_DATA!$A:$A,$B31,INPUT_DATA!$B:$B,"S"))</f>
        <v>0</v>
      </c>
      <c r="AO31" s="144">
        <f>IF($B31=0,"",SUMIFS(INPUT_DATA!AO:AO,INPUT_DATA!$A:$A,$B31,INPUT_DATA!$B:$B,"S"))</f>
        <v>0</v>
      </c>
      <c r="AP31" s="144">
        <f>IF($B31=0,"",SUMIFS(INPUT_DATA!AP:AP,INPUT_DATA!$A:$A,$B31,INPUT_DATA!$B:$B,"S"))</f>
        <v>0</v>
      </c>
      <c r="AQ31" s="145">
        <f t="shared" si="9"/>
        <v>0</v>
      </c>
      <c r="AR31" s="146">
        <f t="shared" si="10"/>
        <v>0</v>
      </c>
      <c r="AS31" s="147">
        <f t="shared" si="11"/>
        <v>0</v>
      </c>
      <c r="AT31" s="145">
        <f>IF($B31=0,"",SUMIFS(INPUT_DATA!AQ:AQ,INPUT_DATA!$A:$A,$B31,INPUT_DATA!$B:$B,"S"))</f>
        <v>0</v>
      </c>
      <c r="AU31" s="146">
        <f>IF($B31=0,"",SUMIFS(INPUT_DATA!AR:AR,INPUT_DATA!$A:$A,$B31,INPUT_DATA!$B:$B,"S"))</f>
        <v>0</v>
      </c>
      <c r="AV31" s="147">
        <f>IF($B31=0,"",SUMIFS(INPUT_DATA!AS:AS,INPUT_DATA!$A:$A,$B31,INPUT_DATA!$B:$B,"S"))</f>
        <v>0</v>
      </c>
      <c r="AW31" s="145">
        <f t="shared" si="12"/>
        <v>0</v>
      </c>
      <c r="AX31" s="146">
        <f t="shared" si="13"/>
        <v>0</v>
      </c>
      <c r="AY31" s="147">
        <f t="shared" si="14"/>
        <v>0</v>
      </c>
      <c r="AZ31" s="148"/>
      <c r="BA31" s="138">
        <f>IF($B31=0,"",SUMIFS(INPUT_DATA!C:C,INPUT_DATA!$A:$A,$B31,INPUT_DATA!$B:$B,"D"))</f>
        <v>0</v>
      </c>
      <c r="BB31" s="149">
        <f>IF($B31=0,"",SUMIFS(INPUT_DATA!E:E,INPUT_DATA!$A:$A,$B31,INPUT_DATA!$B:$B,"D"))</f>
        <v>911.81</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65384.86</v>
      </c>
      <c r="BI31" s="149">
        <f>IF($B31=0,"",SUMIFS(INPUT_DATA!L:L,INPUT_DATA!$A:$A,$B31,INPUT_DATA!$B:$B,"D"))</f>
        <v>0</v>
      </c>
      <c r="BJ31" s="149">
        <f>IF($B31=0,"",SUMIFS(INPUT_DATA!M:M,INPUT_DATA!$A:$A,$B31,INPUT_DATA!$B:$B,"D"))</f>
        <v>0</v>
      </c>
      <c r="BK31" s="149">
        <f>IF($B31=0,"",SUMIFS(INPUT_DATA!N:N,INPUT_DATA!$A:$A,$B31,INPUT_DATA!$B:$B,"D"))</f>
        <v>0</v>
      </c>
      <c r="BL31" s="150">
        <f t="shared" si="5"/>
        <v>64473.05</v>
      </c>
      <c r="BM31" s="150">
        <f>IF($B31=0,"",SUMIFS(INPUT_DATA!O:O,INPUT_DATA!$A:$A,$B31,INPUT_DATA!$B:$B,"D"))</f>
        <v>64473.05</v>
      </c>
      <c r="BN31" s="150">
        <f t="shared" si="15"/>
        <v>0</v>
      </c>
      <c r="BO31" s="153">
        <f>IF($B31=0,"",SUMIFS(INPUT_DATA!P:P,INPUT_DATA!$A:$A,$B31,INPUT_DATA!$B:$B,"D"))</f>
        <v>0</v>
      </c>
      <c r="BP31" s="139">
        <f>IF($B31=0,"",SUMIFS(INPUT_DATA!Q:Q,INPUT_DATA!$A:$A,$B31,INPUT_DATA!$B:$B,"D"))</f>
        <v>0</v>
      </c>
      <c r="BQ31" s="139">
        <f>IF($B31=0,"",SUMIFS(INPUT_DATA!R:R,INPUT_DATA!$A:$A,$B31,INPUT_DATA!$B:$B,"D"))</f>
        <v>0</v>
      </c>
      <c r="BR31" s="149">
        <f>IF($B31=0,"",SUMIFS(INPUT_DATA!S:S,INPUT_DATA!$A:$A,$B31,INPUT_DATA!$B:$B,"D"))</f>
        <v>0</v>
      </c>
      <c r="BS31" s="149">
        <f>IF($B31=0,"",SUMIFS(INPUT_DATA!T:T,INPUT_DATA!$A:$A,$B31,INPUT_DATA!$B:$B,"D"))</f>
        <v>0</v>
      </c>
      <c r="BT31" s="149">
        <f>IF($B31=0,"",SUMIFS(INPUT_DATA!U:U,INPUT_DATA!$A:$A,$B31,INPUT_DATA!$B:$B,"D"))</f>
        <v>0</v>
      </c>
      <c r="BU31" s="149">
        <f>IF($B31=0,"",SUMIFS(INPUT_DATA!V:V,INPUT_DATA!$A:$A,$B31,INPUT_DATA!$B:$B,"D"))</f>
        <v>0</v>
      </c>
      <c r="BV31" s="149">
        <f>IF($B31=0,"",SUMIFS(INPUT_DATA!W:W,INPUT_DATA!$A:$A,$B31,INPUT_DATA!$B:$B,"D"))</f>
        <v>0</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0</v>
      </c>
      <c r="CE31" s="149">
        <f>IF($B31=0,"",SUMIFS(INPUT_DATA!AF:AF,INPUT_DATA!$A:$A,$B31,INPUT_DATA!$B:$B,"D"))</f>
        <v>0</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0</v>
      </c>
      <c r="CK31" s="140">
        <f>IF($B31=0,"",SUMIFS(INPUT_DATA!AL:AL,INPUT_DATA!$A:$A,$B31,INPUT_DATA!$B:$B,"D"))</f>
        <v>0</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0</v>
      </c>
      <c r="CQ31" s="154">
        <f t="shared" si="2"/>
        <v>0</v>
      </c>
      <c r="CR31" s="154">
        <f t="shared" si="3"/>
        <v>0</v>
      </c>
      <c r="CS31" s="139">
        <f>IF($B31=0,"",SUMIFS(INPUT_DATA!AQ:AQ,INPUT_DATA!$A:$A,$B31,INPUT_DATA!$B:$B,"D"))</f>
        <v>0</v>
      </c>
      <c r="CT31" s="154">
        <f>IF($B31=0,"",SUMIFS(INPUT_DATA!AR:AR,INPUT_DATA!$A:$A,$B31,INPUT_DATA!$B:$B,"D"))</f>
        <v>0</v>
      </c>
      <c r="CU31" s="154">
        <f>IF($B31=0,"",SUMIFS(INPUT_DATA!AS:AS,INPUT_DATA!$A:$A,$B31,INPUT_DATA!$B:$B,"D"))</f>
        <v>0</v>
      </c>
      <c r="CV31" s="139">
        <f t="shared" si="17"/>
        <v>0</v>
      </c>
      <c r="CW31" s="154">
        <f t="shared" si="18"/>
        <v>0</v>
      </c>
      <c r="CX31" s="155">
        <f t="shared" si="19"/>
        <v>0</v>
      </c>
      <c r="CY31" s="148"/>
    </row>
    <row r="32" spans="2:104">
      <c r="B32" s="137">
        <f>INPUT_DATA!CN19</f>
        <v>45565</v>
      </c>
      <c r="C32" s="139">
        <f>IF($B32=0,"",SUMIFS(INPUT_DATA!C:C,INPUT_DATA!$A:$A,$B32,INPUT_DATA!$B:$B,"S"))</f>
        <v>0</v>
      </c>
      <c r="D32" s="139">
        <f>IF($B32=0,"",SUMIFS(INPUT_DATA!D:D,INPUT_DATA!$A:$A,$B32,INPUT_DATA!$B:$B,"S"))</f>
        <v>8182368484.4700003</v>
      </c>
      <c r="E32" s="140">
        <f>IF($B32=0,"",SUMIFS(INPUT_DATA!E:E,INPUT_DATA!$A:$A,$B32,INPUT_DATA!$B:$B,"S"))</f>
        <v>0</v>
      </c>
      <c r="F32" s="140">
        <f>IF($B32=0,"",SUMIFS(INPUT_DATA!F:F,INPUT_DATA!$A:$A,$B32,INPUT_DATA!$B:$B,"S"))</f>
        <v>0</v>
      </c>
      <c r="G32" s="140">
        <f>IF($B32=0,"",SUMIFS(INPUT_DATA!G:G,INPUT_DATA!$A:$A,$B32,INPUT_DATA!$B:$B,"S"))</f>
        <v>0</v>
      </c>
      <c r="H32" s="140">
        <f>IF($B32=0,"",SUMIFS(INPUT_DATA!H:H,INPUT_DATA!$A:$A,$B32,INPUT_DATA!$B:$B,"S"))</f>
        <v>0</v>
      </c>
      <c r="I32" s="140">
        <f>IF($B32=0,"",SUMIFS(INPUT_DATA!I:I,INPUT_DATA!$A:$A,$B32,INPUT_DATA!$B:$B,"S"))</f>
        <v>0</v>
      </c>
      <c r="J32" s="140">
        <f>IF($B32=0,"",SUMIFS(INPUT_DATA!J:J,INPUT_DATA!$A:$A,$B32,INPUT_DATA!$B:$B,"S"))</f>
        <v>0</v>
      </c>
      <c r="K32" s="140">
        <f>IF($B32=0,"",SUMIFS(INPUT_DATA!K:K,INPUT_DATA!$A:$A,$B32,INPUT_DATA!$B:$B,"S"))</f>
        <v>0</v>
      </c>
      <c r="L32" s="140">
        <f>IF($B32=0,"",SUMIFS(INPUT_DATA!L:L,INPUT_DATA!$A:$A,$B32,INPUT_DATA!$B:$B,"S"))</f>
        <v>0</v>
      </c>
      <c r="M32" s="140">
        <f>IF($B32=0,"",SUMIFS(INPUT_DATA!M:M,INPUT_DATA!$A:$A,$B32,INPUT_DATA!$B:$B,"S"))</f>
        <v>0</v>
      </c>
      <c r="N32" s="140">
        <f>IF($B32=0,"",SUMIFS(INPUT_DATA!N:N,INPUT_DATA!$A:$A,$B32,INPUT_DATA!$B:$B,"S"))</f>
        <v>0</v>
      </c>
      <c r="O32" s="141">
        <f t="shared" si="7"/>
        <v>8182368484.4700003</v>
      </c>
      <c r="P32" s="142">
        <f>IF($B32=0,"",SUMIFS(INPUT_DATA!O:O,INPUT_DATA!$A:$A,$B32,INPUT_DATA!$B:$B,"S"))</f>
        <v>8182368484.4700003</v>
      </c>
      <c r="Q32" s="142">
        <f t="shared" si="8"/>
        <v>0</v>
      </c>
      <c r="R32" s="142">
        <f>IF($B32=0,"",SUMIFS(INPUT_DATA!BL:BL,INPUT_DATA!$A:$A,$B32,INPUT_DATA!$B:$B,"S"))</f>
        <v>8022567.3799999999</v>
      </c>
      <c r="S32" s="143">
        <f>IF($B32=0,"",SUMIFS(INPUT_DATA!P:P,INPUT_DATA!$A:$A,$B32,INPUT_DATA!$B:$B,"S"))</f>
        <v>0</v>
      </c>
      <c r="T32" s="143">
        <f>IF($B32=0,"",SUMIFS(INPUT_DATA!Q:Q,INPUT_DATA!$A:$A,$B32,INPUT_DATA!$B:$B,"S"))</f>
        <v>0</v>
      </c>
      <c r="U32" s="143">
        <f>IF($B32=0,"",SUMIFS(INPUT_DATA!R:R,INPUT_DATA!$A:$A,$B32,INPUT_DATA!$B:$B,"S"))</f>
        <v>0</v>
      </c>
      <c r="V32" s="144">
        <f>IF($B32=0,"",SUMIFS(INPUT_DATA!S:S,INPUT_DATA!$A:$A,$B32,INPUT_DATA!$B:$B,"S"))</f>
        <v>0</v>
      </c>
      <c r="W32" s="144">
        <f>IF($B32=0,"",SUMIFS(INPUT_DATA!T:T,INPUT_DATA!$A:$A,$B32,INPUT_DATA!$B:$B,"S"))</f>
        <v>0</v>
      </c>
      <c r="X32" s="144">
        <f>IF($B32=0,"",SUMIFS(INPUT_DATA!U:U,INPUT_DATA!$A:$A,$B32,INPUT_DATA!$B:$B,"S"))</f>
        <v>0</v>
      </c>
      <c r="Y32" s="144">
        <f>IF($B32=0,"",SUMIFS(INPUT_DATA!V:V,INPUT_DATA!$A:$A,$B32,INPUT_DATA!$B:$B,"S"))</f>
        <v>0</v>
      </c>
      <c r="Z32" s="144">
        <f>IF($B32=0,"",SUMIFS(INPUT_DATA!W:W,INPUT_DATA!$A:$A,$B32,INPUT_DATA!$B:$B,"S"))</f>
        <v>0</v>
      </c>
      <c r="AA32" s="144">
        <f>IF($B32=0,"",SUMIFS(INPUT_DATA!X:X,INPUT_DATA!$A:$A,$B32,INPUT_DATA!$B:$B,"S"))</f>
        <v>0</v>
      </c>
      <c r="AB32" s="144">
        <f>IF($B32=0,"",SUMIFS(INPUT_DATA!Y:Y,INPUT_DATA!$A:$A,$B32,INPUT_DATA!$B:$B,"S"))</f>
        <v>0</v>
      </c>
      <c r="AC32" s="144">
        <f>IF($B32=0,"",SUMIFS(INPUT_DATA!Z:Z,INPUT_DATA!$A:$A,$B32,INPUT_DATA!$B:$B,"S"))</f>
        <v>0</v>
      </c>
      <c r="AD32" s="144">
        <f>IF($B32=0,"",SUMIFS(INPUT_DATA!AA:AA,INPUT_DATA!$A:$A,$B32,INPUT_DATA!$B:$B,"S"))</f>
        <v>0</v>
      </c>
      <c r="AE32" s="144">
        <f>IF($B32=0,"",SUMIFS(INPUT_DATA!AB:AB,INPUT_DATA!$A:$A,$B32,INPUT_DATA!$B:$B,"S"))</f>
        <v>0</v>
      </c>
      <c r="AF32" s="144">
        <f>IF($B32=0,"",SUMIFS(INPUT_DATA!AC:AC,INPUT_DATA!$A:$A,$B32,INPUT_DATA!$B:$B,"S"))</f>
        <v>0</v>
      </c>
      <c r="AG32" s="144">
        <f>IF($B32=0,"",SUMIFS(INPUT_DATA!AD:AD,INPUT_DATA!$A:$A,$B32,INPUT_DATA!$B:$B,"S"))</f>
        <v>0</v>
      </c>
      <c r="AH32" s="144">
        <f>IF($B32=0,"",SUMIFS(INPUT_DATA!AE:AE,INPUT_DATA!$A:$A,$B32,INPUT_DATA!$B:$B,"S"))</f>
        <v>0</v>
      </c>
      <c r="AI32" s="144">
        <f>IF($B32=0,"",SUMIFS(INPUT_DATA!AF:AF,INPUT_DATA!$A:$A,$B32,INPUT_DATA!$B:$B,"S"))</f>
        <v>0</v>
      </c>
      <c r="AJ32" s="144">
        <f>IF($B32=0,"",SUMIFS(INPUT_DATA!AG:AG,INPUT_DATA!$A:$A,$B32,INPUT_DATA!$B:$B,"S"))</f>
        <v>0</v>
      </c>
      <c r="AK32" s="144">
        <f>IF($B32=0,"",SUMIFS(INPUT_DATA!AK:AK,INPUT_DATA!$A:$A,$B32,INPUT_DATA!$B:$B,"S"))</f>
        <v>0</v>
      </c>
      <c r="AL32" s="144">
        <f>IF($B32=0,"",SUMIFS(INPUT_DATA!AL:AL,INPUT_DATA!$A:$A,$B32,INPUT_DATA!$B:$B,"S"))</f>
        <v>0</v>
      </c>
      <c r="AM32" s="144">
        <f>IF($B32=0,"",SUMIFS(INPUT_DATA!AM:AM,INPUT_DATA!$A:$A,$B32,INPUT_DATA!$B:$B,"S"))</f>
        <v>0</v>
      </c>
      <c r="AN32" s="144">
        <f>IF($B32=0,"",SUMIFS(INPUT_DATA!AN:AN,INPUT_DATA!$A:$A,$B32,INPUT_DATA!$B:$B,"S"))</f>
        <v>0</v>
      </c>
      <c r="AO32" s="144">
        <f>IF($B32=0,"",SUMIFS(INPUT_DATA!AO:AO,INPUT_DATA!$A:$A,$B32,INPUT_DATA!$B:$B,"S"))</f>
        <v>0</v>
      </c>
      <c r="AP32" s="144">
        <f>IF($B32=0,"",SUMIFS(INPUT_DATA!AP:AP,INPUT_DATA!$A:$A,$B32,INPUT_DATA!$B:$B,"S"))</f>
        <v>0</v>
      </c>
      <c r="AQ32" s="145">
        <f t="shared" si="9"/>
        <v>0</v>
      </c>
      <c r="AR32" s="146">
        <f t="shared" si="10"/>
        <v>0</v>
      </c>
      <c r="AS32" s="147">
        <f t="shared" si="11"/>
        <v>0</v>
      </c>
      <c r="AT32" s="145">
        <f>IF($B32=0,"",SUMIFS(INPUT_DATA!AQ:AQ,INPUT_DATA!$A:$A,$B32,INPUT_DATA!$B:$B,"S"))</f>
        <v>0</v>
      </c>
      <c r="AU32" s="146">
        <f>IF($B32=0,"",SUMIFS(INPUT_DATA!AR:AR,INPUT_DATA!$A:$A,$B32,INPUT_DATA!$B:$B,"S"))</f>
        <v>0</v>
      </c>
      <c r="AV32" s="147">
        <f>IF($B32=0,"",SUMIFS(INPUT_DATA!AS:AS,INPUT_DATA!$A:$A,$B32,INPUT_DATA!$B:$B,"S"))</f>
        <v>0</v>
      </c>
      <c r="AW32" s="145">
        <f t="shared" si="12"/>
        <v>0</v>
      </c>
      <c r="AX32" s="146">
        <f t="shared" si="13"/>
        <v>0</v>
      </c>
      <c r="AY32" s="147">
        <f t="shared" si="14"/>
        <v>0</v>
      </c>
      <c r="AZ32" s="148"/>
      <c r="BA32" s="138">
        <f>IF($B32=0,"",SUMIFS(INPUT_DATA!C:C,INPUT_DATA!$A:$A,$B32,INPUT_DATA!$B:$B,"D"))</f>
        <v>0</v>
      </c>
      <c r="BB32" s="149">
        <f>IF($B32=0,"",SUMIFS(INPUT_DATA!E:E,INPUT_DATA!$A:$A,$B32,INPUT_DATA!$B:$B,"D"))</f>
        <v>0</v>
      </c>
      <c r="BC32" s="149">
        <f>IF($B32=0,"",SUMIFS(INPUT_DATA!F:F,INPUT_DATA!$A:$A,$B32,INPUT_DATA!$B:$B,"D"))</f>
        <v>0</v>
      </c>
      <c r="BD32" s="149">
        <f>IF($B32=0,"",SUMIFS(INPUT_DATA!G:G,INPUT_DATA!$A:$A,$B32,INPUT_DATA!$B:$B,"D"))</f>
        <v>0</v>
      </c>
      <c r="BE32" s="149">
        <f>IF($B32=0,"",SUMIFS(INPUT_DATA!H:H,INPUT_DATA!$A:$A,$B32,INPUT_DATA!$B:$B,"D"))</f>
        <v>0</v>
      </c>
      <c r="BF32" s="149">
        <f>IF($B32=0,"",SUMIFS(INPUT_DATA!I:I,INPUT_DATA!$A:$A,$B32,INPUT_DATA!$B:$B,"D"))</f>
        <v>0</v>
      </c>
      <c r="BG32" s="149">
        <f>IF($B32=0,"",SUMIFS(INPUT_DATA!J:J,INPUT_DATA!$A:$A,$B32,INPUT_DATA!$B:$B,"D"))</f>
        <v>0</v>
      </c>
      <c r="BH32" s="149">
        <f>IF($B32=0,"",SUMIFS(INPUT_DATA!K:K,INPUT_DATA!$A:$A,$B32,INPUT_DATA!$B:$B,"D"))</f>
        <v>0</v>
      </c>
      <c r="BI32" s="149">
        <f>IF($B32=0,"",SUMIFS(INPUT_DATA!L:L,INPUT_DATA!$A:$A,$B32,INPUT_DATA!$B:$B,"D"))</f>
        <v>0</v>
      </c>
      <c r="BJ32" s="149">
        <f>IF($B32=0,"",SUMIFS(INPUT_DATA!M:M,INPUT_DATA!$A:$A,$B32,INPUT_DATA!$B:$B,"D"))</f>
        <v>0</v>
      </c>
      <c r="BK32" s="149">
        <f>IF($B32=0,"",SUMIFS(INPUT_DATA!N:N,INPUT_DATA!$A:$A,$B32,INPUT_DATA!$B:$B,"D"))</f>
        <v>0</v>
      </c>
      <c r="BL32" s="150">
        <f t="shared" si="5"/>
        <v>0</v>
      </c>
      <c r="BM32" s="150">
        <f>IF($B32=0,"",SUMIFS(INPUT_DATA!O:O,INPUT_DATA!$A:$A,$B32,INPUT_DATA!$B:$B,"D"))</f>
        <v>0</v>
      </c>
      <c r="BN32" s="150">
        <f t="shared" si="15"/>
        <v>0</v>
      </c>
      <c r="BO32" s="153">
        <f>IF($B32=0,"",SUMIFS(INPUT_DATA!P:P,INPUT_DATA!$A:$A,$B32,INPUT_DATA!$B:$B,"D"))</f>
        <v>0</v>
      </c>
      <c r="BP32" s="139">
        <f>IF($B32=0,"",SUMIFS(INPUT_DATA!Q:Q,INPUT_DATA!$A:$A,$B32,INPUT_DATA!$B:$B,"D"))</f>
        <v>0</v>
      </c>
      <c r="BQ32" s="139">
        <f>IF($B32=0,"",SUMIFS(INPUT_DATA!R:R,INPUT_DATA!$A:$A,$B32,INPUT_DATA!$B:$B,"D"))</f>
        <v>0</v>
      </c>
      <c r="BR32" s="149">
        <f>IF($B32=0,"",SUMIFS(INPUT_DATA!S:S,INPUT_DATA!$A:$A,$B32,INPUT_DATA!$B:$B,"D"))</f>
        <v>0</v>
      </c>
      <c r="BS32" s="149">
        <f>IF($B32=0,"",SUMIFS(INPUT_DATA!T:T,INPUT_DATA!$A:$A,$B32,INPUT_DATA!$B:$B,"D"))</f>
        <v>0</v>
      </c>
      <c r="BT32" s="149">
        <f>IF($B32=0,"",SUMIFS(INPUT_DATA!U:U,INPUT_DATA!$A:$A,$B32,INPUT_DATA!$B:$B,"D"))</f>
        <v>0</v>
      </c>
      <c r="BU32" s="149">
        <f>IF($B32=0,"",SUMIFS(INPUT_DATA!V:V,INPUT_DATA!$A:$A,$B32,INPUT_DATA!$B:$B,"D"))</f>
        <v>0</v>
      </c>
      <c r="BV32" s="149">
        <f>IF($B32=0,"",SUMIFS(INPUT_DATA!W:W,INPUT_DATA!$A:$A,$B32,INPUT_DATA!$B:$B,"D"))</f>
        <v>0</v>
      </c>
      <c r="BW32" s="149">
        <f>IF($B32=0,"",SUMIFS(INPUT_DATA!X:X,INPUT_DATA!$A:$A,$B32,INPUT_DATA!$B:$B,"D"))</f>
        <v>0</v>
      </c>
      <c r="BX32" s="149">
        <f>IF($B32=0,"",SUMIFS(INPUT_DATA!Y:Y,INPUT_DATA!$A:$A,$B32,INPUT_DATA!$B:$B,"D"))</f>
        <v>0</v>
      </c>
      <c r="BY32" s="149">
        <f>IF($B32=0,"",SUMIFS(INPUT_DATA!Z:Z,INPUT_DATA!$A:$A,$B32,INPUT_DATA!$B:$B,"D"))</f>
        <v>0</v>
      </c>
      <c r="BZ32" s="149">
        <f>IF($B32=0,"",SUMIFS(INPUT_DATA!AA:AA,INPUT_DATA!$A:$A,$B32,INPUT_DATA!$B:$B,"D"))</f>
        <v>0</v>
      </c>
      <c r="CA32" s="149">
        <f>IF($B32=0,"",SUMIFS(INPUT_DATA!AB:AB,INPUT_DATA!$A:$A,$B32,INPUT_DATA!$B:$B,"D"))</f>
        <v>0</v>
      </c>
      <c r="CB32" s="149">
        <f>IF($B32=0,"",SUMIFS(INPUT_DATA!AC:AC,INPUT_DATA!$A:$A,$B32,INPUT_DATA!$B:$B,"D"))</f>
        <v>0</v>
      </c>
      <c r="CC32" s="149">
        <f>IF($B32=0,"",SUMIFS(INPUT_DATA!AD:AD,INPUT_DATA!$A:$A,$B32,INPUT_DATA!$B:$B,"D"))</f>
        <v>0</v>
      </c>
      <c r="CD32" s="149">
        <f>IF($B32=0,"",SUMIFS(INPUT_DATA!AE:AE,INPUT_DATA!$A:$A,$B32,INPUT_DATA!$B:$B,"D"))</f>
        <v>0</v>
      </c>
      <c r="CE32" s="149">
        <f>IF($B32=0,"",SUMIFS(INPUT_DATA!AF:AF,INPUT_DATA!$A:$A,$B32,INPUT_DATA!$B:$B,"D"))</f>
        <v>0</v>
      </c>
      <c r="CF32" s="149">
        <f>IF($B32=0,"",SUMIFS(INPUT_DATA!AG:AG,INPUT_DATA!$A:$A,$B32,INPUT_DATA!$B:$B,"D"))</f>
        <v>0</v>
      </c>
      <c r="CG32" s="149">
        <f>IF($B32=0,"",SUMIFS(INPUT_DATA!AH:AH,INPUT_DATA!$A:$A,$B32,INPUT_DATA!$B:$B,"D"))</f>
        <v>0</v>
      </c>
      <c r="CH32" s="149">
        <f>IF($B32=0,"",SUMIFS(INPUT_DATA!AI:AI,INPUT_DATA!$A:$A,$B32,INPUT_DATA!$B:$B,"D"))</f>
        <v>0</v>
      </c>
      <c r="CI32" s="149">
        <f>IF($B32=0,"",SUMIFS(INPUT_DATA!AJ:AJ,INPUT_DATA!$A:$A,$B32,INPUT_DATA!$B:$B,"D"))</f>
        <v>0</v>
      </c>
      <c r="CJ32" s="140">
        <f>IF($B32=0,"",SUMIFS(INPUT_DATA!AK:AK,INPUT_DATA!$A:$A,$B32,INPUT_DATA!$B:$B,"D"))</f>
        <v>0</v>
      </c>
      <c r="CK32" s="140">
        <f>IF($B32=0,"",SUMIFS(INPUT_DATA!AL:AL,INPUT_DATA!$A:$A,$B32,INPUT_DATA!$B:$B,"D"))</f>
        <v>0</v>
      </c>
      <c r="CL32" s="140">
        <f>IF($B32=0,"",SUMIFS(INPUT_DATA!AM:AM,INPUT_DATA!$A:$A,$B32,INPUT_DATA!$B:$B,"D"))</f>
        <v>0</v>
      </c>
      <c r="CM32" s="140">
        <f>IF($B32=0,"",SUMIFS(INPUT_DATA!AN:AN,INPUT_DATA!$A:$A,$B32,INPUT_DATA!$B:$B,"D"))</f>
        <v>0</v>
      </c>
      <c r="CN32" s="140">
        <f>IF($B32=0,"",SUMIFS(INPUT_DATA!AO:AO,INPUT_DATA!$A:$A,$B32,INPUT_DATA!$B:$B,"D"))</f>
        <v>0</v>
      </c>
      <c r="CO32" s="140">
        <f>IF($B32=0,"",SUMIFS(INPUT_DATA!AP:AP,INPUT_DATA!$A:$A,$B32,INPUT_DATA!$B:$B,"D"))</f>
        <v>0</v>
      </c>
      <c r="CP32" s="154">
        <f t="shared" si="6"/>
        <v>0</v>
      </c>
      <c r="CQ32" s="154">
        <f t="shared" si="2"/>
        <v>0</v>
      </c>
      <c r="CR32" s="154">
        <f t="shared" si="3"/>
        <v>0</v>
      </c>
      <c r="CS32" s="139">
        <f>IF($B32=0,"",SUMIFS(INPUT_DATA!AQ:AQ,INPUT_DATA!$A:$A,$B32,INPUT_DATA!$B:$B,"D"))</f>
        <v>0</v>
      </c>
      <c r="CT32" s="154">
        <f>IF($B32=0,"",SUMIFS(INPUT_DATA!AR:AR,INPUT_DATA!$A:$A,$B32,INPUT_DATA!$B:$B,"D"))</f>
        <v>0</v>
      </c>
      <c r="CU32" s="154">
        <f>IF($B32=0,"",SUMIFS(INPUT_DATA!AS:AS,INPUT_DATA!$A:$A,$B32,INPUT_DATA!$B:$B,"D"))</f>
        <v>0</v>
      </c>
      <c r="CV32" s="139">
        <f t="shared" si="17"/>
        <v>0</v>
      </c>
      <c r="CW32" s="154">
        <f t="shared" si="18"/>
        <v>0</v>
      </c>
      <c r="CX32" s="155">
        <f t="shared" si="19"/>
        <v>0</v>
      </c>
      <c r="CY32" s="148"/>
    </row>
    <row r="33" spans="2:103">
      <c r="B33" s="137">
        <f>INPUT_DATA!CN20</f>
        <v>0</v>
      </c>
      <c r="C33" s="139" t="str">
        <f>IF($B33=0,"",SUMIFS(INPUT_DATA!C:C,INPUT_DATA!$A:$A,$B33,INPUT_DATA!$B:$B,"S"))</f>
        <v/>
      </c>
      <c r="D33" s="139" t="str">
        <f>IF($B33=0,"",SUMIFS(INPUT_DATA!D:D,INPUT_DATA!$A:$A,$B33,INPUT_DATA!$B:$B,"S"))</f>
        <v/>
      </c>
      <c r="E33" s="140" t="str">
        <f>IF($B33=0,"",SUMIFS(INPUT_DATA!E:E,INPUT_DATA!$A:$A,$B33,INPUT_DATA!$B:$B,"S"))</f>
        <v/>
      </c>
      <c r="F33" s="140" t="str">
        <f>IF($B33=0,"",SUMIFS(INPUT_DATA!F:F,INPUT_DATA!$A:$A,$B33,INPUT_DATA!$B:$B,"S"))</f>
        <v/>
      </c>
      <c r="G33" s="140" t="str">
        <f>IF($B33=0,"",SUMIFS(INPUT_DATA!G:G,INPUT_DATA!$A:$A,$B33,INPUT_DATA!$B:$B,"S"))</f>
        <v/>
      </c>
      <c r="H33" s="140" t="str">
        <f>IF($B33=0,"",SUMIFS(INPUT_DATA!H:H,INPUT_DATA!$A:$A,$B33,INPUT_DATA!$B:$B,"S"))</f>
        <v/>
      </c>
      <c r="I33" s="140" t="str">
        <f>IF($B33=0,"",SUMIFS(INPUT_DATA!I:I,INPUT_DATA!$A:$A,$B33,INPUT_DATA!$B:$B,"S"))</f>
        <v/>
      </c>
      <c r="J33" s="140" t="str">
        <f>IF($B33=0,"",SUMIFS(INPUT_DATA!J:J,INPUT_DATA!$A:$A,$B33,INPUT_DATA!$B:$B,"S"))</f>
        <v/>
      </c>
      <c r="K33" s="140" t="str">
        <f>IF($B33=0,"",SUMIFS(INPUT_DATA!K:K,INPUT_DATA!$A:$A,$B33,INPUT_DATA!$B:$B,"S"))</f>
        <v/>
      </c>
      <c r="L33" s="140" t="str">
        <f>IF($B33=0,"",SUMIFS(INPUT_DATA!L:L,INPUT_DATA!$A:$A,$B33,INPUT_DATA!$B:$B,"S"))</f>
        <v/>
      </c>
      <c r="M33" s="140" t="str">
        <f>IF($B33=0,"",SUMIFS(INPUT_DATA!M:M,INPUT_DATA!$A:$A,$B33,INPUT_DATA!$B:$B,"S"))</f>
        <v/>
      </c>
      <c r="N33" s="140" t="str">
        <f>IF($B33=0,"",SUMIFS(INPUT_DATA!N:N,INPUT_DATA!$A:$A,$B33,INPUT_DATA!$B:$B,"S"))</f>
        <v/>
      </c>
      <c r="O33" s="141" t="str">
        <f t="shared" si="7"/>
        <v/>
      </c>
      <c r="P33" s="142" t="str">
        <f>IF($B33=0,"",SUMIFS(INPUT_DATA!O:O,INPUT_DATA!$A:$A,$B33,INPUT_DATA!$B:$B,"S"))</f>
        <v/>
      </c>
      <c r="Q33" s="142" t="str">
        <f t="shared" si="8"/>
        <v/>
      </c>
      <c r="R33" s="142" t="str">
        <f>IF($B33=0,"",SUMIFS(INPUT_DATA!BL:BL,INPUT_DATA!$A:$A,$B33,INPUT_DATA!$B:$B,"S"))</f>
        <v/>
      </c>
      <c r="S33" s="143" t="str">
        <f>IF($B33=0,"",SUMIFS(INPUT_DATA!P:P,INPUT_DATA!$A:$A,$B33,INPUT_DATA!$B:$B,"S"))</f>
        <v/>
      </c>
      <c r="T33" s="143" t="str">
        <f>IF($B33=0,"",SUMIFS(INPUT_DATA!Q:Q,INPUT_DATA!$A:$A,$B33,INPUT_DATA!$B:$B,"S"))</f>
        <v/>
      </c>
      <c r="U33" s="143" t="str">
        <f>IF($B33=0,"",SUMIFS(INPUT_DATA!R:R,INPUT_DATA!$A:$A,$B33,INPUT_DATA!$B:$B,"S"))</f>
        <v/>
      </c>
      <c r="V33" s="144" t="str">
        <f>IF($B33=0,"",SUMIFS(INPUT_DATA!S:S,INPUT_DATA!$A:$A,$B33,INPUT_DATA!$B:$B,"S"))</f>
        <v/>
      </c>
      <c r="W33" s="144" t="str">
        <f>IF($B33=0,"",SUMIFS(INPUT_DATA!T:T,INPUT_DATA!$A:$A,$B33,INPUT_DATA!$B:$B,"S"))</f>
        <v/>
      </c>
      <c r="X33" s="144" t="str">
        <f>IF($B33=0,"",SUMIFS(INPUT_DATA!U:U,INPUT_DATA!$A:$A,$B33,INPUT_DATA!$B:$B,"S"))</f>
        <v/>
      </c>
      <c r="Y33" s="144" t="str">
        <f>IF($B33=0,"",SUMIFS(INPUT_DATA!V:V,INPUT_DATA!$A:$A,$B33,INPUT_DATA!$B:$B,"S"))</f>
        <v/>
      </c>
      <c r="Z33" s="144" t="str">
        <f>IF($B33=0,"",SUMIFS(INPUT_DATA!W:W,INPUT_DATA!$A:$A,$B33,INPUT_DATA!$B:$B,"S"))</f>
        <v/>
      </c>
      <c r="AA33" s="144" t="str">
        <f>IF($B33=0,"",SUMIFS(INPUT_DATA!X:X,INPUT_DATA!$A:$A,$B33,INPUT_DATA!$B:$B,"S"))</f>
        <v/>
      </c>
      <c r="AB33" s="144" t="str">
        <f>IF($B33=0,"",SUMIFS(INPUT_DATA!Y:Y,INPUT_DATA!$A:$A,$B33,INPUT_DATA!$B:$B,"S"))</f>
        <v/>
      </c>
      <c r="AC33" s="144" t="str">
        <f>IF($B33=0,"",SUMIFS(INPUT_DATA!Z:Z,INPUT_DATA!$A:$A,$B33,INPUT_DATA!$B:$B,"S"))</f>
        <v/>
      </c>
      <c r="AD33" s="144" t="str">
        <f>IF($B33=0,"",SUMIFS(INPUT_DATA!AA:AA,INPUT_DATA!$A:$A,$B33,INPUT_DATA!$B:$B,"S"))</f>
        <v/>
      </c>
      <c r="AE33" s="144" t="str">
        <f>IF($B33=0,"",SUMIFS(INPUT_DATA!AB:AB,INPUT_DATA!$A:$A,$B33,INPUT_DATA!$B:$B,"S"))</f>
        <v/>
      </c>
      <c r="AF33" s="144" t="str">
        <f>IF($B33=0,"",SUMIFS(INPUT_DATA!AC:AC,INPUT_DATA!$A:$A,$B33,INPUT_DATA!$B:$B,"S"))</f>
        <v/>
      </c>
      <c r="AG33" s="144" t="str">
        <f>IF($B33=0,"",SUMIFS(INPUT_DATA!AD:AD,INPUT_DATA!$A:$A,$B33,INPUT_DATA!$B:$B,"S"))</f>
        <v/>
      </c>
      <c r="AH33" s="144" t="str">
        <f>IF($B33=0,"",SUMIFS(INPUT_DATA!AE:AE,INPUT_DATA!$A:$A,$B33,INPUT_DATA!$B:$B,"S"))</f>
        <v/>
      </c>
      <c r="AI33" s="144" t="str">
        <f>IF($B33=0,"",SUMIFS(INPUT_DATA!AF:AF,INPUT_DATA!$A:$A,$B33,INPUT_DATA!$B:$B,"S"))</f>
        <v/>
      </c>
      <c r="AJ33" s="144" t="str">
        <f>IF($B33=0,"",SUMIFS(INPUT_DATA!AG:AG,INPUT_DATA!$A:$A,$B33,INPUT_DATA!$B:$B,"S"))</f>
        <v/>
      </c>
      <c r="AK33" s="144" t="str">
        <f>IF($B33=0,"",SUMIFS(INPUT_DATA!AK:AK,INPUT_DATA!$A:$A,$B33,INPUT_DATA!$B:$B,"S"))</f>
        <v/>
      </c>
      <c r="AL33" s="144" t="str">
        <f>IF($B33=0,"",SUMIFS(INPUT_DATA!AL:AL,INPUT_DATA!$A:$A,$B33,INPUT_DATA!$B:$B,"S"))</f>
        <v/>
      </c>
      <c r="AM33" s="144" t="str">
        <f>IF($B33=0,"",SUMIFS(INPUT_DATA!AM:AM,INPUT_DATA!$A:$A,$B33,INPUT_DATA!$B:$B,"S"))</f>
        <v/>
      </c>
      <c r="AN33" s="144" t="str">
        <f>IF($B33=0,"",SUMIFS(INPUT_DATA!AN:AN,INPUT_DATA!$A:$A,$B33,INPUT_DATA!$B:$B,"S"))</f>
        <v/>
      </c>
      <c r="AO33" s="144" t="str">
        <f>IF($B33=0,"",SUMIFS(INPUT_DATA!AO:AO,INPUT_DATA!$A:$A,$B33,INPUT_DATA!$B:$B,"S"))</f>
        <v/>
      </c>
      <c r="AP33" s="144" t="str">
        <f>IF($B33=0,"",SUMIFS(INPUT_DATA!AP:AP,INPUT_DATA!$A:$A,$B33,INPUT_DATA!$B:$B,"S"))</f>
        <v/>
      </c>
      <c r="AQ33" s="145" t="str">
        <f t="shared" si="9"/>
        <v/>
      </c>
      <c r="AR33" s="146" t="str">
        <f t="shared" si="10"/>
        <v/>
      </c>
      <c r="AS33" s="147" t="str">
        <f t="shared" si="11"/>
        <v/>
      </c>
      <c r="AT33" s="145" t="str">
        <f>IF($B33=0,"",SUMIFS(INPUT_DATA!AQ:AQ,INPUT_DATA!$A:$A,$B33,INPUT_DATA!$B:$B,"S"))</f>
        <v/>
      </c>
      <c r="AU33" s="146" t="str">
        <f>IF($B33=0,"",SUMIFS(INPUT_DATA!AR:AR,INPUT_DATA!$A:$A,$B33,INPUT_DATA!$B:$B,"S"))</f>
        <v/>
      </c>
      <c r="AV33" s="147" t="str">
        <f>IF($B33=0,"",SUMIFS(INPUT_DATA!AS:AS,INPUT_DATA!$A:$A,$B33,INPUT_DATA!$B:$B,"S"))</f>
        <v/>
      </c>
      <c r="AW33" s="145" t="str">
        <f t="shared" si="12"/>
        <v/>
      </c>
      <c r="AX33" s="146" t="str">
        <f t="shared" si="13"/>
        <v/>
      </c>
      <c r="AY33" s="147" t="str">
        <f t="shared" si="14"/>
        <v/>
      </c>
      <c r="AZ33" s="148"/>
      <c r="BA33" s="138" t="str">
        <f>IF($B33=0,"",SUMIFS(INPUT_DATA!C:C,INPUT_DATA!$A:$A,$B33,INPUT_DATA!$B:$B,"D"))</f>
        <v/>
      </c>
      <c r="BB33" s="149" t="str">
        <f>IF($B33=0,"",SUMIFS(INPUT_DATA!E:E,INPUT_DATA!$A:$A,$B33,INPUT_DATA!$B:$B,"D"))</f>
        <v/>
      </c>
      <c r="BC33" s="149" t="str">
        <f>IF($B33=0,"",SUMIFS(INPUT_DATA!F:F,INPUT_DATA!$A:$A,$B33,INPUT_DATA!$B:$B,"D"))</f>
        <v/>
      </c>
      <c r="BD33" s="149" t="str">
        <f>IF($B33=0,"",SUMIFS(INPUT_DATA!G:G,INPUT_DATA!$A:$A,$B33,INPUT_DATA!$B:$B,"D"))</f>
        <v/>
      </c>
      <c r="BE33" s="149" t="str">
        <f>IF($B33=0,"",SUMIFS(INPUT_DATA!H:H,INPUT_DATA!$A:$A,$B33,INPUT_DATA!$B:$B,"D"))</f>
        <v/>
      </c>
      <c r="BF33" s="149" t="str">
        <f>IF($B33=0,"",SUMIFS(INPUT_DATA!I:I,INPUT_DATA!$A:$A,$B33,INPUT_DATA!$B:$B,"D"))</f>
        <v/>
      </c>
      <c r="BG33" s="149" t="str">
        <f>IF($B33=0,"",SUMIFS(INPUT_DATA!J:J,INPUT_DATA!$A:$A,$B33,INPUT_DATA!$B:$B,"D"))</f>
        <v/>
      </c>
      <c r="BH33" s="149" t="str">
        <f>IF($B33=0,"",SUMIFS(INPUT_DATA!K:K,INPUT_DATA!$A:$A,$B33,INPUT_DATA!$B:$B,"D"))</f>
        <v/>
      </c>
      <c r="BI33" s="149" t="str">
        <f>IF($B33=0,"",SUMIFS(INPUT_DATA!L:L,INPUT_DATA!$A:$A,$B33,INPUT_DATA!$B:$B,"D"))</f>
        <v/>
      </c>
      <c r="BJ33" s="149" t="str">
        <f>IF($B33=0,"",SUMIFS(INPUT_DATA!M:M,INPUT_DATA!$A:$A,$B33,INPUT_DATA!$B:$B,"D"))</f>
        <v/>
      </c>
      <c r="BK33" s="149" t="str">
        <f>IF($B33=0,"",SUMIFS(INPUT_DATA!N:N,INPUT_DATA!$A:$A,$B33,INPUT_DATA!$B:$B,"D"))</f>
        <v/>
      </c>
      <c r="BL33" s="150" t="str">
        <f t="shared" si="5"/>
        <v/>
      </c>
      <c r="BM33" s="150" t="str">
        <f>IF($B33=0,"",SUMIFS(INPUT_DATA!O:O,INPUT_DATA!$A:$A,$B33,INPUT_DATA!$B:$B,"D"))</f>
        <v/>
      </c>
      <c r="BN33" s="150" t="str">
        <f t="shared" si="15"/>
        <v/>
      </c>
      <c r="BO33" s="153" t="str">
        <f>IF($B33=0,"",SUMIFS(INPUT_DATA!P:P,INPUT_DATA!$A:$A,$B33,INPUT_DATA!$B:$B,"D"))</f>
        <v/>
      </c>
      <c r="BP33" s="139" t="str">
        <f>IF($B33=0,"",SUMIFS(INPUT_DATA!Q:Q,INPUT_DATA!$A:$A,$B33,INPUT_DATA!$B:$B,"D"))</f>
        <v/>
      </c>
      <c r="BQ33" s="139" t="str">
        <f>IF($B33=0,"",SUMIFS(INPUT_DATA!R:R,INPUT_DATA!$A:$A,$B33,INPUT_DATA!$B:$B,"D"))</f>
        <v/>
      </c>
      <c r="BR33" s="149" t="str">
        <f>IF($B33=0,"",SUMIFS(INPUT_DATA!S:S,INPUT_DATA!$A:$A,$B33,INPUT_DATA!$B:$B,"D"))</f>
        <v/>
      </c>
      <c r="BS33" s="149" t="str">
        <f>IF($B33=0,"",SUMIFS(INPUT_DATA!T:T,INPUT_DATA!$A:$A,$B33,INPUT_DATA!$B:$B,"D"))</f>
        <v/>
      </c>
      <c r="BT33" s="149" t="str">
        <f>IF($B33=0,"",SUMIFS(INPUT_DATA!U:U,INPUT_DATA!$A:$A,$B33,INPUT_DATA!$B:$B,"D"))</f>
        <v/>
      </c>
      <c r="BU33" s="149" t="str">
        <f>IF($B33=0,"",SUMIFS(INPUT_DATA!V:V,INPUT_DATA!$A:$A,$B33,INPUT_DATA!$B:$B,"D"))</f>
        <v/>
      </c>
      <c r="BV33" s="149" t="str">
        <f>IF($B33=0,"",SUMIFS(INPUT_DATA!W:W,INPUT_DATA!$A:$A,$B33,INPUT_DATA!$B:$B,"D"))</f>
        <v/>
      </c>
      <c r="BW33" s="149" t="str">
        <f>IF($B33=0,"",SUMIFS(INPUT_DATA!X:X,INPUT_DATA!$A:$A,$B33,INPUT_DATA!$B:$B,"D"))</f>
        <v/>
      </c>
      <c r="BX33" s="149" t="str">
        <f>IF($B33=0,"",SUMIFS(INPUT_DATA!Y:Y,INPUT_DATA!$A:$A,$B33,INPUT_DATA!$B:$B,"D"))</f>
        <v/>
      </c>
      <c r="BY33" s="149" t="str">
        <f>IF($B33=0,"",SUMIFS(INPUT_DATA!Z:Z,INPUT_DATA!$A:$A,$B33,INPUT_DATA!$B:$B,"D"))</f>
        <v/>
      </c>
      <c r="BZ33" s="149" t="str">
        <f>IF($B33=0,"",SUMIFS(INPUT_DATA!AA:AA,INPUT_DATA!$A:$A,$B33,INPUT_DATA!$B:$B,"D"))</f>
        <v/>
      </c>
      <c r="CA33" s="149" t="str">
        <f>IF($B33=0,"",SUMIFS(INPUT_DATA!AB:AB,INPUT_DATA!$A:$A,$B33,INPUT_DATA!$B:$B,"D"))</f>
        <v/>
      </c>
      <c r="CB33" s="149" t="str">
        <f>IF($B33=0,"",SUMIFS(INPUT_DATA!AC:AC,INPUT_DATA!$A:$A,$B33,INPUT_DATA!$B:$B,"D"))</f>
        <v/>
      </c>
      <c r="CC33" s="149" t="str">
        <f>IF($B33=0,"",SUMIFS(INPUT_DATA!AD:AD,INPUT_DATA!$A:$A,$B33,INPUT_DATA!$B:$B,"D"))</f>
        <v/>
      </c>
      <c r="CD33" s="149" t="str">
        <f>IF($B33=0,"",SUMIFS(INPUT_DATA!AE:AE,INPUT_DATA!$A:$A,$B33,INPUT_DATA!$B:$B,"D"))</f>
        <v/>
      </c>
      <c r="CE33" s="149" t="str">
        <f>IF($B33=0,"",SUMIFS(INPUT_DATA!AF:AF,INPUT_DATA!$A:$A,$B33,INPUT_DATA!$B:$B,"D"))</f>
        <v/>
      </c>
      <c r="CF33" s="149" t="str">
        <f>IF($B33=0,"",SUMIFS(INPUT_DATA!AG:AG,INPUT_DATA!$A:$A,$B33,INPUT_DATA!$B:$B,"D"))</f>
        <v/>
      </c>
      <c r="CG33" s="149" t="str">
        <f>IF($B33=0,"",SUMIFS(INPUT_DATA!AH:AH,INPUT_DATA!$A:$A,$B33,INPUT_DATA!$B:$B,"D"))</f>
        <v/>
      </c>
      <c r="CH33" s="149" t="str">
        <f>IF($B33=0,"",SUMIFS(INPUT_DATA!AI:AI,INPUT_DATA!$A:$A,$B33,INPUT_DATA!$B:$B,"D"))</f>
        <v/>
      </c>
      <c r="CI33" s="149" t="str">
        <f>IF($B33=0,"",SUMIFS(INPUT_DATA!AJ:AJ,INPUT_DATA!$A:$A,$B33,INPUT_DATA!$B:$B,"D"))</f>
        <v/>
      </c>
      <c r="CJ33" s="140" t="str">
        <f>IF($B33=0,"",SUMIFS(INPUT_DATA!AK:AK,INPUT_DATA!$A:$A,$B33,INPUT_DATA!$B:$B,"D"))</f>
        <v/>
      </c>
      <c r="CK33" s="140" t="str">
        <f>IF($B33=0,"",SUMIFS(INPUT_DATA!AL:AL,INPUT_DATA!$A:$A,$B33,INPUT_DATA!$B:$B,"D"))</f>
        <v/>
      </c>
      <c r="CL33" s="140" t="str">
        <f>IF($B33=0,"",SUMIFS(INPUT_DATA!AM:AM,INPUT_DATA!$A:$A,$B33,INPUT_DATA!$B:$B,"D"))</f>
        <v/>
      </c>
      <c r="CM33" s="140" t="str">
        <f>IF($B33=0,"",SUMIFS(INPUT_DATA!AN:AN,INPUT_DATA!$A:$A,$B33,INPUT_DATA!$B:$B,"D"))</f>
        <v/>
      </c>
      <c r="CN33" s="140" t="str">
        <f>IF($B33=0,"",SUMIFS(INPUT_DATA!AO:AO,INPUT_DATA!$A:$A,$B33,INPUT_DATA!$B:$B,"D"))</f>
        <v/>
      </c>
      <c r="CO33" s="140" t="str">
        <f>IF($B33=0,"",SUMIFS(INPUT_DATA!AP:AP,INPUT_DATA!$A:$A,$B33,INPUT_DATA!$B:$B,"D"))</f>
        <v/>
      </c>
      <c r="CP33" s="154" t="str">
        <f t="shared" si="6"/>
        <v/>
      </c>
      <c r="CQ33" s="154" t="str">
        <f t="shared" si="2"/>
        <v/>
      </c>
      <c r="CR33" s="154" t="str">
        <f t="shared" si="3"/>
        <v/>
      </c>
      <c r="CS33" s="139" t="str">
        <f>IF($B33=0,"",SUMIFS(INPUT_DATA!AQ:AQ,INPUT_DATA!$A:$A,$B33,INPUT_DATA!$B:$B,"D"))</f>
        <v/>
      </c>
      <c r="CT33" s="154" t="str">
        <f>IF($B33=0,"",SUMIFS(INPUT_DATA!AR:AR,INPUT_DATA!$A:$A,$B33,INPUT_DATA!$B:$B,"D"))</f>
        <v/>
      </c>
      <c r="CU33" s="154" t="str">
        <f>IF($B33=0,"",SUMIFS(INPUT_DATA!AS:AS,INPUT_DATA!$A:$A,$B33,INPUT_DATA!$B:$B,"D"))</f>
        <v/>
      </c>
      <c r="CV33" s="139" t="str">
        <f t="shared" si="17"/>
        <v/>
      </c>
      <c r="CW33" s="154" t="str">
        <f t="shared" si="18"/>
        <v/>
      </c>
      <c r="CX33" s="155" t="str">
        <f t="shared" si="19"/>
        <v/>
      </c>
      <c r="CY33" s="148"/>
    </row>
    <row r="34" spans="2:103">
      <c r="B34" s="137">
        <f>INPUT_DATA!CN21</f>
        <v>0</v>
      </c>
      <c r="C34" s="139" t="str">
        <f>IF($B34=0,"",SUMIFS(INPUT_DATA!C:C,INPUT_DATA!$A:$A,$B34,INPUT_DATA!$B:$B,"S"))</f>
        <v/>
      </c>
      <c r="D34" s="139" t="str">
        <f>IF($B34=0,"",SUMIFS(INPUT_DATA!D:D,INPUT_DATA!$A:$A,$B34,INPUT_DATA!$B:$B,"S"))</f>
        <v/>
      </c>
      <c r="E34" s="140" t="str">
        <f>IF($B34=0,"",SUMIFS(INPUT_DATA!E:E,INPUT_DATA!$A:$A,$B34,INPUT_DATA!$B:$B,"S"))</f>
        <v/>
      </c>
      <c r="F34" s="140" t="str">
        <f>IF($B34=0,"",SUMIFS(INPUT_DATA!F:F,INPUT_DATA!$A:$A,$B34,INPUT_DATA!$B:$B,"S"))</f>
        <v/>
      </c>
      <c r="G34" s="140" t="str">
        <f>IF($B34=0,"",SUMIFS(INPUT_DATA!G:G,INPUT_DATA!$A:$A,$B34,INPUT_DATA!$B:$B,"S"))</f>
        <v/>
      </c>
      <c r="H34" s="140" t="str">
        <f>IF($B34=0,"",SUMIFS(INPUT_DATA!H:H,INPUT_DATA!$A:$A,$B34,INPUT_DATA!$B:$B,"S"))</f>
        <v/>
      </c>
      <c r="I34" s="140" t="str">
        <f>IF($B34=0,"",SUMIFS(INPUT_DATA!I:I,INPUT_DATA!$A:$A,$B34,INPUT_DATA!$B:$B,"S"))</f>
        <v/>
      </c>
      <c r="J34" s="140" t="str">
        <f>IF($B34=0,"",SUMIFS(INPUT_DATA!J:J,INPUT_DATA!$A:$A,$B34,INPUT_DATA!$B:$B,"S"))</f>
        <v/>
      </c>
      <c r="K34" s="140" t="str">
        <f>IF($B34=0,"",SUMIFS(INPUT_DATA!K:K,INPUT_DATA!$A:$A,$B34,INPUT_DATA!$B:$B,"S"))</f>
        <v/>
      </c>
      <c r="L34" s="140" t="str">
        <f>IF($B34=0,"",SUMIFS(INPUT_DATA!L:L,INPUT_DATA!$A:$A,$B34,INPUT_DATA!$B:$B,"S"))</f>
        <v/>
      </c>
      <c r="M34" s="140" t="str">
        <f>IF($B34=0,"",SUMIFS(INPUT_DATA!M:M,INPUT_DATA!$A:$A,$B34,INPUT_DATA!$B:$B,"S"))</f>
        <v/>
      </c>
      <c r="N34" s="140" t="str">
        <f>IF($B34=0,"",SUMIFS(INPUT_DATA!N:N,INPUT_DATA!$A:$A,$B34,INPUT_DATA!$B:$B,"S"))</f>
        <v/>
      </c>
      <c r="O34" s="141" t="str">
        <f t="shared" si="7"/>
        <v/>
      </c>
      <c r="P34" s="142" t="str">
        <f>IF($B34=0,"",SUMIFS(INPUT_DATA!O:O,INPUT_DATA!$A:$A,$B34,INPUT_DATA!$B:$B,"S"))</f>
        <v/>
      </c>
      <c r="Q34" s="142" t="str">
        <f t="shared" si="8"/>
        <v/>
      </c>
      <c r="R34" s="142" t="str">
        <f>IF($B34=0,"",SUMIFS(INPUT_DATA!BL:BL,INPUT_DATA!$A:$A,$B34,INPUT_DATA!$B:$B,"S"))</f>
        <v/>
      </c>
      <c r="S34" s="143" t="str">
        <f>IF($B34=0,"",SUMIFS(INPUT_DATA!P:P,INPUT_DATA!$A:$A,$B34,INPUT_DATA!$B:$B,"S"))</f>
        <v/>
      </c>
      <c r="T34" s="143" t="str">
        <f>IF($B34=0,"",SUMIFS(INPUT_DATA!Q:Q,INPUT_DATA!$A:$A,$B34,INPUT_DATA!$B:$B,"S"))</f>
        <v/>
      </c>
      <c r="U34" s="143" t="str">
        <f>IF($B34=0,"",SUMIFS(INPUT_DATA!R:R,INPUT_DATA!$A:$A,$B34,INPUT_DATA!$B:$B,"S"))</f>
        <v/>
      </c>
      <c r="V34" s="144" t="str">
        <f>IF($B34=0,"",SUMIFS(INPUT_DATA!S:S,INPUT_DATA!$A:$A,$B34,INPUT_DATA!$B:$B,"S"))</f>
        <v/>
      </c>
      <c r="W34" s="144" t="str">
        <f>IF($B34=0,"",SUMIFS(INPUT_DATA!T:T,INPUT_DATA!$A:$A,$B34,INPUT_DATA!$B:$B,"S"))</f>
        <v/>
      </c>
      <c r="X34" s="144" t="str">
        <f>IF($B34=0,"",SUMIFS(INPUT_DATA!U:U,INPUT_DATA!$A:$A,$B34,INPUT_DATA!$B:$B,"S"))</f>
        <v/>
      </c>
      <c r="Y34" s="144" t="str">
        <f>IF($B34=0,"",SUMIFS(INPUT_DATA!V:V,INPUT_DATA!$A:$A,$B34,INPUT_DATA!$B:$B,"S"))</f>
        <v/>
      </c>
      <c r="Z34" s="144" t="str">
        <f>IF($B34=0,"",SUMIFS(INPUT_DATA!W:W,INPUT_DATA!$A:$A,$B34,INPUT_DATA!$B:$B,"S"))</f>
        <v/>
      </c>
      <c r="AA34" s="144" t="str">
        <f>IF($B34=0,"",SUMIFS(INPUT_DATA!X:X,INPUT_DATA!$A:$A,$B34,INPUT_DATA!$B:$B,"S"))</f>
        <v/>
      </c>
      <c r="AB34" s="144" t="str">
        <f>IF($B34=0,"",SUMIFS(INPUT_DATA!Y:Y,INPUT_DATA!$A:$A,$B34,INPUT_DATA!$B:$B,"S"))</f>
        <v/>
      </c>
      <c r="AC34" s="144" t="str">
        <f>IF($B34=0,"",SUMIFS(INPUT_DATA!Z:Z,INPUT_DATA!$A:$A,$B34,INPUT_DATA!$B:$B,"S"))</f>
        <v/>
      </c>
      <c r="AD34" s="144" t="str">
        <f>IF($B34=0,"",SUMIFS(INPUT_DATA!AA:AA,INPUT_DATA!$A:$A,$B34,INPUT_DATA!$B:$B,"S"))</f>
        <v/>
      </c>
      <c r="AE34" s="144" t="str">
        <f>IF($B34=0,"",SUMIFS(INPUT_DATA!AB:AB,INPUT_DATA!$A:$A,$B34,INPUT_DATA!$B:$B,"S"))</f>
        <v/>
      </c>
      <c r="AF34" s="144" t="str">
        <f>IF($B34=0,"",SUMIFS(INPUT_DATA!AC:AC,INPUT_DATA!$A:$A,$B34,INPUT_DATA!$B:$B,"S"))</f>
        <v/>
      </c>
      <c r="AG34" s="144" t="str">
        <f>IF($B34=0,"",SUMIFS(INPUT_DATA!AD:AD,INPUT_DATA!$A:$A,$B34,INPUT_DATA!$B:$B,"S"))</f>
        <v/>
      </c>
      <c r="AH34" s="144" t="str">
        <f>IF($B34=0,"",SUMIFS(INPUT_DATA!AE:AE,INPUT_DATA!$A:$A,$B34,INPUT_DATA!$B:$B,"S"))</f>
        <v/>
      </c>
      <c r="AI34" s="144" t="str">
        <f>IF($B34=0,"",SUMIFS(INPUT_DATA!AF:AF,INPUT_DATA!$A:$A,$B34,INPUT_DATA!$B:$B,"S"))</f>
        <v/>
      </c>
      <c r="AJ34" s="144" t="str">
        <f>IF($B34=0,"",SUMIFS(INPUT_DATA!AG:AG,INPUT_DATA!$A:$A,$B34,INPUT_DATA!$B:$B,"S"))</f>
        <v/>
      </c>
      <c r="AK34" s="144" t="str">
        <f>IF($B34=0,"",SUMIFS(INPUT_DATA!AK:AK,INPUT_DATA!$A:$A,$B34,INPUT_DATA!$B:$B,"S"))</f>
        <v/>
      </c>
      <c r="AL34" s="144" t="str">
        <f>IF($B34=0,"",SUMIFS(INPUT_DATA!AL:AL,INPUT_DATA!$A:$A,$B34,INPUT_DATA!$B:$B,"S"))</f>
        <v/>
      </c>
      <c r="AM34" s="144" t="str">
        <f>IF($B34=0,"",SUMIFS(INPUT_DATA!AM:AM,INPUT_DATA!$A:$A,$B34,INPUT_DATA!$B:$B,"S"))</f>
        <v/>
      </c>
      <c r="AN34" s="144" t="str">
        <f>IF($B34=0,"",SUMIFS(INPUT_DATA!AN:AN,INPUT_DATA!$A:$A,$B34,INPUT_DATA!$B:$B,"S"))</f>
        <v/>
      </c>
      <c r="AO34" s="144" t="str">
        <f>IF($B34=0,"",SUMIFS(INPUT_DATA!AO:AO,INPUT_DATA!$A:$A,$B34,INPUT_DATA!$B:$B,"S"))</f>
        <v/>
      </c>
      <c r="AP34" s="144" t="str">
        <f>IF($B34=0,"",SUMIFS(INPUT_DATA!AP:AP,INPUT_DATA!$A:$A,$B34,INPUT_DATA!$B:$B,"S"))</f>
        <v/>
      </c>
      <c r="AQ34" s="145" t="str">
        <f t="shared" si="9"/>
        <v/>
      </c>
      <c r="AR34" s="146" t="str">
        <f t="shared" si="10"/>
        <v/>
      </c>
      <c r="AS34" s="147" t="str">
        <f t="shared" si="11"/>
        <v/>
      </c>
      <c r="AT34" s="145" t="str">
        <f>IF($B34=0,"",SUMIFS(INPUT_DATA!AQ:AQ,INPUT_DATA!$A:$A,$B34,INPUT_DATA!$B:$B,"S"))</f>
        <v/>
      </c>
      <c r="AU34" s="146" t="str">
        <f>IF($B34=0,"",SUMIFS(INPUT_DATA!AR:AR,INPUT_DATA!$A:$A,$B34,INPUT_DATA!$B:$B,"S"))</f>
        <v/>
      </c>
      <c r="AV34" s="147" t="str">
        <f>IF($B34=0,"",SUMIFS(INPUT_DATA!AS:AS,INPUT_DATA!$A:$A,$B34,INPUT_DATA!$B:$B,"S"))</f>
        <v/>
      </c>
      <c r="AW34" s="145" t="str">
        <f t="shared" si="12"/>
        <v/>
      </c>
      <c r="AX34" s="146" t="str">
        <f t="shared" si="13"/>
        <v/>
      </c>
      <c r="AY34" s="147" t="str">
        <f t="shared" si="14"/>
        <v/>
      </c>
      <c r="AZ34" s="148"/>
      <c r="BA34" s="138" t="str">
        <f>IF($B34=0,"",SUMIFS(INPUT_DATA!C:C,INPUT_DATA!$A:$A,$B34,INPUT_DATA!$B:$B,"D"))</f>
        <v/>
      </c>
      <c r="BB34" s="149" t="str">
        <f>IF($B34=0,"",SUMIFS(INPUT_DATA!E:E,INPUT_DATA!$A:$A,$B34,INPUT_DATA!$B:$B,"D"))</f>
        <v/>
      </c>
      <c r="BC34" s="149" t="str">
        <f>IF($B34=0,"",SUMIFS(INPUT_DATA!F:F,INPUT_DATA!$A:$A,$B34,INPUT_DATA!$B:$B,"D"))</f>
        <v/>
      </c>
      <c r="BD34" s="149" t="str">
        <f>IF($B34=0,"",SUMIFS(INPUT_DATA!G:G,INPUT_DATA!$A:$A,$B34,INPUT_DATA!$B:$B,"D"))</f>
        <v/>
      </c>
      <c r="BE34" s="149" t="str">
        <f>IF($B34=0,"",SUMIFS(INPUT_DATA!H:H,INPUT_DATA!$A:$A,$B34,INPUT_DATA!$B:$B,"D"))</f>
        <v/>
      </c>
      <c r="BF34" s="149" t="str">
        <f>IF($B34=0,"",SUMIFS(INPUT_DATA!I:I,INPUT_DATA!$A:$A,$B34,INPUT_DATA!$B:$B,"D"))</f>
        <v/>
      </c>
      <c r="BG34" s="149" t="str">
        <f>IF($B34=0,"",SUMIFS(INPUT_DATA!J:J,INPUT_DATA!$A:$A,$B34,INPUT_DATA!$B:$B,"D"))</f>
        <v/>
      </c>
      <c r="BH34" s="149" t="str">
        <f>IF($B34=0,"",SUMIFS(INPUT_DATA!K:K,INPUT_DATA!$A:$A,$B34,INPUT_DATA!$B:$B,"D"))</f>
        <v/>
      </c>
      <c r="BI34" s="149" t="str">
        <f>IF($B34=0,"",SUMIFS(INPUT_DATA!L:L,INPUT_DATA!$A:$A,$B34,INPUT_DATA!$B:$B,"D"))</f>
        <v/>
      </c>
      <c r="BJ34" s="149" t="str">
        <f>IF($B34=0,"",SUMIFS(INPUT_DATA!M:M,INPUT_DATA!$A:$A,$B34,INPUT_DATA!$B:$B,"D"))</f>
        <v/>
      </c>
      <c r="BK34" s="149" t="str">
        <f>IF($B34=0,"",SUMIFS(INPUT_DATA!N:N,INPUT_DATA!$A:$A,$B34,INPUT_DATA!$B:$B,"D"))</f>
        <v/>
      </c>
      <c r="BL34" s="150" t="str">
        <f t="shared" si="5"/>
        <v/>
      </c>
      <c r="BM34" s="150" t="str">
        <f>IF($B34=0,"",SUMIFS(INPUT_DATA!O:O,INPUT_DATA!$A:$A,$B34,INPUT_DATA!$B:$B,"D"))</f>
        <v/>
      </c>
      <c r="BN34" s="150" t="str">
        <f t="shared" si="15"/>
        <v/>
      </c>
      <c r="BO34" s="153" t="str">
        <f>IF($B34=0,"",SUMIFS(INPUT_DATA!P:P,INPUT_DATA!$A:$A,$B34,INPUT_DATA!$B:$B,"D"))</f>
        <v/>
      </c>
      <c r="BP34" s="139" t="str">
        <f>IF($B34=0,"",SUMIFS(INPUT_DATA!Q:Q,INPUT_DATA!$A:$A,$B34,INPUT_DATA!$B:$B,"D"))</f>
        <v/>
      </c>
      <c r="BQ34" s="139" t="str">
        <f>IF($B34=0,"",SUMIFS(INPUT_DATA!R:R,INPUT_DATA!$A:$A,$B34,INPUT_DATA!$B:$B,"D"))</f>
        <v/>
      </c>
      <c r="BR34" s="149" t="str">
        <f>IF($B34=0,"",SUMIFS(INPUT_DATA!S:S,INPUT_DATA!$A:$A,$B34,INPUT_DATA!$B:$B,"D"))</f>
        <v/>
      </c>
      <c r="BS34" s="149" t="str">
        <f>IF($B34=0,"",SUMIFS(INPUT_DATA!T:T,INPUT_DATA!$A:$A,$B34,INPUT_DATA!$B:$B,"D"))</f>
        <v/>
      </c>
      <c r="BT34" s="149" t="str">
        <f>IF($B34=0,"",SUMIFS(INPUT_DATA!U:U,INPUT_DATA!$A:$A,$B34,INPUT_DATA!$B:$B,"D"))</f>
        <v/>
      </c>
      <c r="BU34" s="149" t="str">
        <f>IF($B34=0,"",SUMIFS(INPUT_DATA!V:V,INPUT_DATA!$A:$A,$B34,INPUT_DATA!$B:$B,"D"))</f>
        <v/>
      </c>
      <c r="BV34" s="149" t="str">
        <f>IF($B34=0,"",SUMIFS(INPUT_DATA!W:W,INPUT_DATA!$A:$A,$B34,INPUT_DATA!$B:$B,"D"))</f>
        <v/>
      </c>
      <c r="BW34" s="149" t="str">
        <f>IF($B34=0,"",SUMIFS(INPUT_DATA!X:X,INPUT_DATA!$A:$A,$B34,INPUT_DATA!$B:$B,"D"))</f>
        <v/>
      </c>
      <c r="BX34" s="149" t="str">
        <f>IF($B34=0,"",SUMIFS(INPUT_DATA!Y:Y,INPUT_DATA!$A:$A,$B34,INPUT_DATA!$B:$B,"D"))</f>
        <v/>
      </c>
      <c r="BY34" s="149" t="str">
        <f>IF($B34=0,"",SUMIFS(INPUT_DATA!Z:Z,INPUT_DATA!$A:$A,$B34,INPUT_DATA!$B:$B,"D"))</f>
        <v/>
      </c>
      <c r="BZ34" s="149" t="str">
        <f>IF($B34=0,"",SUMIFS(INPUT_DATA!AA:AA,INPUT_DATA!$A:$A,$B34,INPUT_DATA!$B:$B,"D"))</f>
        <v/>
      </c>
      <c r="CA34" s="149" t="str">
        <f>IF($B34=0,"",SUMIFS(INPUT_DATA!AB:AB,INPUT_DATA!$A:$A,$B34,INPUT_DATA!$B:$B,"D"))</f>
        <v/>
      </c>
      <c r="CB34" s="149" t="str">
        <f>IF($B34=0,"",SUMIFS(INPUT_DATA!AC:AC,INPUT_DATA!$A:$A,$B34,INPUT_DATA!$B:$B,"D"))</f>
        <v/>
      </c>
      <c r="CC34" s="149" t="str">
        <f>IF($B34=0,"",SUMIFS(INPUT_DATA!AD:AD,INPUT_DATA!$A:$A,$B34,INPUT_DATA!$B:$B,"D"))</f>
        <v/>
      </c>
      <c r="CD34" s="149" t="str">
        <f>IF($B34=0,"",SUMIFS(INPUT_DATA!AE:AE,INPUT_DATA!$A:$A,$B34,INPUT_DATA!$B:$B,"D"))</f>
        <v/>
      </c>
      <c r="CE34" s="149" t="str">
        <f>IF($B34=0,"",SUMIFS(INPUT_DATA!AF:AF,INPUT_DATA!$A:$A,$B34,INPUT_DATA!$B:$B,"D"))</f>
        <v/>
      </c>
      <c r="CF34" s="149" t="str">
        <f>IF($B34=0,"",SUMIFS(INPUT_DATA!AG:AG,INPUT_DATA!$A:$A,$B34,INPUT_DATA!$B:$B,"D"))</f>
        <v/>
      </c>
      <c r="CG34" s="149" t="str">
        <f>IF($B34=0,"",SUMIFS(INPUT_DATA!AH:AH,INPUT_DATA!$A:$A,$B34,INPUT_DATA!$B:$B,"D"))</f>
        <v/>
      </c>
      <c r="CH34" s="149" t="str">
        <f>IF($B34=0,"",SUMIFS(INPUT_DATA!AI:AI,INPUT_DATA!$A:$A,$B34,INPUT_DATA!$B:$B,"D"))</f>
        <v/>
      </c>
      <c r="CI34" s="149" t="str">
        <f>IF($B34=0,"",SUMIFS(INPUT_DATA!AJ:AJ,INPUT_DATA!$A:$A,$B34,INPUT_DATA!$B:$B,"D"))</f>
        <v/>
      </c>
      <c r="CJ34" s="140" t="str">
        <f>IF($B34=0,"",SUMIFS(INPUT_DATA!AK:AK,INPUT_DATA!$A:$A,$B34,INPUT_DATA!$B:$B,"D"))</f>
        <v/>
      </c>
      <c r="CK34" s="140" t="str">
        <f>IF($B34=0,"",SUMIFS(INPUT_DATA!AL:AL,INPUT_DATA!$A:$A,$B34,INPUT_DATA!$B:$B,"D"))</f>
        <v/>
      </c>
      <c r="CL34" s="140" t="str">
        <f>IF($B34=0,"",SUMIFS(INPUT_DATA!AM:AM,INPUT_DATA!$A:$A,$B34,INPUT_DATA!$B:$B,"D"))</f>
        <v/>
      </c>
      <c r="CM34" s="140" t="str">
        <f>IF($B34=0,"",SUMIFS(INPUT_DATA!AN:AN,INPUT_DATA!$A:$A,$B34,INPUT_DATA!$B:$B,"D"))</f>
        <v/>
      </c>
      <c r="CN34" s="140" t="str">
        <f>IF($B34=0,"",SUMIFS(INPUT_DATA!AO:AO,INPUT_DATA!$A:$A,$B34,INPUT_DATA!$B:$B,"D"))</f>
        <v/>
      </c>
      <c r="CO34" s="140" t="str">
        <f>IF($B34=0,"",SUMIFS(INPUT_DATA!AP:AP,INPUT_DATA!$A:$A,$B34,INPUT_DATA!$B:$B,"D"))</f>
        <v/>
      </c>
      <c r="CP34" s="154" t="str">
        <f t="shared" si="6"/>
        <v/>
      </c>
      <c r="CQ34" s="154" t="str">
        <f t="shared" si="2"/>
        <v/>
      </c>
      <c r="CR34" s="154" t="str">
        <f t="shared" si="3"/>
        <v/>
      </c>
      <c r="CS34" s="139" t="str">
        <f>IF($B34=0,"",SUMIFS(INPUT_DATA!AQ:AQ,INPUT_DATA!$A:$A,$B34,INPUT_DATA!$B:$B,"D"))</f>
        <v/>
      </c>
      <c r="CT34" s="154" t="str">
        <f>IF($B34=0,"",SUMIFS(INPUT_DATA!AR:AR,INPUT_DATA!$A:$A,$B34,INPUT_DATA!$B:$B,"D"))</f>
        <v/>
      </c>
      <c r="CU34" s="154" t="str">
        <f>IF($B34=0,"",SUMIFS(INPUT_DATA!AS:AS,INPUT_DATA!$A:$A,$B34,INPUT_DATA!$B:$B,"D"))</f>
        <v/>
      </c>
      <c r="CV34" s="139" t="str">
        <f t="shared" si="17"/>
        <v/>
      </c>
      <c r="CW34" s="154" t="str">
        <f t="shared" si="18"/>
        <v/>
      </c>
      <c r="CX34" s="155" t="str">
        <f t="shared" si="19"/>
        <v/>
      </c>
      <c r="CY34" s="148"/>
    </row>
    <row r="35" spans="2:103">
      <c r="B35" s="137">
        <f>INPUT_DATA!CN22</f>
        <v>0</v>
      </c>
      <c r="C35" s="139" t="str">
        <f>IF($B35=0,"",SUMIFS(INPUT_DATA!C:C,INPUT_DATA!$A:$A,$B35,INPUT_DATA!$B:$B,"S"))</f>
        <v/>
      </c>
      <c r="D35" s="139" t="str">
        <f>IF($B35=0,"",SUMIFS(INPUT_DATA!D:D,INPUT_DATA!$A:$A,$B35,INPUT_DATA!$B:$B,"S"))</f>
        <v/>
      </c>
      <c r="E35" s="140" t="str">
        <f>IF($B35=0,"",SUMIFS(INPUT_DATA!E:E,INPUT_DATA!$A:$A,$B35,INPUT_DATA!$B:$B,"S"))</f>
        <v/>
      </c>
      <c r="F35" s="140" t="str">
        <f>IF($B35=0,"",SUMIFS(INPUT_DATA!F:F,INPUT_DATA!$A:$A,$B35,INPUT_DATA!$B:$B,"S"))</f>
        <v/>
      </c>
      <c r="G35" s="140" t="str">
        <f>IF($B35=0,"",SUMIFS(INPUT_DATA!G:G,INPUT_DATA!$A:$A,$B35,INPUT_DATA!$B:$B,"S"))</f>
        <v/>
      </c>
      <c r="H35" s="140" t="str">
        <f>IF($B35=0,"",SUMIFS(INPUT_DATA!H:H,INPUT_DATA!$A:$A,$B35,INPUT_DATA!$B:$B,"S"))</f>
        <v/>
      </c>
      <c r="I35" s="140" t="str">
        <f>IF($B35=0,"",SUMIFS(INPUT_DATA!I:I,INPUT_DATA!$A:$A,$B35,INPUT_DATA!$B:$B,"S"))</f>
        <v/>
      </c>
      <c r="J35" s="140" t="str">
        <f>IF($B35=0,"",SUMIFS(INPUT_DATA!J:J,INPUT_DATA!$A:$A,$B35,INPUT_DATA!$B:$B,"S"))</f>
        <v/>
      </c>
      <c r="K35" s="140" t="str">
        <f>IF($B35=0,"",SUMIFS(INPUT_DATA!K:K,INPUT_DATA!$A:$A,$B35,INPUT_DATA!$B:$B,"S"))</f>
        <v/>
      </c>
      <c r="L35" s="140" t="str">
        <f>IF($B35=0,"",SUMIFS(INPUT_DATA!L:L,INPUT_DATA!$A:$A,$B35,INPUT_DATA!$B:$B,"S"))</f>
        <v/>
      </c>
      <c r="M35" s="140" t="str">
        <f>IF($B35=0,"",SUMIFS(INPUT_DATA!M:M,INPUT_DATA!$A:$A,$B35,INPUT_DATA!$B:$B,"S"))</f>
        <v/>
      </c>
      <c r="N35" s="140" t="str">
        <f>IF($B35=0,"",SUMIFS(INPUT_DATA!N:N,INPUT_DATA!$A:$A,$B35,INPUT_DATA!$B:$B,"S"))</f>
        <v/>
      </c>
      <c r="O35" s="141" t="str">
        <f t="shared" si="7"/>
        <v/>
      </c>
      <c r="P35" s="142" t="str">
        <f>IF($B35=0,"",SUMIFS(INPUT_DATA!O:O,INPUT_DATA!$A:$A,$B35,INPUT_DATA!$B:$B,"S"))</f>
        <v/>
      </c>
      <c r="Q35" s="142" t="str">
        <f t="shared" si="8"/>
        <v/>
      </c>
      <c r="R35" s="142" t="str">
        <f>IF($B35=0,"",SUMIFS(INPUT_DATA!BL:BL,INPUT_DATA!$A:$A,$B35,INPUT_DATA!$B:$B,"S"))</f>
        <v/>
      </c>
      <c r="S35" s="143" t="str">
        <f>IF($B35=0,"",SUMIFS(INPUT_DATA!P:P,INPUT_DATA!$A:$A,$B35,INPUT_DATA!$B:$B,"S"))</f>
        <v/>
      </c>
      <c r="T35" s="143" t="str">
        <f>IF($B35=0,"",SUMIFS(INPUT_DATA!Q:Q,INPUT_DATA!$A:$A,$B35,INPUT_DATA!$B:$B,"S"))</f>
        <v/>
      </c>
      <c r="U35" s="143" t="str">
        <f>IF($B35=0,"",SUMIFS(INPUT_DATA!R:R,INPUT_DATA!$A:$A,$B35,INPUT_DATA!$B:$B,"S"))</f>
        <v/>
      </c>
      <c r="V35" s="144" t="str">
        <f>IF($B35=0,"",SUMIFS(INPUT_DATA!S:S,INPUT_DATA!$A:$A,$B35,INPUT_DATA!$B:$B,"S"))</f>
        <v/>
      </c>
      <c r="W35" s="144" t="str">
        <f>IF($B35=0,"",SUMIFS(INPUT_DATA!T:T,INPUT_DATA!$A:$A,$B35,INPUT_DATA!$B:$B,"S"))</f>
        <v/>
      </c>
      <c r="X35" s="144" t="str">
        <f>IF($B35=0,"",SUMIFS(INPUT_DATA!U:U,INPUT_DATA!$A:$A,$B35,INPUT_DATA!$B:$B,"S"))</f>
        <v/>
      </c>
      <c r="Y35" s="144" t="str">
        <f>IF($B35=0,"",SUMIFS(INPUT_DATA!V:V,INPUT_DATA!$A:$A,$B35,INPUT_DATA!$B:$B,"S"))</f>
        <v/>
      </c>
      <c r="Z35" s="144" t="str">
        <f>IF($B35=0,"",SUMIFS(INPUT_DATA!W:W,INPUT_DATA!$A:$A,$B35,INPUT_DATA!$B:$B,"S"))</f>
        <v/>
      </c>
      <c r="AA35" s="144" t="str">
        <f>IF($B35=0,"",SUMIFS(INPUT_DATA!X:X,INPUT_DATA!$A:$A,$B35,INPUT_DATA!$B:$B,"S"))</f>
        <v/>
      </c>
      <c r="AB35" s="144" t="str">
        <f>IF($B35=0,"",SUMIFS(INPUT_DATA!Y:Y,INPUT_DATA!$A:$A,$B35,INPUT_DATA!$B:$B,"S"))</f>
        <v/>
      </c>
      <c r="AC35" s="144" t="str">
        <f>IF($B35=0,"",SUMIFS(INPUT_DATA!Z:Z,INPUT_DATA!$A:$A,$B35,INPUT_DATA!$B:$B,"S"))</f>
        <v/>
      </c>
      <c r="AD35" s="144" t="str">
        <f>IF($B35=0,"",SUMIFS(INPUT_DATA!AA:AA,INPUT_DATA!$A:$A,$B35,INPUT_DATA!$B:$B,"S"))</f>
        <v/>
      </c>
      <c r="AE35" s="144" t="str">
        <f>IF($B35=0,"",SUMIFS(INPUT_DATA!AB:AB,INPUT_DATA!$A:$A,$B35,INPUT_DATA!$B:$B,"S"))</f>
        <v/>
      </c>
      <c r="AF35" s="144" t="str">
        <f>IF($B35=0,"",SUMIFS(INPUT_DATA!AC:AC,INPUT_DATA!$A:$A,$B35,INPUT_DATA!$B:$B,"S"))</f>
        <v/>
      </c>
      <c r="AG35" s="144" t="str">
        <f>IF($B35=0,"",SUMIFS(INPUT_DATA!AD:AD,INPUT_DATA!$A:$A,$B35,INPUT_DATA!$B:$B,"S"))</f>
        <v/>
      </c>
      <c r="AH35" s="144" t="str">
        <f>IF($B35=0,"",SUMIFS(INPUT_DATA!AE:AE,INPUT_DATA!$A:$A,$B35,INPUT_DATA!$B:$B,"S"))</f>
        <v/>
      </c>
      <c r="AI35" s="144" t="str">
        <f>IF($B35=0,"",SUMIFS(INPUT_DATA!AF:AF,INPUT_DATA!$A:$A,$B35,INPUT_DATA!$B:$B,"S"))</f>
        <v/>
      </c>
      <c r="AJ35" s="144" t="str">
        <f>IF($B35=0,"",SUMIFS(INPUT_DATA!AG:AG,INPUT_DATA!$A:$A,$B35,INPUT_DATA!$B:$B,"S"))</f>
        <v/>
      </c>
      <c r="AK35" s="144" t="str">
        <f>IF($B35=0,"",SUMIFS(INPUT_DATA!AK:AK,INPUT_DATA!$A:$A,$B35,INPUT_DATA!$B:$B,"S"))</f>
        <v/>
      </c>
      <c r="AL35" s="144" t="str">
        <f>IF($B35=0,"",SUMIFS(INPUT_DATA!AL:AL,INPUT_DATA!$A:$A,$B35,INPUT_DATA!$B:$B,"S"))</f>
        <v/>
      </c>
      <c r="AM35" s="144" t="str">
        <f>IF($B35=0,"",SUMIFS(INPUT_DATA!AM:AM,INPUT_DATA!$A:$A,$B35,INPUT_DATA!$B:$B,"S"))</f>
        <v/>
      </c>
      <c r="AN35" s="144" t="str">
        <f>IF($B35=0,"",SUMIFS(INPUT_DATA!AN:AN,INPUT_DATA!$A:$A,$B35,INPUT_DATA!$B:$B,"S"))</f>
        <v/>
      </c>
      <c r="AO35" s="144" t="str">
        <f>IF($B35=0,"",SUMIFS(INPUT_DATA!AO:AO,INPUT_DATA!$A:$A,$B35,INPUT_DATA!$B:$B,"S"))</f>
        <v/>
      </c>
      <c r="AP35" s="144" t="str">
        <f>IF($B35=0,"",SUMIFS(INPUT_DATA!AP:AP,INPUT_DATA!$A:$A,$B35,INPUT_DATA!$B:$B,"S"))</f>
        <v/>
      </c>
      <c r="AQ35" s="145" t="str">
        <f t="shared" si="9"/>
        <v/>
      </c>
      <c r="AR35" s="146" t="str">
        <f t="shared" si="10"/>
        <v/>
      </c>
      <c r="AS35" s="147" t="str">
        <f t="shared" si="11"/>
        <v/>
      </c>
      <c r="AT35" s="145" t="str">
        <f>IF($B35=0,"",SUMIFS(INPUT_DATA!AQ:AQ,INPUT_DATA!$A:$A,$B35,INPUT_DATA!$B:$B,"S"))</f>
        <v/>
      </c>
      <c r="AU35" s="146" t="str">
        <f>IF($B35=0,"",SUMIFS(INPUT_DATA!AR:AR,INPUT_DATA!$A:$A,$B35,INPUT_DATA!$B:$B,"S"))</f>
        <v/>
      </c>
      <c r="AV35" s="147" t="str">
        <f>IF($B35=0,"",SUMIFS(INPUT_DATA!AS:AS,INPUT_DATA!$A:$A,$B35,INPUT_DATA!$B:$B,"S"))</f>
        <v/>
      </c>
      <c r="AW35" s="145" t="str">
        <f t="shared" si="12"/>
        <v/>
      </c>
      <c r="AX35" s="146" t="str">
        <f t="shared" si="13"/>
        <v/>
      </c>
      <c r="AY35" s="147" t="str">
        <f t="shared" si="14"/>
        <v/>
      </c>
      <c r="AZ35" s="148"/>
      <c r="BA35" s="138" t="str">
        <f>IF($B35=0,"",SUMIFS(INPUT_DATA!C:C,INPUT_DATA!$A:$A,$B35,INPUT_DATA!$B:$B,"D"))</f>
        <v/>
      </c>
      <c r="BB35" s="149" t="str">
        <f>IF($B35=0,"",SUMIFS(INPUT_DATA!E:E,INPUT_DATA!$A:$A,$B35,INPUT_DATA!$B:$B,"D"))</f>
        <v/>
      </c>
      <c r="BC35" s="149" t="str">
        <f>IF($B35=0,"",SUMIFS(INPUT_DATA!F:F,INPUT_DATA!$A:$A,$B35,INPUT_DATA!$B:$B,"D"))</f>
        <v/>
      </c>
      <c r="BD35" s="149" t="str">
        <f>IF($B35=0,"",SUMIFS(INPUT_DATA!G:G,INPUT_DATA!$A:$A,$B35,INPUT_DATA!$B:$B,"D"))</f>
        <v/>
      </c>
      <c r="BE35" s="149" t="str">
        <f>IF($B35=0,"",SUMIFS(INPUT_DATA!H:H,INPUT_DATA!$A:$A,$B35,INPUT_DATA!$B:$B,"D"))</f>
        <v/>
      </c>
      <c r="BF35" s="149" t="str">
        <f>IF($B35=0,"",SUMIFS(INPUT_DATA!I:I,INPUT_DATA!$A:$A,$B35,INPUT_DATA!$B:$B,"D"))</f>
        <v/>
      </c>
      <c r="BG35" s="149" t="str">
        <f>IF($B35=0,"",SUMIFS(INPUT_DATA!J:J,INPUT_DATA!$A:$A,$B35,INPUT_DATA!$B:$B,"D"))</f>
        <v/>
      </c>
      <c r="BH35" s="149" t="str">
        <f>IF($B35=0,"",SUMIFS(INPUT_DATA!K:K,INPUT_DATA!$A:$A,$B35,INPUT_DATA!$B:$B,"D"))</f>
        <v/>
      </c>
      <c r="BI35" s="149" t="str">
        <f>IF($B35=0,"",SUMIFS(INPUT_DATA!L:L,INPUT_DATA!$A:$A,$B35,INPUT_DATA!$B:$B,"D"))</f>
        <v/>
      </c>
      <c r="BJ35" s="149" t="str">
        <f>IF($B35=0,"",SUMIFS(INPUT_DATA!M:M,INPUT_DATA!$A:$A,$B35,INPUT_DATA!$B:$B,"D"))</f>
        <v/>
      </c>
      <c r="BK35" s="149" t="str">
        <f>IF($B35=0,"",SUMIFS(INPUT_DATA!N:N,INPUT_DATA!$A:$A,$B35,INPUT_DATA!$B:$B,"D"))</f>
        <v/>
      </c>
      <c r="BL35" s="150" t="str">
        <f t="shared" si="5"/>
        <v/>
      </c>
      <c r="BM35" s="150" t="str">
        <f>IF($B35=0,"",SUMIFS(INPUT_DATA!O:O,INPUT_DATA!$A:$A,$B35,INPUT_DATA!$B:$B,"D"))</f>
        <v/>
      </c>
      <c r="BN35" s="150" t="str">
        <f t="shared" si="15"/>
        <v/>
      </c>
      <c r="BO35" s="153" t="str">
        <f>IF($B35=0,"",SUMIFS(INPUT_DATA!P:P,INPUT_DATA!$A:$A,$B35,INPUT_DATA!$B:$B,"D"))</f>
        <v/>
      </c>
      <c r="BP35" s="139" t="str">
        <f>IF($B35=0,"",SUMIFS(INPUT_DATA!Q:Q,INPUT_DATA!$A:$A,$B35,INPUT_DATA!$B:$B,"D"))</f>
        <v/>
      </c>
      <c r="BQ35" s="139" t="str">
        <f>IF($B35=0,"",SUMIFS(INPUT_DATA!R:R,INPUT_DATA!$A:$A,$B35,INPUT_DATA!$B:$B,"D"))</f>
        <v/>
      </c>
      <c r="BR35" s="149" t="str">
        <f>IF($B35=0,"",SUMIFS(INPUT_DATA!S:S,INPUT_DATA!$A:$A,$B35,INPUT_DATA!$B:$B,"D"))</f>
        <v/>
      </c>
      <c r="BS35" s="149" t="str">
        <f>IF($B35=0,"",SUMIFS(INPUT_DATA!T:T,INPUT_DATA!$A:$A,$B35,INPUT_DATA!$B:$B,"D"))</f>
        <v/>
      </c>
      <c r="BT35" s="149" t="str">
        <f>IF($B35=0,"",SUMIFS(INPUT_DATA!U:U,INPUT_DATA!$A:$A,$B35,INPUT_DATA!$B:$B,"D"))</f>
        <v/>
      </c>
      <c r="BU35" s="149" t="str">
        <f>IF($B35=0,"",SUMIFS(INPUT_DATA!V:V,INPUT_DATA!$A:$A,$B35,INPUT_DATA!$B:$B,"D"))</f>
        <v/>
      </c>
      <c r="BV35" s="149" t="str">
        <f>IF($B35=0,"",SUMIFS(INPUT_DATA!W:W,INPUT_DATA!$A:$A,$B35,INPUT_DATA!$B:$B,"D"))</f>
        <v/>
      </c>
      <c r="BW35" s="149" t="str">
        <f>IF($B35=0,"",SUMIFS(INPUT_DATA!X:X,INPUT_DATA!$A:$A,$B35,INPUT_DATA!$B:$B,"D"))</f>
        <v/>
      </c>
      <c r="BX35" s="149" t="str">
        <f>IF($B35=0,"",SUMIFS(INPUT_DATA!Y:Y,INPUT_DATA!$A:$A,$B35,INPUT_DATA!$B:$B,"D"))</f>
        <v/>
      </c>
      <c r="BY35" s="149" t="str">
        <f>IF($B35=0,"",SUMIFS(INPUT_DATA!Z:Z,INPUT_DATA!$A:$A,$B35,INPUT_DATA!$B:$B,"D"))</f>
        <v/>
      </c>
      <c r="BZ35" s="149" t="str">
        <f>IF($B35=0,"",SUMIFS(INPUT_DATA!AA:AA,INPUT_DATA!$A:$A,$B35,INPUT_DATA!$B:$B,"D"))</f>
        <v/>
      </c>
      <c r="CA35" s="149" t="str">
        <f>IF($B35=0,"",SUMIFS(INPUT_DATA!AB:AB,INPUT_DATA!$A:$A,$B35,INPUT_DATA!$B:$B,"D"))</f>
        <v/>
      </c>
      <c r="CB35" s="149" t="str">
        <f>IF($B35=0,"",SUMIFS(INPUT_DATA!AC:AC,INPUT_DATA!$A:$A,$B35,INPUT_DATA!$B:$B,"D"))</f>
        <v/>
      </c>
      <c r="CC35" s="149" t="str">
        <f>IF($B35=0,"",SUMIFS(INPUT_DATA!AD:AD,INPUT_DATA!$A:$A,$B35,INPUT_DATA!$B:$B,"D"))</f>
        <v/>
      </c>
      <c r="CD35" s="149" t="str">
        <f>IF($B35=0,"",SUMIFS(INPUT_DATA!AE:AE,INPUT_DATA!$A:$A,$B35,INPUT_DATA!$B:$B,"D"))</f>
        <v/>
      </c>
      <c r="CE35" s="149" t="str">
        <f>IF($B35=0,"",SUMIFS(INPUT_DATA!AF:AF,INPUT_DATA!$A:$A,$B35,INPUT_DATA!$B:$B,"D"))</f>
        <v/>
      </c>
      <c r="CF35" s="149" t="str">
        <f>IF($B35=0,"",SUMIFS(INPUT_DATA!AG:AG,INPUT_DATA!$A:$A,$B35,INPUT_DATA!$B:$B,"D"))</f>
        <v/>
      </c>
      <c r="CG35" s="149" t="str">
        <f>IF($B35=0,"",SUMIFS(INPUT_DATA!AH:AH,INPUT_DATA!$A:$A,$B35,INPUT_DATA!$B:$B,"D"))</f>
        <v/>
      </c>
      <c r="CH35" s="149" t="str">
        <f>IF($B35=0,"",SUMIFS(INPUT_DATA!AI:AI,INPUT_DATA!$A:$A,$B35,INPUT_DATA!$B:$B,"D"))</f>
        <v/>
      </c>
      <c r="CI35" s="149" t="str">
        <f>IF($B35=0,"",SUMIFS(INPUT_DATA!AJ:AJ,INPUT_DATA!$A:$A,$B35,INPUT_DATA!$B:$B,"D"))</f>
        <v/>
      </c>
      <c r="CJ35" s="140" t="str">
        <f>IF($B35=0,"",SUMIFS(INPUT_DATA!AK:AK,INPUT_DATA!$A:$A,$B35,INPUT_DATA!$B:$B,"D"))</f>
        <v/>
      </c>
      <c r="CK35" s="140" t="str">
        <f>IF($B35=0,"",SUMIFS(INPUT_DATA!AL:AL,INPUT_DATA!$A:$A,$B35,INPUT_DATA!$B:$B,"D"))</f>
        <v/>
      </c>
      <c r="CL35" s="140" t="str">
        <f>IF($B35=0,"",SUMIFS(INPUT_DATA!AM:AM,INPUT_DATA!$A:$A,$B35,INPUT_DATA!$B:$B,"D"))</f>
        <v/>
      </c>
      <c r="CM35" s="140" t="str">
        <f>IF($B35=0,"",SUMIFS(INPUT_DATA!AN:AN,INPUT_DATA!$A:$A,$B35,INPUT_DATA!$B:$B,"D"))</f>
        <v/>
      </c>
      <c r="CN35" s="140" t="str">
        <f>IF($B35=0,"",SUMIFS(INPUT_DATA!AO:AO,INPUT_DATA!$A:$A,$B35,INPUT_DATA!$B:$B,"D"))</f>
        <v/>
      </c>
      <c r="CO35" s="140" t="str">
        <f>IF($B35=0,"",SUMIFS(INPUT_DATA!AP:AP,INPUT_DATA!$A:$A,$B35,INPUT_DATA!$B:$B,"D"))</f>
        <v/>
      </c>
      <c r="CP35" s="154" t="str">
        <f t="shared" si="6"/>
        <v/>
      </c>
      <c r="CQ35" s="154" t="str">
        <f t="shared" si="2"/>
        <v/>
      </c>
      <c r="CR35" s="154" t="str">
        <f t="shared" si="3"/>
        <v/>
      </c>
      <c r="CS35" s="139" t="str">
        <f>IF($B35=0,"",SUMIFS(INPUT_DATA!AQ:AQ,INPUT_DATA!$A:$A,$B35,INPUT_DATA!$B:$B,"D"))</f>
        <v/>
      </c>
      <c r="CT35" s="154" t="str">
        <f>IF($B35=0,"",SUMIFS(INPUT_DATA!AR:AR,INPUT_DATA!$A:$A,$B35,INPUT_DATA!$B:$B,"D"))</f>
        <v/>
      </c>
      <c r="CU35" s="154" t="str">
        <f>IF($B35=0,"",SUMIFS(INPUT_DATA!AS:AS,INPUT_DATA!$A:$A,$B35,INPUT_DATA!$B:$B,"D"))</f>
        <v/>
      </c>
      <c r="CV35" s="139" t="str">
        <f t="shared" si="17"/>
        <v/>
      </c>
      <c r="CW35" s="154" t="str">
        <f t="shared" si="18"/>
        <v/>
      </c>
      <c r="CX35" s="155" t="str">
        <f t="shared" si="19"/>
        <v/>
      </c>
      <c r="CY35" s="148"/>
    </row>
    <row r="36" spans="2:103">
      <c r="B36" s="137">
        <f>INPUT_DATA!CN23</f>
        <v>0</v>
      </c>
      <c r="C36" s="139" t="str">
        <f>IF($B36=0,"",SUMIFS(INPUT_DATA!C:C,INPUT_DATA!$A:$A,$B36,INPUT_DATA!$B:$B,"S"))</f>
        <v/>
      </c>
      <c r="D36" s="139" t="str">
        <f>IF($B36=0,"",SUMIFS(INPUT_DATA!D:D,INPUT_DATA!$A:$A,$B36,INPUT_DATA!$B:$B,"S"))</f>
        <v/>
      </c>
      <c r="E36" s="140" t="str">
        <f>IF($B36=0,"",SUMIFS(INPUT_DATA!E:E,INPUT_DATA!$A:$A,$B36,INPUT_DATA!$B:$B,"S"))</f>
        <v/>
      </c>
      <c r="F36" s="140" t="str">
        <f>IF($B36=0,"",SUMIFS(INPUT_DATA!F:F,INPUT_DATA!$A:$A,$B36,INPUT_DATA!$B:$B,"S"))</f>
        <v/>
      </c>
      <c r="G36" s="140" t="str">
        <f>IF($B36=0,"",SUMIFS(INPUT_DATA!G:G,INPUT_DATA!$A:$A,$B36,INPUT_DATA!$B:$B,"S"))</f>
        <v/>
      </c>
      <c r="H36" s="140" t="str">
        <f>IF($B36=0,"",SUMIFS(INPUT_DATA!H:H,INPUT_DATA!$A:$A,$B36,INPUT_DATA!$B:$B,"S"))</f>
        <v/>
      </c>
      <c r="I36" s="140" t="str">
        <f>IF($B36=0,"",SUMIFS(INPUT_DATA!I:I,INPUT_DATA!$A:$A,$B36,INPUT_DATA!$B:$B,"S"))</f>
        <v/>
      </c>
      <c r="J36" s="140" t="str">
        <f>IF($B36=0,"",SUMIFS(INPUT_DATA!J:J,INPUT_DATA!$A:$A,$B36,INPUT_DATA!$B:$B,"S"))</f>
        <v/>
      </c>
      <c r="K36" s="140" t="str">
        <f>IF($B36=0,"",SUMIFS(INPUT_DATA!K:K,INPUT_DATA!$A:$A,$B36,INPUT_DATA!$B:$B,"S"))</f>
        <v/>
      </c>
      <c r="L36" s="140" t="str">
        <f>IF($B36=0,"",SUMIFS(INPUT_DATA!L:L,INPUT_DATA!$A:$A,$B36,INPUT_DATA!$B:$B,"S"))</f>
        <v/>
      </c>
      <c r="M36" s="140" t="str">
        <f>IF($B36=0,"",SUMIFS(INPUT_DATA!M:M,INPUT_DATA!$A:$A,$B36,INPUT_DATA!$B:$B,"S"))</f>
        <v/>
      </c>
      <c r="N36" s="140" t="str">
        <f>IF($B36=0,"",SUMIFS(INPUT_DATA!N:N,INPUT_DATA!$A:$A,$B36,INPUT_DATA!$B:$B,"S"))</f>
        <v/>
      </c>
      <c r="O36" s="141" t="str">
        <f t="shared" si="7"/>
        <v/>
      </c>
      <c r="P36" s="142" t="str">
        <f>IF($B36=0,"",SUMIFS(INPUT_DATA!O:O,INPUT_DATA!$A:$A,$B36,INPUT_DATA!$B:$B,"S"))</f>
        <v/>
      </c>
      <c r="Q36" s="142" t="str">
        <f t="shared" si="8"/>
        <v/>
      </c>
      <c r="R36" s="142" t="str">
        <f>IF($B36=0,"",SUMIFS(INPUT_DATA!BL:BL,INPUT_DATA!$A:$A,$B36,INPUT_DATA!$B:$B,"S"))</f>
        <v/>
      </c>
      <c r="S36" s="143" t="str">
        <f>IF($B36=0,"",SUMIFS(INPUT_DATA!P:P,INPUT_DATA!$A:$A,$B36,INPUT_DATA!$B:$B,"S"))</f>
        <v/>
      </c>
      <c r="T36" s="143" t="str">
        <f>IF($B36=0,"",SUMIFS(INPUT_DATA!Q:Q,INPUT_DATA!$A:$A,$B36,INPUT_DATA!$B:$B,"S"))</f>
        <v/>
      </c>
      <c r="U36" s="143" t="str">
        <f>IF($B36=0,"",SUMIFS(INPUT_DATA!R:R,INPUT_DATA!$A:$A,$B36,INPUT_DATA!$B:$B,"S"))</f>
        <v/>
      </c>
      <c r="V36" s="144" t="str">
        <f>IF($B36=0,"",SUMIFS(INPUT_DATA!S:S,INPUT_DATA!$A:$A,$B36,INPUT_DATA!$B:$B,"S"))</f>
        <v/>
      </c>
      <c r="W36" s="144" t="str">
        <f>IF($B36=0,"",SUMIFS(INPUT_DATA!T:T,INPUT_DATA!$A:$A,$B36,INPUT_DATA!$B:$B,"S"))</f>
        <v/>
      </c>
      <c r="X36" s="144" t="str">
        <f>IF($B36=0,"",SUMIFS(INPUT_DATA!U:U,INPUT_DATA!$A:$A,$B36,INPUT_DATA!$B:$B,"S"))</f>
        <v/>
      </c>
      <c r="Y36" s="144" t="str">
        <f>IF($B36=0,"",SUMIFS(INPUT_DATA!V:V,INPUT_DATA!$A:$A,$B36,INPUT_DATA!$B:$B,"S"))</f>
        <v/>
      </c>
      <c r="Z36" s="144" t="str">
        <f>IF($B36=0,"",SUMIFS(INPUT_DATA!W:W,INPUT_DATA!$A:$A,$B36,INPUT_DATA!$B:$B,"S"))</f>
        <v/>
      </c>
      <c r="AA36" s="144" t="str">
        <f>IF($B36=0,"",SUMIFS(INPUT_DATA!X:X,INPUT_DATA!$A:$A,$B36,INPUT_DATA!$B:$B,"S"))</f>
        <v/>
      </c>
      <c r="AB36" s="144" t="str">
        <f>IF($B36=0,"",SUMIFS(INPUT_DATA!Y:Y,INPUT_DATA!$A:$A,$B36,INPUT_DATA!$B:$B,"S"))</f>
        <v/>
      </c>
      <c r="AC36" s="144" t="str">
        <f>IF($B36=0,"",SUMIFS(INPUT_DATA!Z:Z,INPUT_DATA!$A:$A,$B36,INPUT_DATA!$B:$B,"S"))</f>
        <v/>
      </c>
      <c r="AD36" s="144" t="str">
        <f>IF($B36=0,"",SUMIFS(INPUT_DATA!AA:AA,INPUT_DATA!$A:$A,$B36,INPUT_DATA!$B:$B,"S"))</f>
        <v/>
      </c>
      <c r="AE36" s="144" t="str">
        <f>IF($B36=0,"",SUMIFS(INPUT_DATA!AB:AB,INPUT_DATA!$A:$A,$B36,INPUT_DATA!$B:$B,"S"))</f>
        <v/>
      </c>
      <c r="AF36" s="144" t="str">
        <f>IF($B36=0,"",SUMIFS(INPUT_DATA!AC:AC,INPUT_DATA!$A:$A,$B36,INPUT_DATA!$B:$B,"S"))</f>
        <v/>
      </c>
      <c r="AG36" s="144" t="str">
        <f>IF($B36=0,"",SUMIFS(INPUT_DATA!AD:AD,INPUT_DATA!$A:$A,$B36,INPUT_DATA!$B:$B,"S"))</f>
        <v/>
      </c>
      <c r="AH36" s="144" t="str">
        <f>IF($B36=0,"",SUMIFS(INPUT_DATA!AE:AE,INPUT_DATA!$A:$A,$B36,INPUT_DATA!$B:$B,"S"))</f>
        <v/>
      </c>
      <c r="AI36" s="144" t="str">
        <f>IF($B36=0,"",SUMIFS(INPUT_DATA!AF:AF,INPUT_DATA!$A:$A,$B36,INPUT_DATA!$B:$B,"S"))</f>
        <v/>
      </c>
      <c r="AJ36" s="144" t="str">
        <f>IF($B36=0,"",SUMIFS(INPUT_DATA!AG:AG,INPUT_DATA!$A:$A,$B36,INPUT_DATA!$B:$B,"S"))</f>
        <v/>
      </c>
      <c r="AK36" s="144" t="str">
        <f>IF($B36=0,"",SUMIFS(INPUT_DATA!AK:AK,INPUT_DATA!$A:$A,$B36,INPUT_DATA!$B:$B,"S"))</f>
        <v/>
      </c>
      <c r="AL36" s="144" t="str">
        <f>IF($B36=0,"",SUMIFS(INPUT_DATA!AL:AL,INPUT_DATA!$A:$A,$B36,INPUT_DATA!$B:$B,"S"))</f>
        <v/>
      </c>
      <c r="AM36" s="144" t="str">
        <f>IF($B36=0,"",SUMIFS(INPUT_DATA!AM:AM,INPUT_DATA!$A:$A,$B36,INPUT_DATA!$B:$B,"S"))</f>
        <v/>
      </c>
      <c r="AN36" s="144" t="str">
        <f>IF($B36=0,"",SUMIFS(INPUT_DATA!AN:AN,INPUT_DATA!$A:$A,$B36,INPUT_DATA!$B:$B,"S"))</f>
        <v/>
      </c>
      <c r="AO36" s="144" t="str">
        <f>IF($B36=0,"",SUMIFS(INPUT_DATA!AO:AO,INPUT_DATA!$A:$A,$B36,INPUT_DATA!$B:$B,"S"))</f>
        <v/>
      </c>
      <c r="AP36" s="144" t="str">
        <f>IF($B36=0,"",SUMIFS(INPUT_DATA!AP:AP,INPUT_DATA!$A:$A,$B36,INPUT_DATA!$B:$B,"S"))</f>
        <v/>
      </c>
      <c r="AQ36" s="145" t="str">
        <f t="shared" si="9"/>
        <v/>
      </c>
      <c r="AR36" s="146" t="str">
        <f t="shared" si="10"/>
        <v/>
      </c>
      <c r="AS36" s="147" t="str">
        <f t="shared" si="11"/>
        <v/>
      </c>
      <c r="AT36" s="145" t="str">
        <f>IF($B36=0,"",SUMIFS(INPUT_DATA!AQ:AQ,INPUT_DATA!$A:$A,$B36,INPUT_DATA!$B:$B,"S"))</f>
        <v/>
      </c>
      <c r="AU36" s="146" t="str">
        <f>IF($B36=0,"",SUMIFS(INPUT_DATA!AR:AR,INPUT_DATA!$A:$A,$B36,INPUT_DATA!$B:$B,"S"))</f>
        <v/>
      </c>
      <c r="AV36" s="147" t="str">
        <f>IF($B36=0,"",SUMIFS(INPUT_DATA!AS:AS,INPUT_DATA!$A:$A,$B36,INPUT_DATA!$B:$B,"S"))</f>
        <v/>
      </c>
      <c r="AW36" s="145" t="str">
        <f t="shared" si="12"/>
        <v/>
      </c>
      <c r="AX36" s="146" t="str">
        <f t="shared" si="13"/>
        <v/>
      </c>
      <c r="AY36" s="147" t="str">
        <f t="shared" si="14"/>
        <v/>
      </c>
      <c r="AZ36" s="148"/>
      <c r="BA36" s="138" t="str">
        <f>IF($B36=0,"",SUMIFS(INPUT_DATA!C:C,INPUT_DATA!$A:$A,$B36,INPUT_DATA!$B:$B,"D"))</f>
        <v/>
      </c>
      <c r="BB36" s="149" t="str">
        <f>IF($B36=0,"",SUMIFS(INPUT_DATA!E:E,INPUT_DATA!$A:$A,$B36,INPUT_DATA!$B:$B,"D"))</f>
        <v/>
      </c>
      <c r="BC36" s="149" t="str">
        <f>IF($B36=0,"",SUMIFS(INPUT_DATA!F:F,INPUT_DATA!$A:$A,$B36,INPUT_DATA!$B:$B,"D"))</f>
        <v/>
      </c>
      <c r="BD36" s="149" t="str">
        <f>IF($B36=0,"",SUMIFS(INPUT_DATA!G:G,INPUT_DATA!$A:$A,$B36,INPUT_DATA!$B:$B,"D"))</f>
        <v/>
      </c>
      <c r="BE36" s="149" t="str">
        <f>IF($B36=0,"",SUMIFS(INPUT_DATA!H:H,INPUT_DATA!$A:$A,$B36,INPUT_DATA!$B:$B,"D"))</f>
        <v/>
      </c>
      <c r="BF36" s="149" t="str">
        <f>IF($B36=0,"",SUMIFS(INPUT_DATA!I:I,INPUT_DATA!$A:$A,$B36,INPUT_DATA!$B:$B,"D"))</f>
        <v/>
      </c>
      <c r="BG36" s="149" t="str">
        <f>IF($B36=0,"",SUMIFS(INPUT_DATA!J:J,INPUT_DATA!$A:$A,$B36,INPUT_DATA!$B:$B,"D"))</f>
        <v/>
      </c>
      <c r="BH36" s="149" t="str">
        <f>IF($B36=0,"",SUMIFS(INPUT_DATA!K:K,INPUT_DATA!$A:$A,$B36,INPUT_DATA!$B:$B,"D"))</f>
        <v/>
      </c>
      <c r="BI36" s="149" t="str">
        <f>IF($B36=0,"",SUMIFS(INPUT_DATA!L:L,INPUT_DATA!$A:$A,$B36,INPUT_DATA!$B:$B,"D"))</f>
        <v/>
      </c>
      <c r="BJ36" s="149" t="str">
        <f>IF($B36=0,"",SUMIFS(INPUT_DATA!M:M,INPUT_DATA!$A:$A,$B36,INPUT_DATA!$B:$B,"D"))</f>
        <v/>
      </c>
      <c r="BK36" s="149" t="str">
        <f>IF($B36=0,"",SUMIFS(INPUT_DATA!N:N,INPUT_DATA!$A:$A,$B36,INPUT_DATA!$B:$B,"D"))</f>
        <v/>
      </c>
      <c r="BL36" s="150" t="str">
        <f t="shared" si="5"/>
        <v/>
      </c>
      <c r="BM36" s="150" t="str">
        <f>IF($B36=0,"",SUMIFS(INPUT_DATA!O:O,INPUT_DATA!$A:$A,$B36,INPUT_DATA!$B:$B,"D"))</f>
        <v/>
      </c>
      <c r="BN36" s="150" t="str">
        <f t="shared" si="15"/>
        <v/>
      </c>
      <c r="BO36" s="153" t="str">
        <f>IF($B36=0,"",SUMIFS(INPUT_DATA!P:P,INPUT_DATA!$A:$A,$B36,INPUT_DATA!$B:$B,"D"))</f>
        <v/>
      </c>
      <c r="BP36" s="139" t="str">
        <f>IF($B36=0,"",SUMIFS(INPUT_DATA!Q:Q,INPUT_DATA!$A:$A,$B36,INPUT_DATA!$B:$B,"D"))</f>
        <v/>
      </c>
      <c r="BQ36" s="139" t="str">
        <f>IF($B36=0,"",SUMIFS(INPUT_DATA!R:R,INPUT_DATA!$A:$A,$B36,INPUT_DATA!$B:$B,"D"))</f>
        <v/>
      </c>
      <c r="BR36" s="149" t="str">
        <f>IF($B36=0,"",SUMIFS(INPUT_DATA!S:S,INPUT_DATA!$A:$A,$B36,INPUT_DATA!$B:$B,"D"))</f>
        <v/>
      </c>
      <c r="BS36" s="149" t="str">
        <f>IF($B36=0,"",SUMIFS(INPUT_DATA!T:T,INPUT_DATA!$A:$A,$B36,INPUT_DATA!$B:$B,"D"))</f>
        <v/>
      </c>
      <c r="BT36" s="149" t="str">
        <f>IF($B36=0,"",SUMIFS(INPUT_DATA!U:U,INPUT_DATA!$A:$A,$B36,INPUT_DATA!$B:$B,"D"))</f>
        <v/>
      </c>
      <c r="BU36" s="149" t="str">
        <f>IF($B36=0,"",SUMIFS(INPUT_DATA!V:V,INPUT_DATA!$A:$A,$B36,INPUT_DATA!$B:$B,"D"))</f>
        <v/>
      </c>
      <c r="BV36" s="149" t="str">
        <f>IF($B36=0,"",SUMIFS(INPUT_DATA!W:W,INPUT_DATA!$A:$A,$B36,INPUT_DATA!$B:$B,"D"))</f>
        <v/>
      </c>
      <c r="BW36" s="149" t="str">
        <f>IF($B36=0,"",SUMIFS(INPUT_DATA!X:X,INPUT_DATA!$A:$A,$B36,INPUT_DATA!$B:$B,"D"))</f>
        <v/>
      </c>
      <c r="BX36" s="149" t="str">
        <f>IF($B36=0,"",SUMIFS(INPUT_DATA!Y:Y,INPUT_DATA!$A:$A,$B36,INPUT_DATA!$B:$B,"D"))</f>
        <v/>
      </c>
      <c r="BY36" s="149" t="str">
        <f>IF($B36=0,"",SUMIFS(INPUT_DATA!Z:Z,INPUT_DATA!$A:$A,$B36,INPUT_DATA!$B:$B,"D"))</f>
        <v/>
      </c>
      <c r="BZ36" s="149" t="str">
        <f>IF($B36=0,"",SUMIFS(INPUT_DATA!AA:AA,INPUT_DATA!$A:$A,$B36,INPUT_DATA!$B:$B,"D"))</f>
        <v/>
      </c>
      <c r="CA36" s="149" t="str">
        <f>IF($B36=0,"",SUMIFS(INPUT_DATA!AB:AB,INPUT_DATA!$A:$A,$B36,INPUT_DATA!$B:$B,"D"))</f>
        <v/>
      </c>
      <c r="CB36" s="149" t="str">
        <f>IF($B36=0,"",SUMIFS(INPUT_DATA!AC:AC,INPUT_DATA!$A:$A,$B36,INPUT_DATA!$B:$B,"D"))</f>
        <v/>
      </c>
      <c r="CC36" s="149" t="str">
        <f>IF($B36=0,"",SUMIFS(INPUT_DATA!AD:AD,INPUT_DATA!$A:$A,$B36,INPUT_DATA!$B:$B,"D"))</f>
        <v/>
      </c>
      <c r="CD36" s="149" t="str">
        <f>IF($B36=0,"",SUMIFS(INPUT_DATA!AE:AE,INPUT_DATA!$A:$A,$B36,INPUT_DATA!$B:$B,"D"))</f>
        <v/>
      </c>
      <c r="CE36" s="149" t="str">
        <f>IF($B36=0,"",SUMIFS(INPUT_DATA!AF:AF,INPUT_DATA!$A:$A,$B36,INPUT_DATA!$B:$B,"D"))</f>
        <v/>
      </c>
      <c r="CF36" s="149" t="str">
        <f>IF($B36=0,"",SUMIFS(INPUT_DATA!AG:AG,INPUT_DATA!$A:$A,$B36,INPUT_DATA!$B:$B,"D"))</f>
        <v/>
      </c>
      <c r="CG36" s="149" t="str">
        <f>IF($B36=0,"",SUMIFS(INPUT_DATA!AH:AH,INPUT_DATA!$A:$A,$B36,INPUT_DATA!$B:$B,"D"))</f>
        <v/>
      </c>
      <c r="CH36" s="149" t="str">
        <f>IF($B36=0,"",SUMIFS(INPUT_DATA!AI:AI,INPUT_DATA!$A:$A,$B36,INPUT_DATA!$B:$B,"D"))</f>
        <v/>
      </c>
      <c r="CI36" s="149" t="str">
        <f>IF($B36=0,"",SUMIFS(INPUT_DATA!AJ:AJ,INPUT_DATA!$A:$A,$B36,INPUT_DATA!$B:$B,"D"))</f>
        <v/>
      </c>
      <c r="CJ36" s="140" t="str">
        <f>IF($B36=0,"",SUMIFS(INPUT_DATA!AK:AK,INPUT_DATA!$A:$A,$B36,INPUT_DATA!$B:$B,"D"))</f>
        <v/>
      </c>
      <c r="CK36" s="140" t="str">
        <f>IF($B36=0,"",SUMIFS(INPUT_DATA!AL:AL,INPUT_DATA!$A:$A,$B36,INPUT_DATA!$B:$B,"D"))</f>
        <v/>
      </c>
      <c r="CL36" s="140" t="str">
        <f>IF($B36=0,"",SUMIFS(INPUT_DATA!AM:AM,INPUT_DATA!$A:$A,$B36,INPUT_DATA!$B:$B,"D"))</f>
        <v/>
      </c>
      <c r="CM36" s="140" t="str">
        <f>IF($B36=0,"",SUMIFS(INPUT_DATA!AN:AN,INPUT_DATA!$A:$A,$B36,INPUT_DATA!$B:$B,"D"))</f>
        <v/>
      </c>
      <c r="CN36" s="140" t="str">
        <f>IF($B36=0,"",SUMIFS(INPUT_DATA!AO:AO,INPUT_DATA!$A:$A,$B36,INPUT_DATA!$B:$B,"D"))</f>
        <v/>
      </c>
      <c r="CO36" s="140" t="str">
        <f>IF($B36=0,"",SUMIFS(INPUT_DATA!AP:AP,INPUT_DATA!$A:$A,$B36,INPUT_DATA!$B:$B,"D"))</f>
        <v/>
      </c>
      <c r="CP36" s="154" t="str">
        <f t="shared" si="6"/>
        <v/>
      </c>
      <c r="CQ36" s="154" t="str">
        <f t="shared" si="2"/>
        <v/>
      </c>
      <c r="CR36" s="154" t="str">
        <f t="shared" si="3"/>
        <v/>
      </c>
      <c r="CS36" s="139" t="str">
        <f>IF($B36=0,"",SUMIFS(INPUT_DATA!AQ:AQ,INPUT_DATA!$A:$A,$B36,INPUT_DATA!$B:$B,"D"))</f>
        <v/>
      </c>
      <c r="CT36" s="154" t="str">
        <f>IF($B36=0,"",SUMIFS(INPUT_DATA!AR:AR,INPUT_DATA!$A:$A,$B36,INPUT_DATA!$B:$B,"D"))</f>
        <v/>
      </c>
      <c r="CU36" s="154" t="str">
        <f>IF($B36=0,"",SUMIFS(INPUT_DATA!AS:AS,INPUT_DATA!$A:$A,$B36,INPUT_DATA!$B:$B,"D"))</f>
        <v/>
      </c>
      <c r="CV36" s="139" t="str">
        <f t="shared" si="17"/>
        <v/>
      </c>
      <c r="CW36" s="154" t="str">
        <f t="shared" si="18"/>
        <v/>
      </c>
      <c r="CX36" s="155" t="str">
        <f t="shared" si="19"/>
        <v/>
      </c>
      <c r="CY36" s="148"/>
    </row>
    <row r="37" spans="2:103">
      <c r="B37" s="137">
        <f>INPUT_DATA!CN24</f>
        <v>0</v>
      </c>
      <c r="C37" s="139" t="str">
        <f>IF($B37=0,"",SUMIFS(INPUT_DATA!C:C,INPUT_DATA!$A:$A,$B37,INPUT_DATA!$B:$B,"S"))</f>
        <v/>
      </c>
      <c r="D37" s="139" t="str">
        <f>IF($B37=0,"",SUMIFS(INPUT_DATA!D:D,INPUT_DATA!$A:$A,$B37,INPUT_DATA!$B:$B,"S"))</f>
        <v/>
      </c>
      <c r="E37" s="140" t="str">
        <f>IF($B37=0,"",SUMIFS(INPUT_DATA!E:E,INPUT_DATA!$A:$A,$B37,INPUT_DATA!$B:$B,"S"))</f>
        <v/>
      </c>
      <c r="F37" s="140" t="str">
        <f>IF($B37=0,"",SUMIFS(INPUT_DATA!F:F,INPUT_DATA!$A:$A,$B37,INPUT_DATA!$B:$B,"S"))</f>
        <v/>
      </c>
      <c r="G37" s="140" t="str">
        <f>IF($B37=0,"",SUMIFS(INPUT_DATA!G:G,INPUT_DATA!$A:$A,$B37,INPUT_DATA!$B:$B,"S"))</f>
        <v/>
      </c>
      <c r="H37" s="140" t="str">
        <f>IF($B37=0,"",SUMIFS(INPUT_DATA!H:H,INPUT_DATA!$A:$A,$B37,INPUT_DATA!$B:$B,"S"))</f>
        <v/>
      </c>
      <c r="I37" s="140" t="str">
        <f>IF($B37=0,"",SUMIFS(INPUT_DATA!I:I,INPUT_DATA!$A:$A,$B37,INPUT_DATA!$B:$B,"S"))</f>
        <v/>
      </c>
      <c r="J37" s="140" t="str">
        <f>IF($B37=0,"",SUMIFS(INPUT_DATA!J:J,INPUT_DATA!$A:$A,$B37,INPUT_DATA!$B:$B,"S"))</f>
        <v/>
      </c>
      <c r="K37" s="140" t="str">
        <f>IF($B37=0,"",SUMIFS(INPUT_DATA!K:K,INPUT_DATA!$A:$A,$B37,INPUT_DATA!$B:$B,"S"))</f>
        <v/>
      </c>
      <c r="L37" s="140" t="str">
        <f>IF($B37=0,"",SUMIFS(INPUT_DATA!L:L,INPUT_DATA!$A:$A,$B37,INPUT_DATA!$B:$B,"S"))</f>
        <v/>
      </c>
      <c r="M37" s="140" t="str">
        <f>IF($B37=0,"",SUMIFS(INPUT_DATA!M:M,INPUT_DATA!$A:$A,$B37,INPUT_DATA!$B:$B,"S"))</f>
        <v/>
      </c>
      <c r="N37" s="140" t="str">
        <f>IF($B37=0,"",SUMIFS(INPUT_DATA!N:N,INPUT_DATA!$A:$A,$B37,INPUT_DATA!$B:$B,"S"))</f>
        <v/>
      </c>
      <c r="O37" s="141" t="str">
        <f t="shared" si="7"/>
        <v/>
      </c>
      <c r="P37" s="142" t="str">
        <f>IF($B37=0,"",SUMIFS(INPUT_DATA!O:O,INPUT_DATA!$A:$A,$B37,INPUT_DATA!$B:$B,"S"))</f>
        <v/>
      </c>
      <c r="Q37" s="142" t="str">
        <f t="shared" si="8"/>
        <v/>
      </c>
      <c r="R37" s="142" t="str">
        <f>IF($B37=0,"",SUMIFS(INPUT_DATA!BL:BL,INPUT_DATA!$A:$A,$B37,INPUT_DATA!$B:$B,"S"))</f>
        <v/>
      </c>
      <c r="S37" s="143" t="str">
        <f>IF($B37=0,"",SUMIFS(INPUT_DATA!P:P,INPUT_DATA!$A:$A,$B37,INPUT_DATA!$B:$B,"S"))</f>
        <v/>
      </c>
      <c r="T37" s="143" t="str">
        <f>IF($B37=0,"",SUMIFS(INPUT_DATA!Q:Q,INPUT_DATA!$A:$A,$B37,INPUT_DATA!$B:$B,"S"))</f>
        <v/>
      </c>
      <c r="U37" s="143" t="str">
        <f>IF($B37=0,"",SUMIFS(INPUT_DATA!R:R,INPUT_DATA!$A:$A,$B37,INPUT_DATA!$B:$B,"S"))</f>
        <v/>
      </c>
      <c r="V37" s="144" t="str">
        <f>IF($B37=0,"",SUMIFS(INPUT_DATA!S:S,INPUT_DATA!$A:$A,$B37,INPUT_DATA!$B:$B,"S"))</f>
        <v/>
      </c>
      <c r="W37" s="144" t="str">
        <f>IF($B37=0,"",SUMIFS(INPUT_DATA!T:T,INPUT_DATA!$A:$A,$B37,INPUT_DATA!$B:$B,"S"))</f>
        <v/>
      </c>
      <c r="X37" s="144" t="str">
        <f>IF($B37=0,"",SUMIFS(INPUT_DATA!U:U,INPUT_DATA!$A:$A,$B37,INPUT_DATA!$B:$B,"S"))</f>
        <v/>
      </c>
      <c r="Y37" s="144" t="str">
        <f>IF($B37=0,"",SUMIFS(INPUT_DATA!V:V,INPUT_DATA!$A:$A,$B37,INPUT_DATA!$B:$B,"S"))</f>
        <v/>
      </c>
      <c r="Z37" s="144" t="str">
        <f>IF($B37=0,"",SUMIFS(INPUT_DATA!W:W,INPUT_DATA!$A:$A,$B37,INPUT_DATA!$B:$B,"S"))</f>
        <v/>
      </c>
      <c r="AA37" s="144" t="str">
        <f>IF($B37=0,"",SUMIFS(INPUT_DATA!X:X,INPUT_DATA!$A:$A,$B37,INPUT_DATA!$B:$B,"S"))</f>
        <v/>
      </c>
      <c r="AB37" s="144" t="str">
        <f>IF($B37=0,"",SUMIFS(INPUT_DATA!Y:Y,INPUT_DATA!$A:$A,$B37,INPUT_DATA!$B:$B,"S"))</f>
        <v/>
      </c>
      <c r="AC37" s="144" t="str">
        <f>IF($B37=0,"",SUMIFS(INPUT_DATA!Z:Z,INPUT_DATA!$A:$A,$B37,INPUT_DATA!$B:$B,"S"))</f>
        <v/>
      </c>
      <c r="AD37" s="144" t="str">
        <f>IF($B37=0,"",SUMIFS(INPUT_DATA!AA:AA,INPUT_DATA!$A:$A,$B37,INPUT_DATA!$B:$B,"S"))</f>
        <v/>
      </c>
      <c r="AE37" s="144" t="str">
        <f>IF($B37=0,"",SUMIFS(INPUT_DATA!AB:AB,INPUT_DATA!$A:$A,$B37,INPUT_DATA!$B:$B,"S"))</f>
        <v/>
      </c>
      <c r="AF37" s="144" t="str">
        <f>IF($B37=0,"",SUMIFS(INPUT_DATA!AC:AC,INPUT_DATA!$A:$A,$B37,INPUT_DATA!$B:$B,"S"))</f>
        <v/>
      </c>
      <c r="AG37" s="144" t="str">
        <f>IF($B37=0,"",SUMIFS(INPUT_DATA!AD:AD,INPUT_DATA!$A:$A,$B37,INPUT_DATA!$B:$B,"S"))</f>
        <v/>
      </c>
      <c r="AH37" s="144" t="str">
        <f>IF($B37=0,"",SUMIFS(INPUT_DATA!AE:AE,INPUT_DATA!$A:$A,$B37,INPUT_DATA!$B:$B,"S"))</f>
        <v/>
      </c>
      <c r="AI37" s="144" t="str">
        <f>IF($B37=0,"",SUMIFS(INPUT_DATA!AF:AF,INPUT_DATA!$A:$A,$B37,INPUT_DATA!$B:$B,"S"))</f>
        <v/>
      </c>
      <c r="AJ37" s="144" t="str">
        <f>IF($B37=0,"",SUMIFS(INPUT_DATA!AG:AG,INPUT_DATA!$A:$A,$B37,INPUT_DATA!$B:$B,"S"))</f>
        <v/>
      </c>
      <c r="AK37" s="144" t="str">
        <f>IF($B37=0,"",SUMIFS(INPUT_DATA!AK:AK,INPUT_DATA!$A:$A,$B37,INPUT_DATA!$B:$B,"S"))</f>
        <v/>
      </c>
      <c r="AL37" s="144" t="str">
        <f>IF($B37=0,"",SUMIFS(INPUT_DATA!AL:AL,INPUT_DATA!$A:$A,$B37,INPUT_DATA!$B:$B,"S"))</f>
        <v/>
      </c>
      <c r="AM37" s="144" t="str">
        <f>IF($B37=0,"",SUMIFS(INPUT_DATA!AM:AM,INPUT_DATA!$A:$A,$B37,INPUT_DATA!$B:$B,"S"))</f>
        <v/>
      </c>
      <c r="AN37" s="144" t="str">
        <f>IF($B37=0,"",SUMIFS(INPUT_DATA!AN:AN,INPUT_DATA!$A:$A,$B37,INPUT_DATA!$B:$B,"S"))</f>
        <v/>
      </c>
      <c r="AO37" s="144" t="str">
        <f>IF($B37=0,"",SUMIFS(INPUT_DATA!AO:AO,INPUT_DATA!$A:$A,$B37,INPUT_DATA!$B:$B,"S"))</f>
        <v/>
      </c>
      <c r="AP37" s="144" t="str">
        <f>IF($B37=0,"",SUMIFS(INPUT_DATA!AP:AP,INPUT_DATA!$A:$A,$B37,INPUT_DATA!$B:$B,"S"))</f>
        <v/>
      </c>
      <c r="AQ37" s="145" t="str">
        <f t="shared" si="9"/>
        <v/>
      </c>
      <c r="AR37" s="146" t="str">
        <f t="shared" si="10"/>
        <v/>
      </c>
      <c r="AS37" s="147" t="str">
        <f t="shared" si="11"/>
        <v/>
      </c>
      <c r="AT37" s="145" t="str">
        <f>IF($B37=0,"",SUMIFS(INPUT_DATA!AQ:AQ,INPUT_DATA!$A:$A,$B37,INPUT_DATA!$B:$B,"S"))</f>
        <v/>
      </c>
      <c r="AU37" s="146" t="str">
        <f>IF($B37=0,"",SUMIFS(INPUT_DATA!AR:AR,INPUT_DATA!$A:$A,$B37,INPUT_DATA!$B:$B,"S"))</f>
        <v/>
      </c>
      <c r="AV37" s="147" t="str">
        <f>IF($B37=0,"",SUMIFS(INPUT_DATA!AS:AS,INPUT_DATA!$A:$A,$B37,INPUT_DATA!$B:$B,"S"))</f>
        <v/>
      </c>
      <c r="AW37" s="145" t="str">
        <f t="shared" si="12"/>
        <v/>
      </c>
      <c r="AX37" s="146" t="str">
        <f t="shared" si="13"/>
        <v/>
      </c>
      <c r="AY37" s="147" t="str">
        <f t="shared" si="14"/>
        <v/>
      </c>
      <c r="AZ37" s="148"/>
      <c r="BA37" s="138" t="str">
        <f>IF($B37=0,"",SUMIFS(INPUT_DATA!C:C,INPUT_DATA!$A:$A,$B37,INPUT_DATA!$B:$B,"D"))</f>
        <v/>
      </c>
      <c r="BB37" s="149" t="str">
        <f>IF($B37=0,"",SUMIFS(INPUT_DATA!E:E,INPUT_DATA!$A:$A,$B37,INPUT_DATA!$B:$B,"D"))</f>
        <v/>
      </c>
      <c r="BC37" s="149" t="str">
        <f>IF($B37=0,"",SUMIFS(INPUT_DATA!F:F,INPUT_DATA!$A:$A,$B37,INPUT_DATA!$B:$B,"D"))</f>
        <v/>
      </c>
      <c r="BD37" s="149" t="str">
        <f>IF($B37=0,"",SUMIFS(INPUT_DATA!G:G,INPUT_DATA!$A:$A,$B37,INPUT_DATA!$B:$B,"D"))</f>
        <v/>
      </c>
      <c r="BE37" s="149" t="str">
        <f>IF($B37=0,"",SUMIFS(INPUT_DATA!H:H,INPUT_DATA!$A:$A,$B37,INPUT_DATA!$B:$B,"D"))</f>
        <v/>
      </c>
      <c r="BF37" s="149" t="str">
        <f>IF($B37=0,"",SUMIFS(INPUT_DATA!I:I,INPUT_DATA!$A:$A,$B37,INPUT_DATA!$B:$B,"D"))</f>
        <v/>
      </c>
      <c r="BG37" s="149" t="str">
        <f>IF($B37=0,"",SUMIFS(INPUT_DATA!J:J,INPUT_DATA!$A:$A,$B37,INPUT_DATA!$B:$B,"D"))</f>
        <v/>
      </c>
      <c r="BH37" s="149" t="str">
        <f>IF($B37=0,"",SUMIFS(INPUT_DATA!K:K,INPUT_DATA!$A:$A,$B37,INPUT_DATA!$B:$B,"D"))</f>
        <v/>
      </c>
      <c r="BI37" s="149" t="str">
        <f>IF($B37=0,"",SUMIFS(INPUT_DATA!L:L,INPUT_DATA!$A:$A,$B37,INPUT_DATA!$B:$B,"D"))</f>
        <v/>
      </c>
      <c r="BJ37" s="149" t="str">
        <f>IF($B37=0,"",SUMIFS(INPUT_DATA!M:M,INPUT_DATA!$A:$A,$B37,INPUT_DATA!$B:$B,"D"))</f>
        <v/>
      </c>
      <c r="BK37" s="149" t="str">
        <f>IF($B37=0,"",SUMIFS(INPUT_DATA!N:N,INPUT_DATA!$A:$A,$B37,INPUT_DATA!$B:$B,"D"))</f>
        <v/>
      </c>
      <c r="BL37" s="150" t="str">
        <f t="shared" si="5"/>
        <v/>
      </c>
      <c r="BM37" s="150" t="str">
        <f>IF($B37=0,"",SUMIFS(INPUT_DATA!O:O,INPUT_DATA!$A:$A,$B37,INPUT_DATA!$B:$B,"D"))</f>
        <v/>
      </c>
      <c r="BN37" s="150" t="str">
        <f t="shared" si="15"/>
        <v/>
      </c>
      <c r="BO37" s="153" t="str">
        <f>IF($B37=0,"",SUMIFS(INPUT_DATA!P:P,INPUT_DATA!$A:$A,$B37,INPUT_DATA!$B:$B,"D"))</f>
        <v/>
      </c>
      <c r="BP37" s="139" t="str">
        <f>IF($B37=0,"",SUMIFS(INPUT_DATA!Q:Q,INPUT_DATA!$A:$A,$B37,INPUT_DATA!$B:$B,"D"))</f>
        <v/>
      </c>
      <c r="BQ37" s="139" t="str">
        <f>IF($B37=0,"",SUMIFS(INPUT_DATA!R:R,INPUT_DATA!$A:$A,$B37,INPUT_DATA!$B:$B,"D"))</f>
        <v/>
      </c>
      <c r="BR37" s="149" t="str">
        <f>IF($B37=0,"",SUMIFS(INPUT_DATA!S:S,INPUT_DATA!$A:$A,$B37,INPUT_DATA!$B:$B,"D"))</f>
        <v/>
      </c>
      <c r="BS37" s="149" t="str">
        <f>IF($B37=0,"",SUMIFS(INPUT_DATA!T:T,INPUT_DATA!$A:$A,$B37,INPUT_DATA!$B:$B,"D"))</f>
        <v/>
      </c>
      <c r="BT37" s="149" t="str">
        <f>IF($B37=0,"",SUMIFS(INPUT_DATA!U:U,INPUT_DATA!$A:$A,$B37,INPUT_DATA!$B:$B,"D"))</f>
        <v/>
      </c>
      <c r="BU37" s="149" t="str">
        <f>IF($B37=0,"",SUMIFS(INPUT_DATA!V:V,INPUT_DATA!$A:$A,$B37,INPUT_DATA!$B:$B,"D"))</f>
        <v/>
      </c>
      <c r="BV37" s="149" t="str">
        <f>IF($B37=0,"",SUMIFS(INPUT_DATA!W:W,INPUT_DATA!$A:$A,$B37,INPUT_DATA!$B:$B,"D"))</f>
        <v/>
      </c>
      <c r="BW37" s="149" t="str">
        <f>IF($B37=0,"",SUMIFS(INPUT_DATA!X:X,INPUT_DATA!$A:$A,$B37,INPUT_DATA!$B:$B,"D"))</f>
        <v/>
      </c>
      <c r="BX37" s="149" t="str">
        <f>IF($B37=0,"",SUMIFS(INPUT_DATA!Y:Y,INPUT_DATA!$A:$A,$B37,INPUT_DATA!$B:$B,"D"))</f>
        <v/>
      </c>
      <c r="BY37" s="149" t="str">
        <f>IF($B37=0,"",SUMIFS(INPUT_DATA!Z:Z,INPUT_DATA!$A:$A,$B37,INPUT_DATA!$B:$B,"D"))</f>
        <v/>
      </c>
      <c r="BZ37" s="149" t="str">
        <f>IF($B37=0,"",SUMIFS(INPUT_DATA!AA:AA,INPUT_DATA!$A:$A,$B37,INPUT_DATA!$B:$B,"D"))</f>
        <v/>
      </c>
      <c r="CA37" s="149" t="str">
        <f>IF($B37=0,"",SUMIFS(INPUT_DATA!AB:AB,INPUT_DATA!$A:$A,$B37,INPUT_DATA!$B:$B,"D"))</f>
        <v/>
      </c>
      <c r="CB37" s="149" t="str">
        <f>IF($B37=0,"",SUMIFS(INPUT_DATA!AC:AC,INPUT_DATA!$A:$A,$B37,INPUT_DATA!$B:$B,"D"))</f>
        <v/>
      </c>
      <c r="CC37" s="149" t="str">
        <f>IF($B37=0,"",SUMIFS(INPUT_DATA!AD:AD,INPUT_DATA!$A:$A,$B37,INPUT_DATA!$B:$B,"D"))</f>
        <v/>
      </c>
      <c r="CD37" s="149" t="str">
        <f>IF($B37=0,"",SUMIFS(INPUT_DATA!AE:AE,INPUT_DATA!$A:$A,$B37,INPUT_DATA!$B:$B,"D"))</f>
        <v/>
      </c>
      <c r="CE37" s="149" t="str">
        <f>IF($B37=0,"",SUMIFS(INPUT_DATA!AF:AF,INPUT_DATA!$A:$A,$B37,INPUT_DATA!$B:$B,"D"))</f>
        <v/>
      </c>
      <c r="CF37" s="149" t="str">
        <f>IF($B37=0,"",SUMIFS(INPUT_DATA!AG:AG,INPUT_DATA!$A:$A,$B37,INPUT_DATA!$B:$B,"D"))</f>
        <v/>
      </c>
      <c r="CG37" s="149" t="str">
        <f>IF($B37=0,"",SUMIFS(INPUT_DATA!AH:AH,INPUT_DATA!$A:$A,$B37,INPUT_DATA!$B:$B,"D"))</f>
        <v/>
      </c>
      <c r="CH37" s="149" t="str">
        <f>IF($B37=0,"",SUMIFS(INPUT_DATA!AI:AI,INPUT_DATA!$A:$A,$B37,INPUT_DATA!$B:$B,"D"))</f>
        <v/>
      </c>
      <c r="CI37" s="149" t="str">
        <f>IF($B37=0,"",SUMIFS(INPUT_DATA!AJ:AJ,INPUT_DATA!$A:$A,$B37,INPUT_DATA!$B:$B,"D"))</f>
        <v/>
      </c>
      <c r="CJ37" s="140" t="str">
        <f>IF($B37=0,"",SUMIFS(INPUT_DATA!AK:AK,INPUT_DATA!$A:$A,$B37,INPUT_DATA!$B:$B,"D"))</f>
        <v/>
      </c>
      <c r="CK37" s="140" t="str">
        <f>IF($B37=0,"",SUMIFS(INPUT_DATA!AL:AL,INPUT_DATA!$A:$A,$B37,INPUT_DATA!$B:$B,"D"))</f>
        <v/>
      </c>
      <c r="CL37" s="140" t="str">
        <f>IF($B37=0,"",SUMIFS(INPUT_DATA!AM:AM,INPUT_DATA!$A:$A,$B37,INPUT_DATA!$B:$B,"D"))</f>
        <v/>
      </c>
      <c r="CM37" s="140" t="str">
        <f>IF($B37=0,"",SUMIFS(INPUT_DATA!AN:AN,INPUT_DATA!$A:$A,$B37,INPUT_DATA!$B:$B,"D"))</f>
        <v/>
      </c>
      <c r="CN37" s="140" t="str">
        <f>IF($B37=0,"",SUMIFS(INPUT_DATA!AO:AO,INPUT_DATA!$A:$A,$B37,INPUT_DATA!$B:$B,"D"))</f>
        <v/>
      </c>
      <c r="CO37" s="140" t="str">
        <f>IF($B37=0,"",SUMIFS(INPUT_DATA!AP:AP,INPUT_DATA!$A:$A,$B37,INPUT_DATA!$B:$B,"D"))</f>
        <v/>
      </c>
      <c r="CP37" s="154" t="str">
        <f t="shared" si="6"/>
        <v/>
      </c>
      <c r="CQ37" s="154" t="str">
        <f t="shared" si="2"/>
        <v/>
      </c>
      <c r="CR37" s="154" t="str">
        <f t="shared" si="3"/>
        <v/>
      </c>
      <c r="CS37" s="139" t="str">
        <f>IF($B37=0,"",SUMIFS(INPUT_DATA!AQ:AQ,INPUT_DATA!$A:$A,$B37,INPUT_DATA!$B:$B,"D"))</f>
        <v/>
      </c>
      <c r="CT37" s="154" t="str">
        <f>IF($B37=0,"",SUMIFS(INPUT_DATA!AR:AR,INPUT_DATA!$A:$A,$B37,INPUT_DATA!$B:$B,"D"))</f>
        <v/>
      </c>
      <c r="CU37" s="154" t="str">
        <f>IF($B37=0,"",SUMIFS(INPUT_DATA!AS:AS,INPUT_DATA!$A:$A,$B37,INPUT_DATA!$B:$B,"D"))</f>
        <v/>
      </c>
      <c r="CV37" s="139" t="str">
        <f t="shared" si="17"/>
        <v/>
      </c>
      <c r="CW37" s="154" t="str">
        <f t="shared" si="18"/>
        <v/>
      </c>
      <c r="CX37" s="155" t="str">
        <f t="shared" si="19"/>
        <v/>
      </c>
      <c r="CY37" s="148"/>
    </row>
    <row r="38" spans="2:103">
      <c r="B38" s="137">
        <f>INPUT_DATA!CN25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c r="B39" s="137">
        <f>INPUT_DATA!CN26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c r="B40" s="137">
        <f>INPUT_DATA!CN27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c r="B41" s="137">
        <f>INPUT_DATA!CN28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c r="B42" s="137">
        <f>INPUT_DATA!CN29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c r="B43" s="137">
        <f>INPUT_DATA!CN30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c r="B44" s="137">
        <f>INPUT_DATA!CN31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c r="B45" s="137">
        <f>INPUT_DATA!CN32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c r="B46" s="137">
        <f>INPUT_DATA!CN33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c r="B47" s="137">
        <f>INPUT_DATA!CN34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c r="B48" s="137">
        <f>INPUT_DATA!CN35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c r="B49" s="137">
        <f>INPUT_DATA!CN36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c r="A50" s="156">
        <f t="shared" ref="A50:A87" si="20">A49-1</f>
        <v>-1</v>
      </c>
      <c r="B50" s="137">
        <f>INPUT_DATA!CN37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c r="A51" s="156">
        <f t="shared" si="20"/>
        <v>-2</v>
      </c>
      <c r="B51" s="137">
        <f>INPUT_DATA!CN38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c r="A52" s="156">
        <f t="shared" si="20"/>
        <v>-3</v>
      </c>
      <c r="B52" s="137">
        <f>INPUT_DATA!CN39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c r="A53" s="156">
        <f t="shared" si="20"/>
        <v>-4</v>
      </c>
      <c r="B53" s="137">
        <f>INPUT_DATA!CN40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c r="A54" s="156">
        <f t="shared" si="20"/>
        <v>-5</v>
      </c>
      <c r="B54" s="137">
        <f>INPUT_DATA!CN41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c r="A55" s="156">
        <f t="shared" si="20"/>
        <v>-6</v>
      </c>
      <c r="B55" s="137">
        <f>INPUT_DATA!CN42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c r="A56" s="156">
        <f t="shared" si="20"/>
        <v>-7</v>
      </c>
      <c r="B56" s="137">
        <f>INPUT_DATA!CN43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c r="A57" s="156">
        <f t="shared" si="20"/>
        <v>-8</v>
      </c>
      <c r="B57" s="137">
        <f>INPUT_DATA!CN44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c r="A58" s="156">
        <f t="shared" si="20"/>
        <v>-9</v>
      </c>
      <c r="B58" s="137">
        <f>INPUT_DATA!CN45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c r="A59" s="156">
        <f t="shared" si="20"/>
        <v>-10</v>
      </c>
      <c r="B59" s="137">
        <f>INPUT_DATA!CN46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c r="A60" s="156">
        <f t="shared" si="20"/>
        <v>-11</v>
      </c>
      <c r="B60" s="137">
        <f>INPUT_DATA!CN47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c r="A61" s="156">
        <f t="shared" si="20"/>
        <v>-12</v>
      </c>
      <c r="B61" s="137">
        <f>INPUT_DATA!CN48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c r="A62" s="156">
        <f t="shared" si="20"/>
        <v>-13</v>
      </c>
      <c r="B62" s="137">
        <f>INPUT_DATA!CN49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c r="A63" s="156">
        <f t="shared" si="20"/>
        <v>-14</v>
      </c>
      <c r="B63" s="137">
        <f>INPUT_DATA!CN50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c r="A64" s="156">
        <f t="shared" si="20"/>
        <v>-15</v>
      </c>
      <c r="B64" s="137">
        <f>INPUT_DATA!CN51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c r="A65" s="156">
        <f t="shared" si="20"/>
        <v>-16</v>
      </c>
      <c r="B65" s="137">
        <f>INPUT_DATA!CN52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c r="A66" s="156">
        <f t="shared" si="20"/>
        <v>-17</v>
      </c>
      <c r="B66" s="137">
        <f>INPUT_DATA!CN53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c r="A67" s="156">
        <f t="shared" si="20"/>
        <v>-18</v>
      </c>
      <c r="B67" s="137">
        <f>INPUT_DATA!CN54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c r="A68" s="156">
        <f t="shared" si="20"/>
        <v>-19</v>
      </c>
      <c r="B68" s="137">
        <f>INPUT_DATA!CN55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c r="A69" s="156">
        <f t="shared" si="20"/>
        <v>-20</v>
      </c>
      <c r="B69" s="137">
        <f>INPUT_DATA!CN56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c r="A70" s="156">
        <f t="shared" si="20"/>
        <v>-21</v>
      </c>
      <c r="B70" s="137">
        <f>INPUT_DATA!CN57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c r="A71" s="156">
        <f t="shared" si="20"/>
        <v>-22</v>
      </c>
      <c r="B71" s="137">
        <f>INPUT_DATA!CN58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c r="A72" s="156">
        <f t="shared" si="20"/>
        <v>-23</v>
      </c>
      <c r="B72" s="137">
        <f>INPUT_DATA!CN59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c r="A73" s="156">
        <f t="shared" si="20"/>
        <v>-24</v>
      </c>
      <c r="B73" s="137">
        <f>INPUT_DATA!CN60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c r="A74" s="156">
        <f t="shared" si="20"/>
        <v>-25</v>
      </c>
      <c r="B74" s="137">
        <f>INPUT_DATA!CN61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c r="A75" s="156">
        <f t="shared" si="20"/>
        <v>-26</v>
      </c>
      <c r="B75" s="137">
        <f>INPUT_DATA!CN62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c r="A76" s="156">
        <f t="shared" si="20"/>
        <v>-27</v>
      </c>
      <c r="B76" s="137">
        <f>INPUT_DATA!CN63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c r="A77" s="156">
        <f t="shared" si="20"/>
        <v>-28</v>
      </c>
      <c r="B77" s="137">
        <f>INPUT_DATA!CN64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c r="A78" s="156">
        <f t="shared" si="20"/>
        <v>-29</v>
      </c>
      <c r="B78" s="137">
        <f>INPUT_DATA!CN65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c r="A79" s="156">
        <f t="shared" si="20"/>
        <v>-30</v>
      </c>
      <c r="B79" s="137">
        <f>INPUT_DATA!CN66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c r="A80" s="156">
        <f t="shared" si="20"/>
        <v>-31</v>
      </c>
      <c r="B80" s="137">
        <f>INPUT_DATA!CN67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c r="A81" s="156">
        <f t="shared" si="20"/>
        <v>-32</v>
      </c>
      <c r="B81" s="137">
        <f>INPUT_DATA!CN68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c r="A82" s="156">
        <f t="shared" si="20"/>
        <v>-33</v>
      </c>
      <c r="B82" s="137">
        <f>INPUT_DATA!CN69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c r="A83" s="156">
        <f t="shared" si="20"/>
        <v>-34</v>
      </c>
      <c r="B83" s="137">
        <f>INPUT_DATA!CN70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c r="A84" s="156">
        <f t="shared" si="20"/>
        <v>-35</v>
      </c>
      <c r="B84" s="137">
        <f>INPUT_DATA!CN71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c r="A85" s="156">
        <f t="shared" si="20"/>
        <v>-36</v>
      </c>
      <c r="B85" s="137">
        <f>INPUT_DATA!CN72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c r="A86" s="156">
        <f t="shared" si="20"/>
        <v>-37</v>
      </c>
      <c r="B86" s="137">
        <f>INPUT_DATA!CN73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INPUT_DATA!CN74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heetViews>
  <sheetFormatPr defaultColWidth="11.42578125" defaultRowHeight="12.75"/>
  <cols>
    <col min="1" max="1" width="2.7109375" style="592" customWidth="1"/>
    <col min="2" max="2" width="6.28515625" style="592" customWidth="1"/>
    <col min="3" max="4" width="20.7109375" style="592" customWidth="1"/>
    <col min="5" max="5" width="18.5703125" style="1306" customWidth="1"/>
    <col min="6" max="17" width="15.7109375" style="592" customWidth="1"/>
    <col min="18" max="18" width="3.7109375" style="592" customWidth="1"/>
    <col min="19" max="19" width="4.5703125" style="592" customWidth="1"/>
    <col min="20" max="16384" width="11.42578125" style="592"/>
  </cols>
  <sheetData>
    <row r="1" spans="1:18" ht="13.5"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46022</v>
      </c>
      <c r="R2" s="619"/>
    </row>
    <row r="3" spans="1:18" ht="14.25">
      <c r="A3" s="603"/>
      <c r="B3" s="596"/>
      <c r="C3" s="596"/>
      <c r="D3" s="596"/>
      <c r="E3" s="1308"/>
      <c r="F3" s="596"/>
      <c r="G3" s="596"/>
      <c r="H3" s="596"/>
      <c r="I3" s="596"/>
      <c r="J3" s="596"/>
      <c r="K3" s="596"/>
      <c r="L3" s="596"/>
      <c r="M3" s="596"/>
      <c r="N3" s="596"/>
      <c r="O3" s="540"/>
      <c r="P3" s="540" t="s">
        <v>233</v>
      </c>
      <c r="Q3" s="621">
        <f>'Cashflow Synthesis'!L3</f>
        <v>46037</v>
      </c>
      <c r="R3" s="603"/>
    </row>
    <row r="4" spans="1:18">
      <c r="A4" s="603"/>
      <c r="B4" s="2103"/>
      <c r="C4" s="2104"/>
      <c r="D4" s="2104"/>
      <c r="E4" s="2141" t="s">
        <v>573</v>
      </c>
      <c r="F4" s="2141"/>
      <c r="G4" s="2141"/>
      <c r="H4" s="2141"/>
      <c r="I4" s="2141"/>
      <c r="J4" s="2141"/>
      <c r="K4" s="2141"/>
      <c r="L4" s="2141"/>
      <c r="M4" s="2141"/>
      <c r="N4" s="2141"/>
      <c r="O4" s="540"/>
      <c r="P4" s="540" t="s">
        <v>234</v>
      </c>
      <c r="Q4" s="621">
        <f>'Cashflow Synthesis'!L4</f>
        <v>46042</v>
      </c>
      <c r="R4" s="603"/>
    </row>
    <row r="5" spans="1:18">
      <c r="A5" s="603"/>
      <c r="B5" s="2103"/>
      <c r="C5" s="2104"/>
      <c r="D5" s="2104"/>
      <c r="E5" s="2141"/>
      <c r="F5" s="2141"/>
      <c r="G5" s="2141"/>
      <c r="H5" s="2141"/>
      <c r="I5" s="2141"/>
      <c r="J5" s="2141"/>
      <c r="K5" s="2141"/>
      <c r="L5" s="2141"/>
      <c r="M5" s="2141"/>
      <c r="N5" s="2141"/>
      <c r="O5" s="540"/>
      <c r="P5" s="540" t="s">
        <v>235</v>
      </c>
      <c r="Q5" s="621">
        <f>'Cashflow Synthesis'!L5</f>
        <v>46049</v>
      </c>
      <c r="R5" s="603"/>
    </row>
    <row r="6" spans="1:18" ht="14.25">
      <c r="A6" s="603"/>
      <c r="B6" s="596"/>
      <c r="C6" s="596"/>
      <c r="D6" s="596"/>
      <c r="E6" s="1308"/>
      <c r="F6" s="596"/>
      <c r="G6" s="596"/>
      <c r="H6" s="596"/>
      <c r="I6" s="596"/>
      <c r="J6" s="596"/>
      <c r="K6" s="596"/>
      <c r="L6" s="596"/>
      <c r="M6" s="596"/>
      <c r="N6" s="596"/>
      <c r="O6" s="540"/>
      <c r="P6" s="540" t="s">
        <v>236</v>
      </c>
      <c r="Q6" s="624">
        <f>'Cashflow Synthesis'!L6</f>
        <v>15</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c r="A9" s="603"/>
      <c r="B9" s="629"/>
      <c r="C9" s="2142" t="s">
        <v>574</v>
      </c>
      <c r="D9" s="2144" t="s">
        <v>246</v>
      </c>
      <c r="E9" s="2146" t="s">
        <v>575</v>
      </c>
      <c r="F9" s="2147"/>
      <c r="G9" s="2147"/>
      <c r="H9" s="2147"/>
      <c r="I9" s="2147"/>
      <c r="J9" s="2147"/>
      <c r="K9" s="2147"/>
      <c r="L9" s="2147"/>
      <c r="M9" s="2147"/>
      <c r="N9" s="2147"/>
      <c r="O9" s="2147"/>
      <c r="P9" s="2147"/>
      <c r="Q9" s="2147"/>
      <c r="R9" s="772"/>
    </row>
    <row r="10" spans="1:18" ht="39" thickBot="1">
      <c r="A10" s="603"/>
      <c r="B10" s="629"/>
      <c r="C10" s="2143"/>
      <c r="D10" s="2145"/>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c r="A11" s="603"/>
      <c r="B11" s="629"/>
      <c r="C11" s="1304">
        <f>'07 - Delinquent Home Loans Stat'!B13</f>
        <v>46022</v>
      </c>
      <c r="D11" s="1303">
        <f>IF($C11=0,"",'07 - Delinquent Home Loans Stat'!C13)</f>
        <v>11314220550.59</v>
      </c>
      <c r="E11" s="1046">
        <f>IF($C11=0,"",'07 - Delinquent Home Loans Stat'!E13/$D11)</f>
        <v>0.99460031545285588</v>
      </c>
      <c r="F11" s="1046">
        <f>IF($C11=0,"",'07 - Delinquent Home Loans Stat'!G13/$D11)</f>
        <v>3.1239057389734984E-3</v>
      </c>
      <c r="G11" s="1046">
        <f>IF($C11=0,"",'07 - Delinquent Home Loans Stat'!I13/$D11)</f>
        <v>9.8631351228327217E-4</v>
      </c>
      <c r="H11" s="1046">
        <f>IF($C11=0,"",'07 - Delinquent Home Loans Stat'!K13/$D11)</f>
        <v>4.5142641220067593E-4</v>
      </c>
      <c r="I11" s="1046">
        <f>IF($C11=0,"",'07 - Delinquent Home Loans Stat'!M13/$D11)</f>
        <v>3.358949088014571E-4</v>
      </c>
      <c r="J11" s="1046">
        <f>IF($C11=0,"",'07 - Delinquent Home Loans Stat'!O13/$D11)</f>
        <v>1.0103960099490783E-4</v>
      </c>
      <c r="K11" s="1046">
        <f>IF($C11=0,"",'07 - Delinquent Home Loans Stat'!Q13/$D11)</f>
        <v>6.7114641844276439E-5</v>
      </c>
      <c r="L11" s="1046">
        <f>IF($C11=0,"",'07 - Delinquent Home Loans Stat'!S13/$D11)</f>
        <v>6.3607103713606838E-5</v>
      </c>
      <c r="M11" s="1046">
        <f>IF($C11=0,"",'07 - Delinquent Home Loans Stat'!U13/$D11)</f>
        <v>5.4754129745835215E-5</v>
      </c>
      <c r="N11" s="1046">
        <f>IF($C11=0,"",'07 - Delinquent Home Loans Stat'!W13/$D11)</f>
        <v>1.8108431693009204E-5</v>
      </c>
      <c r="O11" s="1046">
        <f>IF($C11=0,"",'07 - Delinquent Home Loans Stat'!Y13/$D11)</f>
        <v>1.3139018223597204E-5</v>
      </c>
      <c r="P11" s="1046">
        <f>IF($C11=0,"",'07 - Delinquent Home Loans Stat'!AA13/$D11)</f>
        <v>1.7503099848064494E-4</v>
      </c>
      <c r="Q11" s="1046">
        <f>IF($C11=0,"",'07 - Delinquent Home Loans Stat'!AC13/$D11)</f>
        <v>9.3500501892269965E-6</v>
      </c>
      <c r="R11" s="772"/>
    </row>
    <row r="12" spans="1:18">
      <c r="A12" s="603"/>
      <c r="B12" s="629"/>
      <c r="C12" s="1305">
        <f>'07 - Delinquent Home Loans Stat'!B14</f>
        <v>45991</v>
      </c>
      <c r="D12" s="1314">
        <f>IF($C12=0,"",'07 - Delinquent Home Loans Stat'!C14)</f>
        <v>11410540020.710003</v>
      </c>
      <c r="E12" s="1315">
        <f>IF($C12=0,"",'07 - Delinquent Home Loans Stat'!E14/$D12)</f>
        <v>0.99439708124383541</v>
      </c>
      <c r="F12" s="1699">
        <f>IF($C12=0,"",'07 - Delinquent Home Loans Stat'!G14/$D12)</f>
        <v>3.4561175105142961E-3</v>
      </c>
      <c r="G12" s="1699">
        <f>IF($C12=0,"",'07 - Delinquent Home Loans Stat'!I14/$D12)</f>
        <v>1.0025725626689639E-3</v>
      </c>
      <c r="H12" s="1699">
        <f>IF($C12=0,"",'07 - Delinquent Home Loans Stat'!K14/$D12)</f>
        <v>4.6657421649959129E-4</v>
      </c>
      <c r="I12" s="1699">
        <f>IF($C12=0,"",'07 - Delinquent Home Loans Stat'!M14/$D12)</f>
        <v>2.0957322139528346E-4</v>
      </c>
      <c r="J12" s="1699">
        <f>IF($C12=0,"",'07 - Delinquent Home Loans Stat'!O14/$D12)</f>
        <v>7.0588102626003692E-5</v>
      </c>
      <c r="K12" s="1699">
        <f>IF($C12=0,"",'07 - Delinquent Home Loans Stat'!Q14/$D12)</f>
        <v>9.391435532893565E-5</v>
      </c>
      <c r="L12" s="1699">
        <f>IF($C12=0,"",'07 - Delinquent Home Loans Stat'!S14/$D12)</f>
        <v>6.0930707813839212E-5</v>
      </c>
      <c r="M12" s="1699">
        <f>IF($C12=0,"",'07 - Delinquent Home Loans Stat'!U14/$D12)</f>
        <v>4.5472207192496627E-5</v>
      </c>
      <c r="N12" s="1699">
        <f>IF($C12=0,"",'07 - Delinquent Home Loans Stat'!W14/$D12)</f>
        <v>1.3141928403724155E-5</v>
      </c>
      <c r="O12" s="1699">
        <f>IF($C12=0,"",'07 - Delinquent Home Loans Stat'!Y14/$D12)</f>
        <v>1.7642340821260615E-4</v>
      </c>
      <c r="P12" s="1699">
        <f>IF($C12=0,"",'07 - Delinquent Home Loans Stat'!AA14/$D12)</f>
        <v>7.6105355086074622E-6</v>
      </c>
      <c r="Q12" s="1699">
        <f>IF($C12=0,"",'07 - Delinquent Home Loans Stat'!AC14/$D12)</f>
        <v>0</v>
      </c>
      <c r="R12" s="772"/>
    </row>
    <row r="13" spans="1:18">
      <c r="A13" s="603"/>
      <c r="B13" s="629"/>
      <c r="C13" s="1305">
        <f>'07 - Delinquent Home Loans Stat'!B15</f>
        <v>45961</v>
      </c>
      <c r="D13" s="1314">
        <f>IF($C13=0,"",'07 - Delinquent Home Loans Stat'!C15)</f>
        <v>11501221849.949997</v>
      </c>
      <c r="E13" s="1315">
        <f>IF($C13=0,"",'07 - Delinquent Home Loans Stat'!E15/$D13)</f>
        <v>0.99559571848357853</v>
      </c>
      <c r="F13" s="1699">
        <f>IF($C13=0,"",'07 - Delinquent Home Loans Stat'!G15/$D13)</f>
        <v>2.4193798052961628E-3</v>
      </c>
      <c r="G13" s="1699">
        <f>IF($C13=0,"",'07 - Delinquent Home Loans Stat'!I15/$D13)</f>
        <v>9.6052216574259272E-4</v>
      </c>
      <c r="H13" s="1699">
        <f>IF($C13=0,"",'07 - Delinquent Home Loans Stat'!K15/$D13)</f>
        <v>4.1420250058220651E-4</v>
      </c>
      <c r="I13" s="1699">
        <f>IF($C13=0,"",'07 - Delinquent Home Loans Stat'!M15/$D13)</f>
        <v>1.3534459732265469E-4</v>
      </c>
      <c r="J13" s="1699">
        <f>IF($C13=0,"",'07 - Delinquent Home Loans Stat'!O15/$D13)</f>
        <v>1.3580619871329504E-4</v>
      </c>
      <c r="K13" s="1699">
        <f>IF($C13=0,"",'07 - Delinquent Home Loans Stat'!Q15/$D13)</f>
        <v>7.5532117485741467E-5</v>
      </c>
      <c r="L13" s="1699">
        <f>IF($C13=0,"",'07 - Delinquent Home Loans Stat'!S15/$D13)</f>
        <v>5.5125476951195096E-5</v>
      </c>
      <c r="M13" s="1699">
        <f>IF($C13=0,"",'07 - Delinquent Home Loans Stat'!U15/$D13)</f>
        <v>1.3151044469301979E-5</v>
      </c>
      <c r="N13" s="1699">
        <f>IF($C13=0,"",'07 - Delinquent Home Loans Stat'!W15/$D13)</f>
        <v>1.7620717402375914E-4</v>
      </c>
      <c r="O13" s="1699">
        <f>IF($C13=0,"",'07 - Delinquent Home Loans Stat'!Y15/$D13)</f>
        <v>7.5739344164010472E-6</v>
      </c>
      <c r="P13" s="1699">
        <f>IF($C13=0,"",'07 - Delinquent Home Loans Stat'!AA15/$D13)</f>
        <v>0</v>
      </c>
      <c r="Q13" s="1699">
        <f>IF($C13=0,"",'07 - Delinquent Home Loans Stat'!AC15/$D13)</f>
        <v>1.1436501418375113E-5</v>
      </c>
      <c r="R13" s="772"/>
    </row>
    <row r="14" spans="1:18">
      <c r="A14" s="603"/>
      <c r="B14" s="629"/>
      <c r="C14" s="1305">
        <f>'07 - Delinquent Home Loans Stat'!B16</f>
        <v>45930</v>
      </c>
      <c r="D14" s="1314">
        <f>IF($C14=0,"",'07 - Delinquent Home Loans Stat'!C16)</f>
        <v>11613993146.950001</v>
      </c>
      <c r="E14" s="1315">
        <f>IF($C14=0,"",'07 - Delinquent Home Loans Stat'!E16/$D14)</f>
        <v>0.9962392068156618</v>
      </c>
      <c r="F14" s="1699">
        <f>IF($C14=0,"",'07 - Delinquent Home Loans Stat'!G16/$D14)</f>
        <v>1.7917875554683748E-3</v>
      </c>
      <c r="G14" s="1699">
        <f>IF($C14=0,"",'07 - Delinquent Home Loans Stat'!I16/$D14)</f>
        <v>9.1996254990092576E-4</v>
      </c>
      <c r="H14" s="1699">
        <f>IF($C14=0,"",'07 - Delinquent Home Loans Stat'!K16/$D14)</f>
        <v>3.0553437866733029E-4</v>
      </c>
      <c r="I14" s="1699">
        <f>IF($C14=0,"",'07 - Delinquent Home Loans Stat'!M16/$D14)</f>
        <v>2.6027899635827243E-4</v>
      </c>
      <c r="J14" s="1699">
        <f>IF($C14=0,"",'07 - Delinquent Home Loans Stat'!O16/$D14)</f>
        <v>1.0486442902024929E-4</v>
      </c>
      <c r="K14" s="1699">
        <f>IF($C14=0,"",'07 - Delinquent Home Loans Stat'!Q16/$D14)</f>
        <v>1.7067483637361696E-4</v>
      </c>
      <c r="L14" s="1699">
        <f>IF($C14=0,"",'07 - Delinquent Home Loans Stat'!S16/$D14)</f>
        <v>1.3134801103276104E-5</v>
      </c>
      <c r="M14" s="1699">
        <f>IF($C14=0,"",'07 - Delinquent Home Loans Stat'!U16/$D14)</f>
        <v>1.7565805526032681E-4</v>
      </c>
      <c r="N14" s="1699">
        <f>IF($C14=0,"",'07 - Delinquent Home Loans Stat'!W16/$D14)</f>
        <v>7.5235338005125979E-6</v>
      </c>
      <c r="O14" s="1699">
        <f>IF($C14=0,"",'07 - Delinquent Home Loans Stat'!Y16/$D14)</f>
        <v>0</v>
      </c>
      <c r="P14" s="1699">
        <f>IF($C14=0,"",'07 - Delinquent Home Loans Stat'!AA16/$D14)</f>
        <v>1.1374048385304139E-5</v>
      </c>
      <c r="Q14" s="1699">
        <f>IF($C14=0,"",'07 - Delinquent Home Loans Stat'!AC16/$D14)</f>
        <v>0</v>
      </c>
      <c r="R14" s="772"/>
    </row>
    <row r="15" spans="1:18">
      <c r="A15" s="603"/>
      <c r="B15" s="629"/>
      <c r="C15" s="1305">
        <f>'07 - Delinquent Home Loans Stat'!B17</f>
        <v>45900</v>
      </c>
      <c r="D15" s="1314">
        <f>IF($C15=0,"",'07 - Delinquent Home Loans Stat'!C17)</f>
        <v>7430770897.8499994</v>
      </c>
      <c r="E15" s="1315">
        <f>IF($C15=0,"",'07 - Delinquent Home Loans Stat'!E17/$D15)</f>
        <v>0.9938275980594059</v>
      </c>
      <c r="F15" s="1699">
        <f>IF($C15=0,"",'07 - Delinquent Home Loans Stat'!G17/$D15)</f>
        <v>3.2382763256719833E-3</v>
      </c>
      <c r="G15" s="1699">
        <f>IF($C15=0,"",'07 - Delinquent Home Loans Stat'!I17/$D15)</f>
        <v>1.2493714444467869E-3</v>
      </c>
      <c r="H15" s="1699">
        <f>IF($C15=0,"",'07 - Delinquent Home Loans Stat'!K17/$D15)</f>
        <v>6.322952684975707E-4</v>
      </c>
      <c r="I15" s="1699">
        <f>IF($C15=0,"",'07 - Delinquent Home Loans Stat'!M17/$D15)</f>
        <v>2.5831608003893373E-4</v>
      </c>
      <c r="J15" s="1699">
        <f>IF($C15=0,"",'07 - Delinquent Home Loans Stat'!O17/$D15)</f>
        <v>3.211709380907596E-4</v>
      </c>
      <c r="K15" s="1699">
        <f>IF($C15=0,"",'07 - Delinquent Home Loans Stat'!Q17/$D15)</f>
        <v>1.2765629744747764E-4</v>
      </c>
      <c r="L15" s="1699">
        <f>IF($C15=0,"",'07 - Delinquent Home Loans Stat'!S17/$D15)</f>
        <v>3.010019513112905E-4</v>
      </c>
      <c r="M15" s="1699">
        <f>IF($C15=0,"",'07 - Delinquent Home Loans Stat'!U17/$D15)</f>
        <v>1.6937719077897572E-5</v>
      </c>
      <c r="N15" s="1699">
        <f>IF($C15=0,"",'07 - Delinquent Home Loans Stat'!W17/$D15)</f>
        <v>0</v>
      </c>
      <c r="O15" s="1699">
        <f>IF($C15=0,"",'07 - Delinquent Home Loans Stat'!Y17/$D15)</f>
        <v>1.7853031916026913E-5</v>
      </c>
      <c r="P15" s="1699">
        <f>IF($C15=0,"",'07 - Delinquent Home Loans Stat'!AA17/$D15)</f>
        <v>9.5228840954407836E-6</v>
      </c>
      <c r="Q15" s="1699">
        <f>IF($C15=0,"",'07 - Delinquent Home Loans Stat'!AC17/$D15)</f>
        <v>0</v>
      </c>
      <c r="R15" s="772"/>
    </row>
    <row r="16" spans="1:18">
      <c r="A16" s="603"/>
      <c r="B16" s="629"/>
      <c r="C16" s="1305">
        <f>'07 - Delinquent Home Loans Stat'!B18</f>
        <v>45869</v>
      </c>
      <c r="D16" s="1314">
        <f>IF($C16=0,"",'07 - Delinquent Home Loans Stat'!C18)</f>
        <v>7501402080.4800005</v>
      </c>
      <c r="E16" s="1315">
        <f>IF($C16=0,"",'07 - Delinquent Home Loans Stat'!E18/$D16)</f>
        <v>0.99375937046198104</v>
      </c>
      <c r="F16" s="1699">
        <f>IF($C16=0,"",'07 - Delinquent Home Loans Stat'!G18/$D16)</f>
        <v>3.1795108093277723E-3</v>
      </c>
      <c r="G16" s="1699">
        <f>IF($C16=0,"",'07 - Delinquent Home Loans Stat'!I18/$D16)</f>
        <v>1.6925544709886519E-3</v>
      </c>
      <c r="H16" s="1699">
        <f>IF($C16=0,"",'07 - Delinquent Home Loans Stat'!K18/$D16)</f>
        <v>4.2543620322719593E-4</v>
      </c>
      <c r="I16" s="1699">
        <f>IF($C16=0,"",'07 - Delinquent Home Loans Stat'!M18/$D16)</f>
        <v>3.2471606159313306E-4</v>
      </c>
      <c r="J16" s="1699">
        <f>IF($C16=0,"",'07 - Delinquent Home Loans Stat'!O18/$D16)</f>
        <v>1.7129064756355261E-4</v>
      </c>
      <c r="K16" s="1699">
        <f>IF($C16=0,"",'07 - Delinquent Home Loans Stat'!Q18/$D16)</f>
        <v>3.7531280816503699E-4</v>
      </c>
      <c r="L16" s="1699">
        <f>IF($C16=0,"",'07 - Delinquent Home Loans Stat'!S18/$D16)</f>
        <v>4.4537016735759646E-5</v>
      </c>
      <c r="M16" s="1699">
        <f>IF($C16=0,"",'07 - Delinquent Home Loans Stat'!U18/$D16)</f>
        <v>0</v>
      </c>
      <c r="N16" s="1699">
        <f>IF($C16=0,"",'07 - Delinquent Home Loans Stat'!W18/$D16)</f>
        <v>1.7759981210269323E-5</v>
      </c>
      <c r="O16" s="1699">
        <f>IF($C16=0,"",'07 - Delinquent Home Loans Stat'!Y18/$D16)</f>
        <v>9.5115392075389814E-6</v>
      </c>
      <c r="P16" s="1699">
        <f>IF($C16=0,"",'07 - Delinquent Home Loans Stat'!AA18/$D16)</f>
        <v>0</v>
      </c>
      <c r="Q16" s="1699">
        <f>IF($C16=0,"",'07 - Delinquent Home Loans Stat'!AC18/$D16)</f>
        <v>0</v>
      </c>
      <c r="R16" s="772"/>
    </row>
    <row r="17" spans="1:18">
      <c r="A17" s="603"/>
      <c r="B17" s="629"/>
      <c r="C17" s="1305">
        <f>'07 - Delinquent Home Loans Stat'!B19</f>
        <v>45838</v>
      </c>
      <c r="D17" s="1314">
        <f>IF($C17=0,"",'07 - Delinquent Home Loans Stat'!C19)</f>
        <v>7570005186.9900017</v>
      </c>
      <c r="E17" s="1315">
        <f>IF($C17=0,"",'07 - Delinquent Home Loans Stat'!E19/$D17)</f>
        <v>0.99350363531130481</v>
      </c>
      <c r="F17" s="1699">
        <f>IF($C17=0,"",'07 - Delinquent Home Loans Stat'!G19/$D17)</f>
        <v>3.9183293402463527E-3</v>
      </c>
      <c r="G17" s="1699">
        <f>IF($C17=0,"",'07 - Delinquent Home Loans Stat'!I19/$D17)</f>
        <v>1.1685859694261903E-3</v>
      </c>
      <c r="H17" s="1699">
        <f>IF($C17=0,"",'07 - Delinquent Home Loans Stat'!K19/$D17)</f>
        <v>6.2407565692546994E-4</v>
      </c>
      <c r="I17" s="1699">
        <f>IF($C17=0,"",'07 - Delinquent Home Loans Stat'!M19/$D17)</f>
        <v>2.4302617297565E-4</v>
      </c>
      <c r="J17" s="1699">
        <f>IF($C17=0,"",'07 - Delinquent Home Loans Stat'!O19/$D17)</f>
        <v>4.3753082041373965E-4</v>
      </c>
      <c r="K17" s="1699">
        <f>IF($C17=0,"",'07 - Delinquent Home Loans Stat'!Q19/$D17)</f>
        <v>7.7640530684193335E-5</v>
      </c>
      <c r="L17" s="1699">
        <f>IF($C17=0,"",'07 - Delinquent Home Loans Stat'!S19/$D17)</f>
        <v>0</v>
      </c>
      <c r="M17" s="1699">
        <f>IF($C17=0,"",'07 - Delinquent Home Loans Stat'!U19/$D17)</f>
        <v>1.7673307573147996E-5</v>
      </c>
      <c r="N17" s="1699">
        <f>IF($C17=0,"",'07 - Delinquent Home Loans Stat'!W19/$D17)</f>
        <v>9.5028904502777065E-6</v>
      </c>
      <c r="O17" s="1699">
        <f>IF($C17=0,"",'07 - Delinquent Home Loans Stat'!Y19/$D17)</f>
        <v>0</v>
      </c>
      <c r="P17" s="1699">
        <f>IF($C17=0,"",'07 - Delinquent Home Loans Stat'!AA19/$D17)</f>
        <v>0</v>
      </c>
      <c r="Q17" s="1699">
        <f>IF($C17=0,"",'07 - Delinquent Home Loans Stat'!AC19/$D17)</f>
        <v>0</v>
      </c>
      <c r="R17" s="772"/>
    </row>
    <row r="18" spans="1:18">
      <c r="A18" s="603"/>
      <c r="B18" s="629"/>
      <c r="C18" s="1305">
        <f>'07 - Delinquent Home Loans Stat'!B20</f>
        <v>45808</v>
      </c>
      <c r="D18" s="1314">
        <f>IF($C18=0,"",'07 - Delinquent Home Loans Stat'!C20)</f>
        <v>7635175945.3200016</v>
      </c>
      <c r="E18" s="1315">
        <f>IF($C18=0,"",'07 - Delinquent Home Loans Stat'!E20/$D18)</f>
        <v>0.99421826062082308</v>
      </c>
      <c r="F18" s="1699">
        <f>IF($C18=0,"",'07 - Delinquent Home Loans Stat'!G20/$D18)</f>
        <v>3.2737078227150673E-3</v>
      </c>
      <c r="G18" s="1699">
        <f>IF($C18=0,"",'07 - Delinquent Home Loans Stat'!I20/$D18)</f>
        <v>1.3946722022204431E-3</v>
      </c>
      <c r="H18" s="1699">
        <f>IF($C18=0,"",'07 - Delinquent Home Loans Stat'!K20/$D18)</f>
        <v>4.3130812617599488E-4</v>
      </c>
      <c r="I18" s="1699">
        <f>IF($C18=0,"",'07 - Delinquent Home Loans Stat'!M20/$D18)</f>
        <v>5.0959149964119516E-4</v>
      </c>
      <c r="J18" s="1699">
        <f>IF($C18=0,"",'07 - Delinquent Home Loans Stat'!O20/$D18)</f>
        <v>1.4536511901605995E-4</v>
      </c>
      <c r="K18" s="1699">
        <f>IF($C18=0,"",'07 - Delinquent Home Loans Stat'!Q20/$D18)</f>
        <v>0</v>
      </c>
      <c r="L18" s="1699">
        <f>IF($C18=0,"",'07 - Delinquent Home Loans Stat'!S20/$D18)</f>
        <v>1.7596004461737294E-5</v>
      </c>
      <c r="M18" s="1699">
        <f>IF($C18=0,"",'07 - Delinquent Home Loans Stat'!U20/$D18)</f>
        <v>9.4986049462885612E-6</v>
      </c>
      <c r="N18" s="1699">
        <f>IF($C18=0,"",'07 - Delinquent Home Loans Stat'!W20/$D18)</f>
        <v>0</v>
      </c>
      <c r="O18" s="1699">
        <f>IF($C18=0,"",'07 - Delinquent Home Loans Stat'!Y20/$D18)</f>
        <v>0</v>
      </c>
      <c r="P18" s="1699">
        <f>IF($C18=0,"",'07 - Delinquent Home Loans Stat'!AA20/$D18)</f>
        <v>0</v>
      </c>
      <c r="Q18" s="1699">
        <f>IF($C18=0,"",'07 - Delinquent Home Loans Stat'!AC20/$D18)</f>
        <v>0</v>
      </c>
      <c r="R18" s="772"/>
    </row>
    <row r="19" spans="1:18">
      <c r="A19" s="603"/>
      <c r="B19" s="629"/>
      <c r="C19" s="1305">
        <f>'07 - Delinquent Home Loans Stat'!B21</f>
        <v>45777</v>
      </c>
      <c r="D19" s="1314">
        <f>IF($C19=0,"",'07 - Delinquent Home Loans Stat'!C21)</f>
        <v>7700874478.6100006</v>
      </c>
      <c r="E19" s="1065">
        <f>IF($C19=0,"",'07 - Delinquent Home Loans Stat'!E21/$D19)</f>
        <v>0.99490872454434853</v>
      </c>
      <c r="F19" s="1047">
        <f>IF($C19=0,"",'07 - Delinquent Home Loans Stat'!G21/$D19)</f>
        <v>3.3837026057725516E-3</v>
      </c>
      <c r="G19" s="1047">
        <f>IF($C19=0,"",'07 - Delinquent Home Loans Stat'!I21/$D19)</f>
        <v>8.0540468841916663E-4</v>
      </c>
      <c r="H19" s="1047">
        <f>IF($C19=0,"",'07 - Delinquent Home Loans Stat'!K21/$D19)</f>
        <v>6.1688111307294858E-4</v>
      </c>
      <c r="I19" s="1047">
        <f>IF($C19=0,"",'07 - Delinquent Home Loans Stat'!M21/$D19)</f>
        <v>2.1371072266809077E-4</v>
      </c>
      <c r="J19" s="1047">
        <f>IF($C19=0,"",'07 - Delinquent Home Loans Stat'!O21/$D19)</f>
        <v>4.1860539461511407E-5</v>
      </c>
      <c r="K19" s="1047">
        <f>IF($C19=0,"",'07 - Delinquent Home Loans Stat'!Q21/$D19)</f>
        <v>1.7518718215019007E-5</v>
      </c>
      <c r="L19" s="1047">
        <f>IF($C19=0,"",'07 - Delinquent Home Loans Stat'!S21/$D19)</f>
        <v>1.2197068042193814E-5</v>
      </c>
      <c r="M19" s="1047">
        <f>IF($C19=0,"",'07 - Delinquent Home Loans Stat'!U21/$D19)</f>
        <v>0</v>
      </c>
      <c r="N19" s="1047">
        <f>IF($C19=0,"",'07 - Delinquent Home Loans Stat'!W21/$D19)</f>
        <v>0</v>
      </c>
      <c r="O19" s="1047">
        <f>IF($C19=0,"",'07 - Delinquent Home Loans Stat'!Y21/$D19)</f>
        <v>0</v>
      </c>
      <c r="P19" s="1047">
        <f>IF($C19=0,"",'07 - Delinquent Home Loans Stat'!AA21/$D19)</f>
        <v>0</v>
      </c>
      <c r="Q19" s="1047">
        <f>IF($C19=0,"",'07 - Delinquent Home Loans Stat'!AC21/$D19)</f>
        <v>0</v>
      </c>
      <c r="R19" s="772"/>
    </row>
    <row r="20" spans="1:18">
      <c r="A20" s="603"/>
      <c r="B20" s="629"/>
      <c r="C20" s="1305">
        <f>'07 - Delinquent Home Loans Stat'!B22</f>
        <v>45747</v>
      </c>
      <c r="D20" s="1314">
        <f>IF($C20=0,"",'07 - Delinquent Home Loans Stat'!C22)</f>
        <v>7762584280.3299999</v>
      </c>
      <c r="E20" s="1065">
        <f>IF($C20=0,"",'07 - Delinquent Home Loans Stat'!E22/$D20)</f>
        <v>0.99797260673743937</v>
      </c>
      <c r="F20" s="1047">
        <f>IF($C20=0,"",'07 - Delinquent Home Loans Stat'!G22/$D20)</f>
        <v>4.1685417550950415E-4</v>
      </c>
      <c r="G20" s="1047">
        <f>IF($C20=0,"",'07 - Delinquent Home Loans Stat'!I22/$D20)</f>
        <v>9.2411992462064973E-4</v>
      </c>
      <c r="H20" s="1047">
        <f>IF($C20=0,"",'07 - Delinquent Home Loans Stat'!K22/$D20)</f>
        <v>3.3670672492703511E-4</v>
      </c>
      <c r="I20" s="1047">
        <f>IF($C20=0,"",'07 - Delinquent Home Loans Stat'!M22/$D20)</f>
        <v>2.1458754969281776E-4</v>
      </c>
      <c r="J20" s="1047">
        <f>IF($C20=0,"",'07 - Delinquent Home Loans Stat'!O22/$D20)</f>
        <v>1.2291892307279874E-4</v>
      </c>
      <c r="K20" s="1047">
        <f>IF($C20=0,"",'07 - Delinquent Home Loans Stat'!Q22/$D20)</f>
        <v>1.2205964737811779E-5</v>
      </c>
      <c r="L20" s="1047">
        <f>IF($C20=0,"",'07 - Delinquent Home Loans Stat'!S22/$D20)</f>
        <v>0</v>
      </c>
      <c r="M20" s="1047">
        <f>IF($C20=0,"",'07 - Delinquent Home Loans Stat'!U22/$D20)</f>
        <v>0</v>
      </c>
      <c r="N20" s="1047">
        <f>IF($C20=0,"",'07 - Delinquent Home Loans Stat'!W22/$D20)</f>
        <v>0</v>
      </c>
      <c r="O20" s="1047">
        <f>IF($C20=0,"",'07 - Delinquent Home Loans Stat'!Y22/$D20)</f>
        <v>0</v>
      </c>
      <c r="P20" s="1047">
        <f>IF($C20=0,"",'07 - Delinquent Home Loans Stat'!AA22/$D20)</f>
        <v>0</v>
      </c>
      <c r="Q20" s="1047">
        <f>IF($C20=0,"",'07 - Delinquent Home Loans Stat'!AC22/$D20)</f>
        <v>0</v>
      </c>
      <c r="R20" s="772"/>
    </row>
    <row r="21" spans="1:18">
      <c r="A21" s="603"/>
      <c r="B21" s="629"/>
      <c r="C21" s="1305">
        <f>'07 - Delinquent Home Loans Stat'!B23</f>
        <v>45716</v>
      </c>
      <c r="D21" s="1314">
        <f>IF($C21=0,"",'07 - Delinquent Home Loans Stat'!C23)</f>
        <v>7821840687.46</v>
      </c>
      <c r="E21" s="1065">
        <f>IF($C21=0,"",'07 - Delinquent Home Loans Stat'!E23/$D21)</f>
        <v>0.99602147191518597</v>
      </c>
      <c r="F21" s="1047">
        <f>IF($C21=0,"",'07 - Delinquent Home Loans Stat'!G23/$D21)</f>
        <v>2.2603822740017185E-3</v>
      </c>
      <c r="G21" s="1047">
        <f>IF($C21=0,"",'07 - Delinquent Home Loans Stat'!I23/$D21)</f>
        <v>1.1703971029065805E-3</v>
      </c>
      <c r="H21" s="1047">
        <f>IF($C21=0,"",'07 - Delinquent Home Loans Stat'!K23/$D21)</f>
        <v>3.622736441746904E-4</v>
      </c>
      <c r="I21" s="1047">
        <f>IF($C21=0,"",'07 - Delinquent Home Loans Stat'!M23/$D21)</f>
        <v>1.4925295549315291E-4</v>
      </c>
      <c r="J21" s="1047">
        <f>IF($C21=0,"",'07 - Delinquent Home Loans Stat'!O23/$D21)</f>
        <v>3.6222108237799481E-5</v>
      </c>
      <c r="K21" s="1047">
        <f>IF($C21=0,"",'07 - Delinquent Home Loans Stat'!Q23/$D21)</f>
        <v>0</v>
      </c>
      <c r="L21" s="1047">
        <f>IF($C21=0,"",'07 - Delinquent Home Loans Stat'!S23/$D21)</f>
        <v>0</v>
      </c>
      <c r="M21" s="1047">
        <f>IF($C21=0,"",'07 - Delinquent Home Loans Stat'!U23/$D21)</f>
        <v>0</v>
      </c>
      <c r="N21" s="1047">
        <f>IF($C21=0,"",'07 - Delinquent Home Loans Stat'!W23/$D21)</f>
        <v>0</v>
      </c>
      <c r="O21" s="1047">
        <f>IF($C21=0,"",'07 - Delinquent Home Loans Stat'!Y23/$D21)</f>
        <v>0</v>
      </c>
      <c r="P21" s="1047">
        <f>IF($C21=0,"",'07 - Delinquent Home Loans Stat'!AA23/$D21)</f>
        <v>0</v>
      </c>
      <c r="Q21" s="1047">
        <f>IF($C21=0,"",'07 - Delinquent Home Loans Stat'!AC23/$D21)</f>
        <v>0</v>
      </c>
      <c r="R21" s="772"/>
    </row>
    <row r="22" spans="1:18">
      <c r="A22" s="603"/>
      <c r="B22" s="629"/>
      <c r="C22" s="1305">
        <f>'07 - Delinquent Home Loans Stat'!B24</f>
        <v>45688</v>
      </c>
      <c r="D22" s="1314">
        <f>IF($C22=0,"",'07 - Delinquent Home Loans Stat'!C24)</f>
        <v>7882097726.960001</v>
      </c>
      <c r="E22" s="1065">
        <f>IF($C22=0,"",'07 - Delinquent Home Loans Stat'!E24/$D22)</f>
        <v>0.99616706702497926</v>
      </c>
      <c r="F22" s="1047">
        <f>IF($C22=0,"",'07 - Delinquent Home Loans Stat'!G24/$D22)</f>
        <v>2.4194558733738442E-3</v>
      </c>
      <c r="G22" s="1047">
        <f>IF($C22=0,"",'07 - Delinquent Home Loans Stat'!I24/$D22)</f>
        <v>9.5313034679887375E-4</v>
      </c>
      <c r="H22" s="1047">
        <f>IF($C22=0,"",'07 - Delinquent Home Loans Stat'!K24/$D22)</f>
        <v>2.8352381655408784E-4</v>
      </c>
      <c r="I22" s="1047">
        <f>IF($C22=0,"",'07 - Delinquent Home Loans Stat'!M24/$D22)</f>
        <v>1.768229382938064E-4</v>
      </c>
      <c r="J22" s="1047">
        <f>IF($C22=0,"",'07 - Delinquent Home Loans Stat'!O24/$D22)</f>
        <v>0</v>
      </c>
      <c r="K22" s="1047">
        <f>IF($C22=0,"",'07 - Delinquent Home Loans Stat'!Q24/$D22)</f>
        <v>0</v>
      </c>
      <c r="L22" s="1047">
        <f>IF($C22=0,"",'07 - Delinquent Home Loans Stat'!S24/$D22)</f>
        <v>0</v>
      </c>
      <c r="M22" s="1047">
        <f>IF($C22=0,"",'07 - Delinquent Home Loans Stat'!U24/$D22)</f>
        <v>0</v>
      </c>
      <c r="N22" s="1047">
        <f>IF($C22=0,"",'07 - Delinquent Home Loans Stat'!W24/$D22)</f>
        <v>0</v>
      </c>
      <c r="O22" s="1047">
        <f>IF($C22=0,"",'07 - Delinquent Home Loans Stat'!Y24/$D22)</f>
        <v>0</v>
      </c>
      <c r="P22" s="1047">
        <f>IF($C22=0,"",'07 - Delinquent Home Loans Stat'!AA24/$D22)</f>
        <v>0</v>
      </c>
      <c r="Q22" s="1047">
        <f>IF($C22=0,"",'07 - Delinquent Home Loans Stat'!AC24/$D22)</f>
        <v>0</v>
      </c>
      <c r="R22" s="772"/>
    </row>
    <row r="23" spans="1:18">
      <c r="A23" s="603"/>
      <c r="B23" s="629"/>
      <c r="C23" s="1305">
        <f>'07 - Delinquent Home Loans Stat'!B25</f>
        <v>45657</v>
      </c>
      <c r="D23" s="1314">
        <f>IF($C23=0,"",'07 - Delinquent Home Loans Stat'!C25)</f>
        <v>7942231678.2000008</v>
      </c>
      <c r="E23" s="1065">
        <f>IF($C23=0,"",'07 - Delinquent Home Loans Stat'!E25/$D23)</f>
        <v>0.99634179587460925</v>
      </c>
      <c r="F23" s="1047">
        <f>IF($C23=0,"",'07 - Delinquent Home Loans Stat'!G25/$D23)</f>
        <v>2.5511106047956533E-3</v>
      </c>
      <c r="G23" s="1047">
        <f>IF($C23=0,"",'07 - Delinquent Home Loans Stat'!I25/$D23)</f>
        <v>7.8182039149571575E-4</v>
      </c>
      <c r="H23" s="1047">
        <f>IF($C23=0,"",'07 - Delinquent Home Loans Stat'!K25/$D23)</f>
        <v>3.2527312909933788E-4</v>
      </c>
      <c r="I23" s="1047">
        <f>IF($C23=0,"",'07 - Delinquent Home Loans Stat'!M25/$D23)</f>
        <v>0</v>
      </c>
      <c r="J23" s="1047">
        <f>IF($C23=0,"",'07 - Delinquent Home Loans Stat'!O25/$D23)</f>
        <v>0</v>
      </c>
      <c r="K23" s="1047">
        <f>IF($C23=0,"",'07 - Delinquent Home Loans Stat'!Q25/$D23)</f>
        <v>0</v>
      </c>
      <c r="L23" s="1047">
        <f>IF($C23=0,"",'07 - Delinquent Home Loans Stat'!S25/$D23)</f>
        <v>0</v>
      </c>
      <c r="M23" s="1047">
        <f>IF($C23=0,"",'07 - Delinquent Home Loans Stat'!U25/$D23)</f>
        <v>0</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45626</v>
      </c>
      <c r="D24" s="1314">
        <f>IF($C24=0,"",'07 - Delinquent Home Loans Stat'!C26)</f>
        <v>8062678431.4300003</v>
      </c>
      <c r="E24" s="1065">
        <f>IF($C24=0,"",'07 - Delinquent Home Loans Stat'!E26/$D24)</f>
        <v>0.99706241150736319</v>
      </c>
      <c r="F24" s="1047">
        <f>IF($C24=0,"",'07 - Delinquent Home Loans Stat'!G26/$D24)</f>
        <v>2.1891429020901095E-3</v>
      </c>
      <c r="G24" s="1047">
        <f>IF($C24=0,"",'07 - Delinquent Home Loans Stat'!I26/$D24)</f>
        <v>7.4844559054672885E-4</v>
      </c>
      <c r="H24" s="1047">
        <f>IF($C24=0,"",'07 - Delinquent Home Loans Stat'!K26/$D24)</f>
        <v>0</v>
      </c>
      <c r="I24" s="1047">
        <f>IF($C24=0,"",'07 - Delinquent Home Loans Stat'!M26/$D24)</f>
        <v>0</v>
      </c>
      <c r="J24" s="1047">
        <f>IF($C24=0,"",'07 - Delinquent Home Loans Stat'!O26/$D24)</f>
        <v>0</v>
      </c>
      <c r="K24" s="1047">
        <f>IF($C24=0,"",'07 - Delinquent Home Loans Stat'!Q26/$D24)</f>
        <v>0</v>
      </c>
      <c r="L24" s="1047">
        <f>IF($C24=0,"",'07 - Delinquent Home Loans Stat'!S26/$D24)</f>
        <v>0</v>
      </c>
      <c r="M24" s="1047">
        <f>IF($C24=0,"",'07 - Delinquent Home Loans Stat'!U26/$D24)</f>
        <v>0</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45596</v>
      </c>
      <c r="D25" s="1314">
        <f>IF($C25=0,"",'07 - Delinquent Home Loans Stat'!C27)</f>
        <v>8120798931.6599998</v>
      </c>
      <c r="E25" s="1065">
        <f>IF($C25=0,"",'07 - Delinquent Home Loans Stat'!E27/$D25)</f>
        <v>1</v>
      </c>
      <c r="F25" s="1047">
        <f>IF($C25=0,"",'07 - Delinquent Home Loans Stat'!G27/$D25)</f>
        <v>0</v>
      </c>
      <c r="G25" s="1047">
        <f>IF($C25=0,"",'07 - Delinquent Home Loans Stat'!I27/$D25)</f>
        <v>0</v>
      </c>
      <c r="H25" s="1047">
        <f>IF($C25=0,"",'07 - Delinquent Home Loans Stat'!K27/$D25)</f>
        <v>0</v>
      </c>
      <c r="I25" s="1047">
        <f>IF($C25=0,"",'07 - Delinquent Home Loans Stat'!M27/$D25)</f>
        <v>0</v>
      </c>
      <c r="J25" s="1047">
        <f>IF($C25=0,"",'07 - Delinquent Home Loans Stat'!O27/$D25)</f>
        <v>0</v>
      </c>
      <c r="K25" s="1047">
        <f>IF($C25=0,"",'07 - Delinquent Home Loans Stat'!Q27/$D25)</f>
        <v>0</v>
      </c>
      <c r="L25" s="1047">
        <f>IF($C25=0,"",'07 - Delinquent Home Loans Stat'!S27/$D25)</f>
        <v>0</v>
      </c>
      <c r="M25" s="1047">
        <f>IF($C25=0,"",'07 - Delinquent Home Loans Stat'!U27/$D25)</f>
        <v>0</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45565</v>
      </c>
      <c r="D26" s="1314">
        <f>IF($C26=0,"",'07 - Delinquent Home Loans Stat'!C28)</f>
        <v>8182368484.4700003</v>
      </c>
      <c r="E26" s="1065">
        <f>IF($C26=0,"",'07 - Delinquent Home Loans Stat'!E28/$D26)</f>
        <v>1</v>
      </c>
      <c r="F26" s="1047">
        <f>IF($C26=0,"",'07 - Delinquent Home Loans Stat'!G28/$D26)</f>
        <v>0</v>
      </c>
      <c r="G26" s="1047">
        <f>IF($C26=0,"",'07 - Delinquent Home Loans Stat'!I28/$D26)</f>
        <v>0</v>
      </c>
      <c r="H26" s="1047">
        <f>IF($C26=0,"",'07 - Delinquent Home Loans Stat'!K28/$D26)</f>
        <v>0</v>
      </c>
      <c r="I26" s="1047">
        <f>IF($C26=0,"",'07 - Delinquent Home Loans Stat'!M28/$D26)</f>
        <v>0</v>
      </c>
      <c r="J26" s="1047">
        <f>IF($C26=0,"",'07 - Delinquent Home Loans Stat'!O28/$D26)</f>
        <v>0</v>
      </c>
      <c r="K26" s="1047">
        <f>IF($C26=0,"",'07 - Delinquent Home Loans Stat'!Q28/$D26)</f>
        <v>0</v>
      </c>
      <c r="L26" s="1047">
        <f>IF($C26=0,"",'07 - Delinquent Home Loans Stat'!S28/$D26)</f>
        <v>0</v>
      </c>
      <c r="M26" s="1047">
        <f>IF($C26=0,"",'07 - Delinquent Home Loans Stat'!U28/$D26)</f>
        <v>0</v>
      </c>
      <c r="N26" s="1047">
        <f>IF($C26=0,"",'07 - Delinquent Home Loans Stat'!W28/$D26)</f>
        <v>0</v>
      </c>
      <c r="O26" s="1047">
        <f>IF($C26=0,"",'07 - Delinquent Home Loans Stat'!Y28/$D26)</f>
        <v>0</v>
      </c>
      <c r="P26" s="1047">
        <f>IF($C26=0,"",'07 - Delinquent Home Loans Stat'!AA28/$D26)</f>
        <v>0</v>
      </c>
      <c r="Q26" s="1047">
        <f>IF($C26=0,"",'07 - Delinquent Home Loans Stat'!AC28/$D26)</f>
        <v>0</v>
      </c>
      <c r="R26" s="772"/>
    </row>
    <row r="27" spans="1:18">
      <c r="A27" s="603"/>
      <c r="B27" s="629"/>
      <c r="C27" s="1305">
        <f>'07 - Delinquent Home Loans Stat'!B29</f>
        <v>0</v>
      </c>
      <c r="D27" s="1314" t="str">
        <f>IF($C27=0,"",'07 - Delinquent Home Loans Stat'!C29)</f>
        <v/>
      </c>
      <c r="E27" s="1065" t="str">
        <f>IF($C27=0,"",'07 - Delinquent Home Loans Stat'!E29/$D27)</f>
        <v/>
      </c>
      <c r="F27" s="1047" t="str">
        <f>IF($C27=0,"",'07 - Delinquent Home Loans Stat'!G29/$D27)</f>
        <v/>
      </c>
      <c r="G27" s="1047" t="str">
        <f>IF($C27=0,"",'07 - Delinquent Home Loans Stat'!I29/$D27)</f>
        <v/>
      </c>
      <c r="H27" s="1047" t="str">
        <f>IF($C27=0,"",'07 - Delinquent Home Loans Stat'!K29/$D27)</f>
        <v/>
      </c>
      <c r="I27" s="1047" t="str">
        <f>IF($C27=0,"",'07 - Delinquent Home Loans Stat'!M29/$D27)</f>
        <v/>
      </c>
      <c r="J27" s="1047" t="str">
        <f>IF($C27=0,"",'07 - Delinquent Home Loans Stat'!O29/$D27)</f>
        <v/>
      </c>
      <c r="K27" s="1047" t="str">
        <f>IF($C27=0,"",'07 - Delinquent Home Loans Stat'!Q29/$D27)</f>
        <v/>
      </c>
      <c r="L27" s="1047" t="str">
        <f>IF($C27=0,"",'07 - Delinquent Home Loans Stat'!S29/$D27)</f>
        <v/>
      </c>
      <c r="M27" s="1047" t="str">
        <f>IF($C27=0,"",'07 - Delinquent Home Loans Stat'!U29/$D27)</f>
        <v/>
      </c>
      <c r="N27" s="1047" t="str">
        <f>IF($C27=0,"",'07 - Delinquent Home Loans Stat'!W29/$D27)</f>
        <v/>
      </c>
      <c r="O27" s="1047" t="str">
        <f>IF($C27=0,"",'07 - Delinquent Home Loans Stat'!Y29/$D27)</f>
        <v/>
      </c>
      <c r="P27" s="1047" t="str">
        <f>IF($C27=0,"",'07 - Delinquent Home Loans Stat'!AA29/$D27)</f>
        <v/>
      </c>
      <c r="Q27" s="1047" t="str">
        <f>IF($C27=0,"",'07 - Delinquent Home Loans Stat'!AC29/$D27)</f>
        <v/>
      </c>
      <c r="R27" s="772"/>
    </row>
    <row r="28" spans="1:18">
      <c r="A28" s="603"/>
      <c r="B28" s="629"/>
      <c r="C28" s="1305">
        <f>'07 - Delinquent Home Loans Stat'!B30</f>
        <v>0</v>
      </c>
      <c r="D28" s="1314" t="str">
        <f>IF($C28=0,"",'07 - Delinquent Home Loans Stat'!C30)</f>
        <v/>
      </c>
      <c r="E28" s="1065" t="str">
        <f>IF($C28=0,"",'07 - Delinquent Home Loans Stat'!E30/$D28)</f>
        <v/>
      </c>
      <c r="F28" s="1047" t="str">
        <f>IF($C28=0,"",'07 - Delinquent Home Loans Stat'!G30/$D28)</f>
        <v/>
      </c>
      <c r="G28" s="1047" t="str">
        <f>IF($C28=0,"",'07 - Delinquent Home Loans Stat'!I30/$D28)</f>
        <v/>
      </c>
      <c r="H28" s="1047" t="str">
        <f>IF($C28=0,"",'07 - Delinquent Home Loans Stat'!K30/$D28)</f>
        <v/>
      </c>
      <c r="I28" s="1047" t="str">
        <f>IF($C28=0,"",'07 - Delinquent Home Loans Stat'!M30/$D28)</f>
        <v/>
      </c>
      <c r="J28" s="1047" t="str">
        <f>IF($C28=0,"",'07 - Delinquent Home Loans Stat'!O30/$D28)</f>
        <v/>
      </c>
      <c r="K28" s="1047" t="str">
        <f>IF($C28=0,"",'07 - Delinquent Home Loans Stat'!Q30/$D28)</f>
        <v/>
      </c>
      <c r="L28" s="1047" t="str">
        <f>IF($C28=0,"",'07 - Delinquent Home Loans Stat'!S30/$D28)</f>
        <v/>
      </c>
      <c r="M28" s="1047" t="str">
        <f>IF($C28=0,"",'07 - Delinquent Home Loans Stat'!U30/$D28)</f>
        <v/>
      </c>
      <c r="N28" s="1047" t="str">
        <f>IF($C28=0,"",'07 - Delinquent Home Loans Stat'!W30/$D28)</f>
        <v/>
      </c>
      <c r="O28" s="1047" t="str">
        <f>IF($C28=0,"",'07 - Delinquent Home Loans Stat'!Y30/$D28)</f>
        <v/>
      </c>
      <c r="P28" s="1047" t="str">
        <f>IF($C28=0,"",'07 - Delinquent Home Loans Stat'!AA30/$D28)</f>
        <v/>
      </c>
      <c r="Q28" s="1047" t="str">
        <f>IF($C28=0,"",'07 - Delinquent Home Loans Stat'!AC30/$D28)</f>
        <v/>
      </c>
      <c r="R28" s="772"/>
    </row>
    <row r="29" spans="1:18">
      <c r="A29" s="603"/>
      <c r="B29" s="629"/>
      <c r="C29" s="1305">
        <f>'07 - Delinquent Home Loans Stat'!B31</f>
        <v>0</v>
      </c>
      <c r="D29" s="1314" t="str">
        <f>IF($C29=0,"",'07 - Delinquent Home Loans Stat'!C31)</f>
        <v/>
      </c>
      <c r="E29" s="1065" t="str">
        <f>IF($C29=0,"",'07 - Delinquent Home Loans Stat'!E31/$D29)</f>
        <v/>
      </c>
      <c r="F29" s="1047" t="str">
        <f>IF($C29=0,"",'07 - Delinquent Home Loans Stat'!G31/$D29)</f>
        <v/>
      </c>
      <c r="G29" s="1047" t="str">
        <f>IF($C29=0,"",'07 - Delinquent Home Loans Stat'!I31/$D29)</f>
        <v/>
      </c>
      <c r="H29" s="1047" t="str">
        <f>IF($C29=0,"",'07 - Delinquent Home Loans Stat'!K31/$D29)</f>
        <v/>
      </c>
      <c r="I29" s="1047" t="str">
        <f>IF($C29=0,"",'07 - Delinquent Home Loans Stat'!M31/$D29)</f>
        <v/>
      </c>
      <c r="J29" s="1047" t="str">
        <f>IF($C29=0,"",'07 - Delinquent Home Loans Stat'!O31/$D29)</f>
        <v/>
      </c>
      <c r="K29" s="1047" t="str">
        <f>IF($C29=0,"",'07 - Delinquent Home Loans Stat'!Q31/$D29)</f>
        <v/>
      </c>
      <c r="L29" s="1047" t="str">
        <f>IF($C29=0,"",'07 - Delinquent Home Loans Stat'!S31/$D29)</f>
        <v/>
      </c>
      <c r="M29" s="1047" t="str">
        <f>IF($C29=0,"",'07 - Delinquent Home Loans Stat'!U31/$D29)</f>
        <v/>
      </c>
      <c r="N29" s="1047" t="str">
        <f>IF($C29=0,"",'07 - Delinquent Home Loans Stat'!W31/$D29)</f>
        <v/>
      </c>
      <c r="O29" s="1047" t="str">
        <f>IF($C29=0,"",'07 - Delinquent Home Loans Stat'!Y31/$D29)</f>
        <v/>
      </c>
      <c r="P29" s="1047" t="str">
        <f>IF($C29=0,"",'07 - Delinquent Home Loans Stat'!AA31/$D29)</f>
        <v/>
      </c>
      <c r="Q29" s="1047" t="str">
        <f>IF($C29=0,"",'07 - Delinquent Home Loans Stat'!AC31/$D29)</f>
        <v/>
      </c>
      <c r="R29" s="772"/>
    </row>
    <row r="30" spans="1:18">
      <c r="A30" s="603"/>
      <c r="B30" s="629"/>
      <c r="C30" s="1305">
        <f>'07 - Delinquent Home Loans Stat'!B32</f>
        <v>0</v>
      </c>
      <c r="D30" s="1314" t="str">
        <f>IF($C30=0,"",'07 - Delinquent Home Loans Stat'!C32)</f>
        <v/>
      </c>
      <c r="E30" s="1065" t="str">
        <f>IF($C30=0,"",'07 - Delinquent Home Loans Stat'!E32/$D30)</f>
        <v/>
      </c>
      <c r="F30" s="1047" t="str">
        <f>IF($C30=0,"",'07 - Delinquent Home Loans Stat'!G32/$D30)</f>
        <v/>
      </c>
      <c r="G30" s="1047" t="str">
        <f>IF($C30=0,"",'07 - Delinquent Home Loans Stat'!I32/$D30)</f>
        <v/>
      </c>
      <c r="H30" s="1047" t="str">
        <f>IF($C30=0,"",'07 - Delinquent Home Loans Stat'!K32/$D30)</f>
        <v/>
      </c>
      <c r="I30" s="1047" t="str">
        <f>IF($C30=0,"",'07 - Delinquent Home Loans Stat'!M32/$D30)</f>
        <v/>
      </c>
      <c r="J30" s="1047" t="str">
        <f>IF($C30=0,"",'07 - Delinquent Home Loans Stat'!O32/$D30)</f>
        <v/>
      </c>
      <c r="K30" s="1047" t="str">
        <f>IF($C30=0,"",'07 - Delinquent Home Loans Stat'!Q32/$D30)</f>
        <v/>
      </c>
      <c r="L30" s="1047" t="str">
        <f>IF($C30=0,"",'07 - Delinquent Home Loans Stat'!S32/$D30)</f>
        <v/>
      </c>
      <c r="M30" s="1047" t="str">
        <f>IF($C30=0,"",'07 - Delinquent Home Loans Stat'!U32/$D30)</f>
        <v/>
      </c>
      <c r="N30" s="1047" t="str">
        <f>IF($C30=0,"",'07 - Delinquent Home Loans Stat'!W32/$D30)</f>
        <v/>
      </c>
      <c r="O30" s="1047" t="str">
        <f>IF($C30=0,"",'07 - Delinquent Home Loans Stat'!Y32/$D30)</f>
        <v/>
      </c>
      <c r="P30" s="1047" t="str">
        <f>IF($C30=0,"",'07 - Delinquent Home Loans Stat'!AA32/$D30)</f>
        <v/>
      </c>
      <c r="Q30" s="1047" t="str">
        <f>IF($C30=0,"",'07 - Delinquent Home Loans Stat'!AC32/$D30)</f>
        <v/>
      </c>
      <c r="R30" s="772"/>
    </row>
    <row r="31" spans="1:18">
      <c r="A31" s="603"/>
      <c r="B31" s="629"/>
      <c r="C31" s="1305">
        <f>'07 - Delinquent Home Loans Stat'!B33</f>
        <v>0</v>
      </c>
      <c r="D31" s="1314" t="str">
        <f>IF($C31=0,"",'07 - Delinquent Home Loans Stat'!C33)</f>
        <v/>
      </c>
      <c r="E31" s="1065" t="str">
        <f>IF($C31=0,"",'07 - Delinquent Home Loans Stat'!E33/$D31)</f>
        <v/>
      </c>
      <c r="F31" s="1047" t="str">
        <f>IF($C31=0,"",'07 - Delinquent Home Loans Stat'!G33/$D31)</f>
        <v/>
      </c>
      <c r="G31" s="1047" t="str">
        <f>IF($C31=0,"",'07 - Delinquent Home Loans Stat'!I33/$D31)</f>
        <v/>
      </c>
      <c r="H31" s="1047" t="str">
        <f>IF($C31=0,"",'07 - Delinquent Home Loans Stat'!K33/$D31)</f>
        <v/>
      </c>
      <c r="I31" s="1047" t="str">
        <f>IF($C31=0,"",'07 - Delinquent Home Loans Stat'!M33/$D31)</f>
        <v/>
      </c>
      <c r="J31" s="1047" t="str">
        <f>IF($C31=0,"",'07 - Delinquent Home Loans Stat'!O33/$D31)</f>
        <v/>
      </c>
      <c r="K31" s="1047" t="str">
        <f>IF($C31=0,"",'07 - Delinquent Home Loans Stat'!Q33/$D31)</f>
        <v/>
      </c>
      <c r="L31" s="1047" t="str">
        <f>IF($C31=0,"",'07 - Delinquent Home Loans Stat'!S33/$D31)</f>
        <v/>
      </c>
      <c r="M31" s="1047" t="str">
        <f>IF($C31=0,"",'07 - Delinquent Home Loans Stat'!U33/$D31)</f>
        <v/>
      </c>
      <c r="N31" s="1047" t="str">
        <f>IF($C31=0,"",'07 - Delinquent Home Loans Stat'!W33/$D31)</f>
        <v/>
      </c>
      <c r="O31" s="1047" t="str">
        <f>IF($C31=0,"",'07 - Delinquent Home Loans Stat'!Y33/$D31)</f>
        <v/>
      </c>
      <c r="P31" s="1047" t="str">
        <f>IF($C31=0,"",'07 - Delinquent Home Loans Stat'!AA33/$D31)</f>
        <v/>
      </c>
      <c r="Q31" s="1047" t="str">
        <f>IF($C31=0,"",'07 - Delinquent Home Loans Stat'!AC33/$D31)</f>
        <v/>
      </c>
      <c r="R31" s="772"/>
    </row>
    <row r="32" spans="1:18" ht="13.5"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7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85" zoomScaleNormal="85" workbookViewId="0"/>
  </sheetViews>
  <sheetFormatPr defaultColWidth="11.42578125" defaultRowHeight="12.75"/>
  <cols>
    <col min="1" max="1" width="2.7109375" style="592" customWidth="1"/>
    <col min="2" max="2" width="6.28515625" style="592" customWidth="1"/>
    <col min="3" max="7" width="21.140625" style="592" customWidth="1"/>
    <col min="8" max="8" width="21.140625" style="954" customWidth="1"/>
    <col min="9" max="12" width="21.140625" style="592" customWidth="1"/>
    <col min="13" max="13" width="5.5703125" style="592" customWidth="1"/>
    <col min="14" max="14" width="6.85546875" style="592" customWidth="1"/>
    <col min="15" max="15" width="15.140625" style="592" bestFit="1" customWidth="1"/>
    <col min="16" max="16384" width="11.42578125" style="592"/>
  </cols>
  <sheetData>
    <row r="1" spans="2:15" ht="13.5" thickBot="1"/>
    <row r="2" spans="2:15" ht="28.5" thickTop="1">
      <c r="B2" s="1052"/>
      <c r="C2" s="810"/>
      <c r="D2" s="810"/>
      <c r="E2" s="811"/>
      <c r="F2" s="811"/>
      <c r="G2" s="811"/>
      <c r="H2" s="1321"/>
      <c r="I2" s="811"/>
      <c r="J2" s="811"/>
      <c r="K2" s="534" t="s">
        <v>232</v>
      </c>
      <c r="L2" s="618">
        <f>'Delinquencies Analysis'!Q2</f>
        <v>46022</v>
      </c>
      <c r="M2" s="1053"/>
    </row>
    <row r="3" spans="2:15" ht="14.25">
      <c r="B3" s="759"/>
      <c r="C3" s="596"/>
      <c r="D3" s="596"/>
      <c r="E3" s="596"/>
      <c r="F3" s="596"/>
      <c r="G3" s="596"/>
      <c r="H3" s="1322"/>
      <c r="I3" s="596"/>
      <c r="J3" s="596"/>
      <c r="K3" s="540" t="s">
        <v>233</v>
      </c>
      <c r="L3" s="621">
        <f>'Delinquencies Analysis'!Q3</f>
        <v>46037</v>
      </c>
      <c r="M3" s="766"/>
    </row>
    <row r="4" spans="2:15" ht="14.25">
      <c r="B4" s="2103"/>
      <c r="C4" s="2104"/>
      <c r="D4" s="2104"/>
      <c r="E4" s="2141" t="s">
        <v>589</v>
      </c>
      <c r="F4" s="2141"/>
      <c r="G4" s="2141"/>
      <c r="H4" s="2141"/>
      <c r="I4" s="2141"/>
      <c r="J4" s="2141"/>
      <c r="K4" s="540" t="s">
        <v>234</v>
      </c>
      <c r="L4" s="621">
        <f>'Delinquencies Analysis'!Q4</f>
        <v>46042</v>
      </c>
      <c r="M4" s="766"/>
    </row>
    <row r="5" spans="2:15" ht="14.25">
      <c r="B5" s="2103"/>
      <c r="C5" s="2104"/>
      <c r="D5" s="2104"/>
      <c r="E5" s="2141"/>
      <c r="F5" s="2141"/>
      <c r="G5" s="2141"/>
      <c r="H5" s="2141"/>
      <c r="I5" s="2141"/>
      <c r="J5" s="2141"/>
      <c r="K5" s="540" t="s">
        <v>235</v>
      </c>
      <c r="L5" s="621">
        <f>'Delinquencies Analysis'!Q5</f>
        <v>46049</v>
      </c>
      <c r="M5" s="766"/>
    </row>
    <row r="6" spans="2:15" ht="14.25">
      <c r="B6" s="759"/>
      <c r="C6" s="596"/>
      <c r="D6" s="596"/>
      <c r="E6" s="596"/>
      <c r="F6" s="596"/>
      <c r="G6" s="596"/>
      <c r="H6" s="1322"/>
      <c r="I6" s="596"/>
      <c r="J6" s="596"/>
      <c r="K6" s="540" t="s">
        <v>236</v>
      </c>
      <c r="L6" s="624">
        <f>'Delinquencies Analysis'!Q6</f>
        <v>15</v>
      </c>
      <c r="M6" s="766"/>
    </row>
    <row r="7" spans="2:15" ht="14.25">
      <c r="B7" s="759"/>
      <c r="C7" s="596"/>
      <c r="D7" s="596"/>
      <c r="E7" s="596"/>
      <c r="F7" s="596"/>
      <c r="G7" s="596"/>
      <c r="H7" s="1322"/>
      <c r="I7" s="596"/>
      <c r="J7" s="596"/>
      <c r="K7" s="540"/>
      <c r="L7" s="1054"/>
      <c r="M7" s="766"/>
    </row>
    <row r="8" spans="2:15" ht="14.25">
      <c r="B8" s="1055"/>
      <c r="C8" s="1056"/>
      <c r="D8" s="1056"/>
      <c r="E8" s="1056"/>
      <c r="F8" s="1056"/>
      <c r="G8" s="1056"/>
      <c r="H8" s="1323"/>
      <c r="I8" s="1056"/>
      <c r="J8" s="1056"/>
      <c r="K8" s="1057"/>
      <c r="L8" s="1058"/>
      <c r="M8" s="1059"/>
    </row>
    <row r="9" spans="2:15" ht="101.2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c r="B10" s="767"/>
      <c r="C10" s="1304">
        <f>'08 - Default &amp; Recovery Stat'!B12</f>
        <v>46022</v>
      </c>
      <c r="D10" s="1060">
        <f>IF($C10=0,"",'02 - Monthly Asset Follow up'!C17)</f>
        <v>11410540020.709999</v>
      </c>
      <c r="E10" s="1061">
        <f>IF($C10=0,"",_xlfn.XLOOKUP($C10,INPUT_DATA!$CN:$CN,INPUT_DATA!DP:DP,""))</f>
        <v>7</v>
      </c>
      <c r="F10" s="1062">
        <f>'Key Figures'!F35</f>
        <v>998490.2</v>
      </c>
      <c r="G10" s="1063">
        <f>IF($C10=0,"",IF(G11="",E10,E10+G11))</f>
        <v>73</v>
      </c>
      <c r="H10" s="1325">
        <f>IF($C10=0,"",IF(H11="",F10,F10+H11))</f>
        <v>6916094.0900000008</v>
      </c>
      <c r="I10" s="1064">
        <f>IFERROR(IF($C10=0,"",H10/'08 - Default &amp; Recovery Stat'!D12),"")</f>
        <v>5.5646181903178408E-4</v>
      </c>
      <c r="J10" s="1062">
        <f>IF($C10=0,"",'08 - Default &amp; Recovery Stat'!G12)</f>
        <v>10317.209999999999</v>
      </c>
      <c r="K10" s="1062">
        <f t="shared" ref="K10:K15" si="0">IF($C10=0,"",IF(K11="",J10,J10+K11))</f>
        <v>533885.36</v>
      </c>
      <c r="L10" s="1065">
        <f>IFERROR(IF($C10=0,"",K10/H10),"")</f>
        <v>7.7194635158585573E-2</v>
      </c>
      <c r="M10" s="772"/>
      <c r="O10" s="954"/>
    </row>
    <row r="11" spans="2:15">
      <c r="B11" s="767"/>
      <c r="C11" s="1305">
        <f>'08 - Default &amp; Recovery Stat'!B13</f>
        <v>45991</v>
      </c>
      <c r="D11" s="1316">
        <f>IF($C11=0,"",'02 - Monthly Asset Follow up'!C18)</f>
        <v>11501221849.950001</v>
      </c>
      <c r="E11" s="1317">
        <f>IF($C11=0,"",_xlfn.XLOOKUP($C11,INPUT_DATA!$CN:$CN,INPUT_DATA!DP:DP,""))</f>
        <v>7</v>
      </c>
      <c r="F11" s="1316">
        <f>IF($C11=0,"",'02 - Monthly Asset Follow up'!K18)</f>
        <v>563823.34</v>
      </c>
      <c r="G11" s="1317">
        <f t="shared" ref="G11:G54" si="1">IF($C11=0,"",IF(G12="",E11,E11+G12))</f>
        <v>66</v>
      </c>
      <c r="H11" s="1326">
        <f t="shared" ref="H11:H55" si="2">IF($C11=0,"",IF(H12="",F11,F11+H12))</f>
        <v>5917603.8900000006</v>
      </c>
      <c r="I11" s="1318">
        <f>IFERROR(IF($C11=0,"",H11/'08 - Default &amp; Recovery Stat'!D13),"")</f>
        <v>4.7612432423384818E-4</v>
      </c>
      <c r="J11" s="1316">
        <f>IF($C11=0,"",'08 - Default &amp; Recovery Stat'!G13)</f>
        <v>311624.19</v>
      </c>
      <c r="K11" s="1316">
        <f t="shared" si="0"/>
        <v>523568.14999999997</v>
      </c>
      <c r="L11" s="1320">
        <f>IFERROR(IF($C11=0,"",K11/H11),"")</f>
        <v>8.8476376542330537E-2</v>
      </c>
      <c r="M11" s="772"/>
    </row>
    <row r="12" spans="2:15">
      <c r="B12" s="767"/>
      <c r="C12" s="1305">
        <f>'08 - Default &amp; Recovery Stat'!B14</f>
        <v>45961</v>
      </c>
      <c r="D12" s="1316">
        <f>IF($C12=0,"",'02 - Monthly Asset Follow up'!C19)</f>
        <v>11613993146.950001</v>
      </c>
      <c r="E12" s="1317">
        <f>IF($C12=0,"",_xlfn.XLOOKUP($C12,INPUT_DATA!$CN:$CN,INPUT_DATA!DP:DP,""))</f>
        <v>3</v>
      </c>
      <c r="F12" s="1316">
        <f>IF($C12=0,"",'02 - Monthly Asset Follow up'!K19)</f>
        <v>229091.41</v>
      </c>
      <c r="G12" s="1317">
        <f t="shared" si="1"/>
        <v>59</v>
      </c>
      <c r="H12" s="1326">
        <f t="shared" si="2"/>
        <v>5353780.5500000007</v>
      </c>
      <c r="I12" s="1318">
        <f>IFERROR(IF($C12=0,"",H12/'08 - Default &amp; Recovery Stat'!D14),"")</f>
        <v>4.3075967804683023E-4</v>
      </c>
      <c r="J12" s="1316">
        <f>IF($C12=0,"",'08 - Default &amp; Recovery Stat'!G14)</f>
        <v>1137.19</v>
      </c>
      <c r="K12" s="1316">
        <f t="shared" si="0"/>
        <v>211943.95999999996</v>
      </c>
      <c r="L12" s="1320">
        <f t="shared" ref="L12:L55" si="3">IFERROR(IF($C12=0,"",K12/H12),"")</f>
        <v>3.9587718999800979E-2</v>
      </c>
      <c r="M12" s="772"/>
    </row>
    <row r="13" spans="2:15">
      <c r="B13" s="767"/>
      <c r="C13" s="1305">
        <f>'08 - Default &amp; Recovery Stat'!B15</f>
        <v>45930</v>
      </c>
      <c r="D13" s="1316">
        <f>IF($C13=0,"",'02 - Monthly Asset Follow up'!C20)</f>
        <v>7430770897.8500004</v>
      </c>
      <c r="E13" s="1317">
        <f>IF($C13=0,"",_xlfn.XLOOKUP($C13,INPUT_DATA!$CN:$CN,INPUT_DATA!DP:DP,""))</f>
        <v>6</v>
      </c>
      <c r="F13" s="1316">
        <f>IF($C13=0,"",'02 - Monthly Asset Follow up'!K20)</f>
        <v>414679.66</v>
      </c>
      <c r="G13" s="1317">
        <f t="shared" si="1"/>
        <v>56</v>
      </c>
      <c r="H13" s="1326">
        <f t="shared" si="2"/>
        <v>5124689.1400000006</v>
      </c>
      <c r="I13" s="1318">
        <f>IFERROR(IF($C13=0,"",H13/'08 - Default &amp; Recovery Stat'!D15),"")</f>
        <v>4.1232721876067319E-4</v>
      </c>
      <c r="J13" s="1316">
        <f>IF($C13=0,"",'08 - Default &amp; Recovery Stat'!G15)</f>
        <v>1788.58</v>
      </c>
      <c r="K13" s="1316">
        <f t="shared" si="0"/>
        <v>210806.76999999996</v>
      </c>
      <c r="L13" s="1320">
        <f t="shared" si="3"/>
        <v>4.1135523392936947E-2</v>
      </c>
      <c r="M13" s="772"/>
    </row>
    <row r="14" spans="2:15">
      <c r="B14" s="767"/>
      <c r="C14" s="1305">
        <f>'08 - Default &amp; Recovery Stat'!B16</f>
        <v>45900</v>
      </c>
      <c r="D14" s="1316">
        <f>IF($C14=0,"",'02 - Monthly Asset Follow up'!C21)</f>
        <v>7501402080.4799995</v>
      </c>
      <c r="E14" s="1317">
        <f>IF($C14=0,"",_xlfn.XLOOKUP($C14,INPUT_DATA!$CN:$CN,INPUT_DATA!DP:DP,""))</f>
        <v>4</v>
      </c>
      <c r="F14" s="1316">
        <f>IF($C14=0,"",'02 - Monthly Asset Follow up'!K21)</f>
        <v>325275.99</v>
      </c>
      <c r="G14" s="1317">
        <f t="shared" si="1"/>
        <v>50</v>
      </c>
      <c r="H14" s="1326">
        <f t="shared" si="2"/>
        <v>4710009.4800000004</v>
      </c>
      <c r="I14" s="1318">
        <f>IFERROR(IF($C14=0,"",H14/'08 - Default &amp; Recovery Stat'!D16),"")</f>
        <v>5.7562910897248395E-4</v>
      </c>
      <c r="J14" s="1316">
        <f>IF($C14=0,"",'08 - Default &amp; Recovery Stat'!G16)</f>
        <v>2472.34</v>
      </c>
      <c r="K14" s="1316">
        <f t="shared" si="0"/>
        <v>209018.18999999997</v>
      </c>
      <c r="L14" s="1320">
        <f t="shared" si="3"/>
        <v>4.4377445711637924E-2</v>
      </c>
      <c r="M14" s="772"/>
    </row>
    <row r="15" spans="2:15">
      <c r="B15" s="767"/>
      <c r="C15" s="1305">
        <f>'08 - Default &amp; Recovery Stat'!B17</f>
        <v>45869</v>
      </c>
      <c r="D15" s="1316">
        <f>IF($C15=0,"",'02 - Monthly Asset Follow up'!C22)</f>
        <v>7570005186.9899998</v>
      </c>
      <c r="E15" s="1317">
        <f>IF($C15=0,"",_xlfn.XLOOKUP($C15,INPUT_DATA!$CN:$CN,INPUT_DATA!DP:DP,""))</f>
        <v>5</v>
      </c>
      <c r="F15" s="1316">
        <f>IF($C15=0,"",'02 - Monthly Asset Follow up'!K22)</f>
        <v>619098.98</v>
      </c>
      <c r="G15" s="1317">
        <f t="shared" si="1"/>
        <v>46</v>
      </c>
      <c r="H15" s="1326">
        <f t="shared" si="2"/>
        <v>4384733.49</v>
      </c>
      <c r="I15" s="1318">
        <f>IFERROR(IF($C15=0,"",H15/'08 - Default &amp; Recovery Stat'!D17),"")</f>
        <v>5.358758284135152E-4</v>
      </c>
      <c r="J15" s="1319">
        <f>IF($C15=0,"",'08 - Default &amp; Recovery Stat'!G17)</f>
        <v>5836.2100000000009</v>
      </c>
      <c r="K15" s="1319">
        <f t="shared" si="0"/>
        <v>206545.84999999998</v>
      </c>
      <c r="L15" s="1320">
        <f t="shared" si="3"/>
        <v>4.7105679392158442E-2</v>
      </c>
      <c r="M15" s="772"/>
    </row>
    <row r="16" spans="2:15">
      <c r="B16" s="767"/>
      <c r="C16" s="1305">
        <f>'08 - Default &amp; Recovery Stat'!B18</f>
        <v>45838</v>
      </c>
      <c r="D16" s="1316">
        <f>IF($C16=0,"",'02 - Monthly Asset Follow up'!C23)</f>
        <v>7635175945.3199997</v>
      </c>
      <c r="E16" s="1317">
        <f>IF($C16=0,"",_xlfn.XLOOKUP($C16,INPUT_DATA!$CN:$CN,INPUT_DATA!DP:DP,""))</f>
        <v>3</v>
      </c>
      <c r="F16" s="1316">
        <f>IF($C16=0,"",'02 - Monthly Asset Follow up'!K23)</f>
        <v>183346.71</v>
      </c>
      <c r="G16" s="1317">
        <f t="shared" si="1"/>
        <v>41</v>
      </c>
      <c r="H16" s="1326">
        <f t="shared" si="2"/>
        <v>3765634.51</v>
      </c>
      <c r="I16" s="1318">
        <f>IFERROR(IF($C16=0,"",H16/'08 - Default &amp; Recovery Stat'!D18),"")</f>
        <v>4.602132643069194E-4</v>
      </c>
      <c r="J16" s="1319">
        <f>IF($C16=0,"",'08 - Default &amp; Recovery Stat'!G18)</f>
        <v>8765.27</v>
      </c>
      <c r="K16" s="1319">
        <f t="shared" ref="K16:K55" si="4">IF($C16=0,"",IF(K17="",J16,J16+K17))</f>
        <v>200709.63999999998</v>
      </c>
      <c r="L16" s="1320">
        <f t="shared" si="3"/>
        <v>5.3300350702384015E-2</v>
      </c>
      <c r="M16" s="772"/>
    </row>
    <row r="17" spans="2:13">
      <c r="B17" s="767"/>
      <c r="C17" s="1305">
        <f>'08 - Default &amp; Recovery Stat'!B19</f>
        <v>45808</v>
      </c>
      <c r="D17" s="1316">
        <f>IF($C17=0,"",'02 - Monthly Asset Follow up'!C24)</f>
        <v>7700874478.6099997</v>
      </c>
      <c r="E17" s="1317">
        <f>IF($C17=0,"",_xlfn.XLOOKUP($C17,INPUT_DATA!$CN:$CN,INPUT_DATA!DP:DP,""))</f>
        <v>10</v>
      </c>
      <c r="F17" s="1316">
        <f>IF($C17=0,"",'02 - Monthly Asset Follow up'!K24)</f>
        <v>723701.24</v>
      </c>
      <c r="G17" s="1317">
        <f t="shared" si="1"/>
        <v>38</v>
      </c>
      <c r="H17" s="1326">
        <f t="shared" si="2"/>
        <v>3582287.8</v>
      </c>
      <c r="I17" s="1318">
        <f>IFERROR(IF($C17=0,"",H17/'08 - Default &amp; Recovery Stat'!D19),"")</f>
        <v>4.3780572908677027E-4</v>
      </c>
      <c r="J17" s="1319">
        <f>IF($C17=0,"",'08 - Default &amp; Recovery Stat'!G19)</f>
        <v>14058.619999999999</v>
      </c>
      <c r="K17" s="1319">
        <f t="shared" si="4"/>
        <v>191944.37</v>
      </c>
      <c r="L17" s="1320">
        <f t="shared" si="3"/>
        <v>5.3581504534616117E-2</v>
      </c>
      <c r="M17" s="772"/>
    </row>
    <row r="18" spans="2:13">
      <c r="B18" s="767"/>
      <c r="C18" s="1305">
        <f>'08 - Default &amp; Recovery Stat'!B20</f>
        <v>45777</v>
      </c>
      <c r="D18" s="1316">
        <f>IF($C18=0,"",'02 - Monthly Asset Follow up'!C25)</f>
        <v>7762584280.3299999</v>
      </c>
      <c r="E18" s="1317">
        <f>IF($C18=0,"",_xlfn.XLOOKUP($C18,INPUT_DATA!$CN:$CN,INPUT_DATA!DP:DP,""))</f>
        <v>10</v>
      </c>
      <c r="F18" s="1316">
        <f>IF($C18=0,"",'02 - Monthly Asset Follow up'!K25)</f>
        <v>1236920.96</v>
      </c>
      <c r="G18" s="1317">
        <f t="shared" si="1"/>
        <v>28</v>
      </c>
      <c r="H18" s="1326">
        <f t="shared" si="2"/>
        <v>2858586.56</v>
      </c>
      <c r="I18" s="1318">
        <f>IFERROR(IF($C18=0,"",H18/'08 - Default &amp; Recovery Stat'!D20),"")</f>
        <v>3.4935930414592669E-4</v>
      </c>
      <c r="J18" s="1319">
        <f>IF($C18=0,"",'08 - Default &amp; Recovery Stat'!G20)</f>
        <v>5807.5</v>
      </c>
      <c r="K18" s="1319">
        <f t="shared" si="4"/>
        <v>177885.75</v>
      </c>
      <c r="L18" s="1320">
        <f t="shared" si="3"/>
        <v>6.2228568653173826E-2</v>
      </c>
      <c r="M18" s="772"/>
    </row>
    <row r="19" spans="2:13">
      <c r="B19" s="767"/>
      <c r="C19" s="1305">
        <f>'08 - Default &amp; Recovery Stat'!B21</f>
        <v>45747</v>
      </c>
      <c r="D19" s="1316">
        <f>IF($C19=0,"",'02 - Monthly Asset Follow up'!C26)</f>
        <v>7821840687.46</v>
      </c>
      <c r="E19" s="1317">
        <f>IF($C19=0,"",_xlfn.XLOOKUP($C19,INPUT_DATA!$CN:$CN,INPUT_DATA!DP:DP,""))</f>
        <v>4</v>
      </c>
      <c r="F19" s="1316">
        <f>IF($C19=0,"",'02 - Monthly Asset Follow up'!K26)</f>
        <v>394532.89</v>
      </c>
      <c r="G19" s="1317">
        <f t="shared" si="1"/>
        <v>18</v>
      </c>
      <c r="H19" s="1326">
        <f t="shared" si="2"/>
        <v>1621665.6</v>
      </c>
      <c r="I19" s="1318">
        <f>IFERROR(IF($C19=0,"",H19/'08 - Default &amp; Recovery Stat'!D21),"")</f>
        <v>1.9819024321355051E-4</v>
      </c>
      <c r="J19" s="1319">
        <f>IF($C19=0,"",'08 - Default &amp; Recovery Stat'!G21)</f>
        <v>115581.97</v>
      </c>
      <c r="K19" s="1319">
        <f t="shared" si="4"/>
        <v>172078.25</v>
      </c>
      <c r="L19" s="1320">
        <f t="shared" si="3"/>
        <v>0.10611204307472515</v>
      </c>
      <c r="M19" s="772"/>
    </row>
    <row r="20" spans="2:13">
      <c r="B20" s="767"/>
      <c r="C20" s="1305">
        <f>'08 - Default &amp; Recovery Stat'!B22</f>
        <v>45716</v>
      </c>
      <c r="D20" s="1316">
        <f>IF($C20=0,"",'02 - Monthly Asset Follow up'!C27)</f>
        <v>7882097726.96</v>
      </c>
      <c r="E20" s="1317">
        <f>IF($C20=0,"",_xlfn.XLOOKUP($C20,INPUT_DATA!$CN:$CN,INPUT_DATA!DP:DP,""))</f>
        <v>2</v>
      </c>
      <c r="F20" s="1316">
        <f>IF($C20=0,"",'02 - Monthly Asset Follow up'!K27)</f>
        <v>208258.58</v>
      </c>
      <c r="G20" s="1317">
        <f t="shared" si="1"/>
        <v>14</v>
      </c>
      <c r="H20" s="1326">
        <f t="shared" si="2"/>
        <v>1227132.71</v>
      </c>
      <c r="I20" s="1318">
        <f>IFERROR(IF($C20=0,"",H20/'08 - Default &amp; Recovery Stat'!D22),"")</f>
        <v>1.4997279972529684E-4</v>
      </c>
      <c r="J20" s="1319">
        <f>IF($C20=0,"",'08 - Default &amp; Recovery Stat'!G22)</f>
        <v>3590.35</v>
      </c>
      <c r="K20" s="1319">
        <f t="shared" si="4"/>
        <v>56496.279999999992</v>
      </c>
      <c r="L20" s="1320">
        <f t="shared" si="3"/>
        <v>4.6039258459665701E-2</v>
      </c>
      <c r="M20" s="772"/>
    </row>
    <row r="21" spans="2:13">
      <c r="B21" s="767"/>
      <c r="C21" s="1305">
        <f>'08 - Default &amp; Recovery Stat'!B23</f>
        <v>45688</v>
      </c>
      <c r="D21" s="1316">
        <f>IF($C21=0,"",'02 - Monthly Asset Follow up'!C28)</f>
        <v>7942231678.1999998</v>
      </c>
      <c r="E21" s="1317">
        <f>IF($C21=0,"",_xlfn.XLOOKUP($C21,INPUT_DATA!$CN:$CN,INPUT_DATA!DP:DP,""))</f>
        <v>6</v>
      </c>
      <c r="F21" s="1316">
        <f>IF($C21=0,"",'02 - Monthly Asset Follow up'!K28)</f>
        <v>411919.03</v>
      </c>
      <c r="G21" s="1317">
        <f t="shared" si="1"/>
        <v>12</v>
      </c>
      <c r="H21" s="1326">
        <f t="shared" si="2"/>
        <v>1018874.13</v>
      </c>
      <c r="I21" s="1318">
        <f>IFERROR(IF($C21=0,"",H21/'08 - Default &amp; Recovery Stat'!D23),"")</f>
        <v>1.2452068517004657E-4</v>
      </c>
      <c r="J21" s="1319">
        <f>IF($C21=0,"",'08 - Default &amp; Recovery Stat'!G23)</f>
        <v>1637.84</v>
      </c>
      <c r="K21" s="1319">
        <f t="shared" si="4"/>
        <v>52905.929999999993</v>
      </c>
      <c r="L21" s="1320">
        <f t="shared" si="3"/>
        <v>5.1925874298133362E-2</v>
      </c>
      <c r="M21" s="772"/>
    </row>
    <row r="22" spans="2:13">
      <c r="B22" s="767"/>
      <c r="C22" s="1305">
        <f>'08 - Default &amp; Recovery Stat'!B24</f>
        <v>45657</v>
      </c>
      <c r="D22" s="1316">
        <f>IF($C22=0,"",'02 - Monthly Asset Follow up'!C29)</f>
        <v>8062678431.4300003</v>
      </c>
      <c r="E22" s="1317">
        <f>IF($C22=0,"",_xlfn.XLOOKUP($C22,INPUT_DATA!$CN:$CN,INPUT_DATA!DP:DP,""))</f>
        <v>3</v>
      </c>
      <c r="F22" s="1316">
        <f>IF($C22=0,"",'02 - Monthly Asset Follow up'!K29)</f>
        <v>282412.90999999997</v>
      </c>
      <c r="G22" s="1317">
        <f t="shared" si="1"/>
        <v>6</v>
      </c>
      <c r="H22" s="1326">
        <f t="shared" si="2"/>
        <v>606955.1</v>
      </c>
      <c r="I22" s="1318">
        <f>IFERROR(IF($C22=0,"",H22/'08 - Default &amp; Recovery Stat'!D24),"")</f>
        <v>7.4178411929503143E-5</v>
      </c>
      <c r="J22" s="1319">
        <f>IF($C22=0,"",'08 - Default &amp; Recovery Stat'!G24)</f>
        <v>50914.85</v>
      </c>
      <c r="K22" s="1319">
        <f t="shared" si="4"/>
        <v>51268.09</v>
      </c>
      <c r="L22" s="1320">
        <f t="shared" si="3"/>
        <v>8.4467681382033033E-2</v>
      </c>
      <c r="M22" s="772"/>
    </row>
    <row r="23" spans="2:13">
      <c r="B23" s="767"/>
      <c r="C23" s="1305">
        <f>'08 - Default &amp; Recovery Stat'!B25</f>
        <v>45626</v>
      </c>
      <c r="D23" s="1316">
        <f>IF($C23=0,"",'02 - Monthly Asset Follow up'!C30)</f>
        <v>8120798931.6599998</v>
      </c>
      <c r="E23" s="1317">
        <f>IF($C23=0,"",_xlfn.XLOOKUP($C23,INPUT_DATA!$CN:$CN,INPUT_DATA!DP:DP,""))</f>
        <v>2</v>
      </c>
      <c r="F23" s="1316">
        <f>IF($C23=0,"",'02 - Monthly Asset Follow up'!K30)</f>
        <v>259157.33</v>
      </c>
      <c r="G23" s="1317">
        <f t="shared" si="1"/>
        <v>3</v>
      </c>
      <c r="H23" s="1326">
        <f t="shared" si="2"/>
        <v>324542.19</v>
      </c>
      <c r="I23" s="1318">
        <f>IFERROR(IF($C23=0,"",H23/'08 - Default &amp; Recovery Stat'!D25),"")</f>
        <v>3.9663599924151023E-5</v>
      </c>
      <c r="J23" s="1319">
        <f>IF($C23=0,"",'08 - Default &amp; Recovery Stat'!G25)</f>
        <v>-558.57000000000005</v>
      </c>
      <c r="K23" s="1319">
        <f t="shared" si="4"/>
        <v>353.2399999999999</v>
      </c>
      <c r="L23" s="1320">
        <f t="shared" si="3"/>
        <v>1.0884255141065016E-3</v>
      </c>
      <c r="M23" s="772"/>
    </row>
    <row r="24" spans="2:13">
      <c r="B24" s="767"/>
      <c r="C24" s="1305">
        <f>'08 - Default &amp; Recovery Stat'!B26</f>
        <v>45596</v>
      </c>
      <c r="D24" s="1316">
        <f>IF($C24=0,"",'02 - Monthly Asset Follow up'!C31)</f>
        <v>8182368484.4700003</v>
      </c>
      <c r="E24" s="1317">
        <f>IF($C24=0,"",_xlfn.XLOOKUP($C24,INPUT_DATA!$CN:$CN,INPUT_DATA!DP:DP,""))</f>
        <v>1</v>
      </c>
      <c r="F24" s="1316">
        <f>IF($C24=0,"",'02 - Monthly Asset Follow up'!K31)</f>
        <v>65384.86</v>
      </c>
      <c r="G24" s="1317">
        <f t="shared" si="1"/>
        <v>1</v>
      </c>
      <c r="H24" s="1326">
        <f t="shared" si="2"/>
        <v>65384.86</v>
      </c>
      <c r="I24" s="1318">
        <f>IFERROR(IF($C24=0,"",H24/'08 - Default &amp; Recovery Stat'!D26),"")</f>
        <v>7.9909454241885314E-6</v>
      </c>
      <c r="J24" s="1319">
        <f>IF($C24=0,"",'08 - Default &amp; Recovery Stat'!G26)</f>
        <v>911.81</v>
      </c>
      <c r="K24" s="1319">
        <f t="shared" si="4"/>
        <v>911.81</v>
      </c>
      <c r="L24" s="1320">
        <f t="shared" si="3"/>
        <v>1.3945277240021618E-2</v>
      </c>
      <c r="M24" s="772"/>
    </row>
    <row r="25" spans="2:13">
      <c r="B25" s="767"/>
      <c r="C25" s="1305">
        <f>'08 - Default &amp; Recovery Stat'!B27</f>
        <v>45565</v>
      </c>
      <c r="D25" s="1316">
        <f>IF($C25=0,"",'02 - Monthly Asset Follow up'!C32)</f>
        <v>0</v>
      </c>
      <c r="E25" s="1317">
        <f>IF($C25=0,"",_xlfn.XLOOKUP($C25,INPUT_DATA!$CN:$CN,INPUT_DATA!DP:DP,""))</f>
        <v>0</v>
      </c>
      <c r="F25" s="1316">
        <f>IF($C25=0,"",'02 - Monthly Asset Follow up'!K32)</f>
        <v>0</v>
      </c>
      <c r="G25" s="1317">
        <f t="shared" si="1"/>
        <v>0</v>
      </c>
      <c r="H25" s="1326">
        <f t="shared" si="2"/>
        <v>0</v>
      </c>
      <c r="I25" s="1318">
        <f>IFERROR(IF($C25=0,"",H25/'08 - Default &amp; Recovery Stat'!D27),"")</f>
        <v>0</v>
      </c>
      <c r="J25" s="1319">
        <f>IF($C25=0,"",'08 - Default &amp; Recovery Stat'!G27)</f>
        <v>0</v>
      </c>
      <c r="K25" s="1319">
        <f t="shared" si="4"/>
        <v>0</v>
      </c>
      <c r="L25" s="1320" t="str">
        <f t="shared" si="3"/>
        <v/>
      </c>
      <c r="M25" s="772"/>
    </row>
    <row r="26" spans="2:13">
      <c r="B26" s="767"/>
      <c r="C26" s="1305" t="str">
        <f>'08 - Default &amp; Recovery Stat'!B28</f>
        <v/>
      </c>
      <c r="D26" s="1316" t="str">
        <f>IF($C26=0,"",'02 - Monthly Asset Follow up'!C33)</f>
        <v/>
      </c>
      <c r="E26" s="1317" t="str">
        <f>IF($C26=0,"",_xlfn.XLOOKUP($C26,INPUT_DATA!$CN:$CN,INPUT_DATA!DP:DP,""))</f>
        <v/>
      </c>
      <c r="F26" s="1316" t="str">
        <f>IF($C26=0,"",'02 - Monthly Asset Follow up'!K33)</f>
        <v/>
      </c>
      <c r="G26" s="1317" t="str">
        <f t="shared" si="1"/>
        <v/>
      </c>
      <c r="H26" s="1326" t="str">
        <f t="shared" si="2"/>
        <v/>
      </c>
      <c r="I26" s="1318" t="str">
        <f>IFERROR(IF($C26=0,"",H26/'08 - Default &amp; Recovery Stat'!D28),"")</f>
        <v/>
      </c>
      <c r="J26" s="1319" t="str">
        <f>IF($C26=0,"",'08 - Default &amp; Recovery Stat'!G28)</f>
        <v/>
      </c>
      <c r="K26" s="1319" t="str">
        <f t="shared" si="4"/>
        <v/>
      </c>
      <c r="L26" s="1320" t="str">
        <f t="shared" si="3"/>
        <v/>
      </c>
      <c r="M26" s="772"/>
    </row>
    <row r="27" spans="2:13">
      <c r="B27" s="767"/>
      <c r="C27" s="1305" t="str">
        <f>'08 - Default &amp; Recovery Stat'!B29</f>
        <v/>
      </c>
      <c r="D27" s="1316" t="str">
        <f>IF($C27=0,"",'02 - Monthly Asset Follow up'!C34)</f>
        <v/>
      </c>
      <c r="E27" s="1317" t="str">
        <f>IF($C27=0,"",_xlfn.XLOOKUP($C27,INPUT_DATA!$CN:$CN,INPUT_DATA!DP:DP,""))</f>
        <v/>
      </c>
      <c r="F27" s="1316" t="str">
        <f>IF($C27=0,"",'02 - Monthly Asset Follow up'!K34)</f>
        <v/>
      </c>
      <c r="G27" s="1317" t="str">
        <f t="shared" si="1"/>
        <v/>
      </c>
      <c r="H27" s="1326" t="str">
        <f t="shared" si="2"/>
        <v/>
      </c>
      <c r="I27" s="1318" t="str">
        <f>IFERROR(IF($C27=0,"",H27/'08 - Default &amp; Recovery Stat'!D29),"")</f>
        <v/>
      </c>
      <c r="J27" s="1319" t="str">
        <f>IF($C27=0,"",'08 - Default &amp; Recovery Stat'!G29)</f>
        <v/>
      </c>
      <c r="K27" s="1319" t="str">
        <f t="shared" si="4"/>
        <v/>
      </c>
      <c r="L27" s="1320" t="str">
        <f t="shared" si="3"/>
        <v/>
      </c>
      <c r="M27" s="772"/>
    </row>
    <row r="28" spans="2:13">
      <c r="B28" s="767"/>
      <c r="C28" s="1305" t="str">
        <f>'08 - Default &amp; Recovery Stat'!B30</f>
        <v/>
      </c>
      <c r="D28" s="1316" t="str">
        <f>IF($C28=0,"",'02 - Monthly Asset Follow up'!C35)</f>
        <v/>
      </c>
      <c r="E28" s="1317" t="str">
        <f>IF($C28=0,"",_xlfn.XLOOKUP($C28,INPUT_DATA!$CN:$CN,INPUT_DATA!DP:DP,""))</f>
        <v/>
      </c>
      <c r="F28" s="1316" t="str">
        <f>IF($C28=0,"",'02 - Monthly Asset Follow up'!K35)</f>
        <v/>
      </c>
      <c r="G28" s="1317" t="str">
        <f t="shared" si="1"/>
        <v/>
      </c>
      <c r="H28" s="1326" t="str">
        <f t="shared" si="2"/>
        <v/>
      </c>
      <c r="I28" s="1318" t="str">
        <f>IFERROR(IF($C28=0,"",H28/'08 - Default &amp; Recovery Stat'!D30),"")</f>
        <v/>
      </c>
      <c r="J28" s="1319" t="str">
        <f>IF($C28=0,"",'08 - Default &amp; Recovery Stat'!G30)</f>
        <v/>
      </c>
      <c r="K28" s="1319" t="str">
        <f t="shared" si="4"/>
        <v/>
      </c>
      <c r="L28" s="1320" t="str">
        <f t="shared" si="3"/>
        <v/>
      </c>
      <c r="M28" s="772"/>
    </row>
    <row r="29" spans="2:13">
      <c r="B29" s="767"/>
      <c r="C29" s="1305" t="str">
        <f>'08 - Default &amp; Recovery Stat'!B31</f>
        <v/>
      </c>
      <c r="D29" s="1316" t="str">
        <f>IF($C29=0,"",'02 - Monthly Asset Follow up'!C36)</f>
        <v/>
      </c>
      <c r="E29" s="1317" t="str">
        <f>IF($C29=0,"",_xlfn.XLOOKUP($C29,INPUT_DATA!$CN:$CN,INPUT_DATA!DP:DP,""))</f>
        <v/>
      </c>
      <c r="F29" s="1316" t="str">
        <f>IF($C29=0,"",'02 - Monthly Asset Follow up'!K36)</f>
        <v/>
      </c>
      <c r="G29" s="1317" t="str">
        <f t="shared" si="1"/>
        <v/>
      </c>
      <c r="H29" s="1326" t="str">
        <f t="shared" si="2"/>
        <v/>
      </c>
      <c r="I29" s="1318" t="str">
        <f>IFERROR(IF($C29=0,"",H29/'08 - Default &amp; Recovery Stat'!D31),"")</f>
        <v/>
      </c>
      <c r="J29" s="1319" t="str">
        <f>IF($C29=0,"",'08 - Default &amp; Recovery Stat'!G31)</f>
        <v/>
      </c>
      <c r="K29" s="1319" t="str">
        <f t="shared" si="4"/>
        <v/>
      </c>
      <c r="L29" s="1320" t="str">
        <f t="shared" si="3"/>
        <v/>
      </c>
      <c r="M29" s="772"/>
    </row>
    <row r="30" spans="2:13">
      <c r="B30" s="767"/>
      <c r="C30" s="1305" t="str">
        <f>'08 - Default &amp; Recovery Stat'!B32</f>
        <v/>
      </c>
      <c r="D30" s="1316" t="str">
        <f>IF($C30=0,"",'02 - Monthly Asset Follow up'!C37)</f>
        <v/>
      </c>
      <c r="E30" s="1317" t="str">
        <f>IF($C30=0,"",_xlfn.XLOOKUP($C30,INPUT_DATA!$CN:$CN,INPUT_DATA!DP:DP,""))</f>
        <v/>
      </c>
      <c r="F30" s="1316" t="str">
        <f>IF($C30=0,"",'02 - Monthly Asset Follow up'!K37)</f>
        <v/>
      </c>
      <c r="G30" s="1317" t="str">
        <f t="shared" si="1"/>
        <v/>
      </c>
      <c r="H30" s="1326" t="str">
        <f t="shared" si="2"/>
        <v/>
      </c>
      <c r="I30" s="1318" t="str">
        <f>IFERROR(IF($C30=0,"",H30/'08 - Default &amp; Recovery Stat'!D32),"")</f>
        <v/>
      </c>
      <c r="J30" s="1319" t="str">
        <f>IF($C30=0,"",'08 - Default &amp; Recovery Stat'!G32)</f>
        <v/>
      </c>
      <c r="K30" s="1319" t="str">
        <f t="shared" si="4"/>
        <v/>
      </c>
      <c r="L30" s="1320" t="str">
        <f t="shared" si="3"/>
        <v/>
      </c>
      <c r="M30" s="772"/>
    </row>
    <row r="31" spans="2:13">
      <c r="B31" s="767"/>
      <c r="C31" s="1305" t="str">
        <f>'08 - Default &amp; Recovery Stat'!B33</f>
        <v/>
      </c>
      <c r="D31" s="1316" t="str">
        <f>IF($C31=0,"",'02 - Monthly Asset Follow up'!C38)</f>
        <v/>
      </c>
      <c r="E31" s="1317" t="str">
        <f>IF($C31=0,"",_xlfn.XLOOKUP($C31,INPUT_DATA!$CN:$CN,INPUT_DATA!DP:DP,""))</f>
        <v/>
      </c>
      <c r="F31" s="1316" t="str">
        <f>IF($C31=0,"",'02 - Monthly Asset Follow up'!K38)</f>
        <v/>
      </c>
      <c r="G31" s="1317" t="str">
        <f t="shared" si="1"/>
        <v/>
      </c>
      <c r="H31" s="1326" t="str">
        <f t="shared" si="2"/>
        <v/>
      </c>
      <c r="I31" s="1318" t="str">
        <f>IFERROR(IF($C31=0,"",H31/'08 - Default &amp; Recovery Stat'!D33),"")</f>
        <v/>
      </c>
      <c r="J31" s="1319" t="str">
        <f>IF($C31=0,"",'08 - Default &amp; Recovery Stat'!G33)</f>
        <v/>
      </c>
      <c r="K31" s="1319" t="str">
        <f t="shared" si="4"/>
        <v/>
      </c>
      <c r="L31" s="1320" t="str">
        <f t="shared" si="3"/>
        <v/>
      </c>
      <c r="M31" s="772"/>
    </row>
    <row r="32" spans="2:13">
      <c r="B32" s="767"/>
      <c r="C32" s="1305" t="str">
        <f>'08 - Default &amp; Recovery Stat'!B34</f>
        <v/>
      </c>
      <c r="D32" s="1316" t="str">
        <f>IF($C32=0,"",'02 - Monthly Asset Follow up'!C39)</f>
        <v/>
      </c>
      <c r="E32" s="1317" t="str">
        <f>IF($C32=0,"",_xlfn.XLOOKUP($C32,INPUT_DATA!$CN:$CN,INPUT_DATA!DP:DP,""))</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IF($C33=0,"",_xlfn.XLOOKUP($C33,INPUT_DATA!$CN:$CN,INPUT_DATA!DP:DP,""))</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IF($C34=0,"",_xlfn.XLOOKUP($C34,INPUT_DATA!$CN:$CN,INPUT_DATA!DP:DP,""))</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IF($C35=0,"",_xlfn.XLOOKUP($C35,INPUT_DATA!$CN:$CN,INPUT_DATA!DP:DP,""))</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IF($C36=0,"",_xlfn.XLOOKUP($C36,INPUT_DATA!$CN:$CN,INPUT_DATA!DP:DP,""))</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IF($C37=0,"",_xlfn.XLOOKUP($C37,INPUT_DATA!$CN:$CN,INPUT_DATA!DP:DP,""))</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IF($C38=0,"",_xlfn.XLOOKUP($C38,INPUT_DATA!$CN:$CN,INPUT_DATA!DP:DP,""))</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IF($C39=0,"",_xlfn.XLOOKUP($C39,INPUT_DATA!$CN:$CN,INPUT_DATA!DP:DP,""))</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IF($C40=0,"",_xlfn.XLOOKUP($C40,INPUT_DATA!$CN:$CN,INPUT_DATA!DP:DP,""))</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IF($C41=0,"",_xlfn.XLOOKUP($C41,INPUT_DATA!$CN:$CN,INPUT_DATA!DP:DP,""))</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IF($C42=0,"",_xlfn.XLOOKUP($C42,INPUT_DATA!$CN:$CN,INPUT_DATA!DP:DP,""))</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IF($C43=0,"",_xlfn.XLOOKUP($C43,INPUT_DATA!$CN:$CN,INPUT_DATA!DP:DP,""))</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IF($C44=0,"",_xlfn.XLOOKUP($C44,INPUT_DATA!$CN:$CN,INPUT_DATA!DP:DP,""))</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IF($C45=0,"",_xlfn.XLOOKUP($C45,INPUT_DATA!$CN:$CN,INPUT_DATA!DP:DP,""))</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IF($C46=0,"",_xlfn.XLOOKUP($C46,INPUT_DATA!$CN:$CN,INPUT_DATA!DP:DP,""))</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IF($C47=0,"",_xlfn.XLOOKUP($C47,INPUT_DATA!$CN:$CN,INPUT_DATA!DP:DP,""))</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IF($C48=0,"",_xlfn.XLOOKUP($C48,INPUT_DATA!$CN:$CN,INPUT_DATA!DP:DP,""))</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IF($C49=0,"",_xlfn.XLOOKUP($C49,INPUT_DATA!$CN:$CN,INPUT_DATA!DP:DP,""))</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IF($C50=0,"",_xlfn.XLOOKUP($C50,INPUT_DATA!$CN:$CN,INPUT_DATA!DP:DP,""))</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IF($C51=0,"",_xlfn.XLOOKUP($C51,INPUT_DATA!$CN:$CN,INPUT_DATA!DP:DP,""))</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IF($C52=0,"",_xlfn.XLOOKUP($C52,INPUT_DATA!$CN:$CN,INPUT_DATA!DP:DP,""))</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IF($C53=0,"",_xlfn.XLOOKUP($C53,INPUT_DATA!$CN:$CN,INPUT_DATA!DP:DP,""))</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IF($C54=0,"",_xlfn.XLOOKUP($C54,INPUT_DATA!$CN:$CN,INPUT_DATA!DP:DP,""))</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1" t="str">
        <f>'08 - Default &amp; Recovery Stat'!B57</f>
        <v/>
      </c>
      <c r="D55" s="1752" t="str">
        <f>IF($C55=0,"",'02 - Monthly Asset Follow up'!C62)</f>
        <v/>
      </c>
      <c r="E55" s="1753" t="str">
        <f>IF($C55=0,"",_xlfn.XLOOKUP($C55,INPUT_DATA!$CN:$CN,INPUT_DATA!DP:DP,""))</f>
        <v/>
      </c>
      <c r="F55" s="1752" t="str">
        <f>IF($C55=0,"",'02 - Monthly Asset Follow up'!K62)</f>
        <v/>
      </c>
      <c r="G55" s="1753" t="str">
        <f>IF($C55=0,"",IF(G56="",E55,E55+G56))</f>
        <v/>
      </c>
      <c r="H55" s="1754" t="str">
        <f t="shared" si="2"/>
        <v/>
      </c>
      <c r="I55" s="1755" t="str">
        <f>IFERROR(IF($C55=0,"",H55/'08 - Default &amp; Recovery Stat'!D57),"")</f>
        <v/>
      </c>
      <c r="J55" s="1756" t="str">
        <f>IF($C55=0,"",'08 - Default &amp; Recovery Stat'!G57)</f>
        <v/>
      </c>
      <c r="K55" s="1756" t="str">
        <f t="shared" si="4"/>
        <v/>
      </c>
      <c r="L55" s="1757"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5" thickBot="1">
      <c r="B61" s="780"/>
      <c r="C61" s="613" t="s">
        <v>143</v>
      </c>
      <c r="D61" s="613" t="s">
        <v>143</v>
      </c>
      <c r="E61" s="613" t="s">
        <v>143</v>
      </c>
      <c r="F61" s="613" t="s">
        <v>143</v>
      </c>
      <c r="G61" s="613" t="s">
        <v>143</v>
      </c>
      <c r="H61" s="1750" t="s">
        <v>143</v>
      </c>
      <c r="I61" s="613" t="s">
        <v>143</v>
      </c>
      <c r="J61" s="613" t="s">
        <v>143</v>
      </c>
      <c r="K61" s="613" t="s">
        <v>143</v>
      </c>
      <c r="L61" s="613" t="s">
        <v>143</v>
      </c>
      <c r="M61" s="784"/>
    </row>
    <row r="62" spans="2:13" ht="13.5"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heetViews>
  <sheetFormatPr defaultColWidth="11.42578125" defaultRowHeight="12.75"/>
  <cols>
    <col min="1" max="1" width="2.7109375" style="592" customWidth="1"/>
    <col min="2" max="2" width="6.28515625" style="592" customWidth="1"/>
    <col min="3" max="8" width="28.5703125" style="592" customWidth="1"/>
    <col min="9" max="9" width="13.7109375" style="592" customWidth="1"/>
    <col min="10" max="10" width="7.42578125" style="592" customWidth="1"/>
    <col min="11" max="16384" width="11.42578125" style="592"/>
  </cols>
  <sheetData>
    <row r="1" spans="2:9" ht="13.5" thickBot="1"/>
    <row r="2" spans="2:9" ht="28.5" thickTop="1">
      <c r="B2" s="1192"/>
      <c r="C2" s="1066"/>
      <c r="D2" s="1066"/>
      <c r="E2" s="757"/>
      <c r="F2" s="757"/>
      <c r="G2" s="757"/>
      <c r="H2" s="534" t="s">
        <v>232</v>
      </c>
      <c r="I2" s="535">
        <f>'Default &amp; Recovery Analysis'!L2</f>
        <v>46022</v>
      </c>
    </row>
    <row r="3" spans="2:9" ht="14.25">
      <c r="B3" s="623"/>
      <c r="C3" s="761"/>
      <c r="D3" s="761"/>
      <c r="E3" s="596"/>
      <c r="F3" s="596"/>
      <c r="G3" s="596"/>
      <c r="H3" s="540" t="s">
        <v>233</v>
      </c>
      <c r="I3" s="541">
        <f>'Default &amp; Recovery Analysis'!L3</f>
        <v>46037</v>
      </c>
    </row>
    <row r="4" spans="2:9" ht="23.25">
      <c r="B4" s="2103"/>
      <c r="C4" s="2104"/>
      <c r="D4" s="2104"/>
      <c r="E4" s="2141" t="s">
        <v>599</v>
      </c>
      <c r="F4" s="2141"/>
      <c r="G4" s="1043"/>
      <c r="H4" s="540" t="s">
        <v>234</v>
      </c>
      <c r="I4" s="541">
        <f>'Default &amp; Recovery Analysis'!L4</f>
        <v>46042</v>
      </c>
    </row>
    <row r="5" spans="2:9" ht="23.25">
      <c r="B5" s="2103"/>
      <c r="C5" s="2104"/>
      <c r="D5" s="2104"/>
      <c r="E5" s="2141"/>
      <c r="F5" s="2141"/>
      <c r="G5" s="1043"/>
      <c r="H5" s="540" t="s">
        <v>235</v>
      </c>
      <c r="I5" s="541">
        <f>'Default &amp; Recovery Analysis'!L5</f>
        <v>46049</v>
      </c>
    </row>
    <row r="6" spans="2:9" ht="14.25">
      <c r="B6" s="759"/>
      <c r="C6" s="596"/>
      <c r="D6" s="596"/>
      <c r="E6" s="596"/>
      <c r="F6" s="596"/>
      <c r="G6" s="596"/>
      <c r="H6" s="540" t="s">
        <v>236</v>
      </c>
      <c r="I6" s="543">
        <f>'Default &amp; Recovery Analysis'!L6</f>
        <v>15</v>
      </c>
    </row>
    <row r="7" spans="2:9" ht="14.25">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c r="B10" s="1327">
        <f>I6</f>
        <v>15</v>
      </c>
      <c r="C10" s="1743">
        <f>'05 - Prepayment Rate'!B12</f>
        <v>46022</v>
      </c>
      <c r="D10" s="1060">
        <f>'Default &amp; Recovery Analysis'!D10</f>
        <v>11410540020.709999</v>
      </c>
      <c r="E10" s="1060">
        <f>IF($C10=0,"",'05 - Prepayment Rate'!E12)</f>
        <v>28299915.91</v>
      </c>
      <c r="F10" s="1064">
        <f>'05 - Prepayment Rate'!D12</f>
        <v>2.4801557032915161E-3</v>
      </c>
      <c r="G10" s="1071">
        <f>IF(C11=0,"",F10*12)</f>
        <v>2.9761868439498192E-2</v>
      </c>
      <c r="H10" s="1071">
        <f t="shared" ref="H10:H15" si="0">IF(C12=0,"",((1+E10/D10)^12)-1)</f>
        <v>3.0171220906261009E-2</v>
      </c>
      <c r="I10" s="772"/>
    </row>
    <row r="11" spans="2:9">
      <c r="B11" s="767"/>
      <c r="C11" s="1744">
        <f>'05 - Prepayment Rate'!B13</f>
        <v>45991</v>
      </c>
      <c r="D11" s="1060">
        <f>'Default &amp; Recovery Analysis'!D11</f>
        <v>11501221849.950001</v>
      </c>
      <c r="E11" s="1060">
        <f>IF($C11=0,"",'05 - Prepayment Rate'!E13)</f>
        <v>24036133.25</v>
      </c>
      <c r="F11" s="1064">
        <f>'05 - Prepayment Rate'!D13</f>
        <v>2.089876498652575E-3</v>
      </c>
      <c r="G11" s="1071">
        <f>IF(C12=0,"",F11*12)</f>
        <v>2.50785179838309E-2</v>
      </c>
      <c r="H11" s="1071">
        <f t="shared" si="0"/>
        <v>2.5368796083804268E-2</v>
      </c>
      <c r="I11" s="772"/>
    </row>
    <row r="12" spans="2:9">
      <c r="B12" s="767"/>
      <c r="C12" s="1744">
        <f>'05 - Prepayment Rate'!B14</f>
        <v>45961</v>
      </c>
      <c r="D12" s="1060">
        <f>'Default &amp; Recovery Analysis'!D12</f>
        <v>11613993146.950001</v>
      </c>
      <c r="E12" s="1060">
        <f>IF($C12=0,"",'05 - Prepayment Rate'!E14)</f>
        <v>30948441.43</v>
      </c>
      <c r="F12" s="1064">
        <f>'05 - Prepayment Rate'!D14</f>
        <v>2.6647545799635243E-3</v>
      </c>
      <c r="G12" s="1071">
        <f t="shared" ref="G12:G34" si="1">IF(C13=0,"",F12*12)</f>
        <v>3.1977054959562295E-2</v>
      </c>
      <c r="H12" s="1071">
        <f t="shared" si="0"/>
        <v>3.2449903430048055E-2</v>
      </c>
      <c r="I12" s="772"/>
    </row>
    <row r="13" spans="2:9">
      <c r="B13" s="767"/>
      <c r="C13" s="1744">
        <f>'05 - Prepayment Rate'!B15</f>
        <v>45930</v>
      </c>
      <c r="D13" s="1060">
        <f>'Default &amp; Recovery Analysis'!D13</f>
        <v>7430770897.8500004</v>
      </c>
      <c r="E13" s="1060">
        <f>IF($C13=0,"",'05 - Prepayment Rate'!E15)</f>
        <v>18140271.010000002</v>
      </c>
      <c r="F13" s="1064">
        <f>'05 - Prepayment Rate'!D15</f>
        <v>2.4412367517949798E-3</v>
      </c>
      <c r="G13" s="1071">
        <f t="shared" si="1"/>
        <v>2.9294841021539758E-2</v>
      </c>
      <c r="H13" s="1071">
        <f t="shared" si="0"/>
        <v>2.9691395460031078E-2</v>
      </c>
      <c r="I13" s="772"/>
    </row>
    <row r="14" spans="2:9">
      <c r="B14" s="767"/>
      <c r="C14" s="1744">
        <f>'05 - Prepayment Rate'!B16</f>
        <v>45900</v>
      </c>
      <c r="D14" s="1060">
        <f>'Default &amp; Recovery Analysis'!D14</f>
        <v>7501402080.4799995</v>
      </c>
      <c r="E14" s="1060">
        <f>IF($C14=0,"",'05 - Prepayment Rate'!E16)</f>
        <v>24368146.75</v>
      </c>
      <c r="F14" s="1064">
        <f>'05 - Prepayment Rate'!D16</f>
        <v>3.2484789494766999E-3</v>
      </c>
      <c r="G14" s="1071">
        <f t="shared" si="1"/>
        <v>3.8981747393720401E-2</v>
      </c>
      <c r="H14" s="1071">
        <f t="shared" si="0"/>
        <v>3.9685817014228908E-2</v>
      </c>
      <c r="I14" s="772"/>
    </row>
    <row r="15" spans="2:9">
      <c r="B15" s="767"/>
      <c r="C15" s="1744">
        <f>'05 - Prepayment Rate'!B17</f>
        <v>45869</v>
      </c>
      <c r="D15" s="1060">
        <f>IF($C16=0,"",'02 - Monthly Asset Follow up'!C22)</f>
        <v>7570005186.9899998</v>
      </c>
      <c r="E15" s="1060">
        <f>IF($C15=0,"",'05 - Prepayment Rate'!E17)</f>
        <v>23530806</v>
      </c>
      <c r="F15" s="1064">
        <f>'05 - Prepayment Rate'!D17</f>
        <v>3.1084266679817646E-3</v>
      </c>
      <c r="G15" s="1071">
        <f t="shared" si="1"/>
        <v>3.7301120015781175E-2</v>
      </c>
      <c r="H15" s="1071">
        <f t="shared" si="0"/>
        <v>3.7945486951348251E-2</v>
      </c>
      <c r="I15" s="772"/>
    </row>
    <row r="16" spans="2:9">
      <c r="B16" s="767"/>
      <c r="C16" s="1744">
        <f>'05 - Prepayment Rate'!B18</f>
        <v>45838</v>
      </c>
      <c r="D16" s="1060">
        <f>IF($C17=0,"",'02 - Monthly Asset Follow up'!C23)</f>
        <v>7635175945.3199997</v>
      </c>
      <c r="E16" s="1060">
        <f>IF($C16=0,"",'05 - Prepayment Rate'!E18)</f>
        <v>17402933.100000001</v>
      </c>
      <c r="F16" s="1064">
        <f>'05 - Prepayment Rate'!D18</f>
        <v>2.2793100282996323E-3</v>
      </c>
      <c r="G16" s="1071">
        <f t="shared" si="1"/>
        <v>2.7351720339595587E-2</v>
      </c>
      <c r="H16" s="1071">
        <f>IF(C17=0,"",((1+E16/D16)^12)-1)</f>
        <v>2.7697225677268067E-2</v>
      </c>
      <c r="I16" s="772"/>
    </row>
    <row r="17" spans="2:9">
      <c r="B17" s="767"/>
      <c r="C17" s="1744">
        <f>'05 - Prepayment Rate'!B19</f>
        <v>45808</v>
      </c>
      <c r="D17" s="1060">
        <f>IF($C18=0,"",'02 - Monthly Asset Follow up'!C24)</f>
        <v>7700874478.6099997</v>
      </c>
      <c r="E17" s="1060">
        <f>IF($C17=0,"",'05 - Prepayment Rate'!E19)</f>
        <v>19519847.550000001</v>
      </c>
      <c r="F17" s="1064">
        <f>'05 - Prepayment Rate'!D19</f>
        <v>2.5347572674010543E-3</v>
      </c>
      <c r="G17" s="1071">
        <f t="shared" si="1"/>
        <v>3.041708720881265E-2</v>
      </c>
      <c r="H17" s="1071">
        <f t="shared" ref="H17:H34" si="2">IF(C18=0,"",((1+E17/D17)^12)-1)</f>
        <v>3.0844740232787826E-2</v>
      </c>
      <c r="I17" s="772"/>
    </row>
    <row r="18" spans="2:9">
      <c r="B18" s="767"/>
      <c r="C18" s="1744">
        <f>'05 - Prepayment Rate'!B20</f>
        <v>45777</v>
      </c>
      <c r="D18" s="1060">
        <f>IF($C19=0,"",'02 - Monthly Asset Follow up'!C25)</f>
        <v>7762584280.3299999</v>
      </c>
      <c r="E18" s="1060">
        <f>IF($C18=0,"",'05 - Prepayment Rate'!E20)</f>
        <v>14842897.939999999</v>
      </c>
      <c r="F18" s="1064">
        <f>'05 - Prepayment Rate'!D20</f>
        <v>1.9121077986375182E-3</v>
      </c>
      <c r="G18" s="1071">
        <f t="shared" si="1"/>
        <v>2.2945293583650217E-2</v>
      </c>
      <c r="H18" s="1071">
        <f t="shared" si="2"/>
        <v>2.318814454452478E-2</v>
      </c>
      <c r="I18" s="772"/>
    </row>
    <row r="19" spans="2:9">
      <c r="B19" s="767"/>
      <c r="C19" s="1744">
        <f>'05 - Prepayment Rate'!B21</f>
        <v>45747</v>
      </c>
      <c r="D19" s="1060">
        <f>IF($C20=0,"",'02 - Monthly Asset Follow up'!C26)</f>
        <v>7821840687.46</v>
      </c>
      <c r="E19" s="1060">
        <f>IF($C19=0,"",'05 - Prepayment Rate'!E21)</f>
        <v>15107591.52</v>
      </c>
      <c r="F19" s="1064">
        <f>'05 - Prepayment Rate'!D21</f>
        <v>1.9314624426217909E-3</v>
      </c>
      <c r="G19" s="1071">
        <f t="shared" si="1"/>
        <v>2.3177549311461491E-2</v>
      </c>
      <c r="H19" s="1071">
        <f t="shared" si="2"/>
        <v>2.3425357525328261E-2</v>
      </c>
      <c r="I19" s="772"/>
    </row>
    <row r="20" spans="2:9">
      <c r="B20" s="767"/>
      <c r="C20" s="1744">
        <f>'05 - Prepayment Rate'!B22</f>
        <v>45716</v>
      </c>
      <c r="D20" s="1060">
        <f>IF($C21=0,"",'02 - Monthly Asset Follow up'!C27)</f>
        <v>7882097726.96</v>
      </c>
      <c r="E20" s="1060">
        <f>IF($C20=0,"",'05 - Prepayment Rate'!E22)</f>
        <v>13656654.539999999</v>
      </c>
      <c r="F20" s="1064">
        <f>'05 - Prepayment Rate'!D22</f>
        <v>1.7326167491286807E-3</v>
      </c>
      <c r="G20" s="1071">
        <f t="shared" si="1"/>
        <v>2.079140098954417E-2</v>
      </c>
      <c r="H20" s="1071">
        <f t="shared" si="2"/>
        <v>2.0990679149982094E-2</v>
      </c>
      <c r="I20" s="772"/>
    </row>
    <row r="21" spans="2:9">
      <c r="B21" s="767"/>
      <c r="C21" s="1744">
        <f>'05 - Prepayment Rate'!B23</f>
        <v>45688</v>
      </c>
      <c r="D21" s="1060">
        <f>IF($C22=0,"",'02 - Monthly Asset Follow up'!C28)</f>
        <v>7942231678.1999998</v>
      </c>
      <c r="E21" s="1060">
        <f>IF($C21=0,"",'05 - Prepayment Rate'!E23)</f>
        <v>13800626.789999999</v>
      </c>
      <c r="F21" s="1064">
        <f>'05 - Prepayment Rate'!D23</f>
        <v>1.737625814653612E-3</v>
      </c>
      <c r="G21" s="1071">
        <f t="shared" si="1"/>
        <v>2.0851509775843345E-2</v>
      </c>
      <c r="H21" s="1071">
        <f t="shared" si="2"/>
        <v>2.1051945197799293E-2</v>
      </c>
      <c r="I21" s="772"/>
    </row>
    <row r="22" spans="2:9">
      <c r="B22" s="767"/>
      <c r="C22" s="1744">
        <f>'05 - Prepayment Rate'!B24</f>
        <v>45657</v>
      </c>
      <c r="D22" s="1060">
        <f>IF($C23=0,"",'02 - Monthly Asset Follow up'!C29)</f>
        <v>8062678431.4300003</v>
      </c>
      <c r="E22" s="1060">
        <f>IF($C22=0,"",'05 - Prepayment Rate'!E24)</f>
        <v>14770590.32</v>
      </c>
      <c r="F22" s="1064">
        <f>'05 - Prepayment Rate'!D24</f>
        <v>1.8319706590828628E-3</v>
      </c>
      <c r="G22" s="1071">
        <f t="shared" si="1"/>
        <v>2.1983647908994354E-2</v>
      </c>
      <c r="H22" s="1071">
        <f t="shared" si="2"/>
        <v>2.2206509817060294E-2</v>
      </c>
      <c r="I22" s="772"/>
    </row>
    <row r="23" spans="2:9">
      <c r="B23" s="767"/>
      <c r="C23" s="1744">
        <f>'05 - Prepayment Rate'!B25</f>
        <v>45626</v>
      </c>
      <c r="D23" s="1060">
        <f>IF($C24=0,"",'02 - Monthly Asset Follow up'!C30)</f>
        <v>8120798931.6599998</v>
      </c>
      <c r="E23" s="1060">
        <f>IF($C23=0,"",'05 - Prepayment Rate'!E25)</f>
        <v>12780562.119999999</v>
      </c>
      <c r="F23" s="1064">
        <f>'05 - Prepayment Rate'!D25</f>
        <v>1.573806004502008E-3</v>
      </c>
      <c r="G23" s="1071">
        <f t="shared" si="1"/>
        <v>1.8885672054024097E-2</v>
      </c>
      <c r="H23" s="1071">
        <f t="shared" si="2"/>
        <v>1.9050005794088554E-2</v>
      </c>
      <c r="I23" s="772"/>
    </row>
    <row r="24" spans="2:9">
      <c r="B24" s="767"/>
      <c r="C24" s="1744">
        <f>'05 - Prepayment Rate'!B26</f>
        <v>45596</v>
      </c>
      <c r="D24" s="1060">
        <f>IF($C25=0,"",'02 - Monthly Asset Follow up'!C31)</f>
        <v>8182368484.4700003</v>
      </c>
      <c r="E24" s="1060">
        <f>IF($C24=0,"",'05 - Prepayment Rate'!E26)</f>
        <v>12577297.26</v>
      </c>
      <c r="F24" s="1064">
        <f>'05 - Prepayment Rate'!D26</f>
        <v>1.5371218350617552E-3</v>
      </c>
      <c r="G24" s="1071">
        <f t="shared" si="1"/>
        <v>1.8445462020741064E-2</v>
      </c>
      <c r="H24" s="1071">
        <f t="shared" si="2"/>
        <v>1.8602204865709515E-2</v>
      </c>
      <c r="I24" s="772"/>
    </row>
    <row r="25" spans="2:9">
      <c r="B25" s="767"/>
      <c r="C25" s="1744">
        <f>'05 - Prepayment Rate'!B27</f>
        <v>45565</v>
      </c>
      <c r="D25" s="1060" t="str">
        <f>IF($C26=0,"",'02 - Monthly Asset Follow up'!C32)</f>
        <v/>
      </c>
      <c r="E25" s="1060" t="str">
        <f>IF($C25=0,"",'05 - Prepayment Rate'!E27)</f>
        <v/>
      </c>
      <c r="F25" s="1064" t="str">
        <f>'05 - Prepayment Rate'!D27</f>
        <v/>
      </c>
      <c r="G25" s="1071" t="str">
        <f t="shared" si="1"/>
        <v/>
      </c>
      <c r="H25" s="1071" t="str">
        <f t="shared" si="2"/>
        <v/>
      </c>
      <c r="I25" s="772"/>
    </row>
    <row r="26" spans="2:9">
      <c r="B26" s="767"/>
      <c r="C26" s="1744">
        <f>'05 - Prepayment Rate'!B28</f>
        <v>0</v>
      </c>
      <c r="D26" s="1060" t="str">
        <f>IF($C27=0,"",'02 - Monthly Asset Follow up'!C33)</f>
        <v/>
      </c>
      <c r="E26" s="1060" t="str">
        <f>IF($C26=0,"",'05 - Prepayment Rate'!E28)</f>
        <v/>
      </c>
      <c r="F26" s="1064" t="str">
        <f>'05 - Prepayment Rate'!D28</f>
        <v/>
      </c>
      <c r="G26" s="1071" t="str">
        <f t="shared" si="1"/>
        <v/>
      </c>
      <c r="H26" s="1071" t="str">
        <f t="shared" si="2"/>
        <v/>
      </c>
      <c r="I26" s="772"/>
    </row>
    <row r="27" spans="2:9">
      <c r="B27" s="767"/>
      <c r="C27" s="1744">
        <f>'05 - Prepayment Rate'!B29</f>
        <v>0</v>
      </c>
      <c r="D27" s="1060" t="str">
        <f>IF($C28=0,"",'02 - Monthly Asset Follow up'!C34)</f>
        <v/>
      </c>
      <c r="E27" s="1060" t="str">
        <f>IF($C27=0,"",'05 - Prepayment Rate'!E29)</f>
        <v/>
      </c>
      <c r="F27" s="1064" t="str">
        <f>'05 - Prepayment Rate'!D29</f>
        <v/>
      </c>
      <c r="G27" s="1071" t="str">
        <f t="shared" si="1"/>
        <v/>
      </c>
      <c r="H27" s="1071" t="str">
        <f t="shared" si="2"/>
        <v/>
      </c>
      <c r="I27" s="772"/>
    </row>
    <row r="28" spans="2:9">
      <c r="B28" s="767"/>
      <c r="C28" s="1744">
        <f>'05 - Prepayment Rate'!B30</f>
        <v>0</v>
      </c>
      <c r="D28" s="1060" t="str">
        <f>IF($C29=0,"",'02 - Monthly Asset Follow up'!C35)</f>
        <v/>
      </c>
      <c r="E28" s="1060" t="str">
        <f>IF($C28=0,"",'05 - Prepayment Rate'!E30)</f>
        <v/>
      </c>
      <c r="F28" s="1064" t="str">
        <f>'05 - Prepayment Rate'!D30</f>
        <v/>
      </c>
      <c r="G28" s="1071" t="str">
        <f t="shared" si="1"/>
        <v/>
      </c>
      <c r="H28" s="1071" t="str">
        <f t="shared" si="2"/>
        <v/>
      </c>
      <c r="I28" s="772"/>
    </row>
    <row r="29" spans="2:9">
      <c r="B29" s="767"/>
      <c r="C29" s="1744">
        <f>'05 - Prepayment Rate'!B31</f>
        <v>0</v>
      </c>
      <c r="D29" s="1060" t="str">
        <f>IF($C30=0,"",'02 - Monthly Asset Follow up'!C36)</f>
        <v/>
      </c>
      <c r="E29" s="1060" t="str">
        <f>IF($C29=0,"",'05 - Prepayment Rate'!E31)</f>
        <v/>
      </c>
      <c r="F29" s="1064" t="str">
        <f>'05 - Prepayment Rate'!D31</f>
        <v/>
      </c>
      <c r="G29" s="1071" t="str">
        <f t="shared" si="1"/>
        <v/>
      </c>
      <c r="H29" s="1071" t="str">
        <f t="shared" si="2"/>
        <v/>
      </c>
      <c r="I29" s="772"/>
    </row>
    <row r="30" spans="2:9">
      <c r="B30" s="767"/>
      <c r="C30" s="1744">
        <f>'05 - Prepayment Rate'!B32</f>
        <v>0</v>
      </c>
      <c r="D30" s="1060" t="str">
        <f>IF($C31=0,"",'02 - Monthly Asset Follow up'!C37)</f>
        <v/>
      </c>
      <c r="E30" s="1060" t="str">
        <f>IF($C30=0,"",'05 - Prepayment Rate'!E32)</f>
        <v/>
      </c>
      <c r="F30" s="1064" t="str">
        <f>'05 - Prepayment Rate'!D32</f>
        <v/>
      </c>
      <c r="G30" s="1071" t="str">
        <f t="shared" si="1"/>
        <v/>
      </c>
      <c r="H30" s="1071" t="str">
        <f t="shared" si="2"/>
        <v/>
      </c>
      <c r="I30" s="772"/>
    </row>
    <row r="31" spans="2:9">
      <c r="B31" s="767"/>
      <c r="C31" s="1744">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c r="B32" s="767"/>
      <c r="C32" s="1744">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c r="B33" s="767"/>
      <c r="C33" s="1744">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c r="B34" s="767"/>
      <c r="C34" s="1744">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c r="B35" s="767"/>
      <c r="C35" s="1745">
        <f>'05 - Prepayment Rate'!B37</f>
        <v>0</v>
      </c>
      <c r="D35" s="1746" t="str">
        <f>'Default &amp; Recovery Analysis'!D35</f>
        <v/>
      </c>
      <c r="E35" s="1746" t="str">
        <f>IF($C35=0,"",'05 - Prepayment Rate'!E37)</f>
        <v/>
      </c>
      <c r="F35" s="1747" t="str">
        <f>'05 - Prepayment Rate'!D37</f>
        <v/>
      </c>
      <c r="G35" s="1748"/>
      <c r="H35" s="1748"/>
      <c r="I35" s="772"/>
    </row>
    <row r="36" spans="2:9">
      <c r="B36" s="767"/>
      <c r="C36" s="592" t="s">
        <v>143</v>
      </c>
      <c r="D36" s="592" t="s">
        <v>143</v>
      </c>
      <c r="E36" s="592" t="s">
        <v>143</v>
      </c>
      <c r="F36" s="592" t="s">
        <v>143</v>
      </c>
      <c r="I36" s="772"/>
    </row>
    <row r="37" spans="2:9" ht="13.5" thickBot="1">
      <c r="B37" s="780"/>
      <c r="C37" s="1038"/>
      <c r="D37" s="1038"/>
      <c r="E37" s="1038"/>
      <c r="F37" s="1038"/>
      <c r="G37" s="1038"/>
      <c r="H37" s="1038"/>
      <c r="I37" s="784"/>
    </row>
    <row r="38" spans="2:9" ht="13.5"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heetViews>
  <sheetFormatPr defaultColWidth="9.140625" defaultRowHeight="15"/>
  <cols>
    <col min="1" max="1" width="59.85546875" style="1072" customWidth="1"/>
    <col min="2" max="2" width="2.7109375" style="1073" customWidth="1"/>
    <col min="3" max="3" width="1.28515625" style="1073" customWidth="1"/>
    <col min="4" max="4" width="16.42578125" style="1074" bestFit="1" customWidth="1"/>
    <col min="5" max="5" width="13.5703125" style="1074" bestFit="1" customWidth="1"/>
    <col min="6" max="6" width="15.28515625" style="1075" bestFit="1" customWidth="1"/>
    <col min="7" max="7" width="8.42578125" style="1076" bestFit="1" customWidth="1"/>
    <col min="8" max="8" width="22.140625" style="1077" bestFit="1" customWidth="1"/>
    <col min="9" max="9" width="2.7109375" style="1074" customWidth="1"/>
    <col min="10" max="10" width="17.5703125" style="1074" bestFit="1" customWidth="1"/>
    <col min="11" max="11" width="14.85546875" style="1078" bestFit="1" customWidth="1"/>
    <col min="12" max="12" width="14.85546875" style="1074" bestFit="1" customWidth="1"/>
    <col min="13" max="13" width="15.42578125" style="1074" bestFit="1" customWidth="1"/>
    <col min="14" max="14" width="16.42578125" style="1074" bestFit="1" customWidth="1"/>
    <col min="15" max="15" width="2.42578125" style="1074" customWidth="1"/>
    <col min="16" max="17" width="29.5703125" style="1074" customWidth="1"/>
    <col min="18" max="18" width="16.42578125" style="1074" bestFit="1" customWidth="1"/>
    <col min="19" max="19" width="20.42578125" style="1074" bestFit="1" customWidth="1"/>
    <col min="20" max="20" width="16.42578125" style="1074" bestFit="1" customWidth="1"/>
    <col min="21" max="21" width="8.5703125" style="1074" bestFit="1" customWidth="1"/>
    <col min="22" max="22" width="7.7109375" style="1079" bestFit="1" customWidth="1"/>
    <col min="23" max="23" width="4.28515625" style="1074" customWidth="1"/>
    <col min="24" max="24" width="15.42578125" style="1074" bestFit="1" customWidth="1"/>
    <col min="25" max="25" width="20.42578125" style="1074" bestFit="1" customWidth="1"/>
    <col min="26" max="26" width="15.42578125" style="1074" bestFit="1" customWidth="1"/>
    <col min="27" max="27" width="11.85546875" style="1074" bestFit="1" customWidth="1"/>
    <col min="28" max="28" width="4.28515625" style="1074" customWidth="1"/>
    <col min="29" max="16384" width="9.140625" style="1074"/>
  </cols>
  <sheetData>
    <row r="1" spans="1:28" ht="15" customHeight="1" thickBot="1"/>
    <row r="2" spans="1:28" s="1093" customFormat="1" ht="39.950000000000003"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75">
      <c r="A3" s="1094" t="s">
        <v>606</v>
      </c>
      <c r="B3" s="1081"/>
      <c r="C3" s="1095"/>
      <c r="F3" s="1096"/>
      <c r="G3" s="1097"/>
      <c r="H3" s="1098"/>
      <c r="K3" s="1099"/>
      <c r="V3" s="1100"/>
      <c r="Y3" s="1101"/>
      <c r="Z3" s="540"/>
      <c r="AA3" s="621"/>
      <c r="AB3" s="1102"/>
    </row>
    <row r="4" spans="1:28" s="1093" customFormat="1">
      <c r="A4" s="1103" t="s">
        <v>607</v>
      </c>
      <c r="B4" s="1081"/>
      <c r="C4" s="1095"/>
      <c r="D4" s="2148"/>
      <c r="E4" s="2148"/>
      <c r="F4" s="2148"/>
      <c r="G4" s="1097"/>
      <c r="H4" s="2149" t="s">
        <v>608</v>
      </c>
      <c r="I4" s="2149"/>
      <c r="J4" s="2149"/>
      <c r="K4" s="2149"/>
      <c r="L4" s="2149"/>
      <c r="M4" s="2149"/>
      <c r="N4" s="2149"/>
      <c r="O4" s="2149"/>
      <c r="P4" s="2149"/>
      <c r="Q4" s="2149"/>
      <c r="R4" s="2149"/>
      <c r="S4" s="2149"/>
      <c r="T4" s="2149"/>
      <c r="U4" s="2149"/>
      <c r="V4" s="2149"/>
      <c r="W4" s="2149"/>
      <c r="X4" s="2149"/>
      <c r="Y4" s="1101"/>
      <c r="Z4" s="540"/>
      <c r="AA4" s="621"/>
      <c r="AB4" s="1102"/>
    </row>
    <row r="5" spans="1:28" s="1093" customFormat="1">
      <c r="A5" s="1197">
        <v>8182368484.4700003</v>
      </c>
      <c r="B5" s="1081"/>
      <c r="C5" s="1095"/>
      <c r="D5" s="2148"/>
      <c r="E5" s="2148"/>
      <c r="F5" s="2148"/>
      <c r="G5" s="1097"/>
      <c r="H5" s="2149"/>
      <c r="I5" s="2149"/>
      <c r="J5" s="2149"/>
      <c r="K5" s="2149"/>
      <c r="L5" s="2149"/>
      <c r="M5" s="2149"/>
      <c r="N5" s="2149"/>
      <c r="O5" s="2149"/>
      <c r="P5" s="2149"/>
      <c r="Q5" s="2149"/>
      <c r="R5" s="2149"/>
      <c r="S5" s="2149"/>
      <c r="T5" s="2149"/>
      <c r="U5" s="2149"/>
      <c r="V5" s="2149"/>
      <c r="W5" s="2149"/>
      <c r="X5" s="2149"/>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11314220550.59</v>
      </c>
      <c r="C7" s="1104"/>
      <c r="H7" s="1565" t="s">
        <v>1312</v>
      </c>
      <c r="AB7" s="1105"/>
    </row>
    <row r="8" spans="1:28" s="1106" customFormat="1">
      <c r="B8" s="1107"/>
      <c r="C8" s="1108"/>
      <c r="D8" s="1109"/>
      <c r="E8" s="1109"/>
      <c r="F8" s="1110"/>
      <c r="G8" s="1111"/>
      <c r="H8" s="1564" t="s">
        <v>610</v>
      </c>
      <c r="I8" s="1111"/>
      <c r="J8" s="2150" t="s">
        <v>611</v>
      </c>
      <c r="K8" s="2150"/>
      <c r="L8" s="2150"/>
      <c r="M8" s="2150"/>
      <c r="N8" s="2150"/>
      <c r="O8" s="1111"/>
      <c r="P8" s="2150" t="s">
        <v>118</v>
      </c>
      <c r="Q8" s="2150"/>
      <c r="R8" s="2150"/>
      <c r="S8" s="2150"/>
      <c r="T8" s="2150"/>
      <c r="U8" s="2150"/>
      <c r="V8" s="2150"/>
      <c r="X8" s="2150" t="s">
        <v>119</v>
      </c>
      <c r="Y8" s="2150"/>
      <c r="Z8" s="2150"/>
      <c r="AA8" s="2150"/>
      <c r="AB8" s="1112"/>
    </row>
    <row r="9" spans="1:28" ht="15.7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46053</v>
      </c>
      <c r="E11" s="1126">
        <f>'00 - Cover'!F21</f>
        <v>46080</v>
      </c>
      <c r="F11" s="1127">
        <f>IF(E11&lt;&gt;"",E11-$A$31,"")</f>
        <v>31</v>
      </c>
      <c r="G11" s="1128">
        <f>IF(F11&lt;&gt;"",COUNTIF($F$11:F11,"&gt;0"),"")</f>
        <v>1</v>
      </c>
      <c r="H11" s="1129">
        <v>5.7045189783785418E-3</v>
      </c>
      <c r="I11" s="1128"/>
      <c r="J11" s="1130">
        <f>IF(G11=1,$A$7,N10)</f>
        <v>11314220550.59</v>
      </c>
      <c r="K11" s="1131">
        <f>H11*J11</f>
        <v>64542185.856401168</v>
      </c>
      <c r="L11" s="1130">
        <f>IF(E11&lt;&gt;"",(1-(1-$A$25)^(1/12))*(J11-K11),"")</f>
        <v>0</v>
      </c>
      <c r="M11" s="1130">
        <f>IF(J11-K11-L11&lt;$A$27*$A$5,J11-K11-L11,0)</f>
        <v>0</v>
      </c>
      <c r="N11" s="1130">
        <f>IF(E11&lt;&gt;"",J11-K11-L11-M11,"")</f>
        <v>11249678364.733599</v>
      </c>
      <c r="O11" s="1073"/>
      <c r="P11" s="1130">
        <f>IF(G11&lt;&gt; "", R11+X11-N11, "")</f>
        <v>64542805.02640152</v>
      </c>
      <c r="Q11" s="1130">
        <f>IF(E11&lt;&gt;"", N11*(1-$A$15), "")</f>
        <v>10687194446.496918</v>
      </c>
      <c r="R11" s="1130">
        <f>$A$13</f>
        <v>10748510121.440001</v>
      </c>
      <c r="S11" s="1130">
        <f>IF(E11&lt;&gt;"", MIN(P11,MAX(R11-Q11,0)), "")</f>
        <v>61315674.943082809</v>
      </c>
      <c r="T11" s="1130">
        <f>IF(E11&lt;&gt;"", R11-S11, "")</f>
        <v>10687194446.496918</v>
      </c>
      <c r="U11" s="1132">
        <f>IF(E11&lt;&gt;"", R11/$A$11, "")</f>
        <v>0.91033522947354162</v>
      </c>
      <c r="V11" s="1133">
        <f>IF(E11&lt;&gt;"", IFERROR(1-T11/N11, "n.a."), "")</f>
        <v>5.0000000000000044E-2</v>
      </c>
      <c r="X11" s="1134">
        <f>$A$21</f>
        <v>565711048.32000005</v>
      </c>
      <c r="Y11" s="1134">
        <f>IF(E11&lt;&gt;"", P11-S11, "")</f>
        <v>3227130.0833187103</v>
      </c>
      <c r="Z11" s="1134">
        <f>IF(E11&lt;&gt;"", X11-Y11, "")</f>
        <v>562483918.23668134</v>
      </c>
      <c r="AA11" s="1132">
        <f>IF(E11&lt;&gt;"", X11/$A$19, "")</f>
        <v>0.97402040000000012</v>
      </c>
      <c r="AB11" s="1105"/>
    </row>
    <row r="12" spans="1:28">
      <c r="A12" s="1103" t="s">
        <v>609</v>
      </c>
      <c r="B12" s="1135"/>
      <c r="C12" s="1124"/>
      <c r="D12" s="1125">
        <f t="shared" ref="D12:D75" ca="1" si="0">IF(E12&lt;&gt;"",EOMONTH(E12,-1),"")</f>
        <v>46081</v>
      </c>
      <c r="E12" s="1126">
        <f t="shared" ref="E12:E75" ca="1" si="1">IF(INDIRECT("A"&amp;(IFERROR(MATCH(E11,A:A),999)+1))&gt;0,INDIRECT("A"&amp;(IFERROR(MATCH(E11,A:A),999)+1)),"")</f>
        <v>46108</v>
      </c>
      <c r="F12" s="1127">
        <f t="shared" ref="F12:F75" ca="1" si="2">IF(E12&lt;&gt;"",E12-$A$31,"")</f>
        <v>59</v>
      </c>
      <c r="G12" s="1128">
        <f ca="1">IF(F12&lt;&gt;"",COUNTIF($F$11:F12,"&gt;0"),"")</f>
        <v>2</v>
      </c>
      <c r="H12" s="1129">
        <v>5.7662737037847715E-3</v>
      </c>
      <c r="I12" s="1128"/>
      <c r="J12" s="1130">
        <f t="shared" ref="J12:J75" ca="1" si="3">IF(G12=1,$A$7,N11)</f>
        <v>11249678364.733599</v>
      </c>
      <c r="K12" s="1131">
        <f t="shared" ref="K12:K75" ca="1" si="4">H12*J12</f>
        <v>64868724.530599818</v>
      </c>
      <c r="L12" s="1130">
        <f t="shared" ref="L12:L75" ca="1" si="5">IF(E12&lt;&gt;"",(1-(1-$A$25)^(1/12))*(J12-K12),"")</f>
        <v>0</v>
      </c>
      <c r="M12" s="1130">
        <f t="shared" ref="M12:M75" ca="1" si="6">IF(J12-K12-L12&lt;$A$27*$A$5,J12-K12-L12,0)</f>
        <v>0</v>
      </c>
      <c r="N12" s="1130">
        <f ca="1">IF(E12&lt;&gt;"",J12-K12-L12-M12,"")</f>
        <v>11184809640.202999</v>
      </c>
      <c r="O12" s="1073"/>
      <c r="P12" s="1130">
        <f t="shared" ref="P12:P75" ca="1" si="7">IF(G12&lt;&gt; "", R12+X12-N12, "")</f>
        <v>64868724.530599594</v>
      </c>
      <c r="Q12" s="1130">
        <f t="shared" ref="Q12:Q75" ca="1" si="8">IF(E12&lt;&gt;"", N12*(1-$A$15), "")</f>
        <v>10625569158.192848</v>
      </c>
      <c r="R12" s="1130">
        <f ca="1">IF(E12&lt;&gt;"", T11, "")</f>
        <v>10687194446.496918</v>
      </c>
      <c r="S12" s="1130">
        <f ca="1">IF(E12&lt;&gt;"", MIN(P12,MAX(R12-Q12,0)), "")</f>
        <v>61625288.304069519</v>
      </c>
      <c r="T12" s="1130">
        <f t="shared" ref="T12:T75" ca="1" si="9">IF(E12&lt;&gt;"", R12-S12, "")</f>
        <v>10625569158.192848</v>
      </c>
      <c r="U12" s="1132">
        <f t="shared" ref="U12:U75" ca="1" si="10">IF(E12&lt;&gt;"", R12/$A$11, "")</f>
        <v>0.90514215449021929</v>
      </c>
      <c r="V12" s="1133">
        <f t="shared" ref="V12:V75" ca="1" si="11">IF(E12&lt;&gt;"", IFERROR(1-T12/N12, "n.a."), "")</f>
        <v>5.0000000000000044E-2</v>
      </c>
      <c r="X12" s="1134">
        <f ca="1">IF(E12&lt;&gt;"", Z11, "")</f>
        <v>562483918.23668134</v>
      </c>
      <c r="Y12" s="1134">
        <f t="shared" ref="Y12:Y75" ca="1" si="12">IF(E12&lt;&gt;"", P12-S12, "")</f>
        <v>3243436.2265300751</v>
      </c>
      <c r="Z12" s="1134">
        <f t="shared" ref="Z12:Z75" ca="1" si="13">IF(E12&lt;&gt;"", X12-Y12, "")</f>
        <v>559240482.01015127</v>
      </c>
      <c r="AA12" s="1132">
        <f t="shared" ref="AA12:AA75" ca="1" si="14">IF(E12&lt;&gt;"", X12/$A$19, "")</f>
        <v>0.9684640465507599</v>
      </c>
      <c r="AB12" s="1105"/>
    </row>
    <row r="13" spans="1:28">
      <c r="A13" s="1197">
        <f>'11 - Notes Follow-up'!G25+'11 - Notes Follow-up'!O25</f>
        <v>10748510121.440001</v>
      </c>
      <c r="B13" s="1136"/>
      <c r="C13" s="1137"/>
      <c r="D13" s="1125">
        <f t="shared" ca="1" si="0"/>
        <v>46112</v>
      </c>
      <c r="E13" s="1126">
        <f t="shared" ca="1" si="1"/>
        <v>46139</v>
      </c>
      <c r="F13" s="1127">
        <f t="shared" ca="1" si="2"/>
        <v>90</v>
      </c>
      <c r="G13" s="1128">
        <f ca="1">IF(F13&lt;&gt;"",COUNTIF($F$11:F13,"&gt;0"),"")</f>
        <v>3</v>
      </c>
      <c r="H13" s="1129">
        <v>5.7983312736019704E-3</v>
      </c>
      <c r="I13" s="1128"/>
      <c r="J13" s="1130">
        <f t="shared" ca="1" si="3"/>
        <v>11184809640.202999</v>
      </c>
      <c r="K13" s="1131">
        <f t="shared" ca="1" si="4"/>
        <v>64853231.526073851</v>
      </c>
      <c r="L13" s="1130">
        <f t="shared" ca="1" si="5"/>
        <v>0</v>
      </c>
      <c r="M13" s="1130">
        <f t="shared" ca="1" si="6"/>
        <v>0</v>
      </c>
      <c r="N13" s="1130">
        <f t="shared" ref="N13:N76" ca="1" si="15">IF(E13&lt;&gt;"",J13-K13-L13-M13,"")</f>
        <v>11119956408.676926</v>
      </c>
      <c r="O13" s="1073"/>
      <c r="P13" s="1130">
        <f t="shared" ca="1" si="7"/>
        <v>64853231.526073456</v>
      </c>
      <c r="Q13" s="1130">
        <f t="shared" ca="1" si="8"/>
        <v>10563958588.243078</v>
      </c>
      <c r="R13" s="1130">
        <f t="shared" ref="R13:R76" ca="1" si="16">IF(E13&lt;&gt;"", T12, "")</f>
        <v>10625569158.192848</v>
      </c>
      <c r="S13" s="1130">
        <f t="shared" ref="S13:S76" ca="1" si="17">IF(E13&lt;&gt;"", MIN(P13,MAX(R13-Q13,0)), "")</f>
        <v>61610569.949769974</v>
      </c>
      <c r="T13" s="1130">
        <f t="shared" ca="1" si="9"/>
        <v>10563958588.243078</v>
      </c>
      <c r="U13" s="1132">
        <f t="shared" ca="1" si="10"/>
        <v>0.89992285708659536</v>
      </c>
      <c r="V13" s="1133">
        <f t="shared" ca="1" si="11"/>
        <v>5.0000000000000155E-2</v>
      </c>
      <c r="X13" s="1134">
        <f t="shared" ref="X13:X76" ca="1" si="18">IF(E13&lt;&gt;"", Z12, "")</f>
        <v>559240482.01015127</v>
      </c>
      <c r="Y13" s="1134">
        <f t="shared" ca="1" si="12"/>
        <v>3242661.5763034821</v>
      </c>
      <c r="Z13" s="1134">
        <f t="shared" ca="1" si="13"/>
        <v>555997820.43384778</v>
      </c>
      <c r="AA13" s="1132">
        <f t="shared" ca="1" si="14"/>
        <v>0.96287961778607312</v>
      </c>
      <c r="AB13" s="1105"/>
    </row>
    <row r="14" spans="1:28">
      <c r="A14" s="1103" t="s">
        <v>625</v>
      </c>
      <c r="B14" s="1138"/>
      <c r="C14" s="1139"/>
      <c r="D14" s="1125">
        <f t="shared" ca="1" si="0"/>
        <v>46142</v>
      </c>
      <c r="E14" s="1126">
        <f t="shared" ca="1" si="1"/>
        <v>46169</v>
      </c>
      <c r="F14" s="1127">
        <f t="shared" ca="1" si="2"/>
        <v>120</v>
      </c>
      <c r="G14" s="1128">
        <f ca="1">IF(F14&lt;&gt;"",COUNTIF($F$11:F14,"&gt;0"),"")</f>
        <v>4</v>
      </c>
      <c r="H14" s="1129">
        <v>5.8450978549635232E-3</v>
      </c>
      <c r="I14" s="1128"/>
      <c r="J14" s="1130">
        <f t="shared" ca="1" si="3"/>
        <v>11119956408.676926</v>
      </c>
      <c r="K14" s="1131">
        <f t="shared" ca="1" si="4"/>
        <v>64997233.35164538</v>
      </c>
      <c r="L14" s="1130">
        <f t="shared" ca="1" si="5"/>
        <v>0</v>
      </c>
      <c r="M14" s="1130">
        <f t="shared" ca="1" si="6"/>
        <v>0</v>
      </c>
      <c r="N14" s="1130">
        <f t="shared" ca="1" si="15"/>
        <v>11054959175.325281</v>
      </c>
      <c r="O14" s="1073"/>
      <c r="P14" s="1130">
        <f t="shared" ca="1" si="7"/>
        <v>64997233.351644516</v>
      </c>
      <c r="Q14" s="1130">
        <f t="shared" ca="1" si="8"/>
        <v>10502211216.559017</v>
      </c>
      <c r="R14" s="1130">
        <f t="shared" ca="1" si="16"/>
        <v>10563958588.243078</v>
      </c>
      <c r="S14" s="1130">
        <f t="shared" ca="1" si="17"/>
        <v>61747371.68406105</v>
      </c>
      <c r="T14" s="1130">
        <f t="shared" ca="1" si="9"/>
        <v>10502211216.559017</v>
      </c>
      <c r="U14" s="1132">
        <f t="shared" ca="1" si="10"/>
        <v>0.89470480624052084</v>
      </c>
      <c r="V14" s="1133">
        <f t="shared" ca="1" si="11"/>
        <v>5.0000000000000044E-2</v>
      </c>
      <c r="X14" s="1134">
        <f t="shared" ca="1" si="18"/>
        <v>555997820.43384778</v>
      </c>
      <c r="Y14" s="1134">
        <f t="shared" ca="1" si="12"/>
        <v>3249861.6675834656</v>
      </c>
      <c r="Z14" s="1134">
        <f t="shared" ca="1" si="13"/>
        <v>552747958.76626432</v>
      </c>
      <c r="AA14" s="1132">
        <f t="shared" ca="1" si="14"/>
        <v>0.95729652278555055</v>
      </c>
      <c r="AB14" s="1105"/>
    </row>
    <row r="15" spans="1:28">
      <c r="A15" s="1198">
        <f>'11bis - Notes Calculation'!N17</f>
        <v>0.05</v>
      </c>
      <c r="B15" s="1136"/>
      <c r="C15" s="1140"/>
      <c r="D15" s="1125">
        <f t="shared" ca="1" si="0"/>
        <v>46173</v>
      </c>
      <c r="E15" s="1126">
        <f t="shared" ca="1" si="1"/>
        <v>46202</v>
      </c>
      <c r="F15" s="1127">
        <f t="shared" ca="1" si="2"/>
        <v>153</v>
      </c>
      <c r="G15" s="1128">
        <f ca="1">IF(F15&lt;&gt;"",COUNTIF($F$11:F15,"&gt;0"),"")</f>
        <v>5</v>
      </c>
      <c r="H15" s="1129">
        <v>5.8812501649786412E-3</v>
      </c>
      <c r="I15" s="1128"/>
      <c r="J15" s="1130">
        <f t="shared" ca="1" si="3"/>
        <v>11054959175.325281</v>
      </c>
      <c r="K15" s="1131">
        <f t="shared" ca="1" si="4"/>
        <v>65016980.473713949</v>
      </c>
      <c r="L15" s="1130">
        <f t="shared" ca="1" si="5"/>
        <v>0</v>
      </c>
      <c r="M15" s="1130">
        <f t="shared" ca="1" si="6"/>
        <v>0</v>
      </c>
      <c r="N15" s="1130">
        <f t="shared" ca="1" si="15"/>
        <v>10989942194.851566</v>
      </c>
      <c r="O15" s="1073"/>
      <c r="P15" s="1130">
        <f t="shared" ca="1" si="7"/>
        <v>65016980.473714828</v>
      </c>
      <c r="Q15" s="1130">
        <f t="shared" ca="1" si="8"/>
        <v>10440445085.108988</v>
      </c>
      <c r="R15" s="1130">
        <f t="shared" ca="1" si="16"/>
        <v>10502211216.559017</v>
      </c>
      <c r="S15" s="1130">
        <f t="shared" ca="1" si="17"/>
        <v>61766131.450029373</v>
      </c>
      <c r="T15" s="1130">
        <f t="shared" ca="1" si="9"/>
        <v>10440445085.108988</v>
      </c>
      <c r="U15" s="1132">
        <f t="shared" ca="1" si="10"/>
        <v>0.88947516909673907</v>
      </c>
      <c r="V15" s="1133">
        <f t="shared" ca="1" si="11"/>
        <v>5.0000000000000044E-2</v>
      </c>
      <c r="X15" s="1134">
        <f t="shared" ca="1" si="18"/>
        <v>552747958.76626432</v>
      </c>
      <c r="Y15" s="1134">
        <f t="shared" ca="1" si="12"/>
        <v>3250849.0236854553</v>
      </c>
      <c r="Z15" s="1134">
        <f t="shared" ca="1" si="13"/>
        <v>549497109.74257886</v>
      </c>
      <c r="AA15" s="1132">
        <f t="shared" ca="1" si="14"/>
        <v>0.95170103093365066</v>
      </c>
      <c r="AB15" s="1105"/>
    </row>
    <row r="16" spans="1:28">
      <c r="C16" s="1139"/>
      <c r="D16" s="1125">
        <f t="shared" ca="1" si="0"/>
        <v>46203</v>
      </c>
      <c r="E16" s="1126">
        <f t="shared" ca="1" si="1"/>
        <v>46230</v>
      </c>
      <c r="F16" s="1127">
        <f t="shared" ca="1" si="2"/>
        <v>181</v>
      </c>
      <c r="G16" s="1128">
        <f ca="1">IF(F16&lt;&gt;"",COUNTIF($F$11:F16,"&gt;0"),"")</f>
        <v>6</v>
      </c>
      <c r="H16" s="1129">
        <v>5.9276766132720128E-3</v>
      </c>
      <c r="I16" s="1128"/>
      <c r="J16" s="1130">
        <f t="shared" ca="1" si="3"/>
        <v>10989942194.851566</v>
      </c>
      <c r="K16" s="1131">
        <f t="shared" ca="1" si="4"/>
        <v>65144823.329632923</v>
      </c>
      <c r="L16" s="1130">
        <f t="shared" ca="1" si="5"/>
        <v>0</v>
      </c>
      <c r="M16" s="1130">
        <f t="shared" ca="1" si="6"/>
        <v>0</v>
      </c>
      <c r="N16" s="1130">
        <f t="shared" ca="1" si="15"/>
        <v>10924797371.521933</v>
      </c>
      <c r="O16" s="1073"/>
      <c r="P16" s="1130">
        <f t="shared" ca="1" si="7"/>
        <v>65144823.329633713</v>
      </c>
      <c r="Q16" s="1130">
        <f t="shared" ca="1" si="8"/>
        <v>10378557502.945835</v>
      </c>
      <c r="R16" s="1130">
        <f t="shared" ca="1" si="16"/>
        <v>10440445085.108988</v>
      </c>
      <c r="S16" s="1130">
        <f t="shared" ca="1" si="17"/>
        <v>61887582.163152695</v>
      </c>
      <c r="T16" s="1130">
        <f t="shared" ca="1" si="9"/>
        <v>10378557502.945835</v>
      </c>
      <c r="U16" s="1132">
        <f t="shared" ca="1" si="10"/>
        <v>0.88424394311174437</v>
      </c>
      <c r="V16" s="1133">
        <f t="shared" ca="1" si="11"/>
        <v>5.0000000000000044E-2</v>
      </c>
      <c r="X16" s="1134">
        <f t="shared" ca="1" si="18"/>
        <v>549497109.74257886</v>
      </c>
      <c r="Y16" s="1134">
        <f t="shared" ca="1" si="12"/>
        <v>3257241.1664810181</v>
      </c>
      <c r="Z16" s="1134">
        <f t="shared" ca="1" si="13"/>
        <v>546239868.57609785</v>
      </c>
      <c r="AA16" s="1132">
        <f t="shared" ca="1" si="14"/>
        <v>0.94610383908846218</v>
      </c>
      <c r="AB16" s="1105"/>
    </row>
    <row r="17" spans="1:28" ht="15.75">
      <c r="A17" s="1094" t="s">
        <v>626</v>
      </c>
      <c r="C17" s="1104"/>
      <c r="D17" s="1125">
        <f t="shared" ca="1" si="0"/>
        <v>46234</v>
      </c>
      <c r="E17" s="1126">
        <f t="shared" ca="1" si="1"/>
        <v>46261</v>
      </c>
      <c r="F17" s="1127">
        <f t="shared" ca="1" si="2"/>
        <v>212</v>
      </c>
      <c r="G17" s="1128">
        <f ca="1">IF(F17&lt;&gt;"",COUNTIF($F$11:F17,"&gt;0"),"")</f>
        <v>7</v>
      </c>
      <c r="H17" s="1129">
        <v>5.9647273934845015E-3</v>
      </c>
      <c r="I17" s="1128"/>
      <c r="J17" s="1130">
        <f t="shared" ca="1" si="3"/>
        <v>10924797371.521933</v>
      </c>
      <c r="K17" s="1131">
        <f t="shared" ca="1" si="4"/>
        <v>65163438.150184348</v>
      </c>
      <c r="L17" s="1130">
        <f t="shared" ca="1" si="5"/>
        <v>0</v>
      </c>
      <c r="M17" s="1130">
        <f t="shared" ca="1" si="6"/>
        <v>0</v>
      </c>
      <c r="N17" s="1130">
        <f t="shared" ca="1" si="15"/>
        <v>10859633933.371748</v>
      </c>
      <c r="O17" s="1073"/>
      <c r="P17" s="1130">
        <f t="shared" ca="1" si="7"/>
        <v>65163438.150184631</v>
      </c>
      <c r="Q17" s="1130">
        <f t="shared" ca="1" si="8"/>
        <v>10316652236.703159</v>
      </c>
      <c r="R17" s="1130">
        <f t="shared" ca="1" si="16"/>
        <v>10378557502.945835</v>
      </c>
      <c r="S17" s="1130">
        <f t="shared" ca="1" si="17"/>
        <v>61905266.242675781</v>
      </c>
      <c r="T17" s="1130">
        <f t="shared" ca="1" si="9"/>
        <v>10316652236.703159</v>
      </c>
      <c r="U17" s="1132">
        <f t="shared" ca="1" si="10"/>
        <v>0.87900243096973329</v>
      </c>
      <c r="V17" s="1133">
        <f t="shared" ca="1" si="11"/>
        <v>5.0000000000000155E-2</v>
      </c>
      <c r="X17" s="1134">
        <f t="shared" ca="1" si="18"/>
        <v>546239868.57609785</v>
      </c>
      <c r="Y17" s="1134">
        <f t="shared" ca="1" si="12"/>
        <v>3258171.9075088501</v>
      </c>
      <c r="Z17" s="1134">
        <f t="shared" ca="1" si="13"/>
        <v>542981696.668589</v>
      </c>
      <c r="AA17" s="1132">
        <f t="shared" ca="1" si="14"/>
        <v>0.94049564148777176</v>
      </c>
      <c r="AB17" s="1105"/>
    </row>
    <row r="18" spans="1:28">
      <c r="A18" s="1103" t="s">
        <v>607</v>
      </c>
      <c r="C18" s="1104"/>
      <c r="D18" s="1125">
        <f t="shared" ca="1" si="0"/>
        <v>46265</v>
      </c>
      <c r="E18" s="1126">
        <f t="shared" ca="1" si="1"/>
        <v>46293</v>
      </c>
      <c r="F18" s="1127">
        <f t="shared" ca="1" si="2"/>
        <v>244</v>
      </c>
      <c r="G18" s="1128">
        <f ca="1">IF(F18&lt;&gt;"",COUNTIF($F$11:F18,"&gt;0"),"")</f>
        <v>8</v>
      </c>
      <c r="H18" s="1129">
        <v>6.0052876992465311E-3</v>
      </c>
      <c r="I18" s="1128"/>
      <c r="J18" s="1130">
        <f t="shared" ca="1" si="3"/>
        <v>10859633933.371748</v>
      </c>
      <c r="K18" s="1131">
        <f t="shared" ca="1" si="4"/>
        <v>65215226.078397579</v>
      </c>
      <c r="L18" s="1130">
        <f t="shared" ca="1" si="5"/>
        <v>0</v>
      </c>
      <c r="M18" s="1130">
        <f t="shared" ca="1" si="6"/>
        <v>0</v>
      </c>
      <c r="N18" s="1130">
        <f t="shared" ca="1" si="15"/>
        <v>10794418707.29335</v>
      </c>
      <c r="O18" s="1073"/>
      <c r="P18" s="1130">
        <f t="shared" ca="1" si="7"/>
        <v>65215226.078397751</v>
      </c>
      <c r="Q18" s="1130">
        <f t="shared" ca="1" si="8"/>
        <v>10254697771.928682</v>
      </c>
      <c r="R18" s="1130">
        <f t="shared" ca="1" si="16"/>
        <v>10316652236.703159</v>
      </c>
      <c r="S18" s="1130">
        <f t="shared" ca="1" si="17"/>
        <v>61954464.774477005</v>
      </c>
      <c r="T18" s="1130">
        <f t="shared" ca="1" si="9"/>
        <v>10254697771.928682</v>
      </c>
      <c r="U18" s="1132">
        <f t="shared" ca="1" si="10"/>
        <v>0.87375942109078863</v>
      </c>
      <c r="V18" s="1133">
        <f t="shared" ca="1" si="11"/>
        <v>5.0000000000000044E-2</v>
      </c>
      <c r="X18" s="1134">
        <f t="shared" ca="1" si="18"/>
        <v>542981696.668589</v>
      </c>
      <c r="Y18" s="1134">
        <f t="shared" ca="1" si="12"/>
        <v>3260761.3039207458</v>
      </c>
      <c r="Z18" s="1134">
        <f t="shared" ca="1" si="13"/>
        <v>539720935.36466825</v>
      </c>
      <c r="AA18" s="1132">
        <f t="shared" ca="1" si="14"/>
        <v>0.93488584137153752</v>
      </c>
      <c r="AB18" s="1105"/>
    </row>
    <row r="19" spans="1:28">
      <c r="A19" s="1197">
        <v>580800000</v>
      </c>
      <c r="C19" s="1104"/>
      <c r="D19" s="1125">
        <f t="shared" ca="1" si="0"/>
        <v>46295</v>
      </c>
      <c r="E19" s="1126">
        <f t="shared" ca="1" si="1"/>
        <v>46322</v>
      </c>
      <c r="F19" s="1127">
        <f t="shared" ca="1" si="2"/>
        <v>273</v>
      </c>
      <c r="G19" s="1128">
        <f ca="1">IF(F19&lt;&gt;"",COUNTIF($F$11:F19,"&gt;0"),"")</f>
        <v>9</v>
      </c>
      <c r="H19" s="1129">
        <v>6.0525303175296792E-3</v>
      </c>
      <c r="I19" s="1128"/>
      <c r="J19" s="1130">
        <f t="shared" ca="1" si="3"/>
        <v>10794418707.29335</v>
      </c>
      <c r="K19" s="1131">
        <f t="shared" ca="1" si="4"/>
        <v>65333546.486002527</v>
      </c>
      <c r="L19" s="1130">
        <f t="shared" ca="1" si="5"/>
        <v>0</v>
      </c>
      <c r="M19" s="1130">
        <f t="shared" ca="1" si="6"/>
        <v>0</v>
      </c>
      <c r="N19" s="1130">
        <f t="shared" ca="1" si="15"/>
        <v>10729085160.807348</v>
      </c>
      <c r="O19" s="1073"/>
      <c r="P19" s="1130">
        <f t="shared" ca="1" si="7"/>
        <v>65333546.486001968</v>
      </c>
      <c r="Q19" s="1130">
        <f t="shared" ca="1" si="8"/>
        <v>10192630902.766981</v>
      </c>
      <c r="R19" s="1130">
        <f t="shared" ca="1" si="16"/>
        <v>10254697771.928682</v>
      </c>
      <c r="S19" s="1130">
        <f t="shared" ca="1" si="17"/>
        <v>62066869.161701202</v>
      </c>
      <c r="T19" s="1130">
        <f t="shared" ca="1" si="9"/>
        <v>10192630902.766981</v>
      </c>
      <c r="U19" s="1132">
        <f t="shared" ca="1" si="10"/>
        <v>0.86851224438721142</v>
      </c>
      <c r="V19" s="1133">
        <f t="shared" ca="1" si="11"/>
        <v>4.9999999999999933E-2</v>
      </c>
      <c r="X19" s="1134">
        <f t="shared" ca="1" si="18"/>
        <v>539720935.36466825</v>
      </c>
      <c r="Y19" s="1134">
        <f t="shared" ca="1" si="12"/>
        <v>3266677.324300766</v>
      </c>
      <c r="Z19" s="1134">
        <f t="shared" ca="1" si="13"/>
        <v>536454258.04036748</v>
      </c>
      <c r="AA19" s="1132">
        <f t="shared" ca="1" si="14"/>
        <v>0.92927158292814782</v>
      </c>
      <c r="AB19" s="1105"/>
    </row>
    <row r="20" spans="1:28">
      <c r="A20" s="1103" t="s">
        <v>609</v>
      </c>
      <c r="C20" s="1104"/>
      <c r="D20" s="1125">
        <f t="shared" ca="1" si="0"/>
        <v>46326</v>
      </c>
      <c r="E20" s="1126">
        <f t="shared" ca="1" si="1"/>
        <v>46353</v>
      </c>
      <c r="F20" s="1127">
        <f t="shared" ca="1" si="2"/>
        <v>304</v>
      </c>
      <c r="G20" s="1128">
        <f ca="1">IF(F20&lt;&gt;"",COUNTIF($F$11:F20,"&gt;0"),"")</f>
        <v>10</v>
      </c>
      <c r="H20" s="1129">
        <v>6.088585956135875E-3</v>
      </c>
      <c r="I20" s="1128"/>
      <c r="J20" s="1130">
        <f t="shared" ca="1" si="3"/>
        <v>10729085160.807348</v>
      </c>
      <c r="K20" s="1131">
        <f t="shared" ca="1" si="4"/>
        <v>65324957.232277438</v>
      </c>
      <c r="L20" s="1130">
        <f t="shared" ca="1" si="5"/>
        <v>0</v>
      </c>
      <c r="M20" s="1130">
        <f t="shared" ca="1" si="6"/>
        <v>0</v>
      </c>
      <c r="N20" s="1130">
        <f t="shared" ca="1" si="15"/>
        <v>10663760203.575071</v>
      </c>
      <c r="O20" s="1073"/>
      <c r="P20" s="1130">
        <f t="shared" ca="1" si="7"/>
        <v>65324957.232276917</v>
      </c>
      <c r="Q20" s="1130">
        <f t="shared" ca="1" si="8"/>
        <v>10130572193.396317</v>
      </c>
      <c r="R20" s="1130">
        <f t="shared" ca="1" si="16"/>
        <v>10192630902.766981</v>
      </c>
      <c r="S20" s="1130">
        <f t="shared" ca="1" si="17"/>
        <v>62058709.370664597</v>
      </c>
      <c r="T20" s="1130">
        <f t="shared" ca="1" si="9"/>
        <v>10130572193.396317</v>
      </c>
      <c r="U20" s="1132">
        <f t="shared" ca="1" si="10"/>
        <v>0.86325554769691215</v>
      </c>
      <c r="V20" s="1133">
        <f t="shared" ca="1" si="11"/>
        <v>5.0000000000000155E-2</v>
      </c>
      <c r="X20" s="1134">
        <f t="shared" ca="1" si="18"/>
        <v>536454258.04036748</v>
      </c>
      <c r="Y20" s="1134">
        <f t="shared" ca="1" si="12"/>
        <v>3266247.8616123199</v>
      </c>
      <c r="Z20" s="1134">
        <f t="shared" ca="1" si="13"/>
        <v>533188010.17875516</v>
      </c>
      <c r="AA20" s="1132">
        <f t="shared" ca="1" si="14"/>
        <v>0.92364713849925528</v>
      </c>
      <c r="AB20" s="1105"/>
    </row>
    <row r="21" spans="1:28">
      <c r="A21" s="1197">
        <f>'11 - Notes Follow-up'!W25</f>
        <v>565711048.32000005</v>
      </c>
      <c r="C21" s="1104"/>
      <c r="D21" s="1125">
        <f t="shared" ca="1" si="0"/>
        <v>46356</v>
      </c>
      <c r="E21" s="1126">
        <f t="shared" ca="1" si="1"/>
        <v>46384</v>
      </c>
      <c r="F21" s="1127">
        <f t="shared" ca="1" si="2"/>
        <v>335</v>
      </c>
      <c r="G21" s="1128">
        <f ca="1">IF(F21&lt;&gt;"",COUNTIF($F$11:F21,"&gt;0"),"")</f>
        <v>11</v>
      </c>
      <c r="H21" s="1141">
        <v>6.133374550511099E-3</v>
      </c>
      <c r="I21" s="1128"/>
      <c r="J21" s="1130">
        <f t="shared" ca="1" si="3"/>
        <v>10663760203.575071</v>
      </c>
      <c r="K21" s="1131">
        <f t="shared" ca="1" si="4"/>
        <v>65404835.4453604</v>
      </c>
      <c r="L21" s="1130">
        <f t="shared" ca="1" si="5"/>
        <v>0</v>
      </c>
      <c r="M21" s="1130">
        <f t="shared" ca="1" si="6"/>
        <v>0</v>
      </c>
      <c r="N21" s="1130">
        <f t="shared" ca="1" si="15"/>
        <v>10598355368.129711</v>
      </c>
      <c r="O21" s="1073"/>
      <c r="P21" s="1130">
        <f t="shared" ca="1" si="7"/>
        <v>65404835.445360184</v>
      </c>
      <c r="Q21" s="1130">
        <f t="shared" ca="1" si="8"/>
        <v>10068437599.723225</v>
      </c>
      <c r="R21" s="1130">
        <f t="shared" ca="1" si="16"/>
        <v>10130572193.396317</v>
      </c>
      <c r="S21" s="1130">
        <f t="shared" ca="1" si="17"/>
        <v>62134593.673091888</v>
      </c>
      <c r="T21" s="1130">
        <f t="shared" ca="1" si="9"/>
        <v>10068437599.723225</v>
      </c>
      <c r="U21" s="1132">
        <f t="shared" ca="1" si="10"/>
        <v>0.85799954209264828</v>
      </c>
      <c r="V21" s="1133">
        <f t="shared" ca="1" si="11"/>
        <v>5.0000000000000044E-2</v>
      </c>
      <c r="X21" s="1134">
        <f t="shared" ca="1" si="18"/>
        <v>533188010.17875516</v>
      </c>
      <c r="Y21" s="1134">
        <f t="shared" ca="1" si="12"/>
        <v>3270241.7722682953</v>
      </c>
      <c r="Z21" s="1134">
        <f t="shared" ca="1" si="13"/>
        <v>529917768.40648687</v>
      </c>
      <c r="AA21" s="1132">
        <f t="shared" ca="1" si="14"/>
        <v>0.91802343350336635</v>
      </c>
      <c r="AB21" s="1105"/>
    </row>
    <row r="22" spans="1:28">
      <c r="A22" s="1142"/>
      <c r="C22" s="1104"/>
      <c r="D22" s="1125">
        <f t="shared" ca="1" si="0"/>
        <v>46387</v>
      </c>
      <c r="E22" s="1126">
        <f t="shared" ca="1" si="1"/>
        <v>46414</v>
      </c>
      <c r="F22" s="1127">
        <f t="shared" ca="1" si="2"/>
        <v>365</v>
      </c>
      <c r="G22" s="1128">
        <f ca="1">IF(F22&lt;&gt;"",COUNTIF($F$11:F22,"&gt;0"),"")</f>
        <v>12</v>
      </c>
      <c r="H22" s="1129">
        <v>6.1692309126794949E-3</v>
      </c>
      <c r="I22" s="1128"/>
      <c r="J22" s="1130">
        <f t="shared" ca="1" si="3"/>
        <v>10598355368.129711</v>
      </c>
      <c r="K22" s="1131">
        <f t="shared" ca="1" si="4"/>
        <v>65383701.560628481</v>
      </c>
      <c r="L22" s="1130">
        <f t="shared" ca="1" si="5"/>
        <v>0</v>
      </c>
      <c r="M22" s="1130">
        <f t="shared" ca="1" si="6"/>
        <v>0</v>
      </c>
      <c r="N22" s="1130">
        <f t="shared" ca="1" si="15"/>
        <v>10532971666.569082</v>
      </c>
      <c r="O22" s="1073"/>
      <c r="P22" s="1130">
        <f t="shared" ca="1" si="7"/>
        <v>65383701.560628891</v>
      </c>
      <c r="Q22" s="1130">
        <f t="shared" ca="1" si="8"/>
        <v>10006323083.240627</v>
      </c>
      <c r="R22" s="1130">
        <f t="shared" ca="1" si="16"/>
        <v>10068437599.723225</v>
      </c>
      <c r="S22" s="1130">
        <f t="shared" ca="1" si="17"/>
        <v>62114516.482597351</v>
      </c>
      <c r="T22" s="1130">
        <f t="shared" ca="1" si="9"/>
        <v>10006323083.240627</v>
      </c>
      <c r="U22" s="1132">
        <f t="shared" ca="1" si="10"/>
        <v>0.85273710953682702</v>
      </c>
      <c r="V22" s="1133">
        <f t="shared" ca="1" si="11"/>
        <v>5.0000000000000044E-2</v>
      </c>
      <c r="X22" s="1134">
        <f t="shared" ca="1" si="18"/>
        <v>529917768.40648687</v>
      </c>
      <c r="Y22" s="1134">
        <f t="shared" ca="1" si="12"/>
        <v>3269185.0780315399</v>
      </c>
      <c r="Z22" s="1134">
        <f t="shared" ca="1" si="13"/>
        <v>526648583.32845533</v>
      </c>
      <c r="AA22" s="1132">
        <f t="shared" ca="1" si="14"/>
        <v>0.91239285193954356</v>
      </c>
      <c r="AB22" s="1105"/>
    </row>
    <row r="23" spans="1:28" ht="15.75">
      <c r="A23" s="1094" t="s">
        <v>627</v>
      </c>
      <c r="C23" s="1104"/>
      <c r="D23" s="1125">
        <f t="shared" ca="1" si="0"/>
        <v>46418</v>
      </c>
      <c r="E23" s="1126">
        <f t="shared" ca="1" si="1"/>
        <v>46444</v>
      </c>
      <c r="F23" s="1127">
        <f t="shared" ca="1" si="2"/>
        <v>395</v>
      </c>
      <c r="G23" s="1128">
        <f ca="1">IF(F23&lt;&gt;"",COUNTIF($F$11:F23,"&gt;0"),"")</f>
        <v>13</v>
      </c>
      <c r="H23" s="1129">
        <v>6.211379484955426E-3</v>
      </c>
      <c r="I23" s="1128"/>
      <c r="J23" s="1130">
        <f t="shared" ca="1" si="3"/>
        <v>10532971666.569082</v>
      </c>
      <c r="K23" s="1131">
        <f t="shared" ca="1" si="4"/>
        <v>65424284.125343964</v>
      </c>
      <c r="L23" s="1130">
        <f t="shared" ca="1" si="5"/>
        <v>0</v>
      </c>
      <c r="M23" s="1130">
        <f t="shared" ca="1" si="6"/>
        <v>0</v>
      </c>
      <c r="N23" s="1130">
        <f t="shared" ca="1" si="15"/>
        <v>10467547382.443739</v>
      </c>
      <c r="O23" s="1073"/>
      <c r="P23" s="1130">
        <f t="shared" ca="1" si="7"/>
        <v>65424284.125343323</v>
      </c>
      <c r="Q23" s="1130">
        <f t="shared" ca="1" si="8"/>
        <v>9944170013.3215523</v>
      </c>
      <c r="R23" s="1130">
        <f t="shared" ca="1" si="16"/>
        <v>10006323083.240627</v>
      </c>
      <c r="S23" s="1130">
        <f t="shared" ca="1" si="17"/>
        <v>62153069.919075012</v>
      </c>
      <c r="T23" s="1130">
        <f t="shared" ca="1" si="9"/>
        <v>9944170013.3215523</v>
      </c>
      <c r="U23" s="1132">
        <f t="shared" ca="1" si="10"/>
        <v>0.84747637740028348</v>
      </c>
      <c r="V23" s="1133">
        <f t="shared" ca="1" si="11"/>
        <v>4.9999999999999933E-2</v>
      </c>
      <c r="X23" s="1134">
        <f t="shared" ca="1" si="18"/>
        <v>526648583.32845533</v>
      </c>
      <c r="Y23" s="1134">
        <f t="shared" ca="1" si="12"/>
        <v>3271214.2062683105</v>
      </c>
      <c r="Z23" s="1134">
        <f t="shared" ca="1" si="13"/>
        <v>523377369.12218702</v>
      </c>
      <c r="AA23" s="1132">
        <f t="shared" ca="1" si="14"/>
        <v>0.90676408975285006</v>
      </c>
      <c r="AB23" s="1105"/>
    </row>
    <row r="24" spans="1:28">
      <c r="A24" s="1103" t="s">
        <v>259</v>
      </c>
      <c r="C24" s="1104"/>
      <c r="D24" s="1125">
        <f t="shared" ca="1" si="0"/>
        <v>46446</v>
      </c>
      <c r="E24" s="1126">
        <f t="shared" ca="1" si="1"/>
        <v>46476</v>
      </c>
      <c r="F24" s="1127">
        <f t="shared" ca="1" si="2"/>
        <v>427</v>
      </c>
      <c r="G24" s="1128">
        <f ca="1">IF(F24&lt;&gt;"",COUNTIF($F$11:F24,"&gt;0"),"")</f>
        <v>14</v>
      </c>
      <c r="H24" s="1129">
        <v>6.2630015066440572E-3</v>
      </c>
      <c r="I24" s="1128"/>
      <c r="J24" s="1130">
        <f t="shared" ca="1" si="3"/>
        <v>10467547382.443739</v>
      </c>
      <c r="K24" s="1131">
        <f t="shared" ca="1" si="4"/>
        <v>65558265.027113192</v>
      </c>
      <c r="L24" s="1130">
        <f t="shared" ca="1" si="5"/>
        <v>0</v>
      </c>
      <c r="M24" s="1130">
        <f t="shared" ca="1" si="6"/>
        <v>0</v>
      </c>
      <c r="N24" s="1130">
        <f t="shared" ca="1" si="15"/>
        <v>10401989117.416626</v>
      </c>
      <c r="O24" s="1073"/>
      <c r="P24" s="1130">
        <f t="shared" ca="1" si="7"/>
        <v>65558265.027112961</v>
      </c>
      <c r="Q24" s="1130">
        <f t="shared" ca="1" si="8"/>
        <v>9881889661.5457935</v>
      </c>
      <c r="R24" s="1130">
        <f t="shared" ca="1" si="16"/>
        <v>9944170013.3215523</v>
      </c>
      <c r="S24" s="1130">
        <f t="shared" ca="1" si="17"/>
        <v>62280351.775758743</v>
      </c>
      <c r="T24" s="1130">
        <f t="shared" ca="1" si="9"/>
        <v>9881889661.5457935</v>
      </c>
      <c r="U24" s="1132">
        <f t="shared" ca="1" si="10"/>
        <v>0.84221238001571519</v>
      </c>
      <c r="V24" s="1133">
        <f t="shared" ca="1" si="11"/>
        <v>5.0000000000000155E-2</v>
      </c>
      <c r="X24" s="1134">
        <f t="shared" ca="1" si="18"/>
        <v>523377369.12218702</v>
      </c>
      <c r="Y24" s="1134">
        <f t="shared" ca="1" si="12"/>
        <v>3277913.2513542175</v>
      </c>
      <c r="Z24" s="1134">
        <f t="shared" ca="1" si="13"/>
        <v>520099455.8708328</v>
      </c>
      <c r="AA24" s="1132">
        <f t="shared" ca="1" si="14"/>
        <v>0.90113183388806306</v>
      </c>
      <c r="AB24" s="1105"/>
    </row>
    <row r="25" spans="1:28">
      <c r="A25" s="1198">
        <v>0</v>
      </c>
      <c r="C25" s="1104"/>
      <c r="D25" s="1125">
        <f t="shared" ca="1" si="0"/>
        <v>46477</v>
      </c>
      <c r="E25" s="1126">
        <f t="shared" ca="1" si="1"/>
        <v>46504</v>
      </c>
      <c r="F25" s="1127">
        <f t="shared" ca="1" si="2"/>
        <v>455</v>
      </c>
      <c r="G25" s="1128">
        <f ca="1">IF(F25&lt;&gt;"",COUNTIF($F$11:F25,"&gt;0"),"")</f>
        <v>15</v>
      </c>
      <c r="H25" s="1129">
        <v>6.292677908475707E-3</v>
      </c>
      <c r="I25" s="1128"/>
      <c r="J25" s="1130">
        <f t="shared" ca="1" si="3"/>
        <v>10401989117.416626</v>
      </c>
      <c r="K25" s="1131">
        <f t="shared" ca="1" si="4"/>
        <v>65456367.123372316</v>
      </c>
      <c r="L25" s="1130">
        <f t="shared" ca="1" si="5"/>
        <v>0</v>
      </c>
      <c r="M25" s="1130">
        <f t="shared" ca="1" si="6"/>
        <v>0</v>
      </c>
      <c r="N25" s="1130">
        <f t="shared" ca="1" si="15"/>
        <v>10336532750.293253</v>
      </c>
      <c r="O25" s="1073"/>
      <c r="P25" s="1130">
        <f t="shared" ca="1" si="7"/>
        <v>65456367.123373032</v>
      </c>
      <c r="Q25" s="1130">
        <f t="shared" ca="1" si="8"/>
        <v>9819706112.7785892</v>
      </c>
      <c r="R25" s="1130">
        <f t="shared" ca="1" si="16"/>
        <v>9881889661.5457935</v>
      </c>
      <c r="S25" s="1130">
        <f t="shared" ca="1" si="17"/>
        <v>62183548.767204285</v>
      </c>
      <c r="T25" s="1130">
        <f t="shared" ca="1" si="9"/>
        <v>9819706112.7785892</v>
      </c>
      <c r="U25" s="1132">
        <f t="shared" ca="1" si="10"/>
        <v>0.83693760261076233</v>
      </c>
      <c r="V25" s="1133">
        <f t="shared" ca="1" si="11"/>
        <v>5.0000000000000155E-2</v>
      </c>
      <c r="X25" s="1134">
        <f t="shared" ca="1" si="18"/>
        <v>520099455.8708328</v>
      </c>
      <c r="Y25" s="1134">
        <f t="shared" ca="1" si="12"/>
        <v>3272818.3561687469</v>
      </c>
      <c r="Z25" s="1134">
        <f t="shared" ca="1" si="13"/>
        <v>516826637.51466405</v>
      </c>
      <c r="AA25" s="1132">
        <f t="shared" ca="1" si="14"/>
        <v>0.89548804385473968</v>
      </c>
      <c r="AB25" s="1105"/>
    </row>
    <row r="26" spans="1:28">
      <c r="A26" s="1103" t="s">
        <v>628</v>
      </c>
      <c r="C26" s="1104"/>
      <c r="D26" s="1125">
        <f t="shared" ca="1" si="0"/>
        <v>46507</v>
      </c>
      <c r="E26" s="1126">
        <f t="shared" ca="1" si="1"/>
        <v>46534</v>
      </c>
      <c r="F26" s="1127">
        <f t="shared" ca="1" si="2"/>
        <v>485</v>
      </c>
      <c r="G26" s="1128">
        <f ca="1">IF(F26&lt;&gt;"",COUNTIF($F$11:F26,"&gt;0"),"")</f>
        <v>16</v>
      </c>
      <c r="H26" s="1129">
        <v>6.3358665088783829E-3</v>
      </c>
      <c r="I26" s="1128"/>
      <c r="J26" s="1130">
        <f t="shared" ca="1" si="3"/>
        <v>10336532750.293253</v>
      </c>
      <c r="K26" s="1131">
        <f t="shared" ca="1" si="4"/>
        <v>65490891.67050758</v>
      </c>
      <c r="L26" s="1130">
        <f t="shared" ca="1" si="5"/>
        <v>0</v>
      </c>
      <c r="M26" s="1130">
        <f t="shared" ca="1" si="6"/>
        <v>0</v>
      </c>
      <c r="N26" s="1130">
        <f t="shared" ca="1" si="15"/>
        <v>10271041858.622746</v>
      </c>
      <c r="O26" s="1073"/>
      <c r="P26" s="1130">
        <f t="shared" ca="1" si="7"/>
        <v>65490891.670507431</v>
      </c>
      <c r="Q26" s="1130">
        <f t="shared" ca="1" si="8"/>
        <v>9757489765.6916084</v>
      </c>
      <c r="R26" s="1130">
        <f t="shared" ca="1" si="16"/>
        <v>9819706112.7785892</v>
      </c>
      <c r="S26" s="1130">
        <f t="shared" ca="1" si="17"/>
        <v>62216347.08698082</v>
      </c>
      <c r="T26" s="1130">
        <f t="shared" ca="1" si="9"/>
        <v>9757489765.6916084</v>
      </c>
      <c r="U26" s="1132">
        <f t="shared" ca="1" si="10"/>
        <v>0.83167102384804092</v>
      </c>
      <c r="V26" s="1133">
        <f t="shared" ca="1" si="11"/>
        <v>4.9999999999999933E-2</v>
      </c>
      <c r="X26" s="1134">
        <f t="shared" ca="1" si="18"/>
        <v>516826637.51466405</v>
      </c>
      <c r="Y26" s="1134">
        <f t="shared" ca="1" si="12"/>
        <v>3274544.5835266113</v>
      </c>
      <c r="Z26" s="1134">
        <f t="shared" ca="1" si="13"/>
        <v>513552092.93113744</v>
      </c>
      <c r="AA26" s="1132">
        <f t="shared" ca="1" si="14"/>
        <v>0.88985302602387062</v>
      </c>
      <c r="AB26" s="1105"/>
    </row>
    <row r="27" spans="1:28">
      <c r="A27" s="1198">
        <v>0</v>
      </c>
      <c r="C27" s="1104"/>
      <c r="D27" s="1125">
        <f t="shared" ca="1" si="0"/>
        <v>46538</v>
      </c>
      <c r="E27" s="1126">
        <f t="shared" ca="1" si="1"/>
        <v>46566</v>
      </c>
      <c r="F27" s="1127">
        <f t="shared" ca="1" si="2"/>
        <v>517</v>
      </c>
      <c r="G27" s="1128">
        <f ca="1">IF(F27&lt;&gt;"",COUNTIF($F$11:F27,"&gt;0"),"")</f>
        <v>17</v>
      </c>
      <c r="H27" s="1129">
        <v>6.3739095470263527E-3</v>
      </c>
      <c r="I27" s="1128"/>
      <c r="J27" s="1130">
        <f t="shared" ca="1" si="3"/>
        <v>10271041858.622746</v>
      </c>
      <c r="K27" s="1131">
        <f t="shared" ca="1" si="4"/>
        <v>65466691.760582812</v>
      </c>
      <c r="L27" s="1130">
        <f t="shared" ca="1" si="5"/>
        <v>0</v>
      </c>
      <c r="M27" s="1130">
        <f t="shared" ca="1" si="6"/>
        <v>0</v>
      </c>
      <c r="N27" s="1130">
        <f t="shared" ca="1" si="15"/>
        <v>10205575166.862164</v>
      </c>
      <c r="O27" s="1073"/>
      <c r="P27" s="1130">
        <f t="shared" ca="1" si="7"/>
        <v>65466691.76058197</v>
      </c>
      <c r="Q27" s="1130">
        <f t="shared" ca="1" si="8"/>
        <v>9695296408.5190544</v>
      </c>
      <c r="R27" s="1130">
        <f t="shared" ca="1" si="16"/>
        <v>9757489765.6916084</v>
      </c>
      <c r="S27" s="1130">
        <f t="shared" ca="1" si="17"/>
        <v>62193357.172554016</v>
      </c>
      <c r="T27" s="1130">
        <f t="shared" ca="1" si="9"/>
        <v>9695296408.5190544</v>
      </c>
      <c r="U27" s="1132">
        <f t="shared" ca="1" si="10"/>
        <v>0.82640166726163766</v>
      </c>
      <c r="V27" s="1133">
        <f t="shared" ca="1" si="11"/>
        <v>5.0000000000000044E-2</v>
      </c>
      <c r="X27" s="1134">
        <f t="shared" ca="1" si="18"/>
        <v>513552092.93113744</v>
      </c>
      <c r="Y27" s="1134">
        <f t="shared" ca="1" si="12"/>
        <v>3273334.5880279541</v>
      </c>
      <c r="Z27" s="1134">
        <f t="shared" ca="1" si="13"/>
        <v>510278758.34310949</v>
      </c>
      <c r="AA27" s="1132">
        <f t="shared" ca="1" si="14"/>
        <v>0.88421503603845975</v>
      </c>
      <c r="AB27" s="1105"/>
    </row>
    <row r="28" spans="1:28">
      <c r="C28" s="1104"/>
      <c r="D28" s="1125">
        <f t="shared" ca="1" si="0"/>
        <v>46568</v>
      </c>
      <c r="E28" s="1126">
        <f t="shared" ca="1" si="1"/>
        <v>46595</v>
      </c>
      <c r="F28" s="1127">
        <f t="shared" ca="1" si="2"/>
        <v>546</v>
      </c>
      <c r="G28" s="1128">
        <f ca="1">IF(F28&lt;&gt;"",COUNTIF($F$11:F28,"&gt;0"),"")</f>
        <v>18</v>
      </c>
      <c r="H28" s="1129">
        <v>6.4206566612116898E-3</v>
      </c>
      <c r="I28" s="1128"/>
      <c r="J28" s="1130">
        <f t="shared" ca="1" si="3"/>
        <v>10205575166.862164</v>
      </c>
      <c r="K28" s="1131">
        <f t="shared" ca="1" si="4"/>
        <v>65526494.176610157</v>
      </c>
      <c r="L28" s="1130">
        <f t="shared" ca="1" si="5"/>
        <v>0</v>
      </c>
      <c r="M28" s="1130">
        <f t="shared" ca="1" si="6"/>
        <v>0</v>
      </c>
      <c r="N28" s="1130">
        <f t="shared" ca="1" si="15"/>
        <v>10140048672.685553</v>
      </c>
      <c r="O28" s="1073"/>
      <c r="P28" s="1130">
        <f t="shared" ca="1" si="7"/>
        <v>65526494.176610947</v>
      </c>
      <c r="Q28" s="1130">
        <f t="shared" ca="1" si="8"/>
        <v>9633046239.0512753</v>
      </c>
      <c r="R28" s="1130">
        <f t="shared" ca="1" si="16"/>
        <v>9695296408.5190544</v>
      </c>
      <c r="S28" s="1130">
        <f t="shared" ca="1" si="17"/>
        <v>62250169.46777916</v>
      </c>
      <c r="T28" s="1130">
        <f t="shared" ca="1" si="9"/>
        <v>9633046239.0512753</v>
      </c>
      <c r="U28" s="1132">
        <f t="shared" ca="1" si="10"/>
        <v>0.82113425778500015</v>
      </c>
      <c r="V28" s="1133">
        <f t="shared" ca="1" si="11"/>
        <v>4.9999999999999933E-2</v>
      </c>
      <c r="X28" s="1134">
        <f t="shared" ca="1" si="18"/>
        <v>510278758.34310949</v>
      </c>
      <c r="Y28" s="1134">
        <f t="shared" ca="1" si="12"/>
        <v>3276324.7088317871</v>
      </c>
      <c r="Z28" s="1134">
        <f t="shared" ca="1" si="13"/>
        <v>507002433.6342777</v>
      </c>
      <c r="AA28" s="1132">
        <f t="shared" ca="1" si="14"/>
        <v>0.87857912937863203</v>
      </c>
      <c r="AB28" s="1105"/>
    </row>
    <row r="29" spans="1:28" ht="15.75">
      <c r="A29" s="1094" t="s">
        <v>629</v>
      </c>
      <c r="C29" s="1104"/>
      <c r="D29" s="1125">
        <f t="shared" ca="1" si="0"/>
        <v>46599</v>
      </c>
      <c r="E29" s="1126">
        <f t="shared" ca="1" si="1"/>
        <v>46626</v>
      </c>
      <c r="F29" s="1127">
        <f t="shared" ca="1" si="2"/>
        <v>577</v>
      </c>
      <c r="G29" s="1128">
        <f ca="1">IF(F29&lt;&gt;"",COUNTIF($F$11:F29,"&gt;0"),"")</f>
        <v>19</v>
      </c>
      <c r="H29" s="1129">
        <v>6.457233226186688E-3</v>
      </c>
      <c r="I29" s="1128"/>
      <c r="J29" s="1130">
        <f t="shared" ca="1" si="3"/>
        <v>10140048672.685553</v>
      </c>
      <c r="K29" s="1131">
        <f t="shared" ca="1" si="4"/>
        <v>65476659.204415374</v>
      </c>
      <c r="L29" s="1130">
        <f t="shared" ca="1" si="5"/>
        <v>0</v>
      </c>
      <c r="M29" s="1130">
        <f t="shared" ca="1" si="6"/>
        <v>0</v>
      </c>
      <c r="N29" s="1130">
        <f t="shared" ca="1" si="15"/>
        <v>10074572013.481136</v>
      </c>
      <c r="O29" s="1073"/>
      <c r="P29" s="1130">
        <f t="shared" ca="1" si="7"/>
        <v>65476659.204416275</v>
      </c>
      <c r="Q29" s="1130">
        <f t="shared" ca="1" si="8"/>
        <v>9570843412.8070793</v>
      </c>
      <c r="R29" s="1130">
        <f t="shared" ca="1" si="16"/>
        <v>9633046239.0512753</v>
      </c>
      <c r="S29" s="1130">
        <f t="shared" ca="1" si="17"/>
        <v>62202826.244195938</v>
      </c>
      <c r="T29" s="1130">
        <f t="shared" ca="1" si="9"/>
        <v>9570843412.8070793</v>
      </c>
      <c r="U29" s="1132">
        <f t="shared" ca="1" si="10"/>
        <v>0.81586203664300383</v>
      </c>
      <c r="V29" s="1133">
        <f t="shared" ca="1" si="11"/>
        <v>5.0000000000000044E-2</v>
      </c>
      <c r="X29" s="1134">
        <f t="shared" ca="1" si="18"/>
        <v>507002433.6342777</v>
      </c>
      <c r="Y29" s="1134">
        <f t="shared" ca="1" si="12"/>
        <v>3273832.9602203369</v>
      </c>
      <c r="Z29" s="1134">
        <f t="shared" ca="1" si="13"/>
        <v>503728600.67405736</v>
      </c>
      <c r="AA29" s="1132">
        <f t="shared" ca="1" si="14"/>
        <v>0.87293807443918336</v>
      </c>
      <c r="AB29" s="1105"/>
    </row>
    <row r="30" spans="1:28">
      <c r="A30" s="1103" t="s">
        <v>630</v>
      </c>
      <c r="C30" s="1104"/>
      <c r="D30" s="1125">
        <f t="shared" ca="1" si="0"/>
        <v>46630</v>
      </c>
      <c r="E30" s="1126">
        <f t="shared" ca="1" si="1"/>
        <v>46657</v>
      </c>
      <c r="F30" s="1127">
        <f t="shared" ca="1" si="2"/>
        <v>608</v>
      </c>
      <c r="G30" s="1128">
        <f ca="1">IF(F30&lt;&gt;"",COUNTIF($F$11:F30,"&gt;0"),"")</f>
        <v>20</v>
      </c>
      <c r="H30" s="1129">
        <v>6.4969380648127462E-3</v>
      </c>
      <c r="I30" s="1128"/>
      <c r="J30" s="1130">
        <f t="shared" ca="1" si="3"/>
        <v>10074572013.481136</v>
      </c>
      <c r="K30" s="1131">
        <f t="shared" ca="1" si="4"/>
        <v>65453870.401082784</v>
      </c>
      <c r="L30" s="1130">
        <f t="shared" ca="1" si="5"/>
        <v>0</v>
      </c>
      <c r="M30" s="1130">
        <f t="shared" ca="1" si="6"/>
        <v>0</v>
      </c>
      <c r="N30" s="1130">
        <f t="shared" ca="1" si="15"/>
        <v>10009118143.080053</v>
      </c>
      <c r="O30" s="1073"/>
      <c r="P30" s="1130">
        <f t="shared" ca="1" si="7"/>
        <v>65453870.401082993</v>
      </c>
      <c r="Q30" s="1130">
        <f t="shared" ca="1" si="8"/>
        <v>9508662235.9260502</v>
      </c>
      <c r="R30" s="1130">
        <f t="shared" ca="1" si="16"/>
        <v>9570843412.8070793</v>
      </c>
      <c r="S30" s="1130">
        <f t="shared" ca="1" si="17"/>
        <v>62181176.881029129</v>
      </c>
      <c r="T30" s="1130">
        <f t="shared" ca="1" si="9"/>
        <v>9508662235.9260502</v>
      </c>
      <c r="U30" s="1132">
        <f t="shared" ca="1" si="10"/>
        <v>0.81059382519200818</v>
      </c>
      <c r="V30" s="1133">
        <f t="shared" ca="1" si="11"/>
        <v>5.0000000000000044E-2</v>
      </c>
      <c r="X30" s="1134">
        <f t="shared" ca="1" si="18"/>
        <v>503728600.67405736</v>
      </c>
      <c r="Y30" s="1134">
        <f t="shared" ca="1" si="12"/>
        <v>3272693.5200538635</v>
      </c>
      <c r="Z30" s="1134">
        <f t="shared" ca="1" si="13"/>
        <v>500455907.1540035</v>
      </c>
      <c r="AA30" s="1132">
        <f t="shared" ca="1" si="14"/>
        <v>0.867301309700512</v>
      </c>
      <c r="AB30" s="1105"/>
    </row>
    <row r="31" spans="1:28">
      <c r="A31" s="1528">
        <f>'00 - Cover'!F20</f>
        <v>46049</v>
      </c>
      <c r="C31" s="1104"/>
      <c r="D31" s="1125">
        <f t="shared" ca="1" si="0"/>
        <v>46660</v>
      </c>
      <c r="E31" s="1126">
        <f t="shared" ca="1" si="1"/>
        <v>46687</v>
      </c>
      <c r="F31" s="1127">
        <f t="shared" ca="1" si="2"/>
        <v>638</v>
      </c>
      <c r="G31" s="1128">
        <f ca="1">IF(F31&lt;&gt;"",COUNTIF($F$11:F31,"&gt;0"),"")</f>
        <v>21</v>
      </c>
      <c r="H31" s="1129">
        <v>6.5436261874657333E-3</v>
      </c>
      <c r="I31" s="1128"/>
      <c r="J31" s="1130">
        <f t="shared" ca="1" si="3"/>
        <v>10009118143.080053</v>
      </c>
      <c r="K31" s="1131">
        <f t="shared" ca="1" si="4"/>
        <v>65495927.594497032</v>
      </c>
      <c r="L31" s="1130">
        <f t="shared" ca="1" si="5"/>
        <v>0</v>
      </c>
      <c r="M31" s="1130">
        <f t="shared" ca="1" si="6"/>
        <v>0</v>
      </c>
      <c r="N31" s="1130">
        <f t="shared" ca="1" si="15"/>
        <v>9943622215.4855556</v>
      </c>
      <c r="O31" s="1073"/>
      <c r="P31" s="1130">
        <f t="shared" ca="1" si="7"/>
        <v>65495927.594497681</v>
      </c>
      <c r="Q31" s="1130">
        <f t="shared" ca="1" si="8"/>
        <v>9446441104.711277</v>
      </c>
      <c r="R31" s="1130">
        <f t="shared" ca="1" si="16"/>
        <v>9508662235.9260502</v>
      </c>
      <c r="S31" s="1130">
        <f t="shared" ca="1" si="17"/>
        <v>62221131.214773178</v>
      </c>
      <c r="T31" s="1130">
        <f t="shared" ca="1" si="9"/>
        <v>9446441104.711277</v>
      </c>
      <c r="U31" s="1132">
        <f t="shared" ca="1" si="10"/>
        <v>0.80532744731401606</v>
      </c>
      <c r="V31" s="1133">
        <f t="shared" ca="1" si="11"/>
        <v>5.0000000000000044E-2</v>
      </c>
      <c r="X31" s="1134">
        <f t="shared" ca="1" si="18"/>
        <v>500455907.1540035</v>
      </c>
      <c r="Y31" s="1134">
        <f t="shared" ca="1" si="12"/>
        <v>3274796.3797245026</v>
      </c>
      <c r="Z31" s="1134">
        <f t="shared" ca="1" si="13"/>
        <v>497181110.774279</v>
      </c>
      <c r="AA31" s="1132">
        <f t="shared" ca="1" si="14"/>
        <v>0.86166650680785728</v>
      </c>
      <c r="AB31" s="1105"/>
    </row>
    <row r="32" spans="1:28">
      <c r="A32" s="1103" t="s">
        <v>631</v>
      </c>
      <c r="C32" s="1104"/>
      <c r="D32" s="1125">
        <f t="shared" ca="1" si="0"/>
        <v>46691</v>
      </c>
      <c r="E32" s="1126">
        <f t="shared" ca="1" si="1"/>
        <v>46720</v>
      </c>
      <c r="F32" s="1127">
        <f t="shared" ca="1" si="2"/>
        <v>671</v>
      </c>
      <c r="G32" s="1128">
        <f ca="1">IF(F32&lt;&gt;"",COUNTIF($F$11:F32,"&gt;0"),"")</f>
        <v>22</v>
      </c>
      <c r="H32" s="1129">
        <v>6.5780392457232386E-3</v>
      </c>
      <c r="I32" s="1128"/>
      <c r="J32" s="1130">
        <f t="shared" ca="1" si="3"/>
        <v>9943622215.4855556</v>
      </c>
      <c r="K32" s="1131">
        <f t="shared" ca="1" si="4"/>
        <v>65409537.178109445</v>
      </c>
      <c r="L32" s="1130">
        <f t="shared" ca="1" si="5"/>
        <v>0</v>
      </c>
      <c r="M32" s="1130">
        <f t="shared" ca="1" si="6"/>
        <v>0</v>
      </c>
      <c r="N32" s="1130">
        <f t="shared" ca="1" si="15"/>
        <v>9878212678.3074455</v>
      </c>
      <c r="O32" s="1073"/>
      <c r="P32" s="1130">
        <f t="shared" ca="1" si="7"/>
        <v>65409537.178110123</v>
      </c>
      <c r="Q32" s="1130">
        <f t="shared" ca="1" si="8"/>
        <v>9384302044.3920727</v>
      </c>
      <c r="R32" s="1130">
        <f t="shared" ca="1" si="16"/>
        <v>9446441104.711277</v>
      </c>
      <c r="S32" s="1130">
        <f t="shared" ca="1" si="17"/>
        <v>62139060.31920433</v>
      </c>
      <c r="T32" s="1130">
        <f t="shared" ca="1" si="9"/>
        <v>9384302044.3920727</v>
      </c>
      <c r="U32" s="1132">
        <f t="shared" ca="1" si="10"/>
        <v>0.800057685540287</v>
      </c>
      <c r="V32" s="1133">
        <f t="shared" ca="1" si="11"/>
        <v>5.0000000000000044E-2</v>
      </c>
      <c r="X32" s="1134">
        <f t="shared" ca="1" si="18"/>
        <v>497181110.774279</v>
      </c>
      <c r="Y32" s="1134">
        <f t="shared" ca="1" si="12"/>
        <v>3270476.8589057922</v>
      </c>
      <c r="Z32" s="1134">
        <f t="shared" ca="1" si="13"/>
        <v>493910633.91537321</v>
      </c>
      <c r="AA32" s="1132">
        <f t="shared" ca="1" si="14"/>
        <v>0.85602808328904789</v>
      </c>
      <c r="AB32" s="1105"/>
    </row>
    <row r="33" spans="1:28">
      <c r="A33" s="1143">
        <f>A31</f>
        <v>46049</v>
      </c>
      <c r="C33" s="1104"/>
      <c r="D33" s="1125">
        <f t="shared" ca="1" si="0"/>
        <v>46721</v>
      </c>
      <c r="E33" s="1126">
        <f t="shared" ca="1" si="1"/>
        <v>46748</v>
      </c>
      <c r="F33" s="1127">
        <f t="shared" ca="1" si="2"/>
        <v>699</v>
      </c>
      <c r="G33" s="1128">
        <f ca="1">IF(F33&lt;&gt;"",COUNTIF($F$11:F33,"&gt;0"),"")</f>
        <v>23</v>
      </c>
      <c r="H33" s="1129">
        <v>6.6273728883381152E-3</v>
      </c>
      <c r="I33" s="1128"/>
      <c r="J33" s="1130">
        <f t="shared" ca="1" si="3"/>
        <v>9878212678.3074455</v>
      </c>
      <c r="K33" s="1131">
        <f t="shared" ca="1" si="4"/>
        <v>65466598.889452606</v>
      </c>
      <c r="L33" s="1130">
        <f t="shared" ca="1" si="5"/>
        <v>0</v>
      </c>
      <c r="M33" s="1130">
        <f t="shared" ca="1" si="6"/>
        <v>0</v>
      </c>
      <c r="N33" s="1130">
        <f t="shared" ca="1" si="15"/>
        <v>9812746079.4179935</v>
      </c>
      <c r="O33" s="1073"/>
      <c r="P33" s="1130">
        <f t="shared" ca="1" si="7"/>
        <v>65466598.889451981</v>
      </c>
      <c r="Q33" s="1130">
        <f t="shared" ca="1" si="8"/>
        <v>9322108775.447094</v>
      </c>
      <c r="R33" s="1130">
        <f t="shared" ca="1" si="16"/>
        <v>9384302044.3920727</v>
      </c>
      <c r="S33" s="1130">
        <f t="shared" ca="1" si="17"/>
        <v>62193268.944978714</v>
      </c>
      <c r="T33" s="1130">
        <f t="shared" ca="1" si="9"/>
        <v>9322108775.447094</v>
      </c>
      <c r="U33" s="1132">
        <f t="shared" ca="1" si="10"/>
        <v>0.79479487468596044</v>
      </c>
      <c r="V33" s="1133">
        <f t="shared" ca="1" si="11"/>
        <v>5.0000000000000044E-2</v>
      </c>
      <c r="X33" s="1134">
        <f t="shared" ca="1" si="18"/>
        <v>493910633.91537321</v>
      </c>
      <c r="Y33" s="1134">
        <f t="shared" ca="1" si="12"/>
        <v>3273329.9444732666</v>
      </c>
      <c r="Z33" s="1134">
        <f t="shared" ca="1" si="13"/>
        <v>490637303.97089994</v>
      </c>
      <c r="AA33" s="1132">
        <f t="shared" ca="1" si="14"/>
        <v>0.85039709696173071</v>
      </c>
      <c r="AB33" s="1105"/>
    </row>
    <row r="34" spans="1:28">
      <c r="A34" s="1144">
        <f>Calendar!J26</f>
        <v>45715</v>
      </c>
      <c r="C34" s="1104"/>
      <c r="D34" s="1125">
        <f t="shared" ca="1" si="0"/>
        <v>46752</v>
      </c>
      <c r="E34" s="1126">
        <f t="shared" ca="1" si="1"/>
        <v>46779</v>
      </c>
      <c r="F34" s="1127">
        <f t="shared" ca="1" si="2"/>
        <v>730</v>
      </c>
      <c r="G34" s="1128">
        <f ca="1">IF(F34&lt;&gt;"",COUNTIF($F$11:F34,"&gt;0"),"")</f>
        <v>24</v>
      </c>
      <c r="H34" s="1129">
        <v>6.6642395070978582E-3</v>
      </c>
      <c r="I34" s="1128"/>
      <c r="J34" s="1130">
        <f t="shared" ca="1" si="3"/>
        <v>9812746079.4179935</v>
      </c>
      <c r="K34" s="1131">
        <f t="shared" ca="1" si="4"/>
        <v>65394490.095577009</v>
      </c>
      <c r="L34" s="1130">
        <f t="shared" ca="1" si="5"/>
        <v>0</v>
      </c>
      <c r="M34" s="1130">
        <f t="shared" ca="1" si="6"/>
        <v>0</v>
      </c>
      <c r="N34" s="1130">
        <f t="shared" ca="1" si="15"/>
        <v>9747351589.3224163</v>
      </c>
      <c r="O34" s="1073"/>
      <c r="P34" s="1130">
        <f t="shared" ca="1" si="7"/>
        <v>65394490.09557724</v>
      </c>
      <c r="Q34" s="1130">
        <f t="shared" ca="1" si="8"/>
        <v>9259984009.8562946</v>
      </c>
      <c r="R34" s="1130">
        <f t="shared" ca="1" si="16"/>
        <v>9322108775.447094</v>
      </c>
      <c r="S34" s="1130">
        <f t="shared" ca="1" si="17"/>
        <v>62124765.590799332</v>
      </c>
      <c r="T34" s="1130">
        <f t="shared" ca="1" si="9"/>
        <v>9259984009.8562946</v>
      </c>
      <c r="U34" s="1132">
        <f t="shared" ca="1" si="10"/>
        <v>0.78952747268167678</v>
      </c>
      <c r="V34" s="1133">
        <f t="shared" ca="1" si="11"/>
        <v>5.0000000000000044E-2</v>
      </c>
      <c r="X34" s="1134">
        <f t="shared" ca="1" si="18"/>
        <v>490637303.97089994</v>
      </c>
      <c r="Y34" s="1134">
        <f t="shared" ca="1" si="12"/>
        <v>3269724.5047779083</v>
      </c>
      <c r="Z34" s="1134">
        <f t="shared" ca="1" si="13"/>
        <v>487367579.46612203</v>
      </c>
      <c r="AA34" s="1132">
        <f t="shared" ca="1" si="14"/>
        <v>0.84476119829700402</v>
      </c>
      <c r="AB34" s="1105"/>
    </row>
    <row r="35" spans="1:28">
      <c r="A35" s="1144">
        <f>Calendar!J27</f>
        <v>45743</v>
      </c>
      <c r="C35" s="1104"/>
      <c r="D35" s="1125">
        <f t="shared" ca="1" si="0"/>
        <v>46783</v>
      </c>
      <c r="E35" s="1126">
        <f t="shared" ca="1" si="1"/>
        <v>46811</v>
      </c>
      <c r="F35" s="1127">
        <f t="shared" ca="1" si="2"/>
        <v>762</v>
      </c>
      <c r="G35" s="1128">
        <f ca="1">IF(F35&lt;&gt;"",COUNTIF($F$11:F35,"&gt;0"),"")</f>
        <v>25</v>
      </c>
      <c r="H35" s="1129">
        <v>6.7086781094206106E-3</v>
      </c>
      <c r="I35" s="1128"/>
      <c r="J35" s="1130">
        <f t="shared" ca="1" si="3"/>
        <v>9747351589.3224163</v>
      </c>
      <c r="K35" s="1131">
        <f t="shared" ca="1" si="4"/>
        <v>65391844.232113495</v>
      </c>
      <c r="L35" s="1130">
        <f t="shared" ca="1" si="5"/>
        <v>0</v>
      </c>
      <c r="M35" s="1130">
        <f t="shared" ca="1" si="6"/>
        <v>0</v>
      </c>
      <c r="N35" s="1130">
        <f t="shared" ca="1" si="15"/>
        <v>9681959745.0903034</v>
      </c>
      <c r="O35" s="1073"/>
      <c r="P35" s="1130">
        <f t="shared" ca="1" si="7"/>
        <v>65391844.232112885</v>
      </c>
      <c r="Q35" s="1130">
        <f t="shared" ca="1" si="8"/>
        <v>9197861757.8357887</v>
      </c>
      <c r="R35" s="1130">
        <f t="shared" ca="1" si="16"/>
        <v>9259984009.8562946</v>
      </c>
      <c r="S35" s="1130">
        <f t="shared" ca="1" si="17"/>
        <v>62122252.020505905</v>
      </c>
      <c r="T35" s="1130">
        <f t="shared" ca="1" si="9"/>
        <v>9197861757.8357887</v>
      </c>
      <c r="U35" s="1132">
        <f t="shared" ca="1" si="10"/>
        <v>0.78426587250629232</v>
      </c>
      <c r="V35" s="1133">
        <f t="shared" ca="1" si="11"/>
        <v>4.9999999999999933E-2</v>
      </c>
      <c r="X35" s="1134">
        <f t="shared" ca="1" si="18"/>
        <v>487367579.46612203</v>
      </c>
      <c r="Y35" s="1134">
        <f t="shared" ca="1" si="12"/>
        <v>3269592.2116069794</v>
      </c>
      <c r="Z35" s="1134">
        <f t="shared" ca="1" si="13"/>
        <v>484097987.25451505</v>
      </c>
      <c r="AA35" s="1132">
        <f t="shared" ca="1" si="14"/>
        <v>0.83913150734525144</v>
      </c>
      <c r="AB35" s="1105"/>
    </row>
    <row r="36" spans="1:28">
      <c r="A36" s="1144">
        <f>Calendar!J28</f>
        <v>45775</v>
      </c>
      <c r="C36" s="1104"/>
      <c r="D36" s="1125">
        <f t="shared" ca="1" si="0"/>
        <v>46812</v>
      </c>
      <c r="E36" s="1126">
        <f t="shared" ca="1" si="1"/>
        <v>46839</v>
      </c>
      <c r="F36" s="1127">
        <f t="shared" ca="1" si="2"/>
        <v>790</v>
      </c>
      <c r="G36" s="1128">
        <f ca="1">IF(F36&lt;&gt;"",COUNTIF($F$11:F36,"&gt;0"),"")</f>
        <v>26</v>
      </c>
      <c r="H36" s="1129">
        <v>6.757731939292801E-3</v>
      </c>
      <c r="I36" s="1128"/>
      <c r="J36" s="1130">
        <f t="shared" ca="1" si="3"/>
        <v>9681959745.0903034</v>
      </c>
      <c r="K36" s="1131">
        <f t="shared" ca="1" si="4"/>
        <v>65428088.604343928</v>
      </c>
      <c r="L36" s="1130">
        <f t="shared" ca="1" si="5"/>
        <v>0</v>
      </c>
      <c r="M36" s="1130">
        <f t="shared" ca="1" si="6"/>
        <v>0</v>
      </c>
      <c r="N36" s="1130">
        <f t="shared" ca="1" si="15"/>
        <v>9616531656.48596</v>
      </c>
      <c r="O36" s="1073"/>
      <c r="P36" s="1130">
        <f t="shared" ca="1" si="7"/>
        <v>65428088.604343414</v>
      </c>
      <c r="Q36" s="1130">
        <f t="shared" ca="1" si="8"/>
        <v>9135705073.6616611</v>
      </c>
      <c r="R36" s="1130">
        <f t="shared" ca="1" si="16"/>
        <v>9197861757.8357887</v>
      </c>
      <c r="S36" s="1130">
        <f t="shared" ca="1" si="17"/>
        <v>62156684.174127579</v>
      </c>
      <c r="T36" s="1130">
        <f t="shared" ca="1" si="9"/>
        <v>9135705073.6616611</v>
      </c>
      <c r="U36" s="1132">
        <f t="shared" ca="1" si="10"/>
        <v>0.77900448521544385</v>
      </c>
      <c r="V36" s="1133">
        <f t="shared" ca="1" si="11"/>
        <v>5.0000000000000044E-2</v>
      </c>
      <c r="X36" s="1134">
        <f t="shared" ca="1" si="18"/>
        <v>484097987.25451505</v>
      </c>
      <c r="Y36" s="1134">
        <f t="shared" ca="1" si="12"/>
        <v>3271404.4302158356</v>
      </c>
      <c r="Z36" s="1134">
        <f t="shared" ca="1" si="13"/>
        <v>480826582.82429922</v>
      </c>
      <c r="AA36" s="1132">
        <f t="shared" ca="1" si="14"/>
        <v>0.83350204417099694</v>
      </c>
      <c r="AB36" s="1105"/>
    </row>
    <row r="37" spans="1:28">
      <c r="A37" s="1144">
        <f>Calendar!J29</f>
        <v>45804</v>
      </c>
      <c r="C37" s="1104"/>
      <c r="D37" s="1125">
        <f t="shared" ca="1" si="0"/>
        <v>46843</v>
      </c>
      <c r="E37" s="1126">
        <f t="shared" ca="1" si="1"/>
        <v>46870</v>
      </c>
      <c r="F37" s="1127">
        <f t="shared" ca="1" si="2"/>
        <v>821</v>
      </c>
      <c r="G37" s="1128">
        <f ca="1">IF(F37&lt;&gt;"",COUNTIF($F$11:F37,"&gt;0"),"")</f>
        <v>27</v>
      </c>
      <c r="H37" s="1129">
        <v>6.7922906992823944E-3</v>
      </c>
      <c r="I37" s="1128"/>
      <c r="J37" s="1130">
        <f t="shared" ca="1" si="3"/>
        <v>9616531656.48596</v>
      </c>
      <c r="K37" s="1131">
        <f t="shared" ca="1" si="4"/>
        <v>65318278.529704303</v>
      </c>
      <c r="L37" s="1130">
        <f t="shared" ca="1" si="5"/>
        <v>0</v>
      </c>
      <c r="M37" s="1130">
        <f t="shared" ca="1" si="6"/>
        <v>0</v>
      </c>
      <c r="N37" s="1130">
        <f t="shared" ca="1" si="15"/>
        <v>9551213377.956255</v>
      </c>
      <c r="O37" s="1073"/>
      <c r="P37" s="1130">
        <f t="shared" ca="1" si="7"/>
        <v>65318278.529705048</v>
      </c>
      <c r="Q37" s="1130">
        <f t="shared" ca="1" si="8"/>
        <v>9073652709.0584412</v>
      </c>
      <c r="R37" s="1130">
        <f t="shared" ca="1" si="16"/>
        <v>9135705073.6616611</v>
      </c>
      <c r="S37" s="1130">
        <f t="shared" ca="1" si="17"/>
        <v>62052364.603219986</v>
      </c>
      <c r="T37" s="1130">
        <f t="shared" ca="1" si="9"/>
        <v>9073652709.0584412</v>
      </c>
      <c r="U37" s="1132">
        <f t="shared" ca="1" si="10"/>
        <v>0.77374018172485104</v>
      </c>
      <c r="V37" s="1133">
        <f t="shared" ca="1" si="11"/>
        <v>5.0000000000000155E-2</v>
      </c>
      <c r="X37" s="1134">
        <f t="shared" ca="1" si="18"/>
        <v>480826582.82429922</v>
      </c>
      <c r="Y37" s="1134">
        <f t="shared" ca="1" si="12"/>
        <v>3265913.9264850616</v>
      </c>
      <c r="Z37" s="1134">
        <f t="shared" ca="1" si="13"/>
        <v>477560668.89781415</v>
      </c>
      <c r="AA37" s="1132">
        <f t="shared" ca="1" si="14"/>
        <v>0.82786946078563917</v>
      </c>
      <c r="AB37" s="1105"/>
    </row>
    <row r="38" spans="1:28">
      <c r="A38" s="1144">
        <f>Calendar!J30</f>
        <v>45835</v>
      </c>
      <c r="C38" s="1104"/>
      <c r="D38" s="1125">
        <f t="shared" ca="1" si="0"/>
        <v>46873</v>
      </c>
      <c r="E38" s="1126">
        <f t="shared" ca="1" si="1"/>
        <v>46902</v>
      </c>
      <c r="F38" s="1127">
        <f t="shared" ca="1" si="2"/>
        <v>853</v>
      </c>
      <c r="G38" s="1128">
        <f ca="1">IF(F38&lt;&gt;"",COUNTIF($F$11:F38,"&gt;0"),"")</f>
        <v>28</v>
      </c>
      <c r="H38" s="1129">
        <v>6.8390234381432852E-3</v>
      </c>
      <c r="I38" s="1128"/>
      <c r="J38" s="1130">
        <f t="shared" ca="1" si="3"/>
        <v>9551213377.956255</v>
      </c>
      <c r="K38" s="1131">
        <f t="shared" ca="1" si="4"/>
        <v>65320972.15455053</v>
      </c>
      <c r="L38" s="1130">
        <f t="shared" ca="1" si="5"/>
        <v>0</v>
      </c>
      <c r="M38" s="1130">
        <f t="shared" ca="1" si="6"/>
        <v>0</v>
      </c>
      <c r="N38" s="1130">
        <f t="shared" ca="1" si="15"/>
        <v>9485892405.8017044</v>
      </c>
      <c r="O38" s="1073"/>
      <c r="P38" s="1130">
        <f t="shared" ca="1" si="7"/>
        <v>65320972.154550552</v>
      </c>
      <c r="Q38" s="1130">
        <f t="shared" ca="1" si="8"/>
        <v>9011597785.5116196</v>
      </c>
      <c r="R38" s="1130">
        <f t="shared" ca="1" si="16"/>
        <v>9073652709.0584412</v>
      </c>
      <c r="S38" s="1130">
        <f t="shared" ca="1" si="17"/>
        <v>62054923.546821594</v>
      </c>
      <c r="T38" s="1130">
        <f t="shared" ca="1" si="9"/>
        <v>9011597785.5116196</v>
      </c>
      <c r="U38" s="1132">
        <f t="shared" ca="1" si="10"/>
        <v>0.76848471348486014</v>
      </c>
      <c r="V38" s="1133">
        <f t="shared" ca="1" si="11"/>
        <v>4.9999999999999933E-2</v>
      </c>
      <c r="X38" s="1134">
        <f t="shared" ca="1" si="18"/>
        <v>477560668.89781415</v>
      </c>
      <c r="Y38" s="1134">
        <f t="shared" ca="1" si="12"/>
        <v>3266048.6077289581</v>
      </c>
      <c r="Z38" s="1134">
        <f t="shared" ca="1" si="13"/>
        <v>474294620.2900852</v>
      </c>
      <c r="AA38" s="1132">
        <f t="shared" ca="1" si="14"/>
        <v>0.82224633074692521</v>
      </c>
      <c r="AB38" s="1105"/>
    </row>
    <row r="39" spans="1:28">
      <c r="A39" s="1144">
        <f>Calendar!J31</f>
        <v>45866</v>
      </c>
      <c r="C39" s="1104"/>
      <c r="D39" s="1125">
        <f t="shared" ca="1" si="0"/>
        <v>46904</v>
      </c>
      <c r="E39" s="1126">
        <f t="shared" ca="1" si="1"/>
        <v>46931</v>
      </c>
      <c r="F39" s="1127">
        <f t="shared" ca="1" si="2"/>
        <v>882</v>
      </c>
      <c r="G39" s="1128">
        <f ca="1">IF(F39&lt;&gt;"",COUNTIF($F$11:F39,"&gt;0"),"")</f>
        <v>29</v>
      </c>
      <c r="H39" s="1129">
        <v>6.8759064053799078E-3</v>
      </c>
      <c r="I39" s="1128"/>
      <c r="J39" s="1130">
        <f t="shared" ca="1" si="3"/>
        <v>9485892405.8017044</v>
      </c>
      <c r="K39" s="1131">
        <f t="shared" ca="1" si="4"/>
        <v>65224108.353796564</v>
      </c>
      <c r="L39" s="1130">
        <f t="shared" ca="1" si="5"/>
        <v>0</v>
      </c>
      <c r="M39" s="1130">
        <f t="shared" ca="1" si="6"/>
        <v>0</v>
      </c>
      <c r="N39" s="1130">
        <f t="shared" ca="1" si="15"/>
        <v>9420668297.4479084</v>
      </c>
      <c r="O39" s="1073"/>
      <c r="P39" s="1130">
        <f t="shared" ca="1" si="7"/>
        <v>65224108.353796005</v>
      </c>
      <c r="Q39" s="1130">
        <f t="shared" ca="1" si="8"/>
        <v>8949634882.5755119</v>
      </c>
      <c r="R39" s="1130">
        <f t="shared" ca="1" si="16"/>
        <v>9011597785.5116196</v>
      </c>
      <c r="S39" s="1130">
        <f t="shared" ca="1" si="17"/>
        <v>61962902.936107635</v>
      </c>
      <c r="T39" s="1130">
        <f t="shared" ca="1" si="9"/>
        <v>8949634882.5755119</v>
      </c>
      <c r="U39" s="1132">
        <f t="shared" ca="1" si="10"/>
        <v>0.76322902851748253</v>
      </c>
      <c r="V39" s="1133">
        <f t="shared" ca="1" si="11"/>
        <v>5.0000000000000155E-2</v>
      </c>
      <c r="X39" s="1134">
        <f t="shared" ca="1" si="18"/>
        <v>474294620.2900852</v>
      </c>
      <c r="Y39" s="1134">
        <f t="shared" ca="1" si="12"/>
        <v>3261205.4176883698</v>
      </c>
      <c r="Z39" s="1134">
        <f t="shared" ca="1" si="13"/>
        <v>471033414.87239683</v>
      </c>
      <c r="AA39" s="1132">
        <f t="shared" ca="1" si="14"/>
        <v>0.81662296881901719</v>
      </c>
      <c r="AB39" s="1105"/>
    </row>
    <row r="40" spans="1:28">
      <c r="A40" s="1144">
        <f>Calendar!J32</f>
        <v>45896</v>
      </c>
      <c r="C40" s="1104"/>
      <c r="D40" s="1125">
        <f t="shared" ca="1" si="0"/>
        <v>46934</v>
      </c>
      <c r="E40" s="1126">
        <f t="shared" ca="1" si="1"/>
        <v>46961</v>
      </c>
      <c r="F40" s="1127">
        <f t="shared" ca="1" si="2"/>
        <v>912</v>
      </c>
      <c r="G40" s="1128">
        <f ca="1">IF(F40&lt;&gt;"",COUNTIF($F$11:F40,"&gt;0"),"")</f>
        <v>30</v>
      </c>
      <c r="H40" s="1129">
        <v>6.9259289520733781E-3</v>
      </c>
      <c r="I40" s="1128"/>
      <c r="J40" s="1130">
        <f t="shared" ca="1" si="3"/>
        <v>9420668297.4479084</v>
      </c>
      <c r="K40" s="1131">
        <f t="shared" ca="1" si="4"/>
        <v>65246879.309174284</v>
      </c>
      <c r="L40" s="1130">
        <f t="shared" ca="1" si="5"/>
        <v>0</v>
      </c>
      <c r="M40" s="1130">
        <f t="shared" ca="1" si="6"/>
        <v>0</v>
      </c>
      <c r="N40" s="1130">
        <f t="shared" ca="1" si="15"/>
        <v>9355421418.1387348</v>
      </c>
      <c r="O40" s="1073"/>
      <c r="P40" s="1130">
        <f t="shared" ca="1" si="7"/>
        <v>65246879.309173584</v>
      </c>
      <c r="Q40" s="1130">
        <f t="shared" ca="1" si="8"/>
        <v>8887650347.2317982</v>
      </c>
      <c r="R40" s="1130">
        <f t="shared" ca="1" si="16"/>
        <v>8949634882.5755119</v>
      </c>
      <c r="S40" s="1130">
        <f t="shared" ca="1" si="17"/>
        <v>61984535.34371376</v>
      </c>
      <c r="T40" s="1130">
        <f t="shared" ca="1" si="9"/>
        <v>8887650347.2317982</v>
      </c>
      <c r="U40" s="1132">
        <f t="shared" ca="1" si="10"/>
        <v>0.75798113715152715</v>
      </c>
      <c r="V40" s="1133">
        <f t="shared" ca="1" si="11"/>
        <v>5.0000000000000044E-2</v>
      </c>
      <c r="X40" s="1134">
        <f t="shared" ca="1" si="18"/>
        <v>471033414.87239683</v>
      </c>
      <c r="Y40" s="1134">
        <f t="shared" ca="1" si="12"/>
        <v>3262343.9654598236</v>
      </c>
      <c r="Z40" s="1134">
        <f t="shared" ca="1" si="13"/>
        <v>467771070.906937</v>
      </c>
      <c r="AA40" s="1132">
        <f t="shared" ca="1" si="14"/>
        <v>0.81100794571693668</v>
      </c>
      <c r="AB40" s="1105"/>
    </row>
    <row r="41" spans="1:28">
      <c r="A41" s="1144">
        <f>Calendar!J33</f>
        <v>45929</v>
      </c>
      <c r="C41" s="1104"/>
      <c r="D41" s="1125">
        <f t="shared" ca="1" si="0"/>
        <v>46965</v>
      </c>
      <c r="E41" s="1126">
        <f t="shared" ca="1" si="1"/>
        <v>46993</v>
      </c>
      <c r="F41" s="1127">
        <f t="shared" ca="1" si="2"/>
        <v>944</v>
      </c>
      <c r="G41" s="1128">
        <f ca="1">IF(F41&lt;&gt;"",COUNTIF($F$11:F41,"&gt;0"),"")</f>
        <v>31</v>
      </c>
      <c r="H41" s="1129">
        <v>6.968380032368336E-3</v>
      </c>
      <c r="I41" s="1128"/>
      <c r="J41" s="1130">
        <f t="shared" ca="1" si="3"/>
        <v>9355421418.1387348</v>
      </c>
      <c r="K41" s="1131">
        <f t="shared" ca="1" si="4"/>
        <v>65192131.804549024</v>
      </c>
      <c r="L41" s="1130">
        <f t="shared" ca="1" si="5"/>
        <v>0</v>
      </c>
      <c r="M41" s="1130">
        <f t="shared" ca="1" si="6"/>
        <v>0</v>
      </c>
      <c r="N41" s="1130">
        <f t="shared" ca="1" si="15"/>
        <v>9290229286.3341866</v>
      </c>
      <c r="O41" s="1073"/>
      <c r="P41" s="1130">
        <f t="shared" ca="1" si="7"/>
        <v>65192131.804548264</v>
      </c>
      <c r="Q41" s="1130">
        <f t="shared" ca="1" si="8"/>
        <v>8825717822.017477</v>
      </c>
      <c r="R41" s="1130">
        <f t="shared" ca="1" si="16"/>
        <v>8887650347.2317982</v>
      </c>
      <c r="S41" s="1130">
        <f t="shared" ca="1" si="17"/>
        <v>61932525.214321136</v>
      </c>
      <c r="T41" s="1130">
        <f t="shared" ca="1" si="9"/>
        <v>8825717822.017477</v>
      </c>
      <c r="U41" s="1132">
        <f t="shared" ca="1" si="10"/>
        <v>0.75273141364860408</v>
      </c>
      <c r="V41" s="1133">
        <f t="shared" ca="1" si="11"/>
        <v>5.0000000000000044E-2</v>
      </c>
      <c r="X41" s="1134">
        <f t="shared" ca="1" si="18"/>
        <v>467771070.906937</v>
      </c>
      <c r="Y41" s="1134">
        <f t="shared" ca="1" si="12"/>
        <v>3259606.5902271271</v>
      </c>
      <c r="Z41" s="1134">
        <f t="shared" ca="1" si="13"/>
        <v>464511464.31670988</v>
      </c>
      <c r="AA41" s="1132">
        <f t="shared" ca="1" si="14"/>
        <v>0.80539096230533236</v>
      </c>
      <c r="AB41" s="1105"/>
    </row>
    <row r="42" spans="1:28">
      <c r="A42" s="1144">
        <f>Calendar!J34</f>
        <v>45957</v>
      </c>
      <c r="C42" s="1104"/>
      <c r="D42" s="1125">
        <f t="shared" ca="1" si="0"/>
        <v>46996</v>
      </c>
      <c r="E42" s="1126">
        <f t="shared" ca="1" si="1"/>
        <v>47023</v>
      </c>
      <c r="F42" s="1127">
        <f t="shared" ca="1" si="2"/>
        <v>974</v>
      </c>
      <c r="G42" s="1128">
        <f ca="1">IF(F42&lt;&gt;"",COUNTIF($F$11:F42,"&gt;0"),"")</f>
        <v>32</v>
      </c>
      <c r="H42" s="1129">
        <v>7.012340494481766E-3</v>
      </c>
      <c r="I42" s="1128"/>
      <c r="J42" s="1130">
        <f t="shared" ca="1" si="3"/>
        <v>9290229286.3341866</v>
      </c>
      <c r="K42" s="1131">
        <f t="shared" ca="1" si="4"/>
        <v>65146251.027581654</v>
      </c>
      <c r="L42" s="1130">
        <f t="shared" ca="1" si="5"/>
        <v>0</v>
      </c>
      <c r="M42" s="1130">
        <f t="shared" ca="1" si="6"/>
        <v>0</v>
      </c>
      <c r="N42" s="1130">
        <f t="shared" ca="1" si="15"/>
        <v>9225083035.3066044</v>
      </c>
      <c r="O42" s="1073"/>
      <c r="P42" s="1130">
        <f t="shared" ca="1" si="7"/>
        <v>65146251.027582169</v>
      </c>
      <c r="Q42" s="1130">
        <f t="shared" ca="1" si="8"/>
        <v>8763828883.5412731</v>
      </c>
      <c r="R42" s="1130">
        <f t="shared" ca="1" si="16"/>
        <v>8825717822.017477</v>
      </c>
      <c r="S42" s="1130">
        <f t="shared" ca="1" si="17"/>
        <v>61888938.476203918</v>
      </c>
      <c r="T42" s="1130">
        <f t="shared" ca="1" si="9"/>
        <v>8763828883.5412731</v>
      </c>
      <c r="U42" s="1132">
        <f t="shared" ca="1" si="10"/>
        <v>0.74748609509599884</v>
      </c>
      <c r="V42" s="1133">
        <f t="shared" ca="1" si="11"/>
        <v>5.0000000000000155E-2</v>
      </c>
      <c r="X42" s="1134">
        <f t="shared" ca="1" si="18"/>
        <v>464511464.31670988</v>
      </c>
      <c r="Y42" s="1134">
        <f t="shared" ca="1" si="12"/>
        <v>3257312.5513782501</v>
      </c>
      <c r="Z42" s="1134">
        <f t="shared" ca="1" si="13"/>
        <v>461254151.76533163</v>
      </c>
      <c r="AA42" s="1132">
        <f t="shared" ca="1" si="14"/>
        <v>0.79977869200535445</v>
      </c>
      <c r="AB42" s="1105"/>
    </row>
    <row r="43" spans="1:28">
      <c r="A43" s="1144">
        <f>Calendar!J35</f>
        <v>45988</v>
      </c>
      <c r="C43" s="1104"/>
      <c r="D43" s="1125">
        <f t="shared" ca="1" si="0"/>
        <v>47026</v>
      </c>
      <c r="E43" s="1126">
        <f t="shared" ca="1" si="1"/>
        <v>47053</v>
      </c>
      <c r="F43" s="1127">
        <f t="shared" ca="1" si="2"/>
        <v>1004</v>
      </c>
      <c r="G43" s="1128">
        <f ca="1">IF(F43&lt;&gt;"",COUNTIF($F$11:F43,"&gt;0"),"")</f>
        <v>33</v>
      </c>
      <c r="H43" s="1129">
        <v>7.0620336687723436E-3</v>
      </c>
      <c r="I43" s="1128"/>
      <c r="J43" s="1130">
        <f t="shared" ca="1" si="3"/>
        <v>9225083035.3066044</v>
      </c>
      <c r="K43" s="1131">
        <f t="shared" ca="1" si="4"/>
        <v>65147846.992555805</v>
      </c>
      <c r="L43" s="1130">
        <f t="shared" ca="1" si="5"/>
        <v>0</v>
      </c>
      <c r="M43" s="1130">
        <f t="shared" ca="1" si="6"/>
        <v>0</v>
      </c>
      <c r="N43" s="1130">
        <f t="shared" ca="1" si="15"/>
        <v>9159935188.3140488</v>
      </c>
      <c r="O43" s="1073"/>
      <c r="P43" s="1130">
        <f t="shared" ca="1" si="7"/>
        <v>65147846.992555618</v>
      </c>
      <c r="Q43" s="1130">
        <f t="shared" ca="1" si="8"/>
        <v>8701938428.8983459</v>
      </c>
      <c r="R43" s="1130">
        <f t="shared" ca="1" si="16"/>
        <v>8763828883.5412731</v>
      </c>
      <c r="S43" s="1130">
        <f t="shared" ca="1" si="17"/>
        <v>61890454.64292717</v>
      </c>
      <c r="T43" s="1130">
        <f t="shared" ca="1" si="9"/>
        <v>8701938428.8983459</v>
      </c>
      <c r="U43" s="1132">
        <f t="shared" ca="1" si="10"/>
        <v>0.74224446808229494</v>
      </c>
      <c r="V43" s="1133">
        <f t="shared" ca="1" si="11"/>
        <v>5.0000000000000044E-2</v>
      </c>
      <c r="X43" s="1134">
        <f t="shared" ca="1" si="18"/>
        <v>461254151.76533163</v>
      </c>
      <c r="Y43" s="1134">
        <f t="shared" ca="1" si="12"/>
        <v>3257392.3496284485</v>
      </c>
      <c r="Z43" s="1134">
        <f t="shared" ca="1" si="13"/>
        <v>457996759.41570318</v>
      </c>
      <c r="AA43" s="1132">
        <f t="shared" ca="1" si="14"/>
        <v>0.79417037149678316</v>
      </c>
      <c r="AB43" s="1105"/>
    </row>
    <row r="44" spans="1:28">
      <c r="A44" s="1144">
        <f>Calendar!J36</f>
        <v>46020</v>
      </c>
      <c r="C44" s="1104"/>
      <c r="D44" s="1125">
        <f t="shared" ca="1" si="0"/>
        <v>47057</v>
      </c>
      <c r="E44" s="1126">
        <f t="shared" ca="1" si="1"/>
        <v>47084</v>
      </c>
      <c r="F44" s="1127">
        <f t="shared" ca="1" si="2"/>
        <v>1035</v>
      </c>
      <c r="G44" s="1128">
        <f ca="1">IF(F44&lt;&gt;"",COUNTIF($F$11:F44,"&gt;0"),"")</f>
        <v>34</v>
      </c>
      <c r="H44" s="1129">
        <v>7.1038307982606843E-3</v>
      </c>
      <c r="I44" s="1128"/>
      <c r="J44" s="1130">
        <f t="shared" ca="1" si="3"/>
        <v>9159935188.3140488</v>
      </c>
      <c r="K44" s="1131">
        <f t="shared" ca="1" si="4"/>
        <v>65070629.700817123</v>
      </c>
      <c r="L44" s="1130">
        <f t="shared" ca="1" si="5"/>
        <v>0</v>
      </c>
      <c r="M44" s="1130">
        <f t="shared" ca="1" si="6"/>
        <v>0</v>
      </c>
      <c r="N44" s="1130">
        <f t="shared" ca="1" si="15"/>
        <v>9094864558.6132317</v>
      </c>
      <c r="O44" s="1073"/>
      <c r="P44" s="1130">
        <f t="shared" ca="1" si="7"/>
        <v>65070629.700817108</v>
      </c>
      <c r="Q44" s="1130">
        <f t="shared" ca="1" si="8"/>
        <v>8640121330.6825695</v>
      </c>
      <c r="R44" s="1130">
        <f t="shared" ca="1" si="16"/>
        <v>8701938428.8983459</v>
      </c>
      <c r="S44" s="1130">
        <f t="shared" ca="1" si="17"/>
        <v>61817098.215776443</v>
      </c>
      <c r="T44" s="1130">
        <f t="shared" ca="1" si="9"/>
        <v>8640121330.6825695</v>
      </c>
      <c r="U44" s="1132">
        <f t="shared" ca="1" si="10"/>
        <v>0.7370027126582378</v>
      </c>
      <c r="V44" s="1133">
        <f t="shared" ca="1" si="11"/>
        <v>5.0000000000000044E-2</v>
      </c>
      <c r="X44" s="1134">
        <f t="shared" ca="1" si="18"/>
        <v>457996759.41570318</v>
      </c>
      <c r="Y44" s="1134">
        <f t="shared" ca="1" si="12"/>
        <v>3253531.4850406647</v>
      </c>
      <c r="Z44" s="1134">
        <f t="shared" ca="1" si="13"/>
        <v>454743227.93066251</v>
      </c>
      <c r="AA44" s="1132">
        <f t="shared" ca="1" si="14"/>
        <v>0.78856191359453032</v>
      </c>
      <c r="AB44" s="1105"/>
    </row>
    <row r="45" spans="1:28">
      <c r="A45" s="1144">
        <f>Calendar!J37</f>
        <v>46049</v>
      </c>
      <c r="C45" s="1104"/>
      <c r="D45" s="1125">
        <f t="shared" ca="1" si="0"/>
        <v>47087</v>
      </c>
      <c r="E45" s="1126">
        <f t="shared" ca="1" si="1"/>
        <v>47114</v>
      </c>
      <c r="F45" s="1127">
        <f t="shared" ca="1" si="2"/>
        <v>1065</v>
      </c>
      <c r="G45" s="1128">
        <f ca="1">IF(F45&lt;&gt;"",COUNTIF($F$11:F45,"&gt;0"),"")</f>
        <v>35</v>
      </c>
      <c r="H45" s="1129">
        <v>7.1527899564139772E-3</v>
      </c>
      <c r="I45" s="1128"/>
      <c r="J45" s="1130">
        <f t="shared" ca="1" si="3"/>
        <v>9094864558.6132317</v>
      </c>
      <c r="K45" s="1131">
        <f t="shared" ca="1" si="4"/>
        <v>65053655.86979416</v>
      </c>
      <c r="L45" s="1130">
        <f t="shared" ca="1" si="5"/>
        <v>0</v>
      </c>
      <c r="M45" s="1130">
        <f t="shared" ca="1" si="6"/>
        <v>0</v>
      </c>
      <c r="N45" s="1130">
        <f t="shared" ca="1" si="15"/>
        <v>9029810902.7434368</v>
      </c>
      <c r="O45" s="1073"/>
      <c r="P45" s="1130">
        <f t="shared" ca="1" si="7"/>
        <v>65053655.869794846</v>
      </c>
      <c r="Q45" s="1130">
        <f t="shared" ca="1" si="8"/>
        <v>8578320357.6062641</v>
      </c>
      <c r="R45" s="1130">
        <f t="shared" ca="1" si="16"/>
        <v>8640121330.6825695</v>
      </c>
      <c r="S45" s="1130">
        <f t="shared" ca="1" si="17"/>
        <v>61800973.076305389</v>
      </c>
      <c r="T45" s="1130">
        <f t="shared" ca="1" si="9"/>
        <v>8578320357.6062641</v>
      </c>
      <c r="U45" s="1132">
        <f t="shared" ca="1" si="10"/>
        <v>0.73176717008965453</v>
      </c>
      <c r="V45" s="1133">
        <f t="shared" ca="1" si="11"/>
        <v>5.0000000000000044E-2</v>
      </c>
      <c r="X45" s="1134">
        <f t="shared" ca="1" si="18"/>
        <v>454743227.93066251</v>
      </c>
      <c r="Y45" s="1134">
        <f t="shared" ca="1" si="12"/>
        <v>3252682.7934894562</v>
      </c>
      <c r="Z45" s="1134">
        <f t="shared" ca="1" si="13"/>
        <v>451490545.13717306</v>
      </c>
      <c r="AA45" s="1132">
        <f t="shared" ca="1" si="14"/>
        <v>0.78296010318640241</v>
      </c>
      <c r="AB45" s="1105"/>
    </row>
    <row r="46" spans="1:28">
      <c r="A46" s="1144">
        <f>Calendar!J38</f>
        <v>46080</v>
      </c>
      <c r="C46" s="1104"/>
      <c r="D46" s="1125">
        <f t="shared" ca="1" si="0"/>
        <v>47118</v>
      </c>
      <c r="E46" s="1126">
        <f t="shared" ca="1" si="1"/>
        <v>47147</v>
      </c>
      <c r="F46" s="1127">
        <f t="shared" ca="1" si="2"/>
        <v>1098</v>
      </c>
      <c r="G46" s="1128">
        <f ca="1">IF(F46&lt;&gt;"",COUNTIF($F$11:F46,"&gt;0"),"")</f>
        <v>36</v>
      </c>
      <c r="H46" s="1129">
        <v>7.1967674030143786E-3</v>
      </c>
      <c r="I46" s="1128"/>
      <c r="J46" s="1130">
        <f t="shared" ca="1" si="3"/>
        <v>9029810902.7434368</v>
      </c>
      <c r="K46" s="1131">
        <f t="shared" ca="1" si="4"/>
        <v>64985448.760247804</v>
      </c>
      <c r="L46" s="1130">
        <f t="shared" ca="1" si="5"/>
        <v>0</v>
      </c>
      <c r="M46" s="1130">
        <f t="shared" ca="1" si="6"/>
        <v>0</v>
      </c>
      <c r="N46" s="1130">
        <f t="shared" ca="1" si="15"/>
        <v>8964825453.9831886</v>
      </c>
      <c r="O46" s="1073"/>
      <c r="P46" s="1130">
        <f t="shared" ca="1" si="7"/>
        <v>64985448.760248184</v>
      </c>
      <c r="Q46" s="1130">
        <f t="shared" ca="1" si="8"/>
        <v>8516584181.284029</v>
      </c>
      <c r="R46" s="1130">
        <f t="shared" ca="1" si="16"/>
        <v>8578320357.6062641</v>
      </c>
      <c r="S46" s="1130">
        <f t="shared" ca="1" si="17"/>
        <v>61736176.322235107</v>
      </c>
      <c r="T46" s="1130">
        <f t="shared" ca="1" si="9"/>
        <v>8516584181.284029</v>
      </c>
      <c r="U46" s="1132">
        <f t="shared" ca="1" si="10"/>
        <v>0.72653299322500375</v>
      </c>
      <c r="V46" s="1133">
        <f t="shared" ca="1" si="11"/>
        <v>5.0000000000000044E-2</v>
      </c>
      <c r="X46" s="1134">
        <f t="shared" ca="1" si="18"/>
        <v>451490545.13717306</v>
      </c>
      <c r="Y46" s="1134">
        <f t="shared" ca="1" si="12"/>
        <v>3249272.4380130768</v>
      </c>
      <c r="Z46" s="1134">
        <f t="shared" ca="1" si="13"/>
        <v>448241272.69915998</v>
      </c>
      <c r="AA46" s="1132">
        <f t="shared" ca="1" si="14"/>
        <v>0.77735975402405832</v>
      </c>
      <c r="AB46" s="1105"/>
    </row>
    <row r="47" spans="1:28">
      <c r="A47" s="1144">
        <f>Calendar!J39</f>
        <v>46108</v>
      </c>
      <c r="C47" s="1104"/>
      <c r="D47" s="1125">
        <f t="shared" ca="1" si="0"/>
        <v>47149</v>
      </c>
      <c r="E47" s="1126">
        <f t="shared" ca="1" si="1"/>
        <v>47176</v>
      </c>
      <c r="F47" s="1127">
        <f t="shared" ca="1" si="2"/>
        <v>1127</v>
      </c>
      <c r="G47" s="1128">
        <f ca="1">IF(F47&lt;&gt;"",COUNTIF($F$11:F47,"&gt;0"),"")</f>
        <v>37</v>
      </c>
      <c r="H47" s="1129">
        <v>7.241597406579146E-3</v>
      </c>
      <c r="I47" s="1128"/>
      <c r="J47" s="1130">
        <f t="shared" ca="1" si="3"/>
        <v>8964825453.9831886</v>
      </c>
      <c r="K47" s="1131">
        <f t="shared" ca="1" si="4"/>
        <v>64919656.757999375</v>
      </c>
      <c r="L47" s="1130">
        <f t="shared" ca="1" si="5"/>
        <v>0</v>
      </c>
      <c r="M47" s="1130">
        <f t="shared" ca="1" si="6"/>
        <v>0</v>
      </c>
      <c r="N47" s="1130">
        <f t="shared" ca="1" si="15"/>
        <v>8899905797.2251892</v>
      </c>
      <c r="O47" s="1073"/>
      <c r="P47" s="1130">
        <f t="shared" ca="1" si="7"/>
        <v>64919656.75799942</v>
      </c>
      <c r="Q47" s="1130">
        <f t="shared" ca="1" si="8"/>
        <v>8454910507.3639297</v>
      </c>
      <c r="R47" s="1130">
        <f t="shared" ca="1" si="16"/>
        <v>8516584181.284029</v>
      </c>
      <c r="S47" s="1130">
        <f t="shared" ca="1" si="17"/>
        <v>61673673.920099258</v>
      </c>
      <c r="T47" s="1130">
        <f t="shared" ca="1" si="9"/>
        <v>8454910507.3639297</v>
      </c>
      <c r="U47" s="1132">
        <f t="shared" ca="1" si="10"/>
        <v>0.72130430426214753</v>
      </c>
      <c r="V47" s="1133">
        <f t="shared" ca="1" si="11"/>
        <v>5.0000000000000044E-2</v>
      </c>
      <c r="X47" s="1134">
        <f t="shared" ca="1" si="18"/>
        <v>448241272.69915998</v>
      </c>
      <c r="Y47" s="1134">
        <f t="shared" ca="1" si="12"/>
        <v>3245982.8379001617</v>
      </c>
      <c r="Z47" s="1134">
        <f t="shared" ca="1" si="13"/>
        <v>444995289.86125982</v>
      </c>
      <c r="AA47" s="1132">
        <f t="shared" ca="1" si="14"/>
        <v>0.77176527668588146</v>
      </c>
      <c r="AB47" s="1105"/>
    </row>
    <row r="48" spans="1:28">
      <c r="A48" s="1144">
        <f>Calendar!J40</f>
        <v>46139</v>
      </c>
      <c r="C48" s="1104"/>
      <c r="D48" s="1125">
        <f t="shared" ca="1" si="0"/>
        <v>47177</v>
      </c>
      <c r="E48" s="1126">
        <f t="shared" ca="1" si="1"/>
        <v>47204</v>
      </c>
      <c r="F48" s="1127">
        <f t="shared" ca="1" si="2"/>
        <v>1155</v>
      </c>
      <c r="G48" s="1128">
        <f ca="1">IF(F48&lt;&gt;"",COUNTIF($F$11:F48,"&gt;0"),"")</f>
        <v>38</v>
      </c>
      <c r="H48" s="1129">
        <v>7.301176100127843E-3</v>
      </c>
      <c r="I48" s="1128"/>
      <c r="J48" s="1130">
        <f t="shared" ca="1" si="3"/>
        <v>8899905797.2251892</v>
      </c>
      <c r="K48" s="1131">
        <f t="shared" ca="1" si="4"/>
        <v>64979779.500089787</v>
      </c>
      <c r="L48" s="1130">
        <f t="shared" ca="1" si="5"/>
        <v>0</v>
      </c>
      <c r="M48" s="1130">
        <f t="shared" ca="1" si="6"/>
        <v>0</v>
      </c>
      <c r="N48" s="1130">
        <f t="shared" ca="1" si="15"/>
        <v>8834926017.7250996</v>
      </c>
      <c r="O48" s="1073"/>
      <c r="P48" s="1130">
        <f t="shared" ca="1" si="7"/>
        <v>64979779.500089645</v>
      </c>
      <c r="Q48" s="1130">
        <f t="shared" ca="1" si="8"/>
        <v>8393179716.8388443</v>
      </c>
      <c r="R48" s="1130">
        <f t="shared" ca="1" si="16"/>
        <v>8454910507.3639297</v>
      </c>
      <c r="S48" s="1130">
        <f t="shared" ca="1" si="17"/>
        <v>61730790.525085449</v>
      </c>
      <c r="T48" s="1130">
        <f t="shared" ca="1" si="9"/>
        <v>8393179716.8388443</v>
      </c>
      <c r="U48" s="1132">
        <f t="shared" ca="1" si="10"/>
        <v>0.71608090888304843</v>
      </c>
      <c r="V48" s="1133">
        <f t="shared" ca="1" si="11"/>
        <v>5.0000000000000044E-2</v>
      </c>
      <c r="X48" s="1134">
        <f t="shared" ca="1" si="18"/>
        <v>444995289.86125982</v>
      </c>
      <c r="Y48" s="1134">
        <f t="shared" ca="1" si="12"/>
        <v>3248988.9750041962</v>
      </c>
      <c r="Z48" s="1134">
        <f t="shared" ca="1" si="13"/>
        <v>441746300.88625562</v>
      </c>
      <c r="AA48" s="1132">
        <f t="shared" ca="1" si="14"/>
        <v>0.76617646325974487</v>
      </c>
      <c r="AB48" s="1105"/>
    </row>
    <row r="49" spans="1:28">
      <c r="A49" s="1144">
        <f>Calendar!J41</f>
        <v>46169</v>
      </c>
      <c r="C49" s="1104"/>
      <c r="D49" s="1125">
        <f t="shared" ca="1" si="0"/>
        <v>47208</v>
      </c>
      <c r="E49" s="1126">
        <f t="shared" ca="1" si="1"/>
        <v>47235</v>
      </c>
      <c r="F49" s="1127">
        <f t="shared" ca="1" si="2"/>
        <v>1186</v>
      </c>
      <c r="G49" s="1128">
        <f ca="1">IF(F49&lt;&gt;"",COUNTIF($F$11:F49,"&gt;0"),"")</f>
        <v>39</v>
      </c>
      <c r="H49" s="1129">
        <v>7.3377156243270942E-3</v>
      </c>
      <c r="I49" s="1128"/>
      <c r="J49" s="1130">
        <f t="shared" ca="1" si="3"/>
        <v>8834926017.7250996</v>
      </c>
      <c r="K49" s="1131">
        <f t="shared" ca="1" si="4"/>
        <v>64828174.68003542</v>
      </c>
      <c r="L49" s="1130">
        <f t="shared" ca="1" si="5"/>
        <v>0</v>
      </c>
      <c r="M49" s="1130">
        <f t="shared" ca="1" si="6"/>
        <v>0</v>
      </c>
      <c r="N49" s="1130">
        <f t="shared" ca="1" si="15"/>
        <v>8770097843.0450649</v>
      </c>
      <c r="O49" s="1073"/>
      <c r="P49" s="1130">
        <f t="shared" ca="1" si="7"/>
        <v>64828174.680034637</v>
      </c>
      <c r="Q49" s="1130">
        <f t="shared" ca="1" si="8"/>
        <v>8331592950.8928108</v>
      </c>
      <c r="R49" s="1130">
        <f t="shared" ca="1" si="16"/>
        <v>8393179716.8388443</v>
      </c>
      <c r="S49" s="1130">
        <f t="shared" ca="1" si="17"/>
        <v>61586765.946033478</v>
      </c>
      <c r="T49" s="1130">
        <f t="shared" ca="1" si="9"/>
        <v>8331592950.8928108</v>
      </c>
      <c r="U49" s="1132">
        <f t="shared" ca="1" si="10"/>
        <v>0.71085267606535374</v>
      </c>
      <c r="V49" s="1133">
        <f t="shared" ca="1" si="11"/>
        <v>5.0000000000000044E-2</v>
      </c>
      <c r="X49" s="1134">
        <f t="shared" ca="1" si="18"/>
        <v>441746300.88625562</v>
      </c>
      <c r="Y49" s="1134">
        <f t="shared" ca="1" si="12"/>
        <v>3241408.7340011597</v>
      </c>
      <c r="Z49" s="1134">
        <f t="shared" ca="1" si="13"/>
        <v>438504892.15225446</v>
      </c>
      <c r="AA49" s="1132">
        <f t="shared" ca="1" si="14"/>
        <v>0.76058247397771284</v>
      </c>
      <c r="AB49" s="1105"/>
    </row>
    <row r="50" spans="1:28">
      <c r="A50" s="1144">
        <f>Calendar!J42</f>
        <v>46202</v>
      </c>
      <c r="C50" s="1104"/>
      <c r="D50" s="1125">
        <f t="shared" ca="1" si="0"/>
        <v>47238</v>
      </c>
      <c r="E50" s="1126">
        <f t="shared" ca="1" si="1"/>
        <v>47266</v>
      </c>
      <c r="F50" s="1127">
        <f t="shared" ca="1" si="2"/>
        <v>1217</v>
      </c>
      <c r="G50" s="1128">
        <f ca="1">IF(F50&lt;&gt;"",COUNTIF($F$11:F50,"&gt;0"),"")</f>
        <v>40</v>
      </c>
      <c r="H50" s="1129">
        <v>7.3869780053145723E-3</v>
      </c>
      <c r="I50" s="1128"/>
      <c r="J50" s="1130">
        <f t="shared" ca="1" si="3"/>
        <v>8770097843.0450649</v>
      </c>
      <c r="K50" s="1131">
        <f t="shared" ca="1" si="4"/>
        <v>64784519.871030666</v>
      </c>
      <c r="L50" s="1130">
        <f t="shared" ca="1" si="5"/>
        <v>0</v>
      </c>
      <c r="M50" s="1130">
        <f t="shared" ca="1" si="6"/>
        <v>0</v>
      </c>
      <c r="N50" s="1130">
        <f t="shared" ca="1" si="15"/>
        <v>8705313323.1740341</v>
      </c>
      <c r="O50" s="1073"/>
      <c r="P50" s="1130">
        <f t="shared" ca="1" si="7"/>
        <v>64784519.871030807</v>
      </c>
      <c r="Q50" s="1130">
        <f t="shared" ca="1" si="8"/>
        <v>8270047657.0153322</v>
      </c>
      <c r="R50" s="1130">
        <f t="shared" ca="1" si="16"/>
        <v>8331592950.8928108</v>
      </c>
      <c r="S50" s="1130">
        <f t="shared" ca="1" si="17"/>
        <v>61545293.8774786</v>
      </c>
      <c r="T50" s="1130">
        <f t="shared" ca="1" si="9"/>
        <v>8270047657.0153322</v>
      </c>
      <c r="U50" s="1132">
        <f t="shared" ca="1" si="10"/>
        <v>0.70563664127759429</v>
      </c>
      <c r="V50" s="1133">
        <f t="shared" ca="1" si="11"/>
        <v>5.0000000000000044E-2</v>
      </c>
      <c r="X50" s="1134">
        <f t="shared" ca="1" si="18"/>
        <v>438504892.15225446</v>
      </c>
      <c r="Y50" s="1134">
        <f t="shared" ca="1" si="12"/>
        <v>3239225.9935522079</v>
      </c>
      <c r="Z50" s="1134">
        <f t="shared" ca="1" si="13"/>
        <v>435265666.15870225</v>
      </c>
      <c r="AA50" s="1132">
        <f t="shared" ca="1" si="14"/>
        <v>0.75500153607481824</v>
      </c>
      <c r="AB50" s="1105"/>
    </row>
    <row r="51" spans="1:28">
      <c r="A51" s="1144">
        <f>Calendar!J43</f>
        <v>46230</v>
      </c>
      <c r="C51" s="1104"/>
      <c r="D51" s="1125">
        <f t="shared" ca="1" si="0"/>
        <v>47269</v>
      </c>
      <c r="E51" s="1126">
        <f t="shared" ca="1" si="1"/>
        <v>47296</v>
      </c>
      <c r="F51" s="1127">
        <f t="shared" ca="1" si="2"/>
        <v>1247</v>
      </c>
      <c r="G51" s="1128">
        <f ca="1">IF(F51&lt;&gt;"",COUNTIF($F$11:F51,"&gt;0"),"")</f>
        <v>41</v>
      </c>
      <c r="H51" s="1129">
        <v>7.4268595772451918E-3</v>
      </c>
      <c r="I51" s="1128"/>
      <c r="J51" s="1130">
        <f t="shared" ca="1" si="3"/>
        <v>8705313323.1740341</v>
      </c>
      <c r="K51" s="1131">
        <f t="shared" ca="1" si="4"/>
        <v>64653139.62713524</v>
      </c>
      <c r="L51" s="1130">
        <f t="shared" ca="1" si="5"/>
        <v>0</v>
      </c>
      <c r="M51" s="1130">
        <f t="shared" ca="1" si="6"/>
        <v>0</v>
      </c>
      <c r="N51" s="1130">
        <f t="shared" ca="1" si="15"/>
        <v>8640660183.5468998</v>
      </c>
      <c r="O51" s="1073"/>
      <c r="P51" s="1130">
        <f t="shared" ca="1" si="7"/>
        <v>64653139.627134323</v>
      </c>
      <c r="Q51" s="1130">
        <f t="shared" ca="1" si="8"/>
        <v>8208627174.3695545</v>
      </c>
      <c r="R51" s="1130">
        <f t="shared" ca="1" si="16"/>
        <v>8270047657.0153322</v>
      </c>
      <c r="S51" s="1130">
        <f t="shared" ca="1" si="17"/>
        <v>61420482.645777702</v>
      </c>
      <c r="T51" s="1130">
        <f t="shared" ca="1" si="9"/>
        <v>8208627174.3695545</v>
      </c>
      <c r="U51" s="1132">
        <f t="shared" ca="1" si="10"/>
        <v>0.70042411892873269</v>
      </c>
      <c r="V51" s="1133">
        <f t="shared" ca="1" si="11"/>
        <v>5.0000000000000044E-2</v>
      </c>
      <c r="X51" s="1134">
        <f t="shared" ca="1" si="18"/>
        <v>435265666.15870225</v>
      </c>
      <c r="Y51" s="1134">
        <f t="shared" ca="1" si="12"/>
        <v>3232656.9813566208</v>
      </c>
      <c r="Z51" s="1134">
        <f t="shared" ca="1" si="13"/>
        <v>432033009.17734563</v>
      </c>
      <c r="AA51" s="1132">
        <f t="shared" ca="1" si="14"/>
        <v>0.74942435633385374</v>
      </c>
      <c r="AB51" s="1105"/>
    </row>
    <row r="52" spans="1:28">
      <c r="A52" s="1144">
        <f>Calendar!J44</f>
        <v>46261</v>
      </c>
      <c r="C52" s="1104"/>
      <c r="D52" s="1125">
        <f t="shared" ca="1" si="0"/>
        <v>47299</v>
      </c>
      <c r="E52" s="1126">
        <f t="shared" ca="1" si="1"/>
        <v>47326</v>
      </c>
      <c r="F52" s="1127">
        <f t="shared" ca="1" si="2"/>
        <v>1277</v>
      </c>
      <c r="G52" s="1128">
        <f ca="1">IF(F52&lt;&gt;"",COUNTIF($F$11:F52,"&gt;0"),"")</f>
        <v>42</v>
      </c>
      <c r="H52" s="1129">
        <v>7.4774122960432118E-3</v>
      </c>
      <c r="I52" s="1128"/>
      <c r="J52" s="1130">
        <f t="shared" ca="1" si="3"/>
        <v>8640660183.5468998</v>
      </c>
      <c r="K52" s="1131">
        <f t="shared" ca="1" si="4"/>
        <v>64609778.702384584</v>
      </c>
      <c r="L52" s="1130">
        <f t="shared" ca="1" si="5"/>
        <v>0</v>
      </c>
      <c r="M52" s="1130">
        <f t="shared" ca="1" si="6"/>
        <v>0</v>
      </c>
      <c r="N52" s="1130">
        <f t="shared" ca="1" si="15"/>
        <v>8576050404.8445148</v>
      </c>
      <c r="O52" s="1073"/>
      <c r="P52" s="1130">
        <f t="shared" ca="1" si="7"/>
        <v>64609778.702384949</v>
      </c>
      <c r="Q52" s="1130">
        <f t="shared" ca="1" si="8"/>
        <v>8147247884.6022892</v>
      </c>
      <c r="R52" s="1130">
        <f t="shared" ca="1" si="16"/>
        <v>8208627174.3695545</v>
      </c>
      <c r="S52" s="1130">
        <f t="shared" ca="1" si="17"/>
        <v>61379289.76726532</v>
      </c>
      <c r="T52" s="1130">
        <f t="shared" ca="1" si="9"/>
        <v>8147247884.6022892</v>
      </c>
      <c r="U52" s="1132">
        <f t="shared" ca="1" si="10"/>
        <v>0.6952221673529333</v>
      </c>
      <c r="V52" s="1133">
        <f t="shared" ca="1" si="11"/>
        <v>5.0000000000000044E-2</v>
      </c>
      <c r="X52" s="1134">
        <f t="shared" ca="1" si="18"/>
        <v>432033009.17734563</v>
      </c>
      <c r="Y52" s="1134">
        <f t="shared" ca="1" si="12"/>
        <v>3230488.9351196289</v>
      </c>
      <c r="Z52" s="1134">
        <f t="shared" ca="1" si="13"/>
        <v>428802520.242226</v>
      </c>
      <c r="AA52" s="1132">
        <f t="shared" ca="1" si="14"/>
        <v>0.74385848687559508</v>
      </c>
      <c r="AB52" s="1105"/>
    </row>
    <row r="53" spans="1:28">
      <c r="A53" s="1144">
        <f>Calendar!J45</f>
        <v>46293</v>
      </c>
      <c r="C53" s="1104"/>
      <c r="D53" s="1125">
        <f t="shared" ca="1" si="0"/>
        <v>47330</v>
      </c>
      <c r="E53" s="1126">
        <f t="shared" ca="1" si="1"/>
        <v>47357</v>
      </c>
      <c r="F53" s="1127">
        <f t="shared" ca="1" si="2"/>
        <v>1308</v>
      </c>
      <c r="G53" s="1128">
        <f ca="1">IF(F53&lt;&gt;"",COUNTIF($F$11:F53,"&gt;0"),"")</f>
        <v>43</v>
      </c>
      <c r="H53" s="1129">
        <v>7.5155713887695976E-3</v>
      </c>
      <c r="I53" s="1128"/>
      <c r="J53" s="1130">
        <f t="shared" ca="1" si="3"/>
        <v>8576050404.8445148</v>
      </c>
      <c r="K53" s="1131">
        <f t="shared" ca="1" si="4"/>
        <v>64453919.051295362</v>
      </c>
      <c r="L53" s="1130">
        <f t="shared" ca="1" si="5"/>
        <v>0</v>
      </c>
      <c r="M53" s="1130">
        <f t="shared" ca="1" si="6"/>
        <v>0</v>
      </c>
      <c r="N53" s="1130">
        <f t="shared" ca="1" si="15"/>
        <v>8511596485.7932196</v>
      </c>
      <c r="O53" s="1073"/>
      <c r="P53" s="1130">
        <f t="shared" ca="1" si="7"/>
        <v>64453919.05129528</v>
      </c>
      <c r="Q53" s="1130">
        <f t="shared" ca="1" si="8"/>
        <v>8086016661.5035582</v>
      </c>
      <c r="R53" s="1130">
        <f t="shared" ca="1" si="16"/>
        <v>8147247884.6022892</v>
      </c>
      <c r="S53" s="1130">
        <f t="shared" ca="1" si="17"/>
        <v>61231223.098731041</v>
      </c>
      <c r="T53" s="1130">
        <f t="shared" ca="1" si="9"/>
        <v>8086016661.5035582</v>
      </c>
      <c r="U53" s="1132">
        <f t="shared" ca="1" si="10"/>
        <v>0.69002370457028672</v>
      </c>
      <c r="V53" s="1133">
        <f t="shared" ca="1" si="11"/>
        <v>5.0000000000000044E-2</v>
      </c>
      <c r="X53" s="1134">
        <f t="shared" ca="1" si="18"/>
        <v>428802520.242226</v>
      </c>
      <c r="Y53" s="1134">
        <f t="shared" ca="1" si="12"/>
        <v>3222695.9525642395</v>
      </c>
      <c r="Z53" s="1134">
        <f t="shared" ca="1" si="13"/>
        <v>425579824.28966177</v>
      </c>
      <c r="AA53" s="1132">
        <f t="shared" ca="1" si="14"/>
        <v>0.73829635027931473</v>
      </c>
      <c r="AB53" s="1105"/>
    </row>
    <row r="54" spans="1:28">
      <c r="A54" s="1144">
        <f>Calendar!J46</f>
        <v>46322</v>
      </c>
      <c r="C54" s="1104"/>
      <c r="D54" s="1125">
        <f t="shared" ca="1" si="0"/>
        <v>47361</v>
      </c>
      <c r="E54" s="1126">
        <f t="shared" ca="1" si="1"/>
        <v>47388</v>
      </c>
      <c r="F54" s="1127">
        <f t="shared" ca="1" si="2"/>
        <v>1339</v>
      </c>
      <c r="G54" s="1128">
        <f ca="1">IF(F54&lt;&gt;"",COUNTIF($F$11:F54,"&gt;0"),"")</f>
        <v>44</v>
      </c>
      <c r="H54" s="1129">
        <v>7.5564666893313251E-3</v>
      </c>
      <c r="I54" s="1128"/>
      <c r="J54" s="1130">
        <f t="shared" ca="1" si="3"/>
        <v>8511596485.7932196</v>
      </c>
      <c r="K54" s="1131">
        <f t="shared" ca="1" si="4"/>
        <v>64317595.317926027</v>
      </c>
      <c r="L54" s="1130">
        <f t="shared" ca="1" si="5"/>
        <v>0</v>
      </c>
      <c r="M54" s="1130">
        <f t="shared" ca="1" si="6"/>
        <v>0</v>
      </c>
      <c r="N54" s="1130">
        <f t="shared" ca="1" si="15"/>
        <v>8447278890.4752932</v>
      </c>
      <c r="O54" s="1073"/>
      <c r="P54" s="1130">
        <f t="shared" ca="1" si="7"/>
        <v>64317595.317926407</v>
      </c>
      <c r="Q54" s="1130">
        <f t="shared" ca="1" si="8"/>
        <v>8024914945.9515285</v>
      </c>
      <c r="R54" s="1130">
        <f t="shared" ca="1" si="16"/>
        <v>8086016661.5035582</v>
      </c>
      <c r="S54" s="1130">
        <f t="shared" ca="1" si="17"/>
        <v>61101715.55202961</v>
      </c>
      <c r="T54" s="1130">
        <f t="shared" ca="1" si="9"/>
        <v>8024914945.9515285</v>
      </c>
      <c r="U54" s="1132">
        <f t="shared" ca="1" si="10"/>
        <v>0.68483778215864544</v>
      </c>
      <c r="V54" s="1133">
        <f t="shared" ca="1" si="11"/>
        <v>5.0000000000000044E-2</v>
      </c>
      <c r="X54" s="1134">
        <f t="shared" ca="1" si="18"/>
        <v>425579824.28966177</v>
      </c>
      <c r="Y54" s="1134">
        <f t="shared" ca="1" si="12"/>
        <v>3215879.7658967972</v>
      </c>
      <c r="Z54" s="1134">
        <f t="shared" ca="1" si="13"/>
        <v>422363944.52376497</v>
      </c>
      <c r="AA54" s="1132">
        <f t="shared" ca="1" si="14"/>
        <v>0.73274763135272347</v>
      </c>
      <c r="AB54" s="1105"/>
    </row>
    <row r="55" spans="1:28">
      <c r="A55" s="1144">
        <f>Calendar!J47</f>
        <v>46353</v>
      </c>
      <c r="C55" s="1104"/>
      <c r="D55" s="1125">
        <f t="shared" ca="1" si="0"/>
        <v>47391</v>
      </c>
      <c r="E55" s="1126">
        <f t="shared" ca="1" si="1"/>
        <v>47420</v>
      </c>
      <c r="F55" s="1127">
        <f t="shared" ca="1" si="2"/>
        <v>1371</v>
      </c>
      <c r="G55" s="1128">
        <f ca="1">IF(F55&lt;&gt;"",COUNTIF($F$11:F55,"&gt;0"),"")</f>
        <v>45</v>
      </c>
      <c r="H55" s="1129">
        <v>7.6021845839023836E-3</v>
      </c>
      <c r="I55" s="1128"/>
      <c r="J55" s="1130">
        <f t="shared" ca="1" si="3"/>
        <v>8447278890.4752932</v>
      </c>
      <c r="K55" s="1131">
        <f t="shared" ca="1" si="4"/>
        <v>64217773.357095309</v>
      </c>
      <c r="L55" s="1130">
        <f t="shared" ca="1" si="5"/>
        <v>0</v>
      </c>
      <c r="M55" s="1130">
        <f t="shared" ca="1" si="6"/>
        <v>0</v>
      </c>
      <c r="N55" s="1130">
        <f t="shared" ca="1" si="15"/>
        <v>8383061117.1181974</v>
      </c>
      <c r="O55" s="1073"/>
      <c r="P55" s="1130">
        <f t="shared" ca="1" si="7"/>
        <v>64217773.357095718</v>
      </c>
      <c r="Q55" s="1130">
        <f t="shared" ca="1" si="8"/>
        <v>7963908061.2622871</v>
      </c>
      <c r="R55" s="1130">
        <f t="shared" ca="1" si="16"/>
        <v>8024914945.9515285</v>
      </c>
      <c r="S55" s="1130">
        <f t="shared" ca="1" si="17"/>
        <v>61006884.689241409</v>
      </c>
      <c r="T55" s="1130">
        <f t="shared" ca="1" si="9"/>
        <v>7963908061.2622871</v>
      </c>
      <c r="U55" s="1132">
        <f t="shared" ca="1" si="10"/>
        <v>0.67966282827016811</v>
      </c>
      <c r="V55" s="1133">
        <f t="shared" ca="1" si="11"/>
        <v>5.0000000000000044E-2</v>
      </c>
      <c r="X55" s="1134">
        <f t="shared" ca="1" si="18"/>
        <v>422363944.52376497</v>
      </c>
      <c r="Y55" s="1134">
        <f t="shared" ca="1" si="12"/>
        <v>3210888.6678543091</v>
      </c>
      <c r="Z55" s="1134">
        <f t="shared" ca="1" si="13"/>
        <v>419153055.85591066</v>
      </c>
      <c r="AA55" s="1132">
        <f t="shared" ca="1" si="14"/>
        <v>0.72721064828471926</v>
      </c>
      <c r="AB55" s="1105"/>
    </row>
    <row r="56" spans="1:28">
      <c r="A56" s="1144">
        <f>Calendar!J48</f>
        <v>46384</v>
      </c>
      <c r="C56" s="1104"/>
      <c r="D56" s="1125">
        <f t="shared" ca="1" si="0"/>
        <v>47422</v>
      </c>
      <c r="E56" s="1126">
        <f t="shared" ca="1" si="1"/>
        <v>47449</v>
      </c>
      <c r="F56" s="1127">
        <f t="shared" ca="1" si="2"/>
        <v>1400</v>
      </c>
      <c r="G56" s="1128">
        <f ca="1">IF(F56&lt;&gt;"",COUNTIF($F$11:F56,"&gt;0"),"")</f>
        <v>46</v>
      </c>
      <c r="H56" s="1129">
        <v>7.6384267972855018E-3</v>
      </c>
      <c r="I56" s="1128"/>
      <c r="J56" s="1130">
        <f t="shared" ca="1" si="3"/>
        <v>8383061117.1181974</v>
      </c>
      <c r="K56" s="1131">
        <f t="shared" ca="1" si="4"/>
        <v>64033398.680277772</v>
      </c>
      <c r="L56" s="1130">
        <f t="shared" ca="1" si="5"/>
        <v>0</v>
      </c>
      <c r="M56" s="1130">
        <f t="shared" ca="1" si="6"/>
        <v>0</v>
      </c>
      <c r="N56" s="1130">
        <f t="shared" ca="1" si="15"/>
        <v>8319027718.4379196</v>
      </c>
      <c r="O56" s="1073"/>
      <c r="P56" s="1130">
        <f t="shared" ca="1" si="7"/>
        <v>64033398.680277824</v>
      </c>
      <c r="Q56" s="1130">
        <f t="shared" ca="1" si="8"/>
        <v>7903076332.5160236</v>
      </c>
      <c r="R56" s="1130">
        <f t="shared" ca="1" si="16"/>
        <v>7963908061.2622871</v>
      </c>
      <c r="S56" s="1130">
        <f t="shared" ca="1" si="17"/>
        <v>60831728.746263504</v>
      </c>
      <c r="T56" s="1130">
        <f t="shared" ca="1" si="9"/>
        <v>7903076332.5160236</v>
      </c>
      <c r="U56" s="1132">
        <f t="shared" ca="1" si="10"/>
        <v>0.67449590599484099</v>
      </c>
      <c r="V56" s="1133">
        <f t="shared" ca="1" si="11"/>
        <v>5.0000000000000044E-2</v>
      </c>
      <c r="X56" s="1134">
        <f t="shared" ca="1" si="18"/>
        <v>419153055.85591066</v>
      </c>
      <c r="Y56" s="1134">
        <f t="shared" ca="1" si="12"/>
        <v>3201669.9340143204</v>
      </c>
      <c r="Z56" s="1134">
        <f t="shared" ca="1" si="13"/>
        <v>415951385.92189634</v>
      </c>
      <c r="AA56" s="1132">
        <f t="shared" ca="1" si="14"/>
        <v>0.72168225870508029</v>
      </c>
      <c r="AB56" s="1105"/>
    </row>
    <row r="57" spans="1:28">
      <c r="A57" s="1144">
        <f>Calendar!J49</f>
        <v>46414</v>
      </c>
      <c r="C57" s="1104"/>
      <c r="D57" s="1125">
        <f t="shared" ca="1" si="0"/>
        <v>47452</v>
      </c>
      <c r="E57" s="1126">
        <f t="shared" ca="1" si="1"/>
        <v>47479</v>
      </c>
      <c r="F57" s="1127">
        <f t="shared" ca="1" si="2"/>
        <v>1430</v>
      </c>
      <c r="G57" s="1128">
        <f ca="1">IF(F57&lt;&gt;"",COUNTIF($F$11:F57,"&gt;0"),"")</f>
        <v>47</v>
      </c>
      <c r="H57" s="1129">
        <v>7.6781378872437739E-3</v>
      </c>
      <c r="I57" s="1128"/>
      <c r="J57" s="1130">
        <f t="shared" ca="1" si="3"/>
        <v>8319027718.4379196</v>
      </c>
      <c r="K57" s="1131">
        <f t="shared" ca="1" si="4"/>
        <v>63874641.909969322</v>
      </c>
      <c r="L57" s="1130">
        <f t="shared" ca="1" si="5"/>
        <v>0</v>
      </c>
      <c r="M57" s="1130">
        <f t="shared" ca="1" si="6"/>
        <v>0</v>
      </c>
      <c r="N57" s="1130">
        <f t="shared" ca="1" si="15"/>
        <v>8255153076.5279503</v>
      </c>
      <c r="O57" s="1073"/>
      <c r="P57" s="1130">
        <f t="shared" ca="1" si="7"/>
        <v>63874641.90996933</v>
      </c>
      <c r="Q57" s="1130">
        <f t="shared" ca="1" si="8"/>
        <v>7842395422.7015524</v>
      </c>
      <c r="R57" s="1130">
        <f t="shared" ca="1" si="16"/>
        <v>7903076332.5160236</v>
      </c>
      <c r="S57" s="1130">
        <f t="shared" ca="1" si="17"/>
        <v>60680909.814471245</v>
      </c>
      <c r="T57" s="1130">
        <f t="shared" ca="1" si="9"/>
        <v>7842395422.7015524</v>
      </c>
      <c r="U57" s="1132">
        <f t="shared" ca="1" si="10"/>
        <v>0.66934381839183077</v>
      </c>
      <c r="V57" s="1133">
        <f t="shared" ca="1" si="11"/>
        <v>5.0000000000000044E-2</v>
      </c>
      <c r="X57" s="1134">
        <f t="shared" ca="1" si="18"/>
        <v>415951385.92189634</v>
      </c>
      <c r="Y57" s="1134">
        <f t="shared" ca="1" si="12"/>
        <v>3193732.095498085</v>
      </c>
      <c r="Z57" s="1134">
        <f t="shared" ca="1" si="13"/>
        <v>412757653.82639825</v>
      </c>
      <c r="AA57" s="1132">
        <f t="shared" ca="1" si="14"/>
        <v>0.71616974160106117</v>
      </c>
      <c r="AB57" s="1105"/>
    </row>
    <row r="58" spans="1:28">
      <c r="A58" s="1144">
        <f>Calendar!J50</f>
        <v>46444</v>
      </c>
      <c r="C58" s="1104"/>
      <c r="D58" s="1125">
        <f t="shared" ca="1" si="0"/>
        <v>47483</v>
      </c>
      <c r="E58" s="1126">
        <f t="shared" ca="1" si="1"/>
        <v>47511</v>
      </c>
      <c r="F58" s="1127">
        <f t="shared" ca="1" si="2"/>
        <v>1462</v>
      </c>
      <c r="G58" s="1128">
        <f ca="1">IF(F58&lt;&gt;"",COUNTIF($F$11:F58,"&gt;0"),"")</f>
        <v>48</v>
      </c>
      <c r="H58" s="1129">
        <v>7.7188372572796829E-3</v>
      </c>
      <c r="I58" s="1128"/>
      <c r="J58" s="1130">
        <f t="shared" ca="1" si="3"/>
        <v>8255153076.5279503</v>
      </c>
      <c r="K58" s="1131">
        <f t="shared" ca="1" si="4"/>
        <v>63720183.13165094</v>
      </c>
      <c r="L58" s="1130">
        <f t="shared" ca="1" si="5"/>
        <v>0</v>
      </c>
      <c r="M58" s="1130">
        <f t="shared" ca="1" si="6"/>
        <v>0</v>
      </c>
      <c r="N58" s="1130">
        <f t="shared" ca="1" si="15"/>
        <v>8191432893.3962994</v>
      </c>
      <c r="O58" s="1073"/>
      <c r="P58" s="1130">
        <f t="shared" ca="1" si="7"/>
        <v>63720183.131650925</v>
      </c>
      <c r="Q58" s="1130">
        <f t="shared" ca="1" si="8"/>
        <v>7781861248.7264843</v>
      </c>
      <c r="R58" s="1130">
        <f t="shared" ca="1" si="16"/>
        <v>7842395422.7015524</v>
      </c>
      <c r="S58" s="1130">
        <f t="shared" ca="1" si="17"/>
        <v>60534173.975068092</v>
      </c>
      <c r="T58" s="1130">
        <f t="shared" ca="1" si="9"/>
        <v>7781861248.7264843</v>
      </c>
      <c r="U58" s="1132">
        <f t="shared" ca="1" si="10"/>
        <v>0.66420450426024391</v>
      </c>
      <c r="V58" s="1133">
        <f t="shared" ca="1" si="11"/>
        <v>5.0000000000000044E-2</v>
      </c>
      <c r="X58" s="1134">
        <f t="shared" ca="1" si="18"/>
        <v>412757653.82639825</v>
      </c>
      <c r="Y58" s="1134">
        <f t="shared" ca="1" si="12"/>
        <v>3186009.1565828323</v>
      </c>
      <c r="Z58" s="1134">
        <f t="shared" ca="1" si="13"/>
        <v>409571644.66981542</v>
      </c>
      <c r="AA58" s="1132">
        <f t="shared" ca="1" si="14"/>
        <v>0.71067089157437713</v>
      </c>
      <c r="AB58" s="1105"/>
    </row>
    <row r="59" spans="1:28">
      <c r="A59" s="1144">
        <f>Calendar!J51</f>
        <v>46476</v>
      </c>
      <c r="C59" s="1104"/>
      <c r="D59" s="1125">
        <f t="shared" ca="1" si="0"/>
        <v>47514</v>
      </c>
      <c r="E59" s="1126">
        <f t="shared" ca="1" si="1"/>
        <v>47541</v>
      </c>
      <c r="F59" s="1127">
        <f t="shared" ca="1" si="2"/>
        <v>1492</v>
      </c>
      <c r="G59" s="1128">
        <f ca="1">IF(F59&lt;&gt;"",COUNTIF($F$11:F59,"&gt;0"),"")</f>
        <v>49</v>
      </c>
      <c r="H59" s="1129">
        <v>7.7639577829733165E-3</v>
      </c>
      <c r="I59" s="1128"/>
      <c r="J59" s="1130">
        <f t="shared" ca="1" si="3"/>
        <v>8191432893.3962994</v>
      </c>
      <c r="K59" s="1131">
        <f t="shared" ca="1" si="4"/>
        <v>63597939.166387834</v>
      </c>
      <c r="L59" s="1130">
        <f t="shared" ca="1" si="5"/>
        <v>0</v>
      </c>
      <c r="M59" s="1130">
        <f t="shared" ca="1" si="6"/>
        <v>0</v>
      </c>
      <c r="N59" s="1130">
        <f t="shared" ca="1" si="15"/>
        <v>8127834954.2299118</v>
      </c>
      <c r="O59" s="1073"/>
      <c r="P59" s="1130">
        <f t="shared" ca="1" si="7"/>
        <v>63597939.166387558</v>
      </c>
      <c r="Q59" s="1130">
        <f t="shared" ca="1" si="8"/>
        <v>7721443206.5184155</v>
      </c>
      <c r="R59" s="1130">
        <f t="shared" ca="1" si="16"/>
        <v>7781861248.7264843</v>
      </c>
      <c r="S59" s="1130">
        <f t="shared" ca="1" si="17"/>
        <v>60418042.208068848</v>
      </c>
      <c r="T59" s="1130">
        <f t="shared" ca="1" si="9"/>
        <v>7721443206.5184155</v>
      </c>
      <c r="U59" s="1132">
        <f t="shared" ca="1" si="10"/>
        <v>0.65907761778630702</v>
      </c>
      <c r="V59" s="1133">
        <f t="shared" ca="1" si="11"/>
        <v>5.0000000000000044E-2</v>
      </c>
      <c r="X59" s="1134">
        <f t="shared" ca="1" si="18"/>
        <v>409571644.66981542</v>
      </c>
      <c r="Y59" s="1134">
        <f t="shared" ca="1" si="12"/>
        <v>3179896.9583187103</v>
      </c>
      <c r="Z59" s="1134">
        <f t="shared" ca="1" si="13"/>
        <v>406391747.71149671</v>
      </c>
      <c r="AA59" s="1132">
        <f t="shared" ca="1" si="14"/>
        <v>0.70518533861882815</v>
      </c>
      <c r="AB59" s="1105"/>
    </row>
    <row r="60" spans="1:28">
      <c r="A60" s="1144">
        <f>Calendar!J52</f>
        <v>46504</v>
      </c>
      <c r="C60" s="1104"/>
      <c r="D60" s="1125">
        <f t="shared" ca="1" si="0"/>
        <v>47542</v>
      </c>
      <c r="E60" s="1126">
        <f t="shared" ca="1" si="1"/>
        <v>47569</v>
      </c>
      <c r="F60" s="1127">
        <f t="shared" ca="1" si="2"/>
        <v>1520</v>
      </c>
      <c r="G60" s="1128">
        <f ca="1">IF(F60&lt;&gt;"",COUNTIF($F$11:F60,"&gt;0"),"")</f>
        <v>50</v>
      </c>
      <c r="H60" s="1129">
        <v>7.8246363860947302E-3</v>
      </c>
      <c r="I60" s="1128"/>
      <c r="J60" s="1130">
        <f t="shared" ca="1" si="3"/>
        <v>8127834954.2299118</v>
      </c>
      <c r="K60" s="1131">
        <f t="shared" ca="1" si="4"/>
        <v>63597353.123039961</v>
      </c>
      <c r="L60" s="1130">
        <f t="shared" ca="1" si="5"/>
        <v>0</v>
      </c>
      <c r="M60" s="1130">
        <f t="shared" ca="1" si="6"/>
        <v>0</v>
      </c>
      <c r="N60" s="1130">
        <f t="shared" ca="1" si="15"/>
        <v>8064237601.1068716</v>
      </c>
      <c r="O60" s="1073"/>
      <c r="P60" s="1130">
        <f t="shared" ca="1" si="7"/>
        <v>63597353.123040199</v>
      </c>
      <c r="Q60" s="1130">
        <f t="shared" ca="1" si="8"/>
        <v>7661025721.051528</v>
      </c>
      <c r="R60" s="1130">
        <f t="shared" ca="1" si="16"/>
        <v>7721443206.5184155</v>
      </c>
      <c r="S60" s="1130">
        <f t="shared" ca="1" si="17"/>
        <v>60417485.466887474</v>
      </c>
      <c r="T60" s="1130">
        <f t="shared" ca="1" si="9"/>
        <v>7661025721.051528</v>
      </c>
      <c r="U60" s="1132">
        <f t="shared" ca="1" si="10"/>
        <v>0.65396056698611149</v>
      </c>
      <c r="V60" s="1133">
        <f t="shared" ca="1" si="11"/>
        <v>5.0000000000000044E-2</v>
      </c>
      <c r="X60" s="1134">
        <f t="shared" ca="1" si="18"/>
        <v>406391747.71149671</v>
      </c>
      <c r="Y60" s="1134">
        <f t="shared" ca="1" si="12"/>
        <v>3179867.6561527252</v>
      </c>
      <c r="Z60" s="1134">
        <f t="shared" ca="1" si="13"/>
        <v>403211880.05534399</v>
      </c>
      <c r="AA60" s="1132">
        <f t="shared" ca="1" si="14"/>
        <v>0.69971030942062107</v>
      </c>
      <c r="AB60" s="1105"/>
    </row>
    <row r="61" spans="1:28">
      <c r="A61" s="1144">
        <f>Calendar!J53</f>
        <v>46534</v>
      </c>
      <c r="C61" s="1104"/>
      <c r="D61" s="1125">
        <f t="shared" ca="1" si="0"/>
        <v>47573</v>
      </c>
      <c r="E61" s="1126">
        <f t="shared" ca="1" si="1"/>
        <v>47602</v>
      </c>
      <c r="F61" s="1127">
        <f t="shared" ca="1" si="2"/>
        <v>1553</v>
      </c>
      <c r="G61" s="1128">
        <f ca="1">IF(F61&lt;&gt;"",COUNTIF($F$11:F61,"&gt;0"),"")</f>
        <v>51</v>
      </c>
      <c r="H61" s="1129">
        <v>7.86624215048249E-3</v>
      </c>
      <c r="I61" s="1128"/>
      <c r="J61" s="1130">
        <f t="shared" ca="1" si="3"/>
        <v>8064237601.1068716</v>
      </c>
      <c r="K61" s="1131">
        <f t="shared" ca="1" si="4"/>
        <v>63435245.729332678</v>
      </c>
      <c r="L61" s="1130">
        <f t="shared" ca="1" si="5"/>
        <v>0</v>
      </c>
      <c r="M61" s="1130">
        <f t="shared" ca="1" si="6"/>
        <v>0</v>
      </c>
      <c r="N61" s="1130">
        <f t="shared" ca="1" si="15"/>
        <v>8000802355.3775387</v>
      </c>
      <c r="O61" s="1073"/>
      <c r="P61" s="1130">
        <f t="shared" ca="1" si="7"/>
        <v>63435245.729332924</v>
      </c>
      <c r="Q61" s="1130">
        <f t="shared" ca="1" si="8"/>
        <v>7600762237.6086617</v>
      </c>
      <c r="R61" s="1130">
        <f t="shared" ca="1" si="16"/>
        <v>7661025721.051528</v>
      </c>
      <c r="S61" s="1130">
        <f t="shared" ca="1" si="17"/>
        <v>60263483.442866325</v>
      </c>
      <c r="T61" s="1130">
        <f t="shared" ca="1" si="9"/>
        <v>7600762237.6086617</v>
      </c>
      <c r="U61" s="1132">
        <f t="shared" ca="1" si="10"/>
        <v>0.64884356333860083</v>
      </c>
      <c r="V61" s="1133">
        <f t="shared" ca="1" si="11"/>
        <v>5.0000000000000044E-2</v>
      </c>
      <c r="X61" s="1134">
        <f t="shared" ca="1" si="18"/>
        <v>403211880.05534399</v>
      </c>
      <c r="Y61" s="1134">
        <f t="shared" ca="1" si="12"/>
        <v>3171762.2864665985</v>
      </c>
      <c r="Z61" s="1134">
        <f t="shared" ca="1" si="13"/>
        <v>400040117.76887739</v>
      </c>
      <c r="AA61" s="1132">
        <f t="shared" ca="1" si="14"/>
        <v>0.69423533067380161</v>
      </c>
      <c r="AB61" s="1105"/>
    </row>
    <row r="62" spans="1:28">
      <c r="A62" s="1144">
        <f>Calendar!J54</f>
        <v>46566</v>
      </c>
      <c r="C62" s="1104"/>
      <c r="D62" s="1125">
        <f t="shared" ca="1" si="0"/>
        <v>47603</v>
      </c>
      <c r="E62" s="1126">
        <f t="shared" ca="1" si="1"/>
        <v>47630</v>
      </c>
      <c r="F62" s="1127">
        <f t="shared" ca="1" si="2"/>
        <v>1581</v>
      </c>
      <c r="G62" s="1128">
        <f ca="1">IF(F62&lt;&gt;"",COUNTIF($F$11:F62,"&gt;0"),"")</f>
        <v>52</v>
      </c>
      <c r="H62" s="1129">
        <v>7.9181245132533048E-3</v>
      </c>
      <c r="I62" s="1128"/>
      <c r="J62" s="1130">
        <f t="shared" ca="1" si="3"/>
        <v>8000802355.3775387</v>
      </c>
      <c r="K62" s="1131">
        <f t="shared" ca="1" si="4"/>
        <v>63351349.255809665</v>
      </c>
      <c r="L62" s="1130">
        <f t="shared" ca="1" si="5"/>
        <v>0</v>
      </c>
      <c r="M62" s="1130">
        <f t="shared" ca="1" si="6"/>
        <v>0</v>
      </c>
      <c r="N62" s="1130">
        <f t="shared" ca="1" si="15"/>
        <v>7937451006.1217289</v>
      </c>
      <c r="O62" s="1073"/>
      <c r="P62" s="1130">
        <f t="shared" ca="1" si="7"/>
        <v>63351349.255809784</v>
      </c>
      <c r="Q62" s="1130">
        <f t="shared" ca="1" si="8"/>
        <v>7540578455.8156424</v>
      </c>
      <c r="R62" s="1130">
        <f t="shared" ca="1" si="16"/>
        <v>7600762237.6086617</v>
      </c>
      <c r="S62" s="1130">
        <f t="shared" ca="1" si="17"/>
        <v>60183781.793019295</v>
      </c>
      <c r="T62" s="1130">
        <f t="shared" ca="1" si="9"/>
        <v>7540578455.8156424</v>
      </c>
      <c r="U62" s="1132">
        <f t="shared" ca="1" si="10"/>
        <v>0.64373960275159747</v>
      </c>
      <c r="V62" s="1133">
        <f t="shared" ca="1" si="11"/>
        <v>5.0000000000000044E-2</v>
      </c>
      <c r="X62" s="1134">
        <f t="shared" ca="1" si="18"/>
        <v>400040117.76887739</v>
      </c>
      <c r="Y62" s="1134">
        <f t="shared" ca="1" si="12"/>
        <v>3167567.4627904892</v>
      </c>
      <c r="Z62" s="1134">
        <f t="shared" ca="1" si="13"/>
        <v>396872550.3060869</v>
      </c>
      <c r="AA62" s="1132">
        <f t="shared" ca="1" si="14"/>
        <v>0.68877430745330126</v>
      </c>
      <c r="AB62" s="1105"/>
    </row>
    <row r="63" spans="1:28">
      <c r="A63" s="1144">
        <f>Calendar!J55</f>
        <v>46595</v>
      </c>
      <c r="C63" s="1104"/>
      <c r="D63" s="1125">
        <f t="shared" ca="1" si="0"/>
        <v>47634</v>
      </c>
      <c r="E63" s="1126">
        <f t="shared" ca="1" si="1"/>
        <v>47661</v>
      </c>
      <c r="F63" s="1127">
        <f t="shared" ca="1" si="2"/>
        <v>1612</v>
      </c>
      <c r="G63" s="1128">
        <f ca="1">IF(F63&lt;&gt;"",COUNTIF($F$11:F63,"&gt;0"),"")</f>
        <v>53</v>
      </c>
      <c r="H63" s="1129">
        <v>7.9633707574121373E-3</v>
      </c>
      <c r="I63" s="1128"/>
      <c r="J63" s="1130">
        <f t="shared" ca="1" si="3"/>
        <v>7937451006.1217289</v>
      </c>
      <c r="K63" s="1131">
        <f t="shared" ca="1" si="4"/>
        <v>63208865.230541326</v>
      </c>
      <c r="L63" s="1130">
        <f t="shared" ca="1" si="5"/>
        <v>0</v>
      </c>
      <c r="M63" s="1130">
        <f t="shared" ca="1" si="6"/>
        <v>0</v>
      </c>
      <c r="N63" s="1130">
        <f t="shared" ca="1" si="15"/>
        <v>7874242140.8911877</v>
      </c>
      <c r="O63" s="1073"/>
      <c r="P63" s="1130">
        <f t="shared" ca="1" si="7"/>
        <v>63208865.230541229</v>
      </c>
      <c r="Q63" s="1130">
        <f t="shared" ca="1" si="8"/>
        <v>7480530033.8466282</v>
      </c>
      <c r="R63" s="1130">
        <f t="shared" ca="1" si="16"/>
        <v>7540578455.8156424</v>
      </c>
      <c r="S63" s="1130">
        <f t="shared" ca="1" si="17"/>
        <v>60048421.969014168</v>
      </c>
      <c r="T63" s="1130">
        <f t="shared" ca="1" si="9"/>
        <v>7480530033.8466282</v>
      </c>
      <c r="U63" s="1132">
        <f t="shared" ca="1" si="10"/>
        <v>0.63864239242289811</v>
      </c>
      <c r="V63" s="1133">
        <f t="shared" ca="1" si="11"/>
        <v>5.0000000000000044E-2</v>
      </c>
      <c r="X63" s="1134">
        <f t="shared" ca="1" si="18"/>
        <v>396872550.3060869</v>
      </c>
      <c r="Y63" s="1134">
        <f t="shared" ca="1" si="12"/>
        <v>3160443.2615270615</v>
      </c>
      <c r="Z63" s="1134">
        <f t="shared" ca="1" si="13"/>
        <v>393712107.04455984</v>
      </c>
      <c r="AA63" s="1132">
        <f t="shared" ca="1" si="14"/>
        <v>0.68332050672535627</v>
      </c>
      <c r="AB63" s="1105"/>
    </row>
    <row r="64" spans="1:28">
      <c r="A64" s="1144">
        <f>Calendar!J56</f>
        <v>46626</v>
      </c>
      <c r="C64" s="1104"/>
      <c r="D64" s="1125">
        <f t="shared" ca="1" si="0"/>
        <v>47664</v>
      </c>
      <c r="E64" s="1126">
        <f t="shared" ca="1" si="1"/>
        <v>47693</v>
      </c>
      <c r="F64" s="1127">
        <f t="shared" ca="1" si="2"/>
        <v>1644</v>
      </c>
      <c r="G64" s="1128">
        <f ca="1">IF(F64&lt;&gt;"",COUNTIF($F$11:F64,"&gt;0"),"")</f>
        <v>54</v>
      </c>
      <c r="H64" s="1129">
        <v>8.0161210986723595E-3</v>
      </c>
      <c r="I64" s="1128"/>
      <c r="J64" s="1130">
        <f t="shared" ca="1" si="3"/>
        <v>7874242140.8911877</v>
      </c>
      <c r="K64" s="1131">
        <f t="shared" ca="1" si="4"/>
        <v>63120878.561652862</v>
      </c>
      <c r="L64" s="1130">
        <f t="shared" ca="1" si="5"/>
        <v>0</v>
      </c>
      <c r="M64" s="1130">
        <f t="shared" ca="1" si="6"/>
        <v>0</v>
      </c>
      <c r="N64" s="1130">
        <f t="shared" ca="1" si="15"/>
        <v>7811121262.3295345</v>
      </c>
      <c r="O64" s="1073"/>
      <c r="P64" s="1130">
        <f t="shared" ca="1" si="7"/>
        <v>63120878.561653137</v>
      </c>
      <c r="Q64" s="1130">
        <f t="shared" ca="1" si="8"/>
        <v>7420565199.2130575</v>
      </c>
      <c r="R64" s="1130">
        <f t="shared" ca="1" si="16"/>
        <v>7480530033.8466282</v>
      </c>
      <c r="S64" s="1130">
        <f t="shared" ca="1" si="17"/>
        <v>59964834.633570671</v>
      </c>
      <c r="T64" s="1130">
        <f t="shared" ca="1" si="9"/>
        <v>7420565199.2130575</v>
      </c>
      <c r="U64" s="1132">
        <f t="shared" ca="1" si="10"/>
        <v>0.63355664627063391</v>
      </c>
      <c r="V64" s="1133">
        <f t="shared" ca="1" si="11"/>
        <v>5.0000000000000044E-2</v>
      </c>
      <c r="X64" s="1134">
        <f t="shared" ca="1" si="18"/>
        <v>393712107.04455984</v>
      </c>
      <c r="Y64" s="1134">
        <f t="shared" ca="1" si="12"/>
        <v>3156043.9280824661</v>
      </c>
      <c r="Z64" s="1134">
        <f t="shared" ca="1" si="13"/>
        <v>390556063.11647737</v>
      </c>
      <c r="AA64" s="1132">
        <f t="shared" ca="1" si="14"/>
        <v>0.67787897218415949</v>
      </c>
      <c r="AB64" s="1105"/>
    </row>
    <row r="65" spans="1:29">
      <c r="A65" s="1144">
        <f>Calendar!J57</f>
        <v>46657</v>
      </c>
      <c r="C65" s="1104"/>
      <c r="D65" s="1125">
        <f t="shared" ca="1" si="0"/>
        <v>47695</v>
      </c>
      <c r="E65" s="1126">
        <f t="shared" ca="1" si="1"/>
        <v>47722</v>
      </c>
      <c r="F65" s="1127">
        <f t="shared" ca="1" si="2"/>
        <v>1673</v>
      </c>
      <c r="G65" s="1128">
        <f ca="1">IF(F65&lt;&gt;"",COUNTIF($F$11:F65,"&gt;0"),"")</f>
        <v>55</v>
      </c>
      <c r="H65" s="1129">
        <v>8.0604177340755125E-3</v>
      </c>
      <c r="I65" s="1128"/>
      <c r="J65" s="1130">
        <f t="shared" ca="1" si="3"/>
        <v>7811121262.3295345</v>
      </c>
      <c r="K65" s="1131">
        <f t="shared" ca="1" si="4"/>
        <v>62960900.345895283</v>
      </c>
      <c r="L65" s="1130">
        <f t="shared" ca="1" si="5"/>
        <v>0</v>
      </c>
      <c r="M65" s="1130">
        <f t="shared" ca="1" si="6"/>
        <v>0</v>
      </c>
      <c r="N65" s="1130">
        <f t="shared" ca="1" si="15"/>
        <v>7748160361.9836397</v>
      </c>
      <c r="O65" s="1073"/>
      <c r="P65" s="1130">
        <f t="shared" ca="1" si="7"/>
        <v>62960900.345894814</v>
      </c>
      <c r="Q65" s="1130">
        <f t="shared" ca="1" si="8"/>
        <v>7360752343.8844576</v>
      </c>
      <c r="R65" s="1130">
        <f t="shared" ca="1" si="16"/>
        <v>7420565199.2130575</v>
      </c>
      <c r="S65" s="1130">
        <f t="shared" ca="1" si="17"/>
        <v>59812855.32859993</v>
      </c>
      <c r="T65" s="1130">
        <f t="shared" ca="1" si="9"/>
        <v>7360752343.8844576</v>
      </c>
      <c r="U65" s="1132">
        <f t="shared" ca="1" si="10"/>
        <v>0.62847797947125972</v>
      </c>
      <c r="V65" s="1133">
        <f t="shared" ca="1" si="11"/>
        <v>5.0000000000000044E-2</v>
      </c>
      <c r="X65" s="1134">
        <f t="shared" ca="1" si="18"/>
        <v>390556063.11647737</v>
      </c>
      <c r="Y65" s="1134">
        <f t="shared" ca="1" si="12"/>
        <v>3148045.0172948837</v>
      </c>
      <c r="Z65" s="1134">
        <f t="shared" ca="1" si="13"/>
        <v>387408018.09918249</v>
      </c>
      <c r="AA65" s="1132">
        <f t="shared" ca="1" si="14"/>
        <v>0.672445012252888</v>
      </c>
      <c r="AB65" s="1105"/>
    </row>
    <row r="66" spans="1:29">
      <c r="A66" s="1144">
        <f>Calendar!J58</f>
        <v>46687</v>
      </c>
      <c r="C66" s="1104"/>
      <c r="D66" s="1125">
        <f t="shared" ca="1" si="0"/>
        <v>47726</v>
      </c>
      <c r="E66" s="1126">
        <f t="shared" ca="1" si="1"/>
        <v>47753</v>
      </c>
      <c r="F66" s="1127">
        <f t="shared" ca="1" si="2"/>
        <v>1704</v>
      </c>
      <c r="G66" s="1128">
        <f ca="1">IF(F66&lt;&gt;"",COUNTIF($F$11:F66,"&gt;0"),"")</f>
        <v>56</v>
      </c>
      <c r="H66" s="1129">
        <v>8.1077891435882166E-3</v>
      </c>
      <c r="I66" s="1128"/>
      <c r="J66" s="1130">
        <f t="shared" ca="1" si="3"/>
        <v>7748160361.9836397</v>
      </c>
      <c r="K66" s="1131">
        <f t="shared" ca="1" si="4"/>
        <v>62820450.465671502</v>
      </c>
      <c r="L66" s="1130">
        <f t="shared" ca="1" si="5"/>
        <v>0</v>
      </c>
      <c r="M66" s="1130">
        <f t="shared" ca="1" si="6"/>
        <v>0</v>
      </c>
      <c r="N66" s="1130">
        <f t="shared" ca="1" si="15"/>
        <v>7685339911.5179682</v>
      </c>
      <c r="O66" s="1073"/>
      <c r="P66" s="1130">
        <f t="shared" ca="1" si="7"/>
        <v>62820450.465671539</v>
      </c>
      <c r="Q66" s="1130">
        <f t="shared" ca="1" si="8"/>
        <v>7301072915.9420691</v>
      </c>
      <c r="R66" s="1130">
        <f t="shared" ca="1" si="16"/>
        <v>7360752343.8844576</v>
      </c>
      <c r="S66" s="1130">
        <f t="shared" ca="1" si="17"/>
        <v>59679427.942388535</v>
      </c>
      <c r="T66" s="1130">
        <f t="shared" ca="1" si="9"/>
        <v>7301072915.9420691</v>
      </c>
      <c r="U66" s="1132">
        <f t="shared" ca="1" si="10"/>
        <v>0.62341218442005364</v>
      </c>
      <c r="V66" s="1133">
        <f t="shared" ca="1" si="11"/>
        <v>5.0000000000000044E-2</v>
      </c>
      <c r="X66" s="1134">
        <f t="shared" ca="1" si="18"/>
        <v>387408018.09918249</v>
      </c>
      <c r="Y66" s="1134">
        <f t="shared" ca="1" si="12"/>
        <v>3141022.5232830048</v>
      </c>
      <c r="Z66" s="1134">
        <f t="shared" ca="1" si="13"/>
        <v>384266995.57589948</v>
      </c>
      <c r="AA66" s="1132">
        <f t="shared" ca="1" si="14"/>
        <v>0.66702482455093404</v>
      </c>
      <c r="AB66" s="1105"/>
    </row>
    <row r="67" spans="1:29">
      <c r="A67" s="1144">
        <f>Calendar!J59</f>
        <v>46720</v>
      </c>
      <c r="C67" s="1104"/>
      <c r="D67" s="1125">
        <f t="shared" ca="1" si="0"/>
        <v>47756</v>
      </c>
      <c r="E67" s="1126">
        <f t="shared" ca="1" si="1"/>
        <v>47784</v>
      </c>
      <c r="F67" s="1127">
        <f t="shared" ca="1" si="2"/>
        <v>1735</v>
      </c>
      <c r="G67" s="1128">
        <f ca="1">IF(F67&lt;&gt;"",COUNTIF($F$11:F67,"&gt;0"),"")</f>
        <v>57</v>
      </c>
      <c r="H67" s="1129">
        <v>8.1599804012892924E-3</v>
      </c>
      <c r="I67" s="1128"/>
      <c r="J67" s="1130">
        <f t="shared" ca="1" si="3"/>
        <v>7685339911.5179682</v>
      </c>
      <c r="K67" s="1131">
        <f t="shared" ca="1" si="4"/>
        <v>62712223.055233002</v>
      </c>
      <c r="L67" s="1130">
        <f t="shared" ca="1" si="5"/>
        <v>0</v>
      </c>
      <c r="M67" s="1130">
        <f t="shared" ca="1" si="6"/>
        <v>0</v>
      </c>
      <c r="N67" s="1130">
        <f t="shared" ca="1" si="15"/>
        <v>7622627688.4627352</v>
      </c>
      <c r="O67" s="1073"/>
      <c r="P67" s="1130">
        <f t="shared" ca="1" si="7"/>
        <v>62712223.055233002</v>
      </c>
      <c r="Q67" s="1130">
        <f t="shared" ca="1" si="8"/>
        <v>7241496304.0395985</v>
      </c>
      <c r="R67" s="1130">
        <f t="shared" ca="1" si="16"/>
        <v>7301072915.9420691</v>
      </c>
      <c r="S67" s="1130">
        <f t="shared" ca="1" si="17"/>
        <v>59576611.902470589</v>
      </c>
      <c r="T67" s="1130">
        <f t="shared" ca="1" si="9"/>
        <v>7241496304.0395985</v>
      </c>
      <c r="U67" s="1132">
        <f t="shared" ca="1" si="10"/>
        <v>0.61835768987923212</v>
      </c>
      <c r="V67" s="1133">
        <f t="shared" ca="1" si="11"/>
        <v>5.0000000000000044E-2</v>
      </c>
      <c r="X67" s="1134">
        <f t="shared" ca="1" si="18"/>
        <v>384266995.57589948</v>
      </c>
      <c r="Y67" s="1134">
        <f t="shared" ca="1" si="12"/>
        <v>3135611.152762413</v>
      </c>
      <c r="Z67" s="1134">
        <f t="shared" ca="1" si="13"/>
        <v>381131384.42313707</v>
      </c>
      <c r="AA67" s="1132">
        <f t="shared" ca="1" si="14"/>
        <v>0.66161672791993709</v>
      </c>
      <c r="AB67" s="1105"/>
    </row>
    <row r="68" spans="1:29">
      <c r="A68" s="1144">
        <f>Calendar!J60</f>
        <v>46748</v>
      </c>
      <c r="C68" s="1104"/>
      <c r="D68" s="1125">
        <f t="shared" ca="1" si="0"/>
        <v>47787</v>
      </c>
      <c r="E68" s="1126">
        <f t="shared" ca="1" si="1"/>
        <v>47814</v>
      </c>
      <c r="F68" s="1127">
        <f t="shared" ca="1" si="2"/>
        <v>1765</v>
      </c>
      <c r="G68" s="1128">
        <f ca="1">IF(F68&lt;&gt;"",COUNTIF($F$11:F68,"&gt;0"),"")</f>
        <v>58</v>
      </c>
      <c r="H68" s="1129">
        <v>8.1913894371840826E-3</v>
      </c>
      <c r="I68" s="1128"/>
      <c r="J68" s="1130">
        <f t="shared" ca="1" si="3"/>
        <v>7622627688.4627352</v>
      </c>
      <c r="K68" s="1131">
        <f t="shared" ca="1" si="4"/>
        <v>62439911.930860572</v>
      </c>
      <c r="L68" s="1130">
        <f t="shared" ca="1" si="5"/>
        <v>0</v>
      </c>
      <c r="M68" s="1130">
        <f t="shared" ca="1" si="6"/>
        <v>0</v>
      </c>
      <c r="N68" s="1130">
        <f t="shared" ca="1" si="15"/>
        <v>7560187776.5318747</v>
      </c>
      <c r="O68" s="1073"/>
      <c r="P68" s="1130">
        <f t="shared" ca="1" si="7"/>
        <v>62439911.930860519</v>
      </c>
      <c r="Q68" s="1130">
        <f t="shared" ca="1" si="8"/>
        <v>7182178387.7052803</v>
      </c>
      <c r="R68" s="1130">
        <f t="shared" ca="1" si="16"/>
        <v>7241496304.0395985</v>
      </c>
      <c r="S68" s="1130">
        <f t="shared" ca="1" si="17"/>
        <v>59317916.334318161</v>
      </c>
      <c r="T68" s="1130">
        <f t="shared" ca="1" si="9"/>
        <v>7182178387.7052803</v>
      </c>
      <c r="U68" s="1132">
        <f t="shared" ca="1" si="10"/>
        <v>0.61331190324883111</v>
      </c>
      <c r="V68" s="1133">
        <f t="shared" ca="1" si="11"/>
        <v>5.0000000000000044E-2</v>
      </c>
      <c r="X68" s="1134">
        <f t="shared" ca="1" si="18"/>
        <v>381131384.42313707</v>
      </c>
      <c r="Y68" s="1134">
        <f t="shared" ca="1" si="12"/>
        <v>3121995.5965423584</v>
      </c>
      <c r="Z68" s="1134">
        <f t="shared" ca="1" si="13"/>
        <v>378009388.82659471</v>
      </c>
      <c r="AA68" s="1132">
        <f t="shared" ca="1" si="14"/>
        <v>0.65621794838694403</v>
      </c>
      <c r="AB68" s="1105"/>
    </row>
    <row r="69" spans="1:29">
      <c r="A69" s="1144">
        <f>Calendar!J61</f>
        <v>46779</v>
      </c>
      <c r="C69" s="1104"/>
      <c r="D69" s="1125">
        <f t="shared" ca="1" si="0"/>
        <v>47817</v>
      </c>
      <c r="E69" s="1126">
        <f t="shared" ca="1" si="1"/>
        <v>47844</v>
      </c>
      <c r="F69" s="1127">
        <f t="shared" ca="1" si="2"/>
        <v>1795</v>
      </c>
      <c r="G69" s="1128">
        <f ca="1">IF(F69&lt;&gt;"",COUNTIF($F$11:F69,"&gt;0"),"")</f>
        <v>59</v>
      </c>
      <c r="H69" s="1129">
        <v>8.2464933015456848E-3</v>
      </c>
      <c r="I69" s="1128"/>
      <c r="J69" s="1130">
        <f t="shared" ca="1" si="3"/>
        <v>7560187776.5318747</v>
      </c>
      <c r="K69" s="1131">
        <f t="shared" ca="1" si="4"/>
        <v>62345037.857597671</v>
      </c>
      <c r="L69" s="1130">
        <f t="shared" ca="1" si="5"/>
        <v>0</v>
      </c>
      <c r="M69" s="1130">
        <f t="shared" ca="1" si="6"/>
        <v>0</v>
      </c>
      <c r="N69" s="1130">
        <f t="shared" ca="1" si="15"/>
        <v>7497842738.6742773</v>
      </c>
      <c r="O69" s="1073"/>
      <c r="P69" s="1130">
        <f t="shared" ca="1" si="7"/>
        <v>62345037.857597351</v>
      </c>
      <c r="Q69" s="1130">
        <f t="shared" ca="1" si="8"/>
        <v>7122950601.7405634</v>
      </c>
      <c r="R69" s="1130">
        <f t="shared" ca="1" si="16"/>
        <v>7182178387.7052803</v>
      </c>
      <c r="S69" s="1130">
        <f t="shared" ca="1" si="17"/>
        <v>59227785.964716911</v>
      </c>
      <c r="T69" s="1130">
        <f t="shared" ca="1" si="9"/>
        <v>7122950601.7405634</v>
      </c>
      <c r="U69" s="1132">
        <f t="shared" ca="1" si="10"/>
        <v>0.6082880266028593</v>
      </c>
      <c r="V69" s="1133">
        <f t="shared" ca="1" si="11"/>
        <v>5.0000000000000044E-2</v>
      </c>
      <c r="X69" s="1134">
        <f t="shared" ca="1" si="18"/>
        <v>378009388.82659471</v>
      </c>
      <c r="Y69" s="1134">
        <f t="shared" ca="1" si="12"/>
        <v>3117251.8928804398</v>
      </c>
      <c r="Z69" s="1134">
        <f t="shared" ca="1" si="13"/>
        <v>374892136.93371427</v>
      </c>
      <c r="AA69" s="1132">
        <f t="shared" ca="1" si="14"/>
        <v>0.65084261161603774</v>
      </c>
      <c r="AB69" s="1105"/>
    </row>
    <row r="70" spans="1:29">
      <c r="A70" s="1144">
        <f>Calendar!J62</f>
        <v>46811</v>
      </c>
      <c r="C70" s="1104"/>
      <c r="D70" s="1125">
        <f t="shared" ca="1" si="0"/>
        <v>47848</v>
      </c>
      <c r="E70" s="1126">
        <f t="shared" ca="1" si="1"/>
        <v>47875</v>
      </c>
      <c r="F70" s="1127">
        <f t="shared" ca="1" si="2"/>
        <v>1826</v>
      </c>
      <c r="G70" s="1128">
        <f ca="1">IF(F70&lt;&gt;"",COUNTIF($F$11:F70,"&gt;0"),"")</f>
        <v>60</v>
      </c>
      <c r="H70" s="1129">
        <v>8.287265658053232E-3</v>
      </c>
      <c r="I70" s="1128"/>
      <c r="J70" s="1130">
        <f t="shared" ca="1" si="3"/>
        <v>7497842738.6742773</v>
      </c>
      <c r="K70" s="1131">
        <f t="shared" ca="1" si="4"/>
        <v>62136614.637699135</v>
      </c>
      <c r="L70" s="1130">
        <f t="shared" ca="1" si="5"/>
        <v>0</v>
      </c>
      <c r="M70" s="1130">
        <f t="shared" ca="1" si="6"/>
        <v>0</v>
      </c>
      <c r="N70" s="1130">
        <f t="shared" ca="1" si="15"/>
        <v>7435706124.0365782</v>
      </c>
      <c r="O70" s="1073"/>
      <c r="P70" s="1130">
        <f t="shared" ca="1" si="7"/>
        <v>62136614.637699127</v>
      </c>
      <c r="Q70" s="1130">
        <f t="shared" ca="1" si="8"/>
        <v>7063920817.8347492</v>
      </c>
      <c r="R70" s="1130">
        <f t="shared" ca="1" si="16"/>
        <v>7122950601.7405634</v>
      </c>
      <c r="S70" s="1130">
        <f t="shared" ca="1" si="17"/>
        <v>59029783.905814171</v>
      </c>
      <c r="T70" s="1130">
        <f t="shared" ca="1" si="9"/>
        <v>7063920817.8347492</v>
      </c>
      <c r="U70" s="1132">
        <f t="shared" ca="1" si="10"/>
        <v>0.60327178346606847</v>
      </c>
      <c r="V70" s="1133">
        <f t="shared" ca="1" si="11"/>
        <v>5.0000000000000044E-2</v>
      </c>
      <c r="X70" s="1134">
        <f t="shared" ca="1" si="18"/>
        <v>374892136.93371427</v>
      </c>
      <c r="Y70" s="1134">
        <f t="shared" ca="1" si="12"/>
        <v>3106830.7318849564</v>
      </c>
      <c r="Z70" s="1134">
        <f t="shared" ca="1" si="13"/>
        <v>371785306.20182931</v>
      </c>
      <c r="AA70" s="1132">
        <f t="shared" ca="1" si="14"/>
        <v>0.64547544237898458</v>
      </c>
      <c r="AB70" s="1105"/>
    </row>
    <row r="71" spans="1:29">
      <c r="A71" s="1144">
        <f>Calendar!J63</f>
        <v>46839</v>
      </c>
      <c r="C71" s="1104"/>
      <c r="D71" s="1125">
        <f t="shared" ca="1" si="0"/>
        <v>47879</v>
      </c>
      <c r="E71" s="1126">
        <f t="shared" ca="1" si="1"/>
        <v>47906</v>
      </c>
      <c r="F71" s="1127">
        <f t="shared" ca="1" si="2"/>
        <v>1857</v>
      </c>
      <c r="G71" s="1128">
        <f ca="1">IF(F71&lt;&gt;"",COUNTIF($F$11:F71,"&gt;0"),"")</f>
        <v>61</v>
      </c>
      <c r="H71" s="1129">
        <v>8.3338356636277009E-3</v>
      </c>
      <c r="I71" s="1128"/>
      <c r="J71" s="1130">
        <f t="shared" ca="1" si="3"/>
        <v>7435706124.0365782</v>
      </c>
      <c r="K71" s="1131">
        <f t="shared" ca="1" si="4"/>
        <v>61967952.880750939</v>
      </c>
      <c r="L71" s="1130">
        <f t="shared" ca="1" si="5"/>
        <v>0</v>
      </c>
      <c r="M71" s="1130">
        <f t="shared" ca="1" si="6"/>
        <v>0</v>
      </c>
      <c r="N71" s="1130">
        <f t="shared" ca="1" si="15"/>
        <v>7373738171.1558275</v>
      </c>
      <c r="O71" s="1073"/>
      <c r="P71" s="1130">
        <f t="shared" ca="1" si="7"/>
        <v>61967952.880750656</v>
      </c>
      <c r="Q71" s="1130">
        <f t="shared" ca="1" si="8"/>
        <v>7005051262.5980358</v>
      </c>
      <c r="R71" s="1130">
        <f t="shared" ca="1" si="16"/>
        <v>7063920817.8347492</v>
      </c>
      <c r="S71" s="1130">
        <f t="shared" ca="1" si="17"/>
        <v>58869555.236713409</v>
      </c>
      <c r="T71" s="1130">
        <f t="shared" ca="1" si="9"/>
        <v>7005051262.5980358</v>
      </c>
      <c r="U71" s="1132">
        <f t="shared" ca="1" si="10"/>
        <v>0.5982723099324776</v>
      </c>
      <c r="V71" s="1133">
        <f t="shared" ca="1" si="11"/>
        <v>5.0000000000000044E-2</v>
      </c>
      <c r="X71" s="1134">
        <f t="shared" ca="1" si="18"/>
        <v>371785306.20182931</v>
      </c>
      <c r="Y71" s="1134">
        <f t="shared" ca="1" si="12"/>
        <v>3098397.6440372467</v>
      </c>
      <c r="Z71" s="1134">
        <f t="shared" ca="1" si="13"/>
        <v>368686908.55779207</v>
      </c>
      <c r="AA71" s="1132">
        <f t="shared" ca="1" si="14"/>
        <v>0.6401262159122405</v>
      </c>
      <c r="AB71" s="1105"/>
      <c r="AC71" s="1078"/>
    </row>
    <row r="72" spans="1:29">
      <c r="A72" s="1144">
        <f>Calendar!J64</f>
        <v>46870</v>
      </c>
      <c r="C72" s="1104"/>
      <c r="D72" s="1125">
        <f t="shared" ca="1" si="0"/>
        <v>47907</v>
      </c>
      <c r="E72" s="1126">
        <f t="shared" ca="1" si="1"/>
        <v>47934</v>
      </c>
      <c r="F72" s="1127">
        <f t="shared" ca="1" si="2"/>
        <v>1885</v>
      </c>
      <c r="G72" s="1128">
        <f ca="1">IF(F72&lt;&gt;"",COUNTIF($F$11:F72,"&gt;0"),"")</f>
        <v>62</v>
      </c>
      <c r="H72" s="1129">
        <v>8.3879594483353744E-3</v>
      </c>
      <c r="I72" s="1128"/>
      <c r="J72" s="1130">
        <f t="shared" ca="1" si="3"/>
        <v>7373738171.1558275</v>
      </c>
      <c r="K72" s="1131">
        <f t="shared" ca="1" si="4"/>
        <v>61850616.762297727</v>
      </c>
      <c r="L72" s="1130">
        <f t="shared" ca="1" si="5"/>
        <v>0</v>
      </c>
      <c r="M72" s="1130">
        <f t="shared" ca="1" si="6"/>
        <v>0</v>
      </c>
      <c r="N72" s="1130">
        <f t="shared" ca="1" si="15"/>
        <v>7311887554.3935299</v>
      </c>
      <c r="O72" s="1073"/>
      <c r="P72" s="1130">
        <f t="shared" ca="1" si="7"/>
        <v>61850616.76229763</v>
      </c>
      <c r="Q72" s="1130">
        <f t="shared" ca="1" si="8"/>
        <v>6946293176.6738529</v>
      </c>
      <c r="R72" s="1130">
        <f t="shared" ca="1" si="16"/>
        <v>7005051262.5980358</v>
      </c>
      <c r="S72" s="1130">
        <f t="shared" ca="1" si="17"/>
        <v>58758085.924182892</v>
      </c>
      <c r="T72" s="1130">
        <f t="shared" ca="1" si="9"/>
        <v>6946293176.6738529</v>
      </c>
      <c r="U72" s="1132">
        <f t="shared" ca="1" si="10"/>
        <v>0.59328640681940137</v>
      </c>
      <c r="V72" s="1133">
        <f t="shared" ca="1" si="11"/>
        <v>5.0000000000000044E-2</v>
      </c>
      <c r="X72" s="1134">
        <f t="shared" ca="1" si="18"/>
        <v>368686908.55779207</v>
      </c>
      <c r="Y72" s="1134">
        <f t="shared" ca="1" si="12"/>
        <v>3092530.8381147385</v>
      </c>
      <c r="Z72" s="1134">
        <f t="shared" ca="1" si="13"/>
        <v>365594377.71967733</v>
      </c>
      <c r="AA72" s="1132">
        <f t="shared" ca="1" si="14"/>
        <v>0.63479150922484862</v>
      </c>
      <c r="AB72" s="1105"/>
      <c r="AC72" s="1078"/>
    </row>
    <row r="73" spans="1:29">
      <c r="A73" s="1144">
        <f>Calendar!J65</f>
        <v>46902</v>
      </c>
      <c r="C73" s="1104"/>
      <c r="D73" s="1125">
        <f t="shared" ca="1" si="0"/>
        <v>47938</v>
      </c>
      <c r="E73" s="1126">
        <f t="shared" ca="1" si="1"/>
        <v>47966</v>
      </c>
      <c r="F73" s="1127">
        <f t="shared" ca="1" si="2"/>
        <v>1917</v>
      </c>
      <c r="G73" s="1128">
        <f ca="1">IF(F73&lt;&gt;"",COUNTIF($F$11:F73,"&gt;0"),"")</f>
        <v>63</v>
      </c>
      <c r="H73" s="1129">
        <v>8.4259318894268839E-3</v>
      </c>
      <c r="I73" s="1128"/>
      <c r="J73" s="1130">
        <f t="shared" ca="1" si="3"/>
        <v>7311887554.3935299</v>
      </c>
      <c r="K73" s="1131">
        <f t="shared" ca="1" si="4"/>
        <v>61609466.516467996</v>
      </c>
      <c r="L73" s="1130">
        <f t="shared" ca="1" si="5"/>
        <v>0</v>
      </c>
      <c r="M73" s="1130">
        <f t="shared" ca="1" si="6"/>
        <v>0</v>
      </c>
      <c r="N73" s="1130">
        <f t="shared" ca="1" si="15"/>
        <v>7250278087.8770618</v>
      </c>
      <c r="O73" s="1073"/>
      <c r="P73" s="1130">
        <f t="shared" ca="1" si="7"/>
        <v>61609466.516468048</v>
      </c>
      <c r="Q73" s="1130">
        <f t="shared" ca="1" si="8"/>
        <v>6887764183.4832087</v>
      </c>
      <c r="R73" s="1130">
        <f t="shared" ca="1" si="16"/>
        <v>6946293176.6738529</v>
      </c>
      <c r="S73" s="1130">
        <f t="shared" ca="1" si="17"/>
        <v>58528993.190644264</v>
      </c>
      <c r="T73" s="1130">
        <f t="shared" ca="1" si="9"/>
        <v>6887764183.4832087</v>
      </c>
      <c r="U73" s="1132">
        <f t="shared" ca="1" si="10"/>
        <v>0.58830994449775165</v>
      </c>
      <c r="V73" s="1133">
        <f t="shared" ca="1" si="11"/>
        <v>5.0000000000000044E-2</v>
      </c>
      <c r="X73" s="1134">
        <f t="shared" ca="1" si="18"/>
        <v>365594377.71967733</v>
      </c>
      <c r="Y73" s="1134">
        <f t="shared" ca="1" si="12"/>
        <v>3080473.3258237839</v>
      </c>
      <c r="Z73" s="1134">
        <f t="shared" ca="1" si="13"/>
        <v>362513904.39385355</v>
      </c>
      <c r="AA73" s="1132">
        <f t="shared" ca="1" si="14"/>
        <v>0.62946690378732317</v>
      </c>
      <c r="AB73" s="1105"/>
      <c r="AC73" s="1078"/>
    </row>
    <row r="74" spans="1:29">
      <c r="A74" s="1144">
        <f>Calendar!J66</f>
        <v>46931</v>
      </c>
      <c r="C74" s="1104"/>
      <c r="D74" s="1125">
        <f t="shared" ca="1" si="0"/>
        <v>47968</v>
      </c>
      <c r="E74" s="1126">
        <f t="shared" ca="1" si="1"/>
        <v>47995</v>
      </c>
      <c r="F74" s="1127">
        <f t="shared" ca="1" si="2"/>
        <v>1946</v>
      </c>
      <c r="G74" s="1128">
        <f ca="1">IF(F74&lt;&gt;"",COUNTIF($F$11:F74,"&gt;0"),"")</f>
        <v>64</v>
      </c>
      <c r="H74" s="1129">
        <v>8.4724727099141466E-3</v>
      </c>
      <c r="I74" s="1128"/>
      <c r="J74" s="1130">
        <f t="shared" ca="1" si="3"/>
        <v>7250278087.8770618</v>
      </c>
      <c r="K74" s="1131">
        <f t="shared" ca="1" si="4"/>
        <v>61427783.238826931</v>
      </c>
      <c r="L74" s="1130">
        <f t="shared" ca="1" si="5"/>
        <v>0</v>
      </c>
      <c r="M74" s="1130">
        <f t="shared" ca="1" si="6"/>
        <v>0</v>
      </c>
      <c r="N74" s="1130">
        <f t="shared" ca="1" si="15"/>
        <v>7188850304.6382351</v>
      </c>
      <c r="O74" s="1073"/>
      <c r="P74" s="1130">
        <f t="shared" ca="1" si="7"/>
        <v>61427783.238826752</v>
      </c>
      <c r="Q74" s="1130">
        <f t="shared" ca="1" si="8"/>
        <v>6829407789.4063234</v>
      </c>
      <c r="R74" s="1130">
        <f t="shared" ca="1" si="16"/>
        <v>6887764183.4832087</v>
      </c>
      <c r="S74" s="1130">
        <f t="shared" ca="1" si="17"/>
        <v>58356394.076885223</v>
      </c>
      <c r="T74" s="1130">
        <f t="shared" ca="1" si="9"/>
        <v>6829407789.4063234</v>
      </c>
      <c r="U74" s="1132">
        <f t="shared" ca="1" si="10"/>
        <v>0.58335288497554105</v>
      </c>
      <c r="V74" s="1133">
        <f t="shared" ca="1" si="11"/>
        <v>4.9999999999999933E-2</v>
      </c>
      <c r="X74" s="1134">
        <f t="shared" ca="1" si="18"/>
        <v>362513904.39385355</v>
      </c>
      <c r="Y74" s="1134">
        <f t="shared" ca="1" si="12"/>
        <v>3071389.1619415283</v>
      </c>
      <c r="Z74" s="1134">
        <f t="shared" ca="1" si="13"/>
        <v>359442515.23191202</v>
      </c>
      <c r="AA74" s="1132">
        <f t="shared" ca="1" si="14"/>
        <v>0.62416305852936216</v>
      </c>
      <c r="AB74" s="1105"/>
      <c r="AC74" s="1078"/>
    </row>
    <row r="75" spans="1:29">
      <c r="A75" s="1144">
        <f>Calendar!J67</f>
        <v>46961</v>
      </c>
      <c r="C75" s="1104"/>
      <c r="D75" s="1125">
        <f t="shared" ca="1" si="0"/>
        <v>47999</v>
      </c>
      <c r="E75" s="1126">
        <f t="shared" ca="1" si="1"/>
        <v>48026</v>
      </c>
      <c r="F75" s="1127">
        <f t="shared" ca="1" si="2"/>
        <v>1977</v>
      </c>
      <c r="G75" s="1128">
        <f ca="1">IF(F75&lt;&gt;"",COUNTIF($F$11:F75,"&gt;0"),"")</f>
        <v>65</v>
      </c>
      <c r="H75" s="1129">
        <v>8.5119458346093087E-3</v>
      </c>
      <c r="I75" s="1128"/>
      <c r="J75" s="1130">
        <f t="shared" ca="1" si="3"/>
        <v>7188850304.6382351</v>
      </c>
      <c r="K75" s="1131">
        <f t="shared" ca="1" si="4"/>
        <v>61191104.406195283</v>
      </c>
      <c r="L75" s="1130">
        <f t="shared" ca="1" si="5"/>
        <v>0</v>
      </c>
      <c r="M75" s="1130">
        <f t="shared" ca="1" si="6"/>
        <v>0</v>
      </c>
      <c r="N75" s="1130">
        <f t="shared" ca="1" si="15"/>
        <v>7127659200.2320395</v>
      </c>
      <c r="O75" s="1073"/>
      <c r="P75" s="1130">
        <f t="shared" ca="1" si="7"/>
        <v>61191104.406195641</v>
      </c>
      <c r="Q75" s="1130">
        <f t="shared" ca="1" si="8"/>
        <v>6771276240.220437</v>
      </c>
      <c r="R75" s="1130">
        <f t="shared" ca="1" si="16"/>
        <v>6829407789.4063234</v>
      </c>
      <c r="S75" s="1130">
        <f t="shared" ca="1" si="17"/>
        <v>58131549.185886383</v>
      </c>
      <c r="T75" s="1130">
        <f t="shared" ca="1" si="9"/>
        <v>6771276240.220437</v>
      </c>
      <c r="U75" s="1132">
        <f t="shared" ca="1" si="10"/>
        <v>0.57841044357733618</v>
      </c>
      <c r="V75" s="1133">
        <f t="shared" ca="1" si="11"/>
        <v>5.0000000000000044E-2</v>
      </c>
      <c r="X75" s="1134">
        <f t="shared" ca="1" si="18"/>
        <v>359442515.23191202</v>
      </c>
      <c r="Y75" s="1134">
        <f t="shared" ca="1" si="12"/>
        <v>3059555.2203092575</v>
      </c>
      <c r="Z75" s="1134">
        <f t="shared" ca="1" si="13"/>
        <v>356382960.01160276</v>
      </c>
      <c r="AA75" s="1132">
        <f t="shared" ca="1" si="14"/>
        <v>0.61887485404943532</v>
      </c>
      <c r="AB75" s="1105"/>
      <c r="AC75" s="1078"/>
    </row>
    <row r="76" spans="1:29">
      <c r="A76" s="1144">
        <f>Calendar!J68</f>
        <v>46993</v>
      </c>
      <c r="C76" s="1104"/>
      <c r="D76" s="1125">
        <f t="shared" ref="D76:D139" ca="1" si="19">IF(E76&lt;&gt;"",EOMONTH(E76,-1),"")</f>
        <v>48029</v>
      </c>
      <c r="E76" s="1126">
        <f t="shared" ref="E76:E139" ca="1" si="20">IF(INDIRECT("A"&amp;(IFERROR(MATCH(E75,A:A),999)+1))&gt;0,INDIRECT("A"&amp;(IFERROR(MATCH(E75,A:A),999)+1)),"")</f>
        <v>48057</v>
      </c>
      <c r="F76" s="1127">
        <f t="shared" ref="F76:F139" ca="1" si="21">IF(E76&lt;&gt;"",E76-$A$31,"")</f>
        <v>2008</v>
      </c>
      <c r="G76" s="1128">
        <f ca="1">IF(F76&lt;&gt;"",COUNTIF($F$11:F76,"&gt;0"),"")</f>
        <v>66</v>
      </c>
      <c r="H76" s="1129">
        <v>8.5598230167749263E-3</v>
      </c>
      <c r="I76" s="1128"/>
      <c r="J76" s="1130">
        <f t="shared" ref="J76:J139" ca="1" si="22">IF(G76=1,$A$7,N75)</f>
        <v>7127659200.2320395</v>
      </c>
      <c r="K76" s="1131">
        <f t="shared" ref="K76:K139" ca="1" si="23">H76*J76</f>
        <v>61011501.277873777</v>
      </c>
      <c r="L76" s="1130">
        <f t="shared" ref="L76:L139" ca="1" si="24">IF(E76&lt;&gt;"",(1-(1-$A$25)^(1/12))*(J76-K76),"")</f>
        <v>0</v>
      </c>
      <c r="M76" s="1130">
        <f t="shared" ref="M76:M139" ca="1" si="25">IF(J76-K76-L76&lt;$A$27*$A$5,J76-K76-L76,0)</f>
        <v>0</v>
      </c>
      <c r="N76" s="1130">
        <f t="shared" ca="1" si="15"/>
        <v>7066647698.9541655</v>
      </c>
      <c r="O76" s="1073"/>
      <c r="P76" s="1130">
        <f t="shared" ref="P76:P139" ca="1" si="26">IF(G76&lt;&gt; "", R76+X76-N76, "")</f>
        <v>61011501.277873993</v>
      </c>
      <c r="Q76" s="1130">
        <f t="shared" ref="Q76:Q139" ca="1" si="27">IF(E76&lt;&gt;"", N76*(1-$A$15), "")</f>
        <v>6713315314.0064573</v>
      </c>
      <c r="R76" s="1130">
        <f t="shared" ca="1" si="16"/>
        <v>6771276240.220437</v>
      </c>
      <c r="S76" s="1130">
        <f t="shared" ca="1" si="17"/>
        <v>57960926.213979721</v>
      </c>
      <c r="T76" s="1130">
        <f t="shared" ref="T76:T139" ca="1" si="28">IF(E76&lt;&gt;"", R76-S76, "")</f>
        <v>6713315314.0064573</v>
      </c>
      <c r="U76" s="1132">
        <f t="shared" ref="U76:U139" ca="1" si="29">IF(E76&lt;&gt;"", R76/$A$11, "")</f>
        <v>0.57348704521143345</v>
      </c>
      <c r="V76" s="1133">
        <f t="shared" ref="V76:V139" ca="1" si="30">IF(E76&lt;&gt;"", IFERROR(1-T76/N76, "n.a."), "")</f>
        <v>4.9999999999999933E-2</v>
      </c>
      <c r="X76" s="1134">
        <f t="shared" ca="1" si="18"/>
        <v>356382960.01160276</v>
      </c>
      <c r="Y76" s="1134">
        <f t="shared" ref="Y76:Y139" ca="1" si="31">IF(E76&lt;&gt;"", P76-S76, "")</f>
        <v>3050575.0638942719</v>
      </c>
      <c r="Z76" s="1134">
        <f t="shared" ref="Z76:Z139" ca="1" si="32">IF(E76&lt;&gt;"", X76-Y76, "")</f>
        <v>353332384.94770849</v>
      </c>
      <c r="AA76" s="1132">
        <f t="shared" ref="AA76:AA139" ca="1" si="33">IF(E76&lt;&gt;"", X76/$A$19, "")</f>
        <v>0.6136070248133656</v>
      </c>
      <c r="AB76" s="1105"/>
      <c r="AC76" s="1078"/>
    </row>
    <row r="77" spans="1:29">
      <c r="A77" s="1144">
        <f>Calendar!J69</f>
        <v>47023</v>
      </c>
      <c r="C77" s="1104"/>
      <c r="D77" s="1125">
        <f t="shared" ca="1" si="19"/>
        <v>48060</v>
      </c>
      <c r="E77" s="1126">
        <f t="shared" ca="1" si="20"/>
        <v>48087</v>
      </c>
      <c r="F77" s="1127">
        <f t="shared" ca="1" si="21"/>
        <v>2038</v>
      </c>
      <c r="G77" s="1128">
        <f ca="1">IF(F77&lt;&gt;"",COUNTIF($F$11:F77,"&gt;0"),"")</f>
        <v>67</v>
      </c>
      <c r="H77" s="1129">
        <v>8.6017040674281117E-3</v>
      </c>
      <c r="I77" s="1128"/>
      <c r="J77" s="1130">
        <f t="shared" ca="1" si="22"/>
        <v>7066647698.9541655</v>
      </c>
      <c r="K77" s="1131">
        <f t="shared" ca="1" si="23"/>
        <v>60785212.255175553</v>
      </c>
      <c r="L77" s="1130">
        <f t="shared" ca="1" si="24"/>
        <v>0</v>
      </c>
      <c r="M77" s="1130">
        <f t="shared" ca="1" si="25"/>
        <v>0</v>
      </c>
      <c r="N77" s="1130">
        <f t="shared" ref="N77:N140" ca="1" si="34">IF(E77&lt;&gt;"",J77-K77-L77-M77,"")</f>
        <v>7005862486.6989899</v>
      </c>
      <c r="O77" s="1073"/>
      <c r="P77" s="1130">
        <f t="shared" ca="1" si="26"/>
        <v>60785212.255175591</v>
      </c>
      <c r="Q77" s="1130">
        <f t="shared" ca="1" si="27"/>
        <v>6655569362.3640404</v>
      </c>
      <c r="R77" s="1130">
        <f t="shared" ref="R77:R140" ca="1" si="35">IF(E77&lt;&gt;"", T76, "")</f>
        <v>6713315314.0064573</v>
      </c>
      <c r="S77" s="1130">
        <f t="shared" ref="S77:S140" ca="1" si="36">IF(E77&lt;&gt;"", MIN(P77,MAX(R77-Q77,0)), "")</f>
        <v>57745951.642416954</v>
      </c>
      <c r="T77" s="1130">
        <f t="shared" ca="1" si="28"/>
        <v>6655569362.3640404</v>
      </c>
      <c r="U77" s="1132">
        <f t="shared" ca="1" si="29"/>
        <v>0.56857809760201039</v>
      </c>
      <c r="V77" s="1133">
        <f t="shared" ca="1" si="30"/>
        <v>5.0000000000000044E-2</v>
      </c>
      <c r="X77" s="1134">
        <f t="shared" ref="X77:X140" ca="1" si="37">IF(E77&lt;&gt;"", Z76, "")</f>
        <v>353332384.94770849</v>
      </c>
      <c r="Y77" s="1134">
        <f t="shared" ca="1" si="31"/>
        <v>3039260.6127586365</v>
      </c>
      <c r="Z77" s="1134">
        <f t="shared" ca="1" si="32"/>
        <v>350293124.33494985</v>
      </c>
      <c r="AA77" s="1132">
        <f t="shared" ca="1" si="33"/>
        <v>0.60835465727911242</v>
      </c>
      <c r="AB77" s="1105"/>
      <c r="AC77" s="1078"/>
    </row>
    <row r="78" spans="1:29">
      <c r="A78" s="1144">
        <f>Calendar!J70</f>
        <v>47053</v>
      </c>
      <c r="C78" s="1104"/>
      <c r="D78" s="1125">
        <f t="shared" ca="1" si="19"/>
        <v>48091</v>
      </c>
      <c r="E78" s="1126">
        <f t="shared" ca="1" si="20"/>
        <v>48120</v>
      </c>
      <c r="F78" s="1127">
        <f t="shared" ca="1" si="21"/>
        <v>2071</v>
      </c>
      <c r="G78" s="1128">
        <f ca="1">IF(F78&lt;&gt;"",COUNTIF($F$11:F78,"&gt;0"),"")</f>
        <v>68</v>
      </c>
      <c r="H78" s="1129">
        <v>8.6433014396991997E-3</v>
      </c>
      <c r="I78" s="1128"/>
      <c r="J78" s="1130">
        <f t="shared" ca="1" si="22"/>
        <v>7005862486.6989899</v>
      </c>
      <c r="K78" s="1131">
        <f t="shared" ca="1" si="23"/>
        <v>60553781.317619994</v>
      </c>
      <c r="L78" s="1130">
        <f t="shared" ca="1" si="24"/>
        <v>0</v>
      </c>
      <c r="M78" s="1130">
        <f t="shared" ca="1" si="25"/>
        <v>0</v>
      </c>
      <c r="N78" s="1130">
        <f t="shared" ca="1" si="34"/>
        <v>6945308705.3813696</v>
      </c>
      <c r="O78" s="1073"/>
      <c r="P78" s="1130">
        <f t="shared" ca="1" si="26"/>
        <v>60553781.317620277</v>
      </c>
      <c r="Q78" s="1130">
        <f t="shared" ca="1" si="27"/>
        <v>6598043270.1123009</v>
      </c>
      <c r="R78" s="1130">
        <f t="shared" ca="1" si="35"/>
        <v>6655569362.3640404</v>
      </c>
      <c r="S78" s="1130">
        <f t="shared" ca="1" si="36"/>
        <v>57526092.251739502</v>
      </c>
      <c r="T78" s="1130">
        <f t="shared" ca="1" si="28"/>
        <v>6598043270.1123009</v>
      </c>
      <c r="U78" s="1132">
        <f t="shared" ca="1" si="29"/>
        <v>0.56368735706721662</v>
      </c>
      <c r="V78" s="1133">
        <f t="shared" ca="1" si="30"/>
        <v>5.0000000000000044E-2</v>
      </c>
      <c r="X78" s="1134">
        <f t="shared" ca="1" si="37"/>
        <v>350293124.33494985</v>
      </c>
      <c r="Y78" s="1134">
        <f t="shared" ca="1" si="31"/>
        <v>3027689.0658807755</v>
      </c>
      <c r="Z78" s="1134">
        <f t="shared" ca="1" si="32"/>
        <v>347265435.26906908</v>
      </c>
      <c r="AA78" s="1132">
        <f t="shared" ca="1" si="33"/>
        <v>0.60312177054915606</v>
      </c>
      <c r="AB78" s="1105"/>
      <c r="AC78" s="1078"/>
    </row>
    <row r="79" spans="1:29">
      <c r="A79" s="1144">
        <f>Calendar!J71</f>
        <v>47084</v>
      </c>
      <c r="C79" s="1104"/>
      <c r="D79" s="1125">
        <f t="shared" ca="1" si="19"/>
        <v>48121</v>
      </c>
      <c r="E79" s="1126">
        <f t="shared" ca="1" si="20"/>
        <v>48148</v>
      </c>
      <c r="F79" s="1127">
        <f t="shared" ca="1" si="21"/>
        <v>2099</v>
      </c>
      <c r="G79" s="1128">
        <f ca="1">IF(F79&lt;&gt;"",COUNTIF($F$11:F79,"&gt;0"),"")</f>
        <v>69</v>
      </c>
      <c r="H79" s="1129">
        <v>8.6963022323994707E-3</v>
      </c>
      <c r="I79" s="1128"/>
      <c r="J79" s="1130">
        <f t="shared" ca="1" si="22"/>
        <v>6945308705.3813696</v>
      </c>
      <c r="K79" s="1131">
        <f t="shared" ca="1" si="23"/>
        <v>60398503.599311478</v>
      </c>
      <c r="L79" s="1130">
        <f t="shared" ca="1" si="24"/>
        <v>0</v>
      </c>
      <c r="M79" s="1130">
        <f t="shared" ca="1" si="25"/>
        <v>0</v>
      </c>
      <c r="N79" s="1130">
        <f t="shared" ca="1" si="34"/>
        <v>6884910201.7820578</v>
      </c>
      <c r="O79" s="1073"/>
      <c r="P79" s="1130">
        <f t="shared" ca="1" si="26"/>
        <v>60398503.599311829</v>
      </c>
      <c r="Q79" s="1130">
        <f t="shared" ca="1" si="27"/>
        <v>6540664691.692955</v>
      </c>
      <c r="R79" s="1130">
        <f t="shared" ca="1" si="35"/>
        <v>6598043270.1123009</v>
      </c>
      <c r="S79" s="1130">
        <f t="shared" ca="1" si="36"/>
        <v>57378578.419345856</v>
      </c>
      <c r="T79" s="1130">
        <f t="shared" ca="1" si="28"/>
        <v>6540664691.692955</v>
      </c>
      <c r="U79" s="1132">
        <f t="shared" ca="1" si="29"/>
        <v>0.55881523732233729</v>
      </c>
      <c r="V79" s="1133">
        <f t="shared" ca="1" si="30"/>
        <v>4.9999999999999933E-2</v>
      </c>
      <c r="X79" s="1134">
        <f t="shared" ca="1" si="37"/>
        <v>347265435.26906908</v>
      </c>
      <c r="Y79" s="1134">
        <f t="shared" ca="1" si="31"/>
        <v>3019925.1799659729</v>
      </c>
      <c r="Z79" s="1134">
        <f t="shared" ca="1" si="32"/>
        <v>344245510.0891031</v>
      </c>
      <c r="AA79" s="1132">
        <f t="shared" ca="1" si="33"/>
        <v>0.59790880728145501</v>
      </c>
      <c r="AB79" s="1105"/>
      <c r="AC79" s="1078"/>
    </row>
    <row r="80" spans="1:29">
      <c r="A80" s="1144">
        <f>Calendar!J72</f>
        <v>47114</v>
      </c>
      <c r="C80" s="1104"/>
      <c r="D80" s="1125">
        <f t="shared" ca="1" si="19"/>
        <v>48152</v>
      </c>
      <c r="E80" s="1126">
        <f t="shared" ca="1" si="20"/>
        <v>48179</v>
      </c>
      <c r="F80" s="1127">
        <f t="shared" ca="1" si="21"/>
        <v>2130</v>
      </c>
      <c r="G80" s="1128">
        <f ca="1">IF(F80&lt;&gt;"",COUNTIF($F$11:F80,"&gt;0"),"")</f>
        <v>70</v>
      </c>
      <c r="H80" s="1129">
        <v>8.7352661988350285E-3</v>
      </c>
      <c r="I80" s="1128"/>
      <c r="J80" s="1130">
        <f t="shared" ca="1" si="22"/>
        <v>6884910201.7820578</v>
      </c>
      <c r="K80" s="1131">
        <f t="shared" ca="1" si="23"/>
        <v>60141523.367641263</v>
      </c>
      <c r="L80" s="1130">
        <f t="shared" ca="1" si="24"/>
        <v>0</v>
      </c>
      <c r="M80" s="1130">
        <f t="shared" ca="1" si="25"/>
        <v>0</v>
      </c>
      <c r="N80" s="1130">
        <f t="shared" ca="1" si="34"/>
        <v>6824768678.4144163</v>
      </c>
      <c r="O80" s="1073"/>
      <c r="P80" s="1130">
        <f t="shared" ca="1" si="26"/>
        <v>60141523.367641449</v>
      </c>
      <c r="Q80" s="1130">
        <f t="shared" ca="1" si="27"/>
        <v>6483530244.4936953</v>
      </c>
      <c r="R80" s="1130">
        <f t="shared" ca="1" si="35"/>
        <v>6540664691.692955</v>
      </c>
      <c r="S80" s="1130">
        <f t="shared" ca="1" si="36"/>
        <v>57134447.199259758</v>
      </c>
      <c r="T80" s="1130">
        <f t="shared" ca="1" si="28"/>
        <v>6483530244.4936953</v>
      </c>
      <c r="U80" s="1132">
        <f t="shared" ca="1" si="29"/>
        <v>0.55395561112651226</v>
      </c>
      <c r="V80" s="1133">
        <f t="shared" ca="1" si="30"/>
        <v>5.0000000000000044E-2</v>
      </c>
      <c r="X80" s="1134">
        <f t="shared" ca="1" si="37"/>
        <v>344245510.0891031</v>
      </c>
      <c r="Y80" s="1134">
        <f t="shared" ca="1" si="31"/>
        <v>3007076.168381691</v>
      </c>
      <c r="Z80" s="1134">
        <f t="shared" ca="1" si="32"/>
        <v>341238433.92072141</v>
      </c>
      <c r="AA80" s="1132">
        <f t="shared" ca="1" si="33"/>
        <v>0.59270921158592127</v>
      </c>
      <c r="AB80" s="1105"/>
      <c r="AC80" s="1078"/>
    </row>
    <row r="81" spans="1:29">
      <c r="A81" s="1144">
        <f>Calendar!J73</f>
        <v>47147</v>
      </c>
      <c r="C81" s="1104"/>
      <c r="D81" s="1125">
        <f t="shared" ca="1" si="19"/>
        <v>48182</v>
      </c>
      <c r="E81" s="1126">
        <f t="shared" ca="1" si="20"/>
        <v>48211</v>
      </c>
      <c r="F81" s="1127">
        <f t="shared" ca="1" si="21"/>
        <v>2162</v>
      </c>
      <c r="G81" s="1128">
        <f ca="1">IF(F81&lt;&gt;"",COUNTIF($F$11:F81,"&gt;0"),"")</f>
        <v>71</v>
      </c>
      <c r="H81" s="1129">
        <v>8.7880372559361441E-3</v>
      </c>
      <c r="I81" s="1128"/>
      <c r="J81" s="1130">
        <f t="shared" ca="1" si="22"/>
        <v>6824768678.4144163</v>
      </c>
      <c r="K81" s="1131">
        <f t="shared" ca="1" si="23"/>
        <v>59976321.40905197</v>
      </c>
      <c r="L81" s="1130">
        <f t="shared" ca="1" si="24"/>
        <v>0</v>
      </c>
      <c r="M81" s="1130">
        <f t="shared" ca="1" si="25"/>
        <v>0</v>
      </c>
      <c r="N81" s="1130">
        <f t="shared" ca="1" si="34"/>
        <v>6764792357.0053644</v>
      </c>
      <c r="O81" s="1073"/>
      <c r="P81" s="1130">
        <f t="shared" ca="1" si="26"/>
        <v>59976321.409051895</v>
      </c>
      <c r="Q81" s="1130">
        <f t="shared" ca="1" si="27"/>
        <v>6426552739.1550961</v>
      </c>
      <c r="R81" s="1130">
        <f t="shared" ca="1" si="35"/>
        <v>6483530244.4936953</v>
      </c>
      <c r="S81" s="1130">
        <f t="shared" ca="1" si="36"/>
        <v>56977505.338599205</v>
      </c>
      <c r="T81" s="1130">
        <f t="shared" ca="1" si="28"/>
        <v>6426552739.1550961</v>
      </c>
      <c r="U81" s="1132">
        <f t="shared" ca="1" si="29"/>
        <v>0.5491166614009837</v>
      </c>
      <c r="V81" s="1133">
        <f t="shared" ca="1" si="30"/>
        <v>5.0000000000000044E-2</v>
      </c>
      <c r="X81" s="1134">
        <f t="shared" ca="1" si="37"/>
        <v>341238433.92072141</v>
      </c>
      <c r="Y81" s="1134">
        <f t="shared" ca="1" si="31"/>
        <v>2998816.0704526901</v>
      </c>
      <c r="Z81" s="1134">
        <f t="shared" ca="1" si="32"/>
        <v>338239617.85026872</v>
      </c>
      <c r="AA81" s="1132">
        <f t="shared" ca="1" si="33"/>
        <v>0.58753173884421728</v>
      </c>
      <c r="AB81" s="1105"/>
      <c r="AC81" s="1078"/>
    </row>
    <row r="82" spans="1:29">
      <c r="A82" s="1144">
        <f>Calendar!J74</f>
        <v>47176</v>
      </c>
      <c r="C82" s="1104"/>
      <c r="D82" s="1125">
        <f t="shared" ca="1" si="19"/>
        <v>48213</v>
      </c>
      <c r="E82" s="1126">
        <f t="shared" ca="1" si="20"/>
        <v>48240</v>
      </c>
      <c r="F82" s="1127">
        <f t="shared" ca="1" si="21"/>
        <v>2191</v>
      </c>
      <c r="G82" s="1128">
        <f ca="1">IF(F82&lt;&gt;"",COUNTIF($F$11:F82,"&gt;0"),"")</f>
        <v>72</v>
      </c>
      <c r="H82" s="1129">
        <v>8.840598743222336E-3</v>
      </c>
      <c r="I82" s="1128"/>
      <c r="J82" s="1130">
        <f t="shared" ca="1" si="22"/>
        <v>6764792357.0053644</v>
      </c>
      <c r="K82" s="1131">
        <f t="shared" ca="1" si="23"/>
        <v>59804814.809501685</v>
      </c>
      <c r="L82" s="1130">
        <f t="shared" ca="1" si="24"/>
        <v>0</v>
      </c>
      <c r="M82" s="1130">
        <f t="shared" ca="1" si="25"/>
        <v>0</v>
      </c>
      <c r="N82" s="1130">
        <f t="shared" ca="1" si="34"/>
        <v>6704987542.1958628</v>
      </c>
      <c r="O82" s="1073"/>
      <c r="P82" s="1130">
        <f t="shared" ca="1" si="26"/>
        <v>59804814.809501648</v>
      </c>
      <c r="Q82" s="1130">
        <f t="shared" ca="1" si="27"/>
        <v>6369738165.0860691</v>
      </c>
      <c r="R82" s="1130">
        <f t="shared" ca="1" si="35"/>
        <v>6426552739.1550961</v>
      </c>
      <c r="S82" s="1130">
        <f t="shared" ca="1" si="36"/>
        <v>56814574.069026947</v>
      </c>
      <c r="T82" s="1130">
        <f t="shared" ca="1" si="28"/>
        <v>6369738165.0860691</v>
      </c>
      <c r="U82" s="1132">
        <f t="shared" ca="1" si="29"/>
        <v>0.54429100372273664</v>
      </c>
      <c r="V82" s="1133">
        <f t="shared" ca="1" si="30"/>
        <v>5.0000000000000044E-2</v>
      </c>
      <c r="X82" s="1134">
        <f t="shared" ca="1" si="37"/>
        <v>338239617.85026872</v>
      </c>
      <c r="Y82" s="1134">
        <f t="shared" ca="1" si="31"/>
        <v>2990240.7404747009</v>
      </c>
      <c r="Z82" s="1134">
        <f t="shared" ca="1" si="32"/>
        <v>335249377.10979402</v>
      </c>
      <c r="AA82" s="1132">
        <f t="shared" ca="1" si="33"/>
        <v>0.58236848803420926</v>
      </c>
      <c r="AB82" s="1105"/>
      <c r="AC82" s="1078"/>
    </row>
    <row r="83" spans="1:29">
      <c r="A83" s="1144">
        <f>Calendar!J75</f>
        <v>47204</v>
      </c>
      <c r="C83" s="1104"/>
      <c r="D83" s="1125">
        <f t="shared" ca="1" si="19"/>
        <v>48244</v>
      </c>
      <c r="E83" s="1126">
        <f t="shared" ca="1" si="20"/>
        <v>48271</v>
      </c>
      <c r="F83" s="1127">
        <f t="shared" ca="1" si="21"/>
        <v>2222</v>
      </c>
      <c r="G83" s="1128">
        <f ca="1">IF(F83&lt;&gt;"",COUNTIF($F$11:F83,"&gt;0"),"")</f>
        <v>73</v>
      </c>
      <c r="H83" s="1129">
        <v>8.8999626012095639E-3</v>
      </c>
      <c r="I83" s="1128"/>
      <c r="J83" s="1130">
        <f t="shared" ca="1" si="22"/>
        <v>6704987542.1958628</v>
      </c>
      <c r="K83" s="1131">
        <f t="shared" ca="1" si="23"/>
        <v>59674138.367119208</v>
      </c>
      <c r="L83" s="1130">
        <f t="shared" ca="1" si="24"/>
        <v>0</v>
      </c>
      <c r="M83" s="1130">
        <f t="shared" ca="1" si="25"/>
        <v>0</v>
      </c>
      <c r="N83" s="1130">
        <f t="shared" ca="1" si="34"/>
        <v>6645313403.8287439</v>
      </c>
      <c r="O83" s="1073"/>
      <c r="P83" s="1130">
        <f t="shared" ca="1" si="26"/>
        <v>59674138.367118835</v>
      </c>
      <c r="Q83" s="1130">
        <f t="shared" ca="1" si="27"/>
        <v>6313047733.6373062</v>
      </c>
      <c r="R83" s="1130">
        <f t="shared" ca="1" si="35"/>
        <v>6369738165.0860691</v>
      </c>
      <c r="S83" s="1130">
        <f t="shared" ca="1" si="36"/>
        <v>56690431.448762894</v>
      </c>
      <c r="T83" s="1130">
        <f t="shared" ca="1" si="28"/>
        <v>6313047733.6373062</v>
      </c>
      <c r="U83" s="1132">
        <f t="shared" ca="1" si="29"/>
        <v>0.53947914535927821</v>
      </c>
      <c r="V83" s="1133">
        <f t="shared" ca="1" si="30"/>
        <v>5.0000000000000044E-2</v>
      </c>
      <c r="X83" s="1134">
        <f t="shared" ca="1" si="37"/>
        <v>335249377.10979402</v>
      </c>
      <c r="Y83" s="1134">
        <f t="shared" ca="1" si="31"/>
        <v>2983706.9183559418</v>
      </c>
      <c r="Z83" s="1134">
        <f t="shared" ca="1" si="32"/>
        <v>332265670.19143808</v>
      </c>
      <c r="AA83" s="1132">
        <f t="shared" ca="1" si="33"/>
        <v>0.57722000191080236</v>
      </c>
      <c r="AB83" s="1105"/>
      <c r="AC83" s="1078"/>
    </row>
    <row r="84" spans="1:29">
      <c r="A84" s="1144">
        <f>Calendar!J76</f>
        <v>47235</v>
      </c>
      <c r="C84" s="1104"/>
      <c r="D84" s="1125">
        <f t="shared" ca="1" si="19"/>
        <v>48273</v>
      </c>
      <c r="E84" s="1126">
        <f t="shared" ca="1" si="20"/>
        <v>48303</v>
      </c>
      <c r="F84" s="1127">
        <f t="shared" ca="1" si="21"/>
        <v>2254</v>
      </c>
      <c r="G84" s="1128">
        <f ca="1">IF(F84&lt;&gt;"",COUNTIF($F$11:F84,"&gt;0"),"")</f>
        <v>74</v>
      </c>
      <c r="H84" s="1129">
        <v>8.9664940180044853E-3</v>
      </c>
      <c r="I84" s="1073"/>
      <c r="J84" s="1130">
        <f t="shared" ca="1" si="22"/>
        <v>6645313403.8287439</v>
      </c>
      <c r="K84" s="1131">
        <f t="shared" ca="1" si="23"/>
        <v>59585162.88319546</v>
      </c>
      <c r="L84" s="1130">
        <f t="shared" ca="1" si="24"/>
        <v>0</v>
      </c>
      <c r="M84" s="1130">
        <f t="shared" ca="1" si="25"/>
        <v>0</v>
      </c>
      <c r="N84" s="1130">
        <f t="shared" ca="1" si="34"/>
        <v>6585728240.9455481</v>
      </c>
      <c r="O84" s="1073"/>
      <c r="P84" s="1130">
        <f t="shared" ca="1" si="26"/>
        <v>59585162.883195877</v>
      </c>
      <c r="Q84" s="1130">
        <f t="shared" ca="1" si="27"/>
        <v>6256441828.8982706</v>
      </c>
      <c r="R84" s="1130">
        <f t="shared" ca="1" si="35"/>
        <v>6313047733.6373062</v>
      </c>
      <c r="S84" s="1130">
        <f t="shared" ca="1" si="36"/>
        <v>56605904.739035606</v>
      </c>
      <c r="T84" s="1130">
        <f t="shared" ca="1" si="28"/>
        <v>6256441828.8982706</v>
      </c>
      <c r="U84" s="1132">
        <f t="shared" ca="1" si="29"/>
        <v>0.53467780114144814</v>
      </c>
      <c r="V84" s="1133">
        <f t="shared" ca="1" si="30"/>
        <v>5.0000000000000044E-2</v>
      </c>
      <c r="X84" s="1134">
        <f t="shared" ca="1" si="37"/>
        <v>332265670.19143808</v>
      </c>
      <c r="Y84" s="1134">
        <f t="shared" ca="1" si="31"/>
        <v>2979258.1441602707</v>
      </c>
      <c r="Z84" s="1134">
        <f t="shared" ca="1" si="32"/>
        <v>329286412.04727781</v>
      </c>
      <c r="AA84" s="1132">
        <f t="shared" ca="1" si="33"/>
        <v>0.57208276548112613</v>
      </c>
      <c r="AB84" s="1105"/>
      <c r="AC84" s="1078"/>
    </row>
    <row r="85" spans="1:29">
      <c r="A85" s="1144">
        <f>Calendar!J77</f>
        <v>47266</v>
      </c>
      <c r="C85" s="1104"/>
      <c r="D85" s="1125">
        <f t="shared" ca="1" si="19"/>
        <v>48304</v>
      </c>
      <c r="E85" s="1126">
        <f t="shared" ca="1" si="20"/>
        <v>48331</v>
      </c>
      <c r="F85" s="1127">
        <f t="shared" ca="1" si="21"/>
        <v>2282</v>
      </c>
      <c r="G85" s="1128">
        <f ca="1">IF(F85&lt;&gt;"",COUNTIF($F$11:F85,"&gt;0"),"")</f>
        <v>75</v>
      </c>
      <c r="H85" s="1129">
        <v>9.022483991741834E-3</v>
      </c>
      <c r="I85" s="1073"/>
      <c r="J85" s="1130">
        <f t="shared" ca="1" si="22"/>
        <v>6585728240.9455481</v>
      </c>
      <c r="K85" s="1131">
        <f t="shared" ca="1" si="23"/>
        <v>59419627.627893314</v>
      </c>
      <c r="L85" s="1130">
        <f t="shared" ca="1" si="24"/>
        <v>0</v>
      </c>
      <c r="M85" s="1130">
        <f t="shared" ca="1" si="25"/>
        <v>0</v>
      </c>
      <c r="N85" s="1130">
        <f t="shared" ca="1" si="34"/>
        <v>6526308613.3176546</v>
      </c>
      <c r="O85" s="1073"/>
      <c r="P85" s="1130">
        <f t="shared" ca="1" si="26"/>
        <v>59419627.627893448</v>
      </c>
      <c r="Q85" s="1130">
        <f t="shared" ca="1" si="27"/>
        <v>6199993182.6517715</v>
      </c>
      <c r="R85" s="1130">
        <f t="shared" ca="1" si="35"/>
        <v>6256441828.8982706</v>
      </c>
      <c r="S85" s="1130">
        <f t="shared" ca="1" si="36"/>
        <v>56448646.246499062</v>
      </c>
      <c r="T85" s="1130">
        <f t="shared" ca="1" si="28"/>
        <v>6199993182.6517715</v>
      </c>
      <c r="U85" s="1132">
        <f t="shared" ca="1" si="29"/>
        <v>0.52988361583595356</v>
      </c>
      <c r="V85" s="1133">
        <f t="shared" ca="1" si="30"/>
        <v>5.0000000000000044E-2</v>
      </c>
      <c r="X85" s="1134">
        <f t="shared" ca="1" si="37"/>
        <v>329286412.04727781</v>
      </c>
      <c r="Y85" s="1134">
        <f t="shared" ca="1" si="31"/>
        <v>2970981.3813943863</v>
      </c>
      <c r="Z85" s="1134">
        <f t="shared" ca="1" si="32"/>
        <v>326315430.66588342</v>
      </c>
      <c r="AA85" s="1132">
        <f t="shared" ca="1" si="33"/>
        <v>0.56695318878663536</v>
      </c>
      <c r="AB85" s="1105"/>
      <c r="AC85" s="1078"/>
    </row>
    <row r="86" spans="1:29">
      <c r="A86" s="1144">
        <f>Calendar!J78</f>
        <v>47296</v>
      </c>
      <c r="C86" s="1104"/>
      <c r="D86" s="1125">
        <f t="shared" ca="1" si="19"/>
        <v>48334</v>
      </c>
      <c r="E86" s="1126">
        <f t="shared" ca="1" si="20"/>
        <v>48361</v>
      </c>
      <c r="F86" s="1127">
        <f t="shared" ca="1" si="21"/>
        <v>2312</v>
      </c>
      <c r="G86" s="1128">
        <f ca="1">IF(F86&lt;&gt;"",COUNTIF($F$11:F86,"&gt;0"),"")</f>
        <v>76</v>
      </c>
      <c r="H86" s="1129">
        <v>9.0906429830009908E-3</v>
      </c>
      <c r="I86" s="1073"/>
      <c r="J86" s="1130">
        <f t="shared" ca="1" si="22"/>
        <v>6526308613.3176546</v>
      </c>
      <c r="K86" s="1131">
        <f t="shared" ca="1" si="23"/>
        <v>59328341.600555062</v>
      </c>
      <c r="L86" s="1130">
        <f t="shared" ca="1" si="24"/>
        <v>0</v>
      </c>
      <c r="M86" s="1130">
        <f t="shared" ca="1" si="25"/>
        <v>0</v>
      </c>
      <c r="N86" s="1130">
        <f t="shared" ca="1" si="34"/>
        <v>6466980271.7170992</v>
      </c>
      <c r="O86" s="1073"/>
      <c r="P86" s="1130">
        <f t="shared" ca="1" si="26"/>
        <v>59328341.60055542</v>
      </c>
      <c r="Q86" s="1130">
        <f t="shared" ca="1" si="27"/>
        <v>6143631258.1312437</v>
      </c>
      <c r="R86" s="1130">
        <f t="shared" ca="1" si="35"/>
        <v>6199993182.6517715</v>
      </c>
      <c r="S86" s="1130">
        <f t="shared" ca="1" si="36"/>
        <v>56361924.52052784</v>
      </c>
      <c r="T86" s="1130">
        <f t="shared" ca="1" si="28"/>
        <v>6143631258.1312437</v>
      </c>
      <c r="U86" s="1132">
        <f t="shared" ca="1" si="29"/>
        <v>0.52510274939458734</v>
      </c>
      <c r="V86" s="1133">
        <f t="shared" ca="1" si="30"/>
        <v>5.0000000000000044E-2</v>
      </c>
      <c r="X86" s="1134">
        <f t="shared" ca="1" si="37"/>
        <v>326315430.66588342</v>
      </c>
      <c r="Y86" s="1134">
        <f t="shared" ca="1" si="31"/>
        <v>2966417.0800275803</v>
      </c>
      <c r="Z86" s="1134">
        <f t="shared" ca="1" si="32"/>
        <v>323349013.58585584</v>
      </c>
      <c r="AA86" s="1132">
        <f t="shared" ca="1" si="33"/>
        <v>0.56183786271674141</v>
      </c>
      <c r="AB86" s="1105"/>
      <c r="AC86" s="1078"/>
    </row>
    <row r="87" spans="1:29">
      <c r="A87" s="1144">
        <f>Calendar!J79</f>
        <v>47326</v>
      </c>
      <c r="C87" s="1104"/>
      <c r="D87" s="1125">
        <f t="shared" ca="1" si="19"/>
        <v>48365</v>
      </c>
      <c r="E87" s="1126">
        <f t="shared" ca="1" si="20"/>
        <v>48393</v>
      </c>
      <c r="F87" s="1127">
        <f t="shared" ca="1" si="21"/>
        <v>2344</v>
      </c>
      <c r="G87" s="1128">
        <f ca="1">IF(F87&lt;&gt;"",COUNTIF($F$11:F87,"&gt;0"),"")</f>
        <v>77</v>
      </c>
      <c r="H87" s="1129">
        <v>9.1467158097798887E-3</v>
      </c>
      <c r="I87" s="1073"/>
      <c r="J87" s="1130">
        <f t="shared" ca="1" si="22"/>
        <v>6466980271.7170992</v>
      </c>
      <c r="K87" s="1131">
        <f t="shared" ca="1" si="23"/>
        <v>59151630.692849435</v>
      </c>
      <c r="L87" s="1130">
        <f t="shared" ca="1" si="24"/>
        <v>0</v>
      </c>
      <c r="M87" s="1130">
        <f t="shared" ca="1" si="25"/>
        <v>0</v>
      </c>
      <c r="N87" s="1130">
        <f t="shared" ca="1" si="34"/>
        <v>6407828641.02425</v>
      </c>
      <c r="O87" s="1073"/>
      <c r="P87" s="1130">
        <f t="shared" ca="1" si="26"/>
        <v>59151630.692849159</v>
      </c>
      <c r="Q87" s="1130">
        <f t="shared" ca="1" si="27"/>
        <v>6087437208.9730377</v>
      </c>
      <c r="R87" s="1130">
        <f t="shared" ca="1" si="35"/>
        <v>6143631258.1312437</v>
      </c>
      <c r="S87" s="1130">
        <f t="shared" ca="1" si="36"/>
        <v>56194049.158205986</v>
      </c>
      <c r="T87" s="1130">
        <f t="shared" ca="1" si="28"/>
        <v>6087437208.9730377</v>
      </c>
      <c r="U87" s="1132">
        <f t="shared" ca="1" si="29"/>
        <v>0.52032922777044888</v>
      </c>
      <c r="V87" s="1133">
        <f t="shared" ca="1" si="30"/>
        <v>4.9999999999999933E-2</v>
      </c>
      <c r="X87" s="1134">
        <f t="shared" ca="1" si="37"/>
        <v>323349013.58585584</v>
      </c>
      <c r="Y87" s="1134">
        <f t="shared" ca="1" si="31"/>
        <v>2957581.5346431732</v>
      </c>
      <c r="Z87" s="1134">
        <f t="shared" ca="1" si="32"/>
        <v>320391432.05121267</v>
      </c>
      <c r="AA87" s="1132">
        <f t="shared" ca="1" si="33"/>
        <v>0.5567303952924515</v>
      </c>
      <c r="AB87" s="1105"/>
      <c r="AC87" s="1078"/>
    </row>
    <row r="88" spans="1:29">
      <c r="A88" s="1144">
        <f>Calendar!J80</f>
        <v>47357</v>
      </c>
      <c r="C88" s="1104"/>
      <c r="D88" s="1125">
        <f t="shared" ca="1" si="19"/>
        <v>48395</v>
      </c>
      <c r="E88" s="1126">
        <f t="shared" ca="1" si="20"/>
        <v>48422</v>
      </c>
      <c r="F88" s="1127">
        <f t="shared" ca="1" si="21"/>
        <v>2373</v>
      </c>
      <c r="G88" s="1128">
        <f ca="1">IF(F88&lt;&gt;"",COUNTIF($F$11:F88,"&gt;0"),"")</f>
        <v>78</v>
      </c>
      <c r="H88" s="1129">
        <v>9.2122950644957374E-3</v>
      </c>
      <c r="I88" s="1073"/>
      <c r="J88" s="1130">
        <f t="shared" ca="1" si="22"/>
        <v>6407828641.02425</v>
      </c>
      <c r="K88" s="1131">
        <f t="shared" ca="1" si="23"/>
        <v>59030808.163842127</v>
      </c>
      <c r="L88" s="1130">
        <f t="shared" ca="1" si="24"/>
        <v>0</v>
      </c>
      <c r="M88" s="1130">
        <f t="shared" ca="1" si="25"/>
        <v>0</v>
      </c>
      <c r="N88" s="1130">
        <f t="shared" ca="1" si="34"/>
        <v>6348797832.8604078</v>
      </c>
      <c r="O88" s="1073"/>
      <c r="P88" s="1130">
        <f t="shared" ca="1" si="26"/>
        <v>59030808.163842201</v>
      </c>
      <c r="Q88" s="1130">
        <f t="shared" ca="1" si="27"/>
        <v>6031357941.2173872</v>
      </c>
      <c r="R88" s="1130">
        <f t="shared" ca="1" si="35"/>
        <v>6087437208.9730377</v>
      </c>
      <c r="S88" s="1130">
        <f t="shared" ca="1" si="36"/>
        <v>56079267.75565052</v>
      </c>
      <c r="T88" s="1130">
        <f t="shared" ca="1" si="28"/>
        <v>6031357941.2173872</v>
      </c>
      <c r="U88" s="1132">
        <f t="shared" ca="1" si="29"/>
        <v>0.51556992419651038</v>
      </c>
      <c r="V88" s="1133">
        <f t="shared" ca="1" si="30"/>
        <v>5.0000000000000044E-2</v>
      </c>
      <c r="X88" s="1134">
        <f t="shared" ca="1" si="37"/>
        <v>320391432.05121267</v>
      </c>
      <c r="Y88" s="1134">
        <f t="shared" ca="1" si="31"/>
        <v>2951540.4081916809</v>
      </c>
      <c r="Z88" s="1134">
        <f t="shared" ca="1" si="32"/>
        <v>317439891.64302099</v>
      </c>
      <c r="AA88" s="1132">
        <f t="shared" ca="1" si="33"/>
        <v>0.55163814058404381</v>
      </c>
      <c r="AB88" s="1105"/>
    </row>
    <row r="89" spans="1:29">
      <c r="A89" s="1144">
        <f>Calendar!J81</f>
        <v>47388</v>
      </c>
      <c r="C89" s="1104"/>
      <c r="D89" s="1125">
        <f t="shared" ca="1" si="19"/>
        <v>48426</v>
      </c>
      <c r="E89" s="1126">
        <f t="shared" ca="1" si="20"/>
        <v>48453</v>
      </c>
      <c r="F89" s="1127">
        <f t="shared" ca="1" si="21"/>
        <v>2404</v>
      </c>
      <c r="G89" s="1128">
        <f ca="1">IF(F89&lt;&gt;"",COUNTIF($F$11:F89,"&gt;0"),"")</f>
        <v>79</v>
      </c>
      <c r="H89" s="1129">
        <v>9.2730509460333659E-3</v>
      </c>
      <c r="I89" s="1073"/>
      <c r="J89" s="1130">
        <f t="shared" ca="1" si="22"/>
        <v>6348797832.8604078</v>
      </c>
      <c r="K89" s="1131">
        <f t="shared" ca="1" si="23"/>
        <v>58872725.750180788</v>
      </c>
      <c r="L89" s="1130">
        <f t="shared" ca="1" si="24"/>
        <v>0</v>
      </c>
      <c r="M89" s="1130">
        <f t="shared" ca="1" si="25"/>
        <v>0</v>
      </c>
      <c r="N89" s="1130">
        <f t="shared" ca="1" si="34"/>
        <v>6289925107.1102266</v>
      </c>
      <c r="O89" s="1073"/>
      <c r="P89" s="1130">
        <f t="shared" ca="1" si="26"/>
        <v>58872725.750181198</v>
      </c>
      <c r="Q89" s="1130">
        <f t="shared" ca="1" si="27"/>
        <v>5975428851.754715</v>
      </c>
      <c r="R89" s="1130">
        <f t="shared" ca="1" si="35"/>
        <v>6031357941.2173872</v>
      </c>
      <c r="S89" s="1130">
        <f t="shared" ca="1" si="36"/>
        <v>55929089.462672234</v>
      </c>
      <c r="T89" s="1130">
        <f t="shared" ca="1" si="28"/>
        <v>5975428851.754715</v>
      </c>
      <c r="U89" s="1132">
        <f t="shared" ca="1" si="29"/>
        <v>0.5108203419284324</v>
      </c>
      <c r="V89" s="1133">
        <f t="shared" ca="1" si="30"/>
        <v>5.0000000000000044E-2</v>
      </c>
      <c r="X89" s="1134">
        <f t="shared" ca="1" si="37"/>
        <v>317439891.64302099</v>
      </c>
      <c r="Y89" s="1134">
        <f t="shared" ca="1" si="31"/>
        <v>2943636.2875089645</v>
      </c>
      <c r="Z89" s="1134">
        <f t="shared" ca="1" si="32"/>
        <v>314496255.35551202</v>
      </c>
      <c r="AA89" s="1132">
        <f t="shared" ca="1" si="33"/>
        <v>0.54655628726415462</v>
      </c>
      <c r="AB89" s="1105"/>
    </row>
    <row r="90" spans="1:29">
      <c r="A90" s="1144">
        <f>Calendar!J82</f>
        <v>47420</v>
      </c>
      <c r="C90" s="1104"/>
      <c r="D90" s="1125">
        <f t="shared" ca="1" si="19"/>
        <v>48457</v>
      </c>
      <c r="E90" s="1126">
        <f t="shared" ca="1" si="20"/>
        <v>48484</v>
      </c>
      <c r="F90" s="1127">
        <f t="shared" ca="1" si="21"/>
        <v>2435</v>
      </c>
      <c r="G90" s="1128">
        <f ca="1">IF(F90&lt;&gt;"",COUNTIF($F$11:F90,"&gt;0"),"")</f>
        <v>80</v>
      </c>
      <c r="H90" s="1129">
        <v>9.3325615661931996E-3</v>
      </c>
      <c r="I90" s="1073"/>
      <c r="J90" s="1130">
        <f t="shared" ca="1" si="22"/>
        <v>6289925107.1102266</v>
      </c>
      <c r="K90" s="1131">
        <f t="shared" ca="1" si="23"/>
        <v>58701113.308850542</v>
      </c>
      <c r="L90" s="1130">
        <f t="shared" ca="1" si="24"/>
        <v>0</v>
      </c>
      <c r="M90" s="1130">
        <f t="shared" ca="1" si="25"/>
        <v>0</v>
      </c>
      <c r="N90" s="1130">
        <f t="shared" ca="1" si="34"/>
        <v>6231223993.8013763</v>
      </c>
      <c r="O90" s="1073"/>
      <c r="P90" s="1130">
        <f t="shared" ca="1" si="26"/>
        <v>58701113.308850288</v>
      </c>
      <c r="Q90" s="1130">
        <f t="shared" ca="1" si="27"/>
        <v>5919662794.1113071</v>
      </c>
      <c r="R90" s="1130">
        <f t="shared" ca="1" si="35"/>
        <v>5975428851.754715</v>
      </c>
      <c r="S90" s="1130">
        <f t="shared" ca="1" si="36"/>
        <v>55766057.643407822</v>
      </c>
      <c r="T90" s="1130">
        <f t="shared" ca="1" si="28"/>
        <v>5919662794.1113071</v>
      </c>
      <c r="U90" s="1132">
        <f t="shared" ca="1" si="29"/>
        <v>0.50608347887345984</v>
      </c>
      <c r="V90" s="1133">
        <f t="shared" ca="1" si="30"/>
        <v>5.0000000000000044E-2</v>
      </c>
      <c r="X90" s="1134">
        <f t="shared" ca="1" si="37"/>
        <v>314496255.35551202</v>
      </c>
      <c r="Y90" s="1134">
        <f t="shared" ca="1" si="31"/>
        <v>2935055.6654424667</v>
      </c>
      <c r="Z90" s="1134">
        <f t="shared" ca="1" si="32"/>
        <v>311561199.69006956</v>
      </c>
      <c r="AA90" s="1132">
        <f t="shared" ca="1" si="33"/>
        <v>0.54148804296747943</v>
      </c>
      <c r="AB90" s="1105"/>
    </row>
    <row r="91" spans="1:29">
      <c r="A91" s="1144">
        <f>Calendar!J83</f>
        <v>47449</v>
      </c>
      <c r="C91" s="1104"/>
      <c r="D91" s="1125">
        <f t="shared" ca="1" si="19"/>
        <v>48487</v>
      </c>
      <c r="E91" s="1126">
        <f t="shared" ca="1" si="20"/>
        <v>48514</v>
      </c>
      <c r="F91" s="1127">
        <f t="shared" ca="1" si="21"/>
        <v>2465</v>
      </c>
      <c r="G91" s="1128">
        <f ca="1">IF(F91&lt;&gt;"",COUNTIF($F$11:F91,"&gt;0"),"")</f>
        <v>81</v>
      </c>
      <c r="H91" s="1129">
        <v>9.3924952872224948E-3</v>
      </c>
      <c r="I91" s="1073"/>
      <c r="J91" s="1130">
        <f t="shared" ca="1" si="22"/>
        <v>6231223993.8013763</v>
      </c>
      <c r="K91" s="1131">
        <f t="shared" ca="1" si="23"/>
        <v>58526741.995407157</v>
      </c>
      <c r="L91" s="1130">
        <f t="shared" ca="1" si="24"/>
        <v>0</v>
      </c>
      <c r="M91" s="1130">
        <f t="shared" ca="1" si="25"/>
        <v>0</v>
      </c>
      <c r="N91" s="1130">
        <f t="shared" ca="1" si="34"/>
        <v>6172697251.8059692</v>
      </c>
      <c r="O91" s="1073"/>
      <c r="P91" s="1130">
        <f t="shared" ca="1" si="26"/>
        <v>58526741.995407104</v>
      </c>
      <c r="Q91" s="1130">
        <f t="shared" ca="1" si="27"/>
        <v>5864062389.2156706</v>
      </c>
      <c r="R91" s="1130">
        <f t="shared" ca="1" si="35"/>
        <v>5919662794.1113071</v>
      </c>
      <c r="S91" s="1130">
        <f t="shared" ca="1" si="36"/>
        <v>55600404.895636559</v>
      </c>
      <c r="T91" s="1130">
        <f t="shared" ca="1" si="28"/>
        <v>5864062389.2156706</v>
      </c>
      <c r="U91" s="1132">
        <f t="shared" ca="1" si="29"/>
        <v>0.50136042364924005</v>
      </c>
      <c r="V91" s="1133">
        <f t="shared" ca="1" si="30"/>
        <v>5.0000000000000044E-2</v>
      </c>
      <c r="X91" s="1134">
        <f t="shared" ca="1" si="37"/>
        <v>311561199.69006956</v>
      </c>
      <c r="Y91" s="1134">
        <f t="shared" ca="1" si="31"/>
        <v>2926337.099770546</v>
      </c>
      <c r="Z91" s="1134">
        <f t="shared" ca="1" si="32"/>
        <v>308634862.59029901</v>
      </c>
      <c r="AA91" s="1132">
        <f t="shared" ca="1" si="33"/>
        <v>0.53643457246912807</v>
      </c>
      <c r="AB91" s="1105"/>
    </row>
    <row r="92" spans="1:29">
      <c r="A92" s="1144">
        <f>Calendar!J84</f>
        <v>47479</v>
      </c>
      <c r="C92" s="1104"/>
      <c r="D92" s="1125">
        <f t="shared" ca="1" si="19"/>
        <v>48518</v>
      </c>
      <c r="E92" s="1126">
        <f t="shared" ca="1" si="20"/>
        <v>48547</v>
      </c>
      <c r="F92" s="1127">
        <f t="shared" ca="1" si="21"/>
        <v>2498</v>
      </c>
      <c r="G92" s="1128">
        <f ca="1">IF(F92&lt;&gt;"",COUNTIF($F$11:F92,"&gt;0"),"")</f>
        <v>82</v>
      </c>
      <c r="H92" s="1129">
        <v>9.4410513236365939E-3</v>
      </c>
      <c r="I92" s="1073"/>
      <c r="J92" s="1130">
        <f t="shared" ca="1" si="22"/>
        <v>6172697251.8059692</v>
      </c>
      <c r="K92" s="1131">
        <f t="shared" ca="1" si="23"/>
        <v>58276751.559570715</v>
      </c>
      <c r="L92" s="1130">
        <f t="shared" ca="1" si="24"/>
        <v>0</v>
      </c>
      <c r="M92" s="1130">
        <f t="shared" ca="1" si="25"/>
        <v>0</v>
      </c>
      <c r="N92" s="1130">
        <f t="shared" ca="1" si="34"/>
        <v>6114420500.2463989</v>
      </c>
      <c r="O92" s="1073"/>
      <c r="P92" s="1130">
        <f t="shared" ca="1" si="26"/>
        <v>58276751.559570313</v>
      </c>
      <c r="Q92" s="1130">
        <f t="shared" ca="1" si="27"/>
        <v>5808699475.2340784</v>
      </c>
      <c r="R92" s="1130">
        <f t="shared" ca="1" si="35"/>
        <v>5864062389.2156706</v>
      </c>
      <c r="S92" s="1130">
        <f t="shared" ca="1" si="36"/>
        <v>55362913.981592178</v>
      </c>
      <c r="T92" s="1130">
        <f t="shared" ca="1" si="28"/>
        <v>5808699475.2340784</v>
      </c>
      <c r="U92" s="1132">
        <f t="shared" ca="1" si="29"/>
        <v>0.49665139823291471</v>
      </c>
      <c r="V92" s="1133">
        <f t="shared" ca="1" si="30"/>
        <v>5.0000000000000044E-2</v>
      </c>
      <c r="X92" s="1134">
        <f t="shared" ca="1" si="37"/>
        <v>308634862.59029901</v>
      </c>
      <c r="Y92" s="1134">
        <f t="shared" ca="1" si="31"/>
        <v>2913837.5779781342</v>
      </c>
      <c r="Z92" s="1134">
        <f t="shared" ca="1" si="32"/>
        <v>305721025.01232088</v>
      </c>
      <c r="AA92" s="1132">
        <f t="shared" ca="1" si="33"/>
        <v>0.53139611327530822</v>
      </c>
      <c r="AB92" s="1105"/>
    </row>
    <row r="93" spans="1:29">
      <c r="A93" s="1144">
        <f>Calendar!J85</f>
        <v>47511</v>
      </c>
      <c r="C93" s="1104"/>
      <c r="D93" s="1125">
        <f t="shared" ca="1" si="19"/>
        <v>48548</v>
      </c>
      <c r="E93" s="1126">
        <f t="shared" ca="1" si="20"/>
        <v>48575</v>
      </c>
      <c r="F93" s="1127">
        <f t="shared" ca="1" si="21"/>
        <v>2526</v>
      </c>
      <c r="G93" s="1128">
        <f ca="1">IF(F93&lt;&gt;"",COUNTIF($F$11:F93,"&gt;0"),"")</f>
        <v>83</v>
      </c>
      <c r="H93" s="1129">
        <v>9.4894260607976642E-3</v>
      </c>
      <c r="I93" s="1073"/>
      <c r="J93" s="1130">
        <f t="shared" ca="1" si="22"/>
        <v>6114420500.2463989</v>
      </c>
      <c r="K93" s="1131">
        <f t="shared" ca="1" si="23"/>
        <v>58022341.241713665</v>
      </c>
      <c r="L93" s="1130">
        <f t="shared" ca="1" si="24"/>
        <v>0</v>
      </c>
      <c r="M93" s="1130">
        <f t="shared" ca="1" si="25"/>
        <v>0</v>
      </c>
      <c r="N93" s="1130">
        <f t="shared" ca="1" si="34"/>
        <v>6056398159.0046854</v>
      </c>
      <c r="O93" s="1073"/>
      <c r="P93" s="1130">
        <f t="shared" ca="1" si="26"/>
        <v>58022341.241713524</v>
      </c>
      <c r="Q93" s="1130">
        <f t="shared" ca="1" si="27"/>
        <v>5753578251.054451</v>
      </c>
      <c r="R93" s="1130">
        <f t="shared" ca="1" si="35"/>
        <v>5808699475.2340784</v>
      </c>
      <c r="S93" s="1130">
        <f t="shared" ca="1" si="36"/>
        <v>55121224.179627419</v>
      </c>
      <c r="T93" s="1130">
        <f t="shared" ca="1" si="28"/>
        <v>5753578251.054451</v>
      </c>
      <c r="U93" s="1132">
        <f t="shared" ca="1" si="29"/>
        <v>0.49196248689224187</v>
      </c>
      <c r="V93" s="1133">
        <f t="shared" ca="1" si="30"/>
        <v>5.0000000000000044E-2</v>
      </c>
      <c r="X93" s="1134">
        <f t="shared" ca="1" si="37"/>
        <v>305721025.01232088</v>
      </c>
      <c r="Y93" s="1134">
        <f t="shared" ca="1" si="31"/>
        <v>2901117.0620861053</v>
      </c>
      <c r="Z93" s="1134">
        <f t="shared" ca="1" si="32"/>
        <v>302819907.95023477</v>
      </c>
      <c r="AA93" s="1132">
        <f t="shared" ca="1" si="33"/>
        <v>0.52637917529669576</v>
      </c>
      <c r="AB93" s="1105"/>
    </row>
    <row r="94" spans="1:29">
      <c r="A94" s="1144">
        <f>Calendar!J86</f>
        <v>47541</v>
      </c>
      <c r="C94" s="1104"/>
      <c r="D94" s="1125">
        <f t="shared" ca="1" si="19"/>
        <v>48579</v>
      </c>
      <c r="E94" s="1126">
        <f t="shared" ca="1" si="20"/>
        <v>48606</v>
      </c>
      <c r="F94" s="1127">
        <f t="shared" ca="1" si="21"/>
        <v>2557</v>
      </c>
      <c r="G94" s="1128">
        <f ca="1">IF(F94&lt;&gt;"",COUNTIF($F$11:F94,"&gt;0"),"")</f>
        <v>84</v>
      </c>
      <c r="H94" s="1129">
        <v>9.5446780838907511E-3</v>
      </c>
      <c r="I94" s="1073"/>
      <c r="J94" s="1130">
        <f t="shared" ca="1" si="22"/>
        <v>6056398159.0046854</v>
      </c>
      <c r="K94" s="1131">
        <f t="shared" ca="1" si="23"/>
        <v>57806370.775568314</v>
      </c>
      <c r="L94" s="1130">
        <f t="shared" ca="1" si="24"/>
        <v>0</v>
      </c>
      <c r="M94" s="1130">
        <f t="shared" ca="1" si="25"/>
        <v>0</v>
      </c>
      <c r="N94" s="1130">
        <f t="shared" ca="1" si="34"/>
        <v>5998591788.2291174</v>
      </c>
      <c r="O94" s="1073"/>
      <c r="P94" s="1130">
        <f t="shared" ca="1" si="26"/>
        <v>57806370.775568008</v>
      </c>
      <c r="Q94" s="1130">
        <f t="shared" ca="1" si="27"/>
        <v>5698662198.8176613</v>
      </c>
      <c r="R94" s="1130">
        <f t="shared" ca="1" si="35"/>
        <v>5753578251.054451</v>
      </c>
      <c r="S94" s="1130">
        <f t="shared" ca="1" si="36"/>
        <v>54916052.236789703</v>
      </c>
      <c r="T94" s="1130">
        <f t="shared" ca="1" si="28"/>
        <v>5698662198.8176613</v>
      </c>
      <c r="U94" s="1132">
        <f t="shared" ca="1" si="29"/>
        <v>0.48729404524819186</v>
      </c>
      <c r="V94" s="1133">
        <f t="shared" ca="1" si="30"/>
        <v>5.0000000000000044E-2</v>
      </c>
      <c r="X94" s="1134">
        <f t="shared" ca="1" si="37"/>
        <v>302819907.95023477</v>
      </c>
      <c r="Y94" s="1134">
        <f t="shared" ca="1" si="31"/>
        <v>2890318.5387783051</v>
      </c>
      <c r="Z94" s="1134">
        <f t="shared" ca="1" si="32"/>
        <v>299929589.41145647</v>
      </c>
      <c r="AA94" s="1132">
        <f t="shared" ca="1" si="33"/>
        <v>0.52138413903277336</v>
      </c>
      <c r="AB94" s="1105"/>
    </row>
    <row r="95" spans="1:29">
      <c r="A95" s="1144">
        <f>Calendar!J87</f>
        <v>47569</v>
      </c>
      <c r="C95" s="1104"/>
      <c r="D95" s="1125">
        <f t="shared" ca="1" si="19"/>
        <v>48610</v>
      </c>
      <c r="E95" s="1126">
        <f t="shared" ca="1" si="20"/>
        <v>48638</v>
      </c>
      <c r="F95" s="1127">
        <f t="shared" ca="1" si="21"/>
        <v>2589</v>
      </c>
      <c r="G95" s="1128">
        <f ca="1">IF(F95&lt;&gt;"",COUNTIF($F$11:F95,"&gt;0"),"")</f>
        <v>85</v>
      </c>
      <c r="H95" s="1129">
        <v>9.5921706937073109E-3</v>
      </c>
      <c r="I95" s="1073"/>
      <c r="J95" s="1130">
        <f t="shared" ca="1" si="22"/>
        <v>5998591788.2291174</v>
      </c>
      <c r="K95" s="1131">
        <f t="shared" ca="1" si="23"/>
        <v>57539516.354564674</v>
      </c>
      <c r="L95" s="1130">
        <f t="shared" ca="1" si="24"/>
        <v>0</v>
      </c>
      <c r="M95" s="1130">
        <f t="shared" ca="1" si="25"/>
        <v>0</v>
      </c>
      <c r="N95" s="1130">
        <f t="shared" ca="1" si="34"/>
        <v>5941052271.8745527</v>
      </c>
      <c r="O95" s="1073"/>
      <c r="P95" s="1130">
        <f t="shared" ca="1" si="26"/>
        <v>57539516.354564667</v>
      </c>
      <c r="Q95" s="1130">
        <f t="shared" ca="1" si="27"/>
        <v>5643999658.2808247</v>
      </c>
      <c r="R95" s="1130">
        <f t="shared" ca="1" si="35"/>
        <v>5698662198.8176613</v>
      </c>
      <c r="S95" s="1130">
        <f t="shared" ca="1" si="36"/>
        <v>54662540.536836624</v>
      </c>
      <c r="T95" s="1130">
        <f t="shared" ca="1" si="28"/>
        <v>5643999658.2808247</v>
      </c>
      <c r="U95" s="1132">
        <f t="shared" ca="1" si="29"/>
        <v>0.48264298045410098</v>
      </c>
      <c r="V95" s="1133">
        <f t="shared" ca="1" si="30"/>
        <v>5.0000000000000044E-2</v>
      </c>
      <c r="X95" s="1134">
        <f t="shared" ca="1" si="37"/>
        <v>299929589.41145647</v>
      </c>
      <c r="Y95" s="1134">
        <f t="shared" ca="1" si="31"/>
        <v>2876975.8177280426</v>
      </c>
      <c r="Z95" s="1134">
        <f t="shared" ca="1" si="32"/>
        <v>297052613.59372842</v>
      </c>
      <c r="AA95" s="1132">
        <f t="shared" ca="1" si="33"/>
        <v>0.51640769526765917</v>
      </c>
      <c r="AB95" s="1105"/>
    </row>
    <row r="96" spans="1:29">
      <c r="A96" s="1144">
        <f>Calendar!J88</f>
        <v>47602</v>
      </c>
      <c r="C96" s="1104"/>
      <c r="D96" s="1125">
        <f t="shared" ca="1" si="19"/>
        <v>48638</v>
      </c>
      <c r="E96" s="1126">
        <f t="shared" ca="1" si="20"/>
        <v>48666</v>
      </c>
      <c r="F96" s="1127">
        <f t="shared" ca="1" si="21"/>
        <v>2617</v>
      </c>
      <c r="G96" s="1128">
        <f ca="1">IF(F96&lt;&gt;"",COUNTIF($F$11:F96,"&gt;0"),"")</f>
        <v>86</v>
      </c>
      <c r="H96" s="1129">
        <v>9.661662876957966E-3</v>
      </c>
      <c r="I96" s="1073"/>
      <c r="J96" s="1130">
        <f t="shared" ca="1" si="22"/>
        <v>5941052271.8745527</v>
      </c>
      <c r="K96" s="1131">
        <f t="shared" ca="1" si="23"/>
        <v>57400444.185237154</v>
      </c>
      <c r="L96" s="1130">
        <f t="shared" ca="1" si="24"/>
        <v>0</v>
      </c>
      <c r="M96" s="1130">
        <f t="shared" ca="1" si="25"/>
        <v>0</v>
      </c>
      <c r="N96" s="1130">
        <f t="shared" ca="1" si="34"/>
        <v>5883651827.6893158</v>
      </c>
      <c r="O96" s="1073"/>
      <c r="P96" s="1130">
        <f t="shared" ca="1" si="26"/>
        <v>57400444.185236931</v>
      </c>
      <c r="Q96" s="1130">
        <f t="shared" ca="1" si="27"/>
        <v>5589469236.3048496</v>
      </c>
      <c r="R96" s="1130">
        <f t="shared" ca="1" si="35"/>
        <v>5643999658.2808247</v>
      </c>
      <c r="S96" s="1130">
        <f t="shared" ca="1" si="36"/>
        <v>54530421.975975037</v>
      </c>
      <c r="T96" s="1130">
        <f t="shared" ca="1" si="28"/>
        <v>5589469236.3048496</v>
      </c>
      <c r="U96" s="1132">
        <f t="shared" ca="1" si="29"/>
        <v>0.47801338660146558</v>
      </c>
      <c r="V96" s="1133">
        <f t="shared" ca="1" si="30"/>
        <v>5.0000000000000044E-2</v>
      </c>
      <c r="X96" s="1134">
        <f t="shared" ca="1" si="37"/>
        <v>297052613.59372842</v>
      </c>
      <c r="Y96" s="1134">
        <f t="shared" ca="1" si="31"/>
        <v>2870022.2092618942</v>
      </c>
      <c r="Z96" s="1134">
        <f t="shared" ca="1" si="32"/>
        <v>294182591.38446653</v>
      </c>
      <c r="AA96" s="1132">
        <f t="shared" ca="1" si="33"/>
        <v>0.5114542245071082</v>
      </c>
      <c r="AB96" s="1105"/>
    </row>
    <row r="97" spans="1:28">
      <c r="A97" s="1144">
        <f>Calendar!J89</f>
        <v>47630</v>
      </c>
      <c r="C97" s="1104"/>
      <c r="D97" s="1125">
        <f t="shared" ca="1" si="19"/>
        <v>48669</v>
      </c>
      <c r="E97" s="1126">
        <f t="shared" ca="1" si="20"/>
        <v>48696</v>
      </c>
      <c r="F97" s="1127">
        <f t="shared" ca="1" si="21"/>
        <v>2647</v>
      </c>
      <c r="G97" s="1128">
        <f ca="1">IF(F97&lt;&gt;"",COUNTIF($F$11:F97,"&gt;0"),"")</f>
        <v>87</v>
      </c>
      <c r="H97" s="1129">
        <v>9.7202625010779555E-3</v>
      </c>
      <c r="I97" s="1073"/>
      <c r="J97" s="1130">
        <f t="shared" ca="1" si="22"/>
        <v>5883651827.6893158</v>
      </c>
      <c r="K97" s="1131">
        <f t="shared" ca="1" si="23"/>
        <v>57190640.230087236</v>
      </c>
      <c r="L97" s="1130">
        <f t="shared" ca="1" si="24"/>
        <v>0</v>
      </c>
      <c r="M97" s="1130">
        <f t="shared" ca="1" si="25"/>
        <v>0</v>
      </c>
      <c r="N97" s="1130">
        <f t="shared" ca="1" si="34"/>
        <v>5826461187.4592285</v>
      </c>
      <c r="O97" s="1073"/>
      <c r="P97" s="1130">
        <f t="shared" ca="1" si="26"/>
        <v>57190640.23008728</v>
      </c>
      <c r="Q97" s="1130">
        <f t="shared" ca="1" si="27"/>
        <v>5535138128.0862665</v>
      </c>
      <c r="R97" s="1130">
        <f t="shared" ca="1" si="35"/>
        <v>5589469236.3048496</v>
      </c>
      <c r="S97" s="1130">
        <f t="shared" ca="1" si="36"/>
        <v>54331108.218583107</v>
      </c>
      <c r="T97" s="1130">
        <f t="shared" ca="1" si="28"/>
        <v>5535138128.0862665</v>
      </c>
      <c r="U97" s="1132">
        <f t="shared" ca="1" si="29"/>
        <v>0.47339498240944927</v>
      </c>
      <c r="V97" s="1133">
        <f t="shared" ca="1" si="30"/>
        <v>5.0000000000000044E-2</v>
      </c>
      <c r="X97" s="1134">
        <f t="shared" ca="1" si="37"/>
        <v>294182591.38446653</v>
      </c>
      <c r="Y97" s="1134">
        <f t="shared" ca="1" si="31"/>
        <v>2859532.0115041733</v>
      </c>
      <c r="Z97" s="1134">
        <f t="shared" ca="1" si="32"/>
        <v>291323059.37296236</v>
      </c>
      <c r="AA97" s="1132">
        <f t="shared" ca="1" si="33"/>
        <v>0.50651272621292442</v>
      </c>
      <c r="AB97" s="1105"/>
    </row>
    <row r="98" spans="1:28">
      <c r="A98" s="1144">
        <f>Calendar!J90</f>
        <v>47661</v>
      </c>
      <c r="C98" s="1104"/>
      <c r="D98" s="1125">
        <f t="shared" ca="1" si="19"/>
        <v>48699</v>
      </c>
      <c r="E98" s="1126">
        <f t="shared" ca="1" si="20"/>
        <v>48726</v>
      </c>
      <c r="F98" s="1127">
        <f t="shared" ca="1" si="21"/>
        <v>2677</v>
      </c>
      <c r="G98" s="1128">
        <f ca="1">IF(F98&lt;&gt;"",COUNTIF($F$11:F98,"&gt;0"),"")</f>
        <v>88</v>
      </c>
      <c r="H98" s="1129">
        <v>9.7800217095957136E-3</v>
      </c>
      <c r="I98" s="1073"/>
      <c r="J98" s="1130">
        <f t="shared" ca="1" si="22"/>
        <v>5826461187.4592285</v>
      </c>
      <c r="K98" s="1131">
        <f t="shared" ca="1" si="23"/>
        <v>56982916.903468072</v>
      </c>
      <c r="L98" s="1130">
        <f t="shared" ca="1" si="24"/>
        <v>0</v>
      </c>
      <c r="M98" s="1130">
        <f t="shared" ca="1" si="25"/>
        <v>0</v>
      </c>
      <c r="N98" s="1130">
        <f t="shared" ca="1" si="34"/>
        <v>5769478270.5557604</v>
      </c>
      <c r="O98" s="1073"/>
      <c r="P98" s="1130">
        <f t="shared" ca="1" si="26"/>
        <v>56982916.903468132</v>
      </c>
      <c r="Q98" s="1130">
        <f t="shared" ca="1" si="27"/>
        <v>5481004357.0279722</v>
      </c>
      <c r="R98" s="1130">
        <f t="shared" ca="1" si="35"/>
        <v>5535138128.0862665</v>
      </c>
      <c r="S98" s="1130">
        <f t="shared" ca="1" si="36"/>
        <v>54133771.058294296</v>
      </c>
      <c r="T98" s="1130">
        <f t="shared" ca="1" si="28"/>
        <v>5481004357.0279722</v>
      </c>
      <c r="U98" s="1132">
        <f t="shared" ca="1" si="29"/>
        <v>0.46879345891373625</v>
      </c>
      <c r="V98" s="1133">
        <f t="shared" ca="1" si="30"/>
        <v>5.0000000000000044E-2</v>
      </c>
      <c r="X98" s="1134">
        <f t="shared" ca="1" si="37"/>
        <v>291323059.37296236</v>
      </c>
      <c r="Y98" s="1134">
        <f t="shared" ca="1" si="31"/>
        <v>2849145.8451738358</v>
      </c>
      <c r="Z98" s="1134">
        <f t="shared" ca="1" si="32"/>
        <v>288473913.52778852</v>
      </c>
      <c r="AA98" s="1132">
        <f t="shared" ca="1" si="33"/>
        <v>0.50158928955399851</v>
      </c>
      <c r="AB98" s="1105"/>
    </row>
    <row r="99" spans="1:28">
      <c r="A99" s="1144">
        <f>Calendar!J91</f>
        <v>47693</v>
      </c>
      <c r="C99" s="1104"/>
      <c r="D99" s="1125">
        <f t="shared" ca="1" si="19"/>
        <v>48730</v>
      </c>
      <c r="E99" s="1126">
        <f t="shared" ca="1" si="20"/>
        <v>48757</v>
      </c>
      <c r="F99" s="1127">
        <f t="shared" ca="1" si="21"/>
        <v>2708</v>
      </c>
      <c r="G99" s="1128">
        <f ca="1">IF(F99&lt;&gt;"",COUNTIF($F$11:F99,"&gt;0"),"")</f>
        <v>89</v>
      </c>
      <c r="H99" s="1129">
        <v>9.8395058437742034E-3</v>
      </c>
      <c r="I99" s="1073"/>
      <c r="J99" s="1130">
        <f t="shared" ca="1" si="22"/>
        <v>5769478270.5557604</v>
      </c>
      <c r="K99" s="1131">
        <f t="shared" ca="1" si="23"/>
        <v>56768815.158661686</v>
      </c>
      <c r="L99" s="1130">
        <f t="shared" ca="1" si="24"/>
        <v>0</v>
      </c>
      <c r="M99" s="1130">
        <f t="shared" ca="1" si="25"/>
        <v>0</v>
      </c>
      <c r="N99" s="1130">
        <f t="shared" ca="1" si="34"/>
        <v>5712709455.3970985</v>
      </c>
      <c r="O99" s="1073"/>
      <c r="P99" s="1130">
        <f t="shared" ca="1" si="26"/>
        <v>56768815.158661842</v>
      </c>
      <c r="Q99" s="1130">
        <f t="shared" ca="1" si="27"/>
        <v>5427073982.627243</v>
      </c>
      <c r="R99" s="1130">
        <f t="shared" ca="1" si="35"/>
        <v>5481004357.0279722</v>
      </c>
      <c r="S99" s="1130">
        <f t="shared" ca="1" si="36"/>
        <v>53930374.400729179</v>
      </c>
      <c r="T99" s="1130">
        <f t="shared" ca="1" si="28"/>
        <v>5427073982.627243</v>
      </c>
      <c r="U99" s="1132">
        <f t="shared" ca="1" si="29"/>
        <v>0.46420864870824347</v>
      </c>
      <c r="V99" s="1133">
        <f t="shared" ca="1" si="30"/>
        <v>5.0000000000000155E-2</v>
      </c>
      <c r="X99" s="1134">
        <f t="shared" ca="1" si="37"/>
        <v>288473913.52778852</v>
      </c>
      <c r="Y99" s="1134">
        <f t="shared" ca="1" si="31"/>
        <v>2838440.757932663</v>
      </c>
      <c r="Z99" s="1134">
        <f t="shared" ca="1" si="32"/>
        <v>285635472.76985586</v>
      </c>
      <c r="AA99" s="1132">
        <f t="shared" ca="1" si="33"/>
        <v>0.49668373541285904</v>
      </c>
      <c r="AB99" s="1105"/>
    </row>
    <row r="100" spans="1:28">
      <c r="A100" s="1144">
        <f>Calendar!J92</f>
        <v>47722</v>
      </c>
      <c r="C100" s="1104"/>
      <c r="D100" s="1125">
        <f t="shared" ca="1" si="19"/>
        <v>48760</v>
      </c>
      <c r="E100" s="1126">
        <f t="shared" ca="1" si="20"/>
        <v>48787</v>
      </c>
      <c r="F100" s="1127">
        <f t="shared" ca="1" si="21"/>
        <v>2738</v>
      </c>
      <c r="G100" s="1128">
        <f ca="1">IF(F100&lt;&gt;"",COUNTIF($F$11:F100,"&gt;0"),"")</f>
        <v>90</v>
      </c>
      <c r="H100" s="1129">
        <v>9.8993835338828818E-3</v>
      </c>
      <c r="I100" s="1073"/>
      <c r="J100" s="1130">
        <f t="shared" ca="1" si="22"/>
        <v>5712709455.3970985</v>
      </c>
      <c r="K100" s="1131">
        <f t="shared" ca="1" si="23"/>
        <v>56552301.916615084</v>
      </c>
      <c r="L100" s="1130">
        <f t="shared" ca="1" si="24"/>
        <v>0</v>
      </c>
      <c r="M100" s="1130">
        <f t="shared" ca="1" si="25"/>
        <v>0</v>
      </c>
      <c r="N100" s="1130">
        <f t="shared" ca="1" si="34"/>
        <v>5656157153.4804831</v>
      </c>
      <c r="O100" s="1073"/>
      <c r="P100" s="1130">
        <f t="shared" ca="1" si="26"/>
        <v>56552301.916615486</v>
      </c>
      <c r="Q100" s="1130">
        <f t="shared" ca="1" si="27"/>
        <v>5373349295.8064585</v>
      </c>
      <c r="R100" s="1130">
        <f t="shared" ca="1" si="35"/>
        <v>5427073982.627243</v>
      </c>
      <c r="S100" s="1130">
        <f t="shared" ca="1" si="36"/>
        <v>53724686.820784569</v>
      </c>
      <c r="T100" s="1130">
        <f t="shared" ca="1" si="28"/>
        <v>5373349295.8064585</v>
      </c>
      <c r="U100" s="1132">
        <f t="shared" ca="1" si="29"/>
        <v>0.45964106499654811</v>
      </c>
      <c r="V100" s="1133">
        <f t="shared" ca="1" si="30"/>
        <v>5.0000000000000044E-2</v>
      </c>
      <c r="X100" s="1134">
        <f t="shared" ca="1" si="37"/>
        <v>285635472.76985586</v>
      </c>
      <c r="Y100" s="1134">
        <f t="shared" ca="1" si="31"/>
        <v>2827615.0958309174</v>
      </c>
      <c r="Z100" s="1134">
        <f t="shared" ca="1" si="32"/>
        <v>282807857.67402494</v>
      </c>
      <c r="AA100" s="1132">
        <f t="shared" ca="1" si="33"/>
        <v>0.49179661289575732</v>
      </c>
      <c r="AB100" s="1105"/>
    </row>
    <row r="101" spans="1:28">
      <c r="A101" s="1144">
        <f>Calendar!J93</f>
        <v>47753</v>
      </c>
      <c r="C101" s="1104"/>
      <c r="D101" s="1125">
        <f t="shared" ca="1" si="19"/>
        <v>48791</v>
      </c>
      <c r="E101" s="1126">
        <f t="shared" ca="1" si="20"/>
        <v>48820</v>
      </c>
      <c r="F101" s="1127">
        <f t="shared" ca="1" si="21"/>
        <v>2771</v>
      </c>
      <c r="G101" s="1128">
        <f ca="1">IF(F101&lt;&gt;"",COUNTIF($F$11:F101,"&gt;0"),"")</f>
        <v>91</v>
      </c>
      <c r="H101" s="1129">
        <v>9.9561697940096401E-3</v>
      </c>
      <c r="I101" s="1073"/>
      <c r="J101" s="1130">
        <f t="shared" ca="1" si="22"/>
        <v>5656157153.4804831</v>
      </c>
      <c r="K101" s="1131">
        <f t="shared" ca="1" si="23"/>
        <v>56313661.001653932</v>
      </c>
      <c r="L101" s="1130">
        <f t="shared" ca="1" si="24"/>
        <v>0</v>
      </c>
      <c r="M101" s="1130">
        <f t="shared" ca="1" si="25"/>
        <v>0</v>
      </c>
      <c r="N101" s="1130">
        <f t="shared" ca="1" si="34"/>
        <v>5599843492.4788294</v>
      </c>
      <c r="O101" s="1073"/>
      <c r="P101" s="1130">
        <f t="shared" ca="1" si="26"/>
        <v>56313661.001653671</v>
      </c>
      <c r="Q101" s="1130">
        <f t="shared" ca="1" si="27"/>
        <v>5319851317.854888</v>
      </c>
      <c r="R101" s="1130">
        <f t="shared" ca="1" si="35"/>
        <v>5373349295.8064585</v>
      </c>
      <c r="S101" s="1130">
        <f t="shared" ca="1" si="36"/>
        <v>53497977.951570511</v>
      </c>
      <c r="T101" s="1130">
        <f t="shared" ca="1" si="28"/>
        <v>5319851317.854888</v>
      </c>
      <c r="U101" s="1132">
        <f t="shared" ca="1" si="29"/>
        <v>0.45509090180622491</v>
      </c>
      <c r="V101" s="1133">
        <f t="shared" ca="1" si="30"/>
        <v>5.0000000000000044E-2</v>
      </c>
      <c r="X101" s="1134">
        <f t="shared" ca="1" si="37"/>
        <v>282807857.67402494</v>
      </c>
      <c r="Y101" s="1134">
        <f t="shared" ca="1" si="31"/>
        <v>2815683.0500831604</v>
      </c>
      <c r="Z101" s="1134">
        <f t="shared" ca="1" si="32"/>
        <v>279992174.62394178</v>
      </c>
      <c r="AA101" s="1132">
        <f t="shared" ca="1" si="33"/>
        <v>0.48692812960403742</v>
      </c>
      <c r="AB101" s="1105"/>
    </row>
    <row r="102" spans="1:28">
      <c r="A102" s="1144">
        <f>Calendar!J94</f>
        <v>47784</v>
      </c>
      <c r="C102" s="1104"/>
      <c r="D102" s="1125">
        <f t="shared" ca="1" si="19"/>
        <v>48822</v>
      </c>
      <c r="E102" s="1126">
        <f t="shared" ca="1" si="20"/>
        <v>48849</v>
      </c>
      <c r="F102" s="1127">
        <f t="shared" ca="1" si="21"/>
        <v>2800</v>
      </c>
      <c r="G102" s="1128">
        <f ca="1">IF(F102&lt;&gt;"",COUNTIF($F$11:F102,"&gt;0"),"")</f>
        <v>92</v>
      </c>
      <c r="H102" s="1129">
        <v>1.0011079015101747E-2</v>
      </c>
      <c r="I102" s="1073"/>
      <c r="J102" s="1130">
        <f t="shared" ca="1" si="22"/>
        <v>5599843492.4788294</v>
      </c>
      <c r="K102" s="1131">
        <f t="shared" ca="1" si="23"/>
        <v>56060475.675408885</v>
      </c>
      <c r="L102" s="1130">
        <f t="shared" ca="1" si="24"/>
        <v>0</v>
      </c>
      <c r="M102" s="1130">
        <f t="shared" ca="1" si="25"/>
        <v>0</v>
      </c>
      <c r="N102" s="1130">
        <f t="shared" ca="1" si="34"/>
        <v>5543783016.8034201</v>
      </c>
      <c r="O102" s="1073"/>
      <c r="P102" s="1130">
        <f t="shared" ca="1" si="26"/>
        <v>56060475.675409317</v>
      </c>
      <c r="Q102" s="1130">
        <f t="shared" ca="1" si="27"/>
        <v>5266593865.9632492</v>
      </c>
      <c r="R102" s="1130">
        <f t="shared" ca="1" si="35"/>
        <v>5319851317.854888</v>
      </c>
      <c r="S102" s="1130">
        <f t="shared" ca="1" si="36"/>
        <v>53257451.891638756</v>
      </c>
      <c r="T102" s="1130">
        <f t="shared" ca="1" si="28"/>
        <v>5266593865.9632492</v>
      </c>
      <c r="U102" s="1132">
        <f t="shared" ca="1" si="29"/>
        <v>0.45055993951613321</v>
      </c>
      <c r="V102" s="1133">
        <f t="shared" ca="1" si="30"/>
        <v>4.9999999999999933E-2</v>
      </c>
      <c r="X102" s="1134">
        <f t="shared" ca="1" si="37"/>
        <v>279992174.62394178</v>
      </c>
      <c r="Y102" s="1134">
        <f t="shared" ca="1" si="31"/>
        <v>2803023.7837705612</v>
      </c>
      <c r="Z102" s="1134">
        <f t="shared" ca="1" si="32"/>
        <v>277189150.84017122</v>
      </c>
      <c r="AA102" s="1132">
        <f t="shared" ca="1" si="33"/>
        <v>0.48208019046821932</v>
      </c>
      <c r="AB102" s="1105"/>
    </row>
    <row r="103" spans="1:28">
      <c r="A103" s="1144">
        <f>Calendar!J95</f>
        <v>47814</v>
      </c>
      <c r="C103" s="1104"/>
      <c r="D103" s="1125">
        <f t="shared" ca="1" si="19"/>
        <v>48852</v>
      </c>
      <c r="E103" s="1126">
        <f t="shared" ca="1" si="20"/>
        <v>48879</v>
      </c>
      <c r="F103" s="1127">
        <f t="shared" ca="1" si="21"/>
        <v>2830</v>
      </c>
      <c r="G103" s="1128">
        <f ca="1">IF(F103&lt;&gt;"",COUNTIF($F$11:F103,"&gt;0"),"")</f>
        <v>93</v>
      </c>
      <c r="H103" s="1129">
        <v>1.0084905084903981E-2</v>
      </c>
      <c r="I103" s="1073"/>
      <c r="J103" s="1130">
        <f t="shared" ca="1" si="22"/>
        <v>5543783016.8034201</v>
      </c>
      <c r="K103" s="1131">
        <f t="shared" ca="1" si="23"/>
        <v>55908525.535765141</v>
      </c>
      <c r="L103" s="1130">
        <f t="shared" ca="1" si="24"/>
        <v>0</v>
      </c>
      <c r="M103" s="1130">
        <f t="shared" ca="1" si="25"/>
        <v>0</v>
      </c>
      <c r="N103" s="1130">
        <f t="shared" ca="1" si="34"/>
        <v>5487874491.2676554</v>
      </c>
      <c r="O103" s="1073"/>
      <c r="P103" s="1130">
        <f t="shared" ca="1" si="26"/>
        <v>55908525.535764694</v>
      </c>
      <c r="Q103" s="1130">
        <f t="shared" ca="1" si="27"/>
        <v>5213480766.7042723</v>
      </c>
      <c r="R103" s="1130">
        <f t="shared" ca="1" si="35"/>
        <v>5266593865.9632492</v>
      </c>
      <c r="S103" s="1130">
        <f t="shared" ca="1" si="36"/>
        <v>53113099.258976936</v>
      </c>
      <c r="T103" s="1130">
        <f t="shared" ca="1" si="28"/>
        <v>5213480766.7042723</v>
      </c>
      <c r="U103" s="1132">
        <f t="shared" ca="1" si="29"/>
        <v>0.44604934836059773</v>
      </c>
      <c r="V103" s="1133">
        <f t="shared" ca="1" si="30"/>
        <v>5.0000000000000044E-2</v>
      </c>
      <c r="X103" s="1134">
        <f t="shared" ca="1" si="37"/>
        <v>277189150.84017122</v>
      </c>
      <c r="Y103" s="1134">
        <f t="shared" ca="1" si="31"/>
        <v>2795426.2767877579</v>
      </c>
      <c r="Z103" s="1134">
        <f t="shared" ca="1" si="32"/>
        <v>274393724.56338346</v>
      </c>
      <c r="AA103" s="1132">
        <f t="shared" ca="1" si="33"/>
        <v>0.47725404758982648</v>
      </c>
      <c r="AB103" s="1105"/>
    </row>
    <row r="104" spans="1:28">
      <c r="A104" s="1144">
        <f>Calendar!J96</f>
        <v>47844</v>
      </c>
      <c r="C104" s="1104"/>
      <c r="D104" s="1125">
        <f t="shared" ca="1" si="19"/>
        <v>48883</v>
      </c>
      <c r="E104" s="1126">
        <f t="shared" ca="1" si="20"/>
        <v>48911</v>
      </c>
      <c r="F104" s="1127">
        <f t="shared" ca="1" si="21"/>
        <v>2862</v>
      </c>
      <c r="G104" s="1128">
        <f ca="1">IF(F104&lt;&gt;"",COUNTIF($F$11:F104,"&gt;0"),"")</f>
        <v>94</v>
      </c>
      <c r="H104" s="1129">
        <v>1.0142221653639991E-2</v>
      </c>
      <c r="I104" s="1073"/>
      <c r="J104" s="1130">
        <f t="shared" ca="1" si="22"/>
        <v>5487874491.2676554</v>
      </c>
      <c r="K104" s="1131">
        <f t="shared" ca="1" si="23"/>
        <v>55659239.497793362</v>
      </c>
      <c r="L104" s="1130">
        <f t="shared" ca="1" si="24"/>
        <v>0</v>
      </c>
      <c r="M104" s="1130">
        <f t="shared" ca="1" si="25"/>
        <v>0</v>
      </c>
      <c r="N104" s="1130">
        <f t="shared" ca="1" si="34"/>
        <v>5432215251.7698622</v>
      </c>
      <c r="O104" s="1073"/>
      <c r="P104" s="1130">
        <f t="shared" ca="1" si="26"/>
        <v>55659239.497793198</v>
      </c>
      <c r="Q104" s="1130">
        <f t="shared" ca="1" si="27"/>
        <v>5160604489.1813688</v>
      </c>
      <c r="R104" s="1130">
        <f t="shared" ca="1" si="35"/>
        <v>5213480766.7042723</v>
      </c>
      <c r="S104" s="1130">
        <f t="shared" ca="1" si="36"/>
        <v>52876277.522903442</v>
      </c>
      <c r="T104" s="1130">
        <f t="shared" ca="1" si="28"/>
        <v>5160604489.1813688</v>
      </c>
      <c r="U104" s="1132">
        <f t="shared" ca="1" si="29"/>
        <v>0.44155098301919782</v>
      </c>
      <c r="V104" s="1133">
        <f t="shared" ca="1" si="30"/>
        <v>5.0000000000000044E-2</v>
      </c>
      <c r="X104" s="1134">
        <f t="shared" ca="1" si="37"/>
        <v>274393724.56338346</v>
      </c>
      <c r="Y104" s="1134">
        <f t="shared" ca="1" si="31"/>
        <v>2782961.9748897552</v>
      </c>
      <c r="Z104" s="1134">
        <f t="shared" ca="1" si="32"/>
        <v>271610762.5884937</v>
      </c>
      <c r="AA104" s="1132">
        <f t="shared" ca="1" si="33"/>
        <v>0.47244098581849769</v>
      </c>
      <c r="AB104" s="1105"/>
    </row>
    <row r="105" spans="1:28">
      <c r="A105" s="1144">
        <f>Calendar!J97</f>
        <v>47875</v>
      </c>
      <c r="C105" s="1104"/>
      <c r="D105" s="1125">
        <f t="shared" ca="1" si="19"/>
        <v>48913</v>
      </c>
      <c r="E105" s="1126">
        <f t="shared" ca="1" si="20"/>
        <v>48940</v>
      </c>
      <c r="F105" s="1127">
        <f t="shared" ca="1" si="21"/>
        <v>2891</v>
      </c>
      <c r="G105" s="1128">
        <f ca="1">IF(F105&lt;&gt;"",COUNTIF($F$11:F105,"&gt;0"),"")</f>
        <v>95</v>
      </c>
      <c r="H105" s="1129">
        <v>1.0206235338456701E-2</v>
      </c>
      <c r="I105" s="1073"/>
      <c r="J105" s="1130">
        <f t="shared" ca="1" si="22"/>
        <v>5432215251.7698622</v>
      </c>
      <c r="K105" s="1131">
        <f t="shared" ca="1" si="23"/>
        <v>55442467.268717036</v>
      </c>
      <c r="L105" s="1130">
        <f t="shared" ca="1" si="24"/>
        <v>0</v>
      </c>
      <c r="M105" s="1130">
        <f t="shared" ca="1" si="25"/>
        <v>0</v>
      </c>
      <c r="N105" s="1130">
        <f t="shared" ca="1" si="34"/>
        <v>5376772784.5011454</v>
      </c>
      <c r="O105" s="1073"/>
      <c r="P105" s="1130">
        <f t="shared" ca="1" si="26"/>
        <v>55442467.268716812</v>
      </c>
      <c r="Q105" s="1130">
        <f t="shared" ca="1" si="27"/>
        <v>5107934145.2760878</v>
      </c>
      <c r="R105" s="1130">
        <f t="shared" ca="1" si="35"/>
        <v>5160604489.1813688</v>
      </c>
      <c r="S105" s="1130">
        <f t="shared" ca="1" si="36"/>
        <v>52670343.905281067</v>
      </c>
      <c r="T105" s="1130">
        <f t="shared" ca="1" si="28"/>
        <v>5107934145.2760878</v>
      </c>
      <c r="U105" s="1132">
        <f t="shared" ca="1" si="29"/>
        <v>0.43707267507803449</v>
      </c>
      <c r="V105" s="1133">
        <f t="shared" ca="1" si="30"/>
        <v>5.0000000000000044E-2</v>
      </c>
      <c r="X105" s="1134">
        <f t="shared" ca="1" si="37"/>
        <v>271610762.5884937</v>
      </c>
      <c r="Y105" s="1134">
        <f t="shared" ca="1" si="31"/>
        <v>2772123.3634357452</v>
      </c>
      <c r="Z105" s="1134">
        <f t="shared" ca="1" si="32"/>
        <v>268838639.22505796</v>
      </c>
      <c r="AA105" s="1132">
        <f t="shared" ca="1" si="33"/>
        <v>0.46764938462206218</v>
      </c>
      <c r="AB105" s="1105"/>
    </row>
    <row r="106" spans="1:28">
      <c r="A106" s="1144">
        <f>Calendar!J98</f>
        <v>47906</v>
      </c>
      <c r="C106" s="1104"/>
      <c r="D106" s="1125">
        <f t="shared" ca="1" si="19"/>
        <v>48944</v>
      </c>
      <c r="E106" s="1126">
        <f t="shared" ca="1" si="20"/>
        <v>48971</v>
      </c>
      <c r="F106" s="1127">
        <f t="shared" ca="1" si="21"/>
        <v>2922</v>
      </c>
      <c r="G106" s="1128">
        <f ca="1">IF(F106&lt;&gt;"",COUNTIF($F$11:F106,"&gt;0"),"")</f>
        <v>96</v>
      </c>
      <c r="H106" s="1129">
        <v>1.0266860205826534E-2</v>
      </c>
      <c r="I106" s="1073"/>
      <c r="J106" s="1130">
        <f t="shared" ca="1" si="22"/>
        <v>5376772784.5011454</v>
      </c>
      <c r="K106" s="1131">
        <f t="shared" ca="1" si="23"/>
        <v>55202574.536965936</v>
      </c>
      <c r="L106" s="1130">
        <f t="shared" ca="1" si="24"/>
        <v>0</v>
      </c>
      <c r="M106" s="1130">
        <f t="shared" ca="1" si="25"/>
        <v>0</v>
      </c>
      <c r="N106" s="1130">
        <f t="shared" ca="1" si="34"/>
        <v>5321570209.964179</v>
      </c>
      <c r="O106" s="1073"/>
      <c r="P106" s="1130">
        <f t="shared" ca="1" si="26"/>
        <v>55202574.536966324</v>
      </c>
      <c r="Q106" s="1130">
        <f t="shared" ca="1" si="27"/>
        <v>5055491699.46597</v>
      </c>
      <c r="R106" s="1130">
        <f t="shared" ca="1" si="35"/>
        <v>5107934145.2760878</v>
      </c>
      <c r="S106" s="1130">
        <f t="shared" ca="1" si="36"/>
        <v>52442445.810117722</v>
      </c>
      <c r="T106" s="1130">
        <f t="shared" ca="1" si="28"/>
        <v>5055491699.46597</v>
      </c>
      <c r="U106" s="1132">
        <f t="shared" ca="1" si="29"/>
        <v>0.43261180849617925</v>
      </c>
      <c r="V106" s="1133">
        <f t="shared" ca="1" si="30"/>
        <v>5.0000000000000044E-2</v>
      </c>
      <c r="X106" s="1134">
        <f t="shared" ca="1" si="37"/>
        <v>268838639.22505796</v>
      </c>
      <c r="Y106" s="1134">
        <f t="shared" ca="1" si="31"/>
        <v>2760128.7268486023</v>
      </c>
      <c r="Z106" s="1134">
        <f t="shared" ca="1" si="32"/>
        <v>266078510.49820936</v>
      </c>
      <c r="AA106" s="1132">
        <f t="shared" ca="1" si="33"/>
        <v>0.46287644494672514</v>
      </c>
      <c r="AB106" s="1105"/>
    </row>
    <row r="107" spans="1:28">
      <c r="A107" s="1144">
        <f>Calendar!J99</f>
        <v>47934</v>
      </c>
      <c r="C107" s="1104"/>
      <c r="D107" s="1125">
        <f t="shared" ca="1" si="19"/>
        <v>48975</v>
      </c>
      <c r="E107" s="1126">
        <f t="shared" ca="1" si="20"/>
        <v>49002</v>
      </c>
      <c r="F107" s="1127">
        <f t="shared" ca="1" si="21"/>
        <v>2953</v>
      </c>
      <c r="G107" s="1128">
        <f ca="1">IF(F107&lt;&gt;"",COUNTIF($F$11:F107,"&gt;0"),"")</f>
        <v>97</v>
      </c>
      <c r="H107" s="1129">
        <v>1.0335059755144243E-2</v>
      </c>
      <c r="I107" s="1073"/>
      <c r="J107" s="1130">
        <f t="shared" ca="1" si="22"/>
        <v>5321570209.964179</v>
      </c>
      <c r="K107" s="1131">
        <f t="shared" ca="1" si="23"/>
        <v>54998746.111175284</v>
      </c>
      <c r="L107" s="1130">
        <f t="shared" ca="1" si="24"/>
        <v>0</v>
      </c>
      <c r="M107" s="1130">
        <f t="shared" ca="1" si="25"/>
        <v>0</v>
      </c>
      <c r="N107" s="1130">
        <f t="shared" ca="1" si="34"/>
        <v>5266571463.8530035</v>
      </c>
      <c r="O107" s="1073"/>
      <c r="P107" s="1130">
        <f t="shared" ca="1" si="26"/>
        <v>54998746.111175537</v>
      </c>
      <c r="Q107" s="1130">
        <f t="shared" ca="1" si="27"/>
        <v>5003242890.6603527</v>
      </c>
      <c r="R107" s="1130">
        <f t="shared" ca="1" si="35"/>
        <v>5055491699.46597</v>
      </c>
      <c r="S107" s="1130">
        <f t="shared" ca="1" si="36"/>
        <v>52248808.805617332</v>
      </c>
      <c r="T107" s="1130">
        <f t="shared" ca="1" si="28"/>
        <v>5003242890.6603527</v>
      </c>
      <c r="U107" s="1132">
        <f t="shared" ca="1" si="29"/>
        <v>0.42817024353495919</v>
      </c>
      <c r="V107" s="1133">
        <f t="shared" ca="1" si="30"/>
        <v>5.0000000000000155E-2</v>
      </c>
      <c r="X107" s="1134">
        <f t="shared" ca="1" si="37"/>
        <v>266078510.49820936</v>
      </c>
      <c r="Y107" s="1134">
        <f t="shared" ca="1" si="31"/>
        <v>2749937.3055582047</v>
      </c>
      <c r="Z107" s="1134">
        <f t="shared" ca="1" si="32"/>
        <v>263328573.19265115</v>
      </c>
      <c r="AA107" s="1132">
        <f t="shared" ca="1" si="33"/>
        <v>0.45812415719388666</v>
      </c>
      <c r="AB107" s="1105"/>
    </row>
    <row r="108" spans="1:28">
      <c r="A108" s="1144">
        <f>Calendar!J100</f>
        <v>47966</v>
      </c>
      <c r="C108" s="1104"/>
      <c r="D108" s="1125">
        <f t="shared" ca="1" si="19"/>
        <v>49003</v>
      </c>
      <c r="E108" s="1126">
        <f t="shared" ca="1" si="20"/>
        <v>49030</v>
      </c>
      <c r="F108" s="1127">
        <f t="shared" ca="1" si="21"/>
        <v>2981</v>
      </c>
      <c r="G108" s="1128">
        <f ca="1">IF(F108&lt;&gt;"",COUNTIF($F$11:F108,"&gt;0"),"")</f>
        <v>98</v>
      </c>
      <c r="H108" s="1129">
        <v>1.0408245221072806E-2</v>
      </c>
      <c r="I108" s="1073"/>
      <c r="J108" s="1130">
        <f t="shared" ca="1" si="22"/>
        <v>5266571463.8530035</v>
      </c>
      <c r="K108" s="1131">
        <f t="shared" ca="1" si="23"/>
        <v>54815767.270086437</v>
      </c>
      <c r="L108" s="1130">
        <f t="shared" ca="1" si="24"/>
        <v>0</v>
      </c>
      <c r="M108" s="1130">
        <f t="shared" ca="1" si="25"/>
        <v>0</v>
      </c>
      <c r="N108" s="1130">
        <f t="shared" ca="1" si="34"/>
        <v>5211755696.5829172</v>
      </c>
      <c r="O108" s="1073"/>
      <c r="P108" s="1130">
        <f t="shared" ca="1" si="26"/>
        <v>54815767.270086288</v>
      </c>
      <c r="Q108" s="1130">
        <f t="shared" ca="1" si="27"/>
        <v>4951167911.7537708</v>
      </c>
      <c r="R108" s="1130">
        <f t="shared" ca="1" si="35"/>
        <v>5003242890.6603527</v>
      </c>
      <c r="S108" s="1130">
        <f t="shared" ca="1" si="36"/>
        <v>52074978.906581879</v>
      </c>
      <c r="T108" s="1130">
        <f t="shared" ca="1" si="28"/>
        <v>4951167911.7537708</v>
      </c>
      <c r="U108" s="1132">
        <f t="shared" ca="1" si="29"/>
        <v>0.42374507848265064</v>
      </c>
      <c r="V108" s="1133">
        <f t="shared" ca="1" si="30"/>
        <v>5.0000000000000155E-2</v>
      </c>
      <c r="X108" s="1134">
        <f t="shared" ca="1" si="37"/>
        <v>263328573.19265115</v>
      </c>
      <c r="Y108" s="1134">
        <f t="shared" ca="1" si="31"/>
        <v>2740788.3635044098</v>
      </c>
      <c r="Z108" s="1134">
        <f t="shared" ca="1" si="32"/>
        <v>260587784.82914674</v>
      </c>
      <c r="AA108" s="1132">
        <f t="shared" ca="1" si="33"/>
        <v>0.45338941665401367</v>
      </c>
      <c r="AB108" s="1105"/>
    </row>
    <row r="109" spans="1:28">
      <c r="A109" s="1144">
        <f>Calendar!J101</f>
        <v>47995</v>
      </c>
      <c r="C109" s="1104"/>
      <c r="D109" s="1125">
        <f t="shared" ca="1" si="19"/>
        <v>49034</v>
      </c>
      <c r="E109" s="1126">
        <f t="shared" ca="1" si="20"/>
        <v>49061</v>
      </c>
      <c r="F109" s="1127">
        <f t="shared" ca="1" si="21"/>
        <v>3012</v>
      </c>
      <c r="G109" s="1128">
        <f ca="1">IF(F109&lt;&gt;"",COUNTIF($F$11:F109,"&gt;0"),"")</f>
        <v>99</v>
      </c>
      <c r="H109" s="1129">
        <v>1.0460068996684183E-2</v>
      </c>
      <c r="I109" s="1073"/>
      <c r="J109" s="1130">
        <f t="shared" ca="1" si="22"/>
        <v>5211755696.5829172</v>
      </c>
      <c r="K109" s="1131">
        <f t="shared" ca="1" si="23"/>
        <v>54515324.180119149</v>
      </c>
      <c r="L109" s="1130">
        <f t="shared" ca="1" si="24"/>
        <v>0</v>
      </c>
      <c r="M109" s="1130">
        <f t="shared" ca="1" si="25"/>
        <v>0</v>
      </c>
      <c r="N109" s="1130">
        <f t="shared" ca="1" si="34"/>
        <v>5157240372.4027977</v>
      </c>
      <c r="O109" s="1073"/>
      <c r="P109" s="1130">
        <f t="shared" ca="1" si="26"/>
        <v>54515324.180119514</v>
      </c>
      <c r="Q109" s="1130">
        <f t="shared" ca="1" si="27"/>
        <v>4899378353.7826576</v>
      </c>
      <c r="R109" s="1130">
        <f t="shared" ca="1" si="35"/>
        <v>4951167911.7537708</v>
      </c>
      <c r="S109" s="1130">
        <f t="shared" ca="1" si="36"/>
        <v>51789557.971113205</v>
      </c>
      <c r="T109" s="1130">
        <f t="shared" ca="1" si="28"/>
        <v>4899378353.7826576</v>
      </c>
      <c r="U109" s="1132">
        <f t="shared" ca="1" si="29"/>
        <v>0.41933463579458047</v>
      </c>
      <c r="V109" s="1133">
        <f t="shared" ca="1" si="30"/>
        <v>5.0000000000000044E-2</v>
      </c>
      <c r="X109" s="1134">
        <f t="shared" ca="1" si="37"/>
        <v>260587784.82914674</v>
      </c>
      <c r="Y109" s="1134">
        <f t="shared" ca="1" si="31"/>
        <v>2725766.2090063095</v>
      </c>
      <c r="Z109" s="1134">
        <f t="shared" ca="1" si="32"/>
        <v>257862018.62014043</v>
      </c>
      <c r="AA109" s="1132">
        <f t="shared" ca="1" si="33"/>
        <v>0.44867042842483945</v>
      </c>
      <c r="AB109" s="1105"/>
    </row>
    <row r="110" spans="1:28">
      <c r="A110" s="1144">
        <f>Calendar!J102</f>
        <v>48026</v>
      </c>
      <c r="C110" s="1104"/>
      <c r="D110" s="1125">
        <f t="shared" ca="1" si="19"/>
        <v>49064</v>
      </c>
      <c r="E110" s="1126">
        <f t="shared" ca="1" si="20"/>
        <v>49094</v>
      </c>
      <c r="F110" s="1127">
        <f t="shared" ca="1" si="21"/>
        <v>3045</v>
      </c>
      <c r="G110" s="1128">
        <f ca="1">IF(F110&lt;&gt;"",COUNTIF($F$11:F110,"&gt;0"),"")</f>
        <v>100</v>
      </c>
      <c r="H110" s="1129">
        <v>1.0528787347237506E-2</v>
      </c>
      <c r="I110" s="1073"/>
      <c r="J110" s="1130">
        <f t="shared" ca="1" si="22"/>
        <v>5157240372.4027977</v>
      </c>
      <c r="K110" s="1131">
        <f t="shared" ca="1" si="23"/>
        <v>54299487.179617018</v>
      </c>
      <c r="L110" s="1130">
        <f t="shared" ca="1" si="24"/>
        <v>0</v>
      </c>
      <c r="M110" s="1130">
        <f t="shared" ca="1" si="25"/>
        <v>0</v>
      </c>
      <c r="N110" s="1130">
        <f t="shared" ca="1" si="34"/>
        <v>5102940885.2231808</v>
      </c>
      <c r="O110" s="1073"/>
      <c r="P110" s="1130">
        <f t="shared" ca="1" si="26"/>
        <v>54299487.179616928</v>
      </c>
      <c r="Q110" s="1130">
        <f t="shared" ca="1" si="27"/>
        <v>4847793840.9620218</v>
      </c>
      <c r="R110" s="1130">
        <f t="shared" ca="1" si="35"/>
        <v>4899378353.7826576</v>
      </c>
      <c r="S110" s="1130">
        <f t="shared" ca="1" si="36"/>
        <v>51584512.820635796</v>
      </c>
      <c r="T110" s="1130">
        <f t="shared" ca="1" si="28"/>
        <v>4847793840.9620218</v>
      </c>
      <c r="U110" s="1132">
        <f t="shared" ca="1" si="29"/>
        <v>0.41494836657146977</v>
      </c>
      <c r="V110" s="1133">
        <f t="shared" ca="1" si="30"/>
        <v>4.9999999999999933E-2</v>
      </c>
      <c r="X110" s="1134">
        <f t="shared" ca="1" si="37"/>
        <v>257862018.62014043</v>
      </c>
      <c r="Y110" s="1134">
        <f t="shared" ca="1" si="31"/>
        <v>2714974.3589811325</v>
      </c>
      <c r="Z110" s="1134">
        <f t="shared" ca="1" si="32"/>
        <v>255147044.2611593</v>
      </c>
      <c r="AA110" s="1132">
        <f t="shared" ca="1" si="33"/>
        <v>0.44397730478674319</v>
      </c>
      <c r="AB110" s="1105"/>
    </row>
    <row r="111" spans="1:28">
      <c r="A111" s="1144">
        <f>Calendar!J103</f>
        <v>48057</v>
      </c>
      <c r="C111" s="1104"/>
      <c r="D111" s="1125">
        <f t="shared" ca="1" si="19"/>
        <v>49095</v>
      </c>
      <c r="E111" s="1126">
        <f t="shared" ca="1" si="20"/>
        <v>49122</v>
      </c>
      <c r="F111" s="1127">
        <f t="shared" ca="1" si="21"/>
        <v>3073</v>
      </c>
      <c r="G111" s="1128">
        <f ca="1">IF(F111&lt;&gt;"",COUNTIF($F$11:F111,"&gt;0"),"")</f>
        <v>101</v>
      </c>
      <c r="H111" s="1129">
        <v>1.0586099687577125E-2</v>
      </c>
      <c r="I111" s="1073"/>
      <c r="J111" s="1130">
        <f t="shared" ca="1" si="22"/>
        <v>5102940885.2231808</v>
      </c>
      <c r="K111" s="1131">
        <f t="shared" ca="1" si="23"/>
        <v>54020240.910785653</v>
      </c>
      <c r="L111" s="1130">
        <f t="shared" ca="1" si="24"/>
        <v>0</v>
      </c>
      <c r="M111" s="1130">
        <f t="shared" ca="1" si="25"/>
        <v>0</v>
      </c>
      <c r="N111" s="1130">
        <f t="shared" ca="1" si="34"/>
        <v>5048920644.3123951</v>
      </c>
      <c r="O111" s="1073"/>
      <c r="P111" s="1130">
        <f t="shared" ca="1" si="26"/>
        <v>54020240.910785675</v>
      </c>
      <c r="Q111" s="1130">
        <f t="shared" ca="1" si="27"/>
        <v>4796474612.0967751</v>
      </c>
      <c r="R111" s="1130">
        <f t="shared" ca="1" si="35"/>
        <v>4847793840.9620218</v>
      </c>
      <c r="S111" s="1130">
        <f t="shared" ca="1" si="36"/>
        <v>51319228.865246773</v>
      </c>
      <c r="T111" s="1130">
        <f t="shared" ca="1" si="28"/>
        <v>4796474612.0967751</v>
      </c>
      <c r="U111" s="1132">
        <f t="shared" ca="1" si="29"/>
        <v>0.41057946345975521</v>
      </c>
      <c r="V111" s="1133">
        <f t="shared" ca="1" si="30"/>
        <v>5.0000000000000044E-2</v>
      </c>
      <c r="X111" s="1134">
        <f t="shared" ca="1" si="37"/>
        <v>255147044.2611593</v>
      </c>
      <c r="Y111" s="1134">
        <f t="shared" ca="1" si="31"/>
        <v>2701012.0455389023</v>
      </c>
      <c r="Z111" s="1134">
        <f t="shared" ca="1" si="32"/>
        <v>252446032.2156204</v>
      </c>
      <c r="AA111" s="1132">
        <f t="shared" ca="1" si="33"/>
        <v>0.43930276215764341</v>
      </c>
      <c r="AB111" s="1105"/>
    </row>
    <row r="112" spans="1:28">
      <c r="A112" s="1144">
        <f>Calendar!J104</f>
        <v>48087</v>
      </c>
      <c r="C112" s="1104"/>
      <c r="D112" s="1125">
        <f t="shared" ca="1" si="19"/>
        <v>49125</v>
      </c>
      <c r="E112" s="1126">
        <f t="shared" ca="1" si="20"/>
        <v>49152</v>
      </c>
      <c r="F112" s="1127">
        <f t="shared" ca="1" si="21"/>
        <v>3103</v>
      </c>
      <c r="G112" s="1128">
        <f ca="1">IF(F112&lt;&gt;"",COUNTIF($F$11:F112,"&gt;0"),"")</f>
        <v>102</v>
      </c>
      <c r="H112" s="1129">
        <v>1.0648424617451045E-2</v>
      </c>
      <c r="I112" s="1073"/>
      <c r="J112" s="1130">
        <f t="shared" ca="1" si="22"/>
        <v>5048920644.3123951</v>
      </c>
      <c r="K112" s="1131">
        <f t="shared" ca="1" si="23"/>
        <v>53763050.880452901</v>
      </c>
      <c r="L112" s="1130">
        <f t="shared" ca="1" si="24"/>
        <v>0</v>
      </c>
      <c r="M112" s="1130">
        <f t="shared" ca="1" si="25"/>
        <v>0</v>
      </c>
      <c r="N112" s="1130">
        <f t="shared" ca="1" si="34"/>
        <v>4995157593.431942</v>
      </c>
      <c r="O112" s="1073"/>
      <c r="P112" s="1130">
        <f t="shared" ca="1" si="26"/>
        <v>53763050.88045311</v>
      </c>
      <c r="Q112" s="1130">
        <f t="shared" ca="1" si="27"/>
        <v>4745399713.7603445</v>
      </c>
      <c r="R112" s="1130">
        <f t="shared" ca="1" si="35"/>
        <v>4796474612.0967751</v>
      </c>
      <c r="S112" s="1130">
        <f t="shared" ca="1" si="36"/>
        <v>51074898.33643055</v>
      </c>
      <c r="T112" s="1130">
        <f t="shared" ca="1" si="28"/>
        <v>4745399713.7603445</v>
      </c>
      <c r="U112" s="1132">
        <f t="shared" ca="1" si="29"/>
        <v>0.40623302832989827</v>
      </c>
      <c r="V112" s="1133">
        <f t="shared" ca="1" si="30"/>
        <v>5.0000000000000044E-2</v>
      </c>
      <c r="X112" s="1134">
        <f t="shared" ca="1" si="37"/>
        <v>252446032.2156204</v>
      </c>
      <c r="Y112" s="1134">
        <f t="shared" ca="1" si="31"/>
        <v>2688152.5440225601</v>
      </c>
      <c r="Z112" s="1134">
        <f t="shared" ca="1" si="32"/>
        <v>249757879.67159784</v>
      </c>
      <c r="AA112" s="1132">
        <f t="shared" ca="1" si="33"/>
        <v>0.43465225932441531</v>
      </c>
      <c r="AB112" s="1105"/>
    </row>
    <row r="113" spans="1:28">
      <c r="A113" s="1144">
        <f>Calendar!J105</f>
        <v>48120</v>
      </c>
      <c r="C113" s="1104"/>
      <c r="D113" s="1125">
        <f t="shared" ca="1" si="19"/>
        <v>49156</v>
      </c>
      <c r="E113" s="1126">
        <f t="shared" ca="1" si="20"/>
        <v>49184</v>
      </c>
      <c r="F113" s="1127">
        <f t="shared" ca="1" si="21"/>
        <v>3135</v>
      </c>
      <c r="G113" s="1128">
        <f ca="1">IF(F113&lt;&gt;"",COUNTIF($F$11:F113,"&gt;0"),"")</f>
        <v>103</v>
      </c>
      <c r="H113" s="1129">
        <v>1.0696179559403711E-2</v>
      </c>
      <c r="I113" s="1073"/>
      <c r="J113" s="1130">
        <f t="shared" ca="1" si="22"/>
        <v>4995157593.431942</v>
      </c>
      <c r="K113" s="1131">
        <f t="shared" ca="1" si="23"/>
        <v>53429102.546866968</v>
      </c>
      <c r="L113" s="1130">
        <f t="shared" ca="1" si="24"/>
        <v>0</v>
      </c>
      <c r="M113" s="1130">
        <f t="shared" ca="1" si="25"/>
        <v>0</v>
      </c>
      <c r="N113" s="1130">
        <f t="shared" ca="1" si="34"/>
        <v>4941728490.8850746</v>
      </c>
      <c r="O113" s="1073"/>
      <c r="P113" s="1130">
        <f t="shared" ca="1" si="26"/>
        <v>53429102.546867371</v>
      </c>
      <c r="Q113" s="1130">
        <f t="shared" ca="1" si="27"/>
        <v>4694642066.3408203</v>
      </c>
      <c r="R113" s="1130">
        <f t="shared" ca="1" si="35"/>
        <v>4745399713.7603445</v>
      </c>
      <c r="S113" s="1130">
        <f t="shared" ca="1" si="36"/>
        <v>50757647.419524193</v>
      </c>
      <c r="T113" s="1130">
        <f t="shared" ca="1" si="28"/>
        <v>4694642066.3408203</v>
      </c>
      <c r="U113" s="1132">
        <f t="shared" ca="1" si="29"/>
        <v>0.40190728655060848</v>
      </c>
      <c r="V113" s="1133">
        <f t="shared" ca="1" si="30"/>
        <v>5.0000000000000155E-2</v>
      </c>
      <c r="X113" s="1134">
        <f t="shared" ca="1" si="37"/>
        <v>249757879.67159784</v>
      </c>
      <c r="Y113" s="1134">
        <f t="shared" ca="1" si="31"/>
        <v>2671455.1273431778</v>
      </c>
      <c r="Z113" s="1134">
        <f t="shared" ca="1" si="32"/>
        <v>247086424.54425466</v>
      </c>
      <c r="AA113" s="1132">
        <f t="shared" ca="1" si="33"/>
        <v>0.43002389750619463</v>
      </c>
      <c r="AB113" s="1105"/>
    </row>
    <row r="114" spans="1:28">
      <c r="A114" s="1144">
        <f>Calendar!J106</f>
        <v>48148</v>
      </c>
      <c r="C114" s="1104"/>
      <c r="D114" s="1125">
        <f t="shared" ca="1" si="19"/>
        <v>49187</v>
      </c>
      <c r="E114" s="1126">
        <f t="shared" ca="1" si="20"/>
        <v>49214</v>
      </c>
      <c r="F114" s="1127">
        <f t="shared" ca="1" si="21"/>
        <v>3165</v>
      </c>
      <c r="G114" s="1128">
        <f ca="1">IF(F114&lt;&gt;"",COUNTIF($F$11:F114,"&gt;0"),"")</f>
        <v>104</v>
      </c>
      <c r="H114" s="1129">
        <v>1.0740697734351535E-2</v>
      </c>
      <c r="I114" s="1073"/>
      <c r="J114" s="1130">
        <f t="shared" ca="1" si="22"/>
        <v>4941728490.8850746</v>
      </c>
      <c r="K114" s="1131">
        <f t="shared" ca="1" si="23"/>
        <v>53077612.005829751</v>
      </c>
      <c r="L114" s="1130">
        <f t="shared" ca="1" si="24"/>
        <v>0</v>
      </c>
      <c r="M114" s="1130">
        <f t="shared" ca="1" si="25"/>
        <v>0</v>
      </c>
      <c r="N114" s="1130">
        <f t="shared" ca="1" si="34"/>
        <v>4888650878.8792448</v>
      </c>
      <c r="O114" s="1073"/>
      <c r="P114" s="1130">
        <f t="shared" ca="1" si="26"/>
        <v>53077612.005829811</v>
      </c>
      <c r="Q114" s="1130">
        <f t="shared" ca="1" si="27"/>
        <v>4644218334.9352827</v>
      </c>
      <c r="R114" s="1130">
        <f t="shared" ca="1" si="35"/>
        <v>4694642066.3408203</v>
      </c>
      <c r="S114" s="1130">
        <f t="shared" ca="1" si="36"/>
        <v>50423731.405537605</v>
      </c>
      <c r="T114" s="1130">
        <f t="shared" ca="1" si="28"/>
        <v>4644218334.9352827</v>
      </c>
      <c r="U114" s="1132">
        <f t="shared" ca="1" si="29"/>
        <v>0.39760841404743041</v>
      </c>
      <c r="V114" s="1133">
        <f t="shared" ca="1" si="30"/>
        <v>4.9999999999999933E-2</v>
      </c>
      <c r="X114" s="1134">
        <f t="shared" ca="1" si="37"/>
        <v>247086424.54425466</v>
      </c>
      <c r="Y114" s="1134">
        <f t="shared" ca="1" si="31"/>
        <v>2653880.6002922058</v>
      </c>
      <c r="Z114" s="1134">
        <f t="shared" ca="1" si="32"/>
        <v>244432543.94396245</v>
      </c>
      <c r="AA114" s="1132">
        <f t="shared" ca="1" si="33"/>
        <v>0.42542428468363408</v>
      </c>
      <c r="AB114" s="1105"/>
    </row>
    <row r="115" spans="1:28">
      <c r="A115" s="1144">
        <f>Calendar!J107</f>
        <v>48179</v>
      </c>
      <c r="C115" s="1104"/>
      <c r="D115" s="1125">
        <f t="shared" ca="1" si="19"/>
        <v>49217</v>
      </c>
      <c r="E115" s="1126">
        <f t="shared" ca="1" si="20"/>
        <v>49244</v>
      </c>
      <c r="F115" s="1127">
        <f t="shared" ca="1" si="21"/>
        <v>3195</v>
      </c>
      <c r="G115" s="1128">
        <f ca="1">IF(F115&lt;&gt;"",COUNTIF($F$11:F115,"&gt;0"),"")</f>
        <v>105</v>
      </c>
      <c r="H115" s="1129">
        <v>1.078737950997598E-2</v>
      </c>
      <c r="I115" s="1073"/>
      <c r="J115" s="1130">
        <f t="shared" ca="1" si="22"/>
        <v>4888650878.8792448</v>
      </c>
      <c r="K115" s="1131">
        <f t="shared" ca="1" si="23"/>
        <v>52735732.322248027</v>
      </c>
      <c r="L115" s="1130">
        <f t="shared" ca="1" si="24"/>
        <v>0</v>
      </c>
      <c r="M115" s="1130">
        <f t="shared" ca="1" si="25"/>
        <v>0</v>
      </c>
      <c r="N115" s="1130">
        <f t="shared" ca="1" si="34"/>
        <v>4835915146.5569963</v>
      </c>
      <c r="O115" s="1073"/>
      <c r="P115" s="1130">
        <f t="shared" ca="1" si="26"/>
        <v>52735732.322248459</v>
      </c>
      <c r="Q115" s="1130">
        <f t="shared" ca="1" si="27"/>
        <v>4594119389.229146</v>
      </c>
      <c r="R115" s="1130">
        <f t="shared" ca="1" si="35"/>
        <v>4644218334.9352827</v>
      </c>
      <c r="S115" s="1130">
        <f t="shared" ca="1" si="36"/>
        <v>50098945.706136703</v>
      </c>
      <c r="T115" s="1130">
        <f t="shared" ca="1" si="28"/>
        <v>4594119389.229146</v>
      </c>
      <c r="U115" s="1132">
        <f t="shared" ca="1" si="29"/>
        <v>0.39333782225551212</v>
      </c>
      <c r="V115" s="1133">
        <f t="shared" ca="1" si="30"/>
        <v>5.0000000000000155E-2</v>
      </c>
      <c r="X115" s="1134">
        <f t="shared" ca="1" si="37"/>
        <v>244432543.94396245</v>
      </c>
      <c r="Y115" s="1134">
        <f t="shared" ca="1" si="31"/>
        <v>2636786.6161117554</v>
      </c>
      <c r="Z115" s="1134">
        <f t="shared" ca="1" si="32"/>
        <v>241795757.3278507</v>
      </c>
      <c r="AA115" s="1132">
        <f t="shared" ca="1" si="33"/>
        <v>0.42085493103299321</v>
      </c>
      <c r="AB115" s="1105"/>
    </row>
    <row r="116" spans="1:28">
      <c r="A116" s="1144">
        <f>Calendar!J108</f>
        <v>48211</v>
      </c>
      <c r="C116" s="1104"/>
      <c r="D116" s="1125">
        <f t="shared" ca="1" si="19"/>
        <v>49248</v>
      </c>
      <c r="E116" s="1126">
        <f t="shared" ca="1" si="20"/>
        <v>49275</v>
      </c>
      <c r="F116" s="1127">
        <f t="shared" ca="1" si="21"/>
        <v>3226</v>
      </c>
      <c r="G116" s="1128">
        <f ca="1">IF(F116&lt;&gt;"",COUNTIF($F$11:F116,"&gt;0"),"")</f>
        <v>106</v>
      </c>
      <c r="H116" s="1129">
        <v>1.0813178622296924E-2</v>
      </c>
      <c r="I116" s="1073"/>
      <c r="J116" s="1130">
        <f t="shared" ca="1" si="22"/>
        <v>4835915146.5569963</v>
      </c>
      <c r="K116" s="1131">
        <f t="shared" ca="1" si="23"/>
        <v>52291614.281992011</v>
      </c>
      <c r="L116" s="1130">
        <f t="shared" ca="1" si="24"/>
        <v>0</v>
      </c>
      <c r="M116" s="1130">
        <f t="shared" ca="1" si="25"/>
        <v>0</v>
      </c>
      <c r="N116" s="1130">
        <f t="shared" ca="1" si="34"/>
        <v>4783623532.2750044</v>
      </c>
      <c r="O116" s="1073"/>
      <c r="P116" s="1130">
        <f t="shared" ca="1" si="26"/>
        <v>52291614.281991959</v>
      </c>
      <c r="Q116" s="1130">
        <f t="shared" ca="1" si="27"/>
        <v>4544442355.6612539</v>
      </c>
      <c r="R116" s="1130">
        <f t="shared" ca="1" si="35"/>
        <v>4594119389.229146</v>
      </c>
      <c r="S116" s="1130">
        <f t="shared" ca="1" si="36"/>
        <v>49677033.567892075</v>
      </c>
      <c r="T116" s="1130">
        <f t="shared" ca="1" si="28"/>
        <v>4544442355.6612539</v>
      </c>
      <c r="U116" s="1132">
        <f t="shared" ca="1" si="29"/>
        <v>0.38909473789121435</v>
      </c>
      <c r="V116" s="1133">
        <f t="shared" ca="1" si="30"/>
        <v>5.0000000000000044E-2</v>
      </c>
      <c r="X116" s="1134">
        <f t="shared" ca="1" si="37"/>
        <v>241795757.3278507</v>
      </c>
      <c r="Y116" s="1134">
        <f t="shared" ca="1" si="31"/>
        <v>2614580.714099884</v>
      </c>
      <c r="Z116" s="1134">
        <f t="shared" ca="1" si="32"/>
        <v>239181176.61375082</v>
      </c>
      <c r="AA116" s="1132">
        <f t="shared" ca="1" si="33"/>
        <v>0.41631500917329667</v>
      </c>
      <c r="AB116" s="1105"/>
    </row>
    <row r="117" spans="1:28">
      <c r="A117" s="1144">
        <f>Calendar!J109</f>
        <v>48240</v>
      </c>
      <c r="C117" s="1104"/>
      <c r="D117" s="1125">
        <f t="shared" ca="1" si="19"/>
        <v>49278</v>
      </c>
      <c r="E117" s="1126">
        <f t="shared" ca="1" si="20"/>
        <v>49305</v>
      </c>
      <c r="F117" s="1127">
        <f t="shared" ca="1" si="21"/>
        <v>3256</v>
      </c>
      <c r="G117" s="1128">
        <f ca="1">IF(F117&lt;&gt;"",COUNTIF($F$11:F117,"&gt;0"),"")</f>
        <v>107</v>
      </c>
      <c r="H117" s="1129">
        <v>1.0863511821642956E-2</v>
      </c>
      <c r="I117" s="1073"/>
      <c r="J117" s="1130">
        <f t="shared" ca="1" si="22"/>
        <v>4783623532.2750044</v>
      </c>
      <c r="K117" s="1131">
        <f t="shared" ca="1" si="23"/>
        <v>51966950.793158948</v>
      </c>
      <c r="L117" s="1130">
        <f t="shared" ca="1" si="24"/>
        <v>0</v>
      </c>
      <c r="M117" s="1130">
        <f t="shared" ca="1" si="25"/>
        <v>0</v>
      </c>
      <c r="N117" s="1130">
        <f t="shared" ca="1" si="34"/>
        <v>4731656581.4818459</v>
      </c>
      <c r="O117" s="1073"/>
      <c r="P117" s="1130">
        <f t="shared" ca="1" si="26"/>
        <v>51966950.793158531</v>
      </c>
      <c r="Q117" s="1130">
        <f t="shared" ca="1" si="27"/>
        <v>4495073752.407753</v>
      </c>
      <c r="R117" s="1130">
        <f t="shared" ca="1" si="35"/>
        <v>4544442355.6612539</v>
      </c>
      <c r="S117" s="1130">
        <f t="shared" ca="1" si="36"/>
        <v>49368603.253500938</v>
      </c>
      <c r="T117" s="1130">
        <f t="shared" ca="1" si="28"/>
        <v>4495073752.407753</v>
      </c>
      <c r="U117" s="1132">
        <f t="shared" ca="1" si="29"/>
        <v>0.38488738698940089</v>
      </c>
      <c r="V117" s="1133">
        <f t="shared" ca="1" si="30"/>
        <v>5.0000000000000155E-2</v>
      </c>
      <c r="X117" s="1134">
        <f t="shared" ca="1" si="37"/>
        <v>239181176.61375082</v>
      </c>
      <c r="Y117" s="1134">
        <f t="shared" ca="1" si="31"/>
        <v>2598347.5396575928</v>
      </c>
      <c r="Z117" s="1134">
        <f t="shared" ca="1" si="32"/>
        <v>236582829.07409322</v>
      </c>
      <c r="AA117" s="1132">
        <f t="shared" ca="1" si="33"/>
        <v>0.41181332061596215</v>
      </c>
      <c r="AB117" s="1105"/>
    </row>
    <row r="118" spans="1:28">
      <c r="A118" s="1144">
        <f>Calendar!J110</f>
        <v>48271</v>
      </c>
      <c r="C118" s="1104"/>
      <c r="D118" s="1125">
        <f t="shared" ca="1" si="19"/>
        <v>49309</v>
      </c>
      <c r="E118" s="1126">
        <f t="shared" ca="1" si="20"/>
        <v>49338</v>
      </c>
      <c r="F118" s="1127">
        <f t="shared" ca="1" si="21"/>
        <v>3289</v>
      </c>
      <c r="G118" s="1128">
        <f ca="1">IF(F118&lt;&gt;"",COUNTIF($F$11:F118,"&gt;0"),"")</f>
        <v>108</v>
      </c>
      <c r="H118" s="1129">
        <v>1.0910962812219724E-2</v>
      </c>
      <c r="I118" s="1073"/>
      <c r="J118" s="1130">
        <f t="shared" ca="1" si="22"/>
        <v>4731656581.4818459</v>
      </c>
      <c r="K118" s="1131">
        <f t="shared" ca="1" si="23"/>
        <v>51626929.000743121</v>
      </c>
      <c r="L118" s="1130">
        <f t="shared" ca="1" si="24"/>
        <v>0</v>
      </c>
      <c r="M118" s="1130">
        <f t="shared" ca="1" si="25"/>
        <v>0</v>
      </c>
      <c r="N118" s="1130">
        <f t="shared" ca="1" si="34"/>
        <v>4680029652.4811029</v>
      </c>
      <c r="O118" s="1073"/>
      <c r="P118" s="1130">
        <f t="shared" ca="1" si="26"/>
        <v>51626929.000742912</v>
      </c>
      <c r="Q118" s="1130">
        <f t="shared" ca="1" si="27"/>
        <v>4446028169.857048</v>
      </c>
      <c r="R118" s="1130">
        <f t="shared" ca="1" si="35"/>
        <v>4495073752.407753</v>
      </c>
      <c r="S118" s="1130">
        <f t="shared" ca="1" si="36"/>
        <v>49045582.550704956</v>
      </c>
      <c r="T118" s="1130">
        <f t="shared" ca="1" si="28"/>
        <v>4446028169.857048</v>
      </c>
      <c r="U118" s="1132">
        <f t="shared" ca="1" si="29"/>
        <v>0.38070615831084026</v>
      </c>
      <c r="V118" s="1133">
        <f t="shared" ca="1" si="30"/>
        <v>4.9999999999999933E-2</v>
      </c>
      <c r="X118" s="1134">
        <f t="shared" ca="1" si="37"/>
        <v>236582829.07409322</v>
      </c>
      <c r="Y118" s="1134">
        <f t="shared" ca="1" si="31"/>
        <v>2581346.4500379562</v>
      </c>
      <c r="Z118" s="1134">
        <f t="shared" ca="1" si="32"/>
        <v>234001482.62405527</v>
      </c>
      <c r="AA118" s="1132">
        <f t="shared" ca="1" si="33"/>
        <v>0.4073395817391412</v>
      </c>
      <c r="AB118" s="1105"/>
    </row>
    <row r="119" spans="1:28">
      <c r="A119" s="1144">
        <f>Calendar!J111</f>
        <v>48303</v>
      </c>
      <c r="C119" s="1104"/>
      <c r="D119" s="1125">
        <f t="shared" ca="1" si="19"/>
        <v>49340</v>
      </c>
      <c r="E119" s="1126">
        <f t="shared" ca="1" si="20"/>
        <v>49367</v>
      </c>
      <c r="F119" s="1127">
        <f t="shared" ca="1" si="21"/>
        <v>3318</v>
      </c>
      <c r="G119" s="1128">
        <f ca="1">IF(F119&lt;&gt;"",COUNTIF($F$11:F119,"&gt;0"),"")</f>
        <v>109</v>
      </c>
      <c r="H119" s="1129">
        <v>1.0970113584381817E-2</v>
      </c>
      <c r="I119" s="1073"/>
      <c r="J119" s="1130">
        <f t="shared" ca="1" si="22"/>
        <v>4680029652.4811029</v>
      </c>
      <c r="K119" s="1131">
        <f t="shared" ca="1" si="23"/>
        <v>51340456.865992665</v>
      </c>
      <c r="L119" s="1130">
        <f t="shared" ca="1" si="24"/>
        <v>0</v>
      </c>
      <c r="M119" s="1130">
        <f t="shared" ca="1" si="25"/>
        <v>0</v>
      </c>
      <c r="N119" s="1130">
        <f t="shared" ca="1" si="34"/>
        <v>4628689195.6151104</v>
      </c>
      <c r="O119" s="1073"/>
      <c r="P119" s="1130">
        <f t="shared" ca="1" si="26"/>
        <v>51340456.865992546</v>
      </c>
      <c r="Q119" s="1130">
        <f t="shared" ca="1" si="27"/>
        <v>4397254735.8343544</v>
      </c>
      <c r="R119" s="1130">
        <f t="shared" ca="1" si="35"/>
        <v>4446028169.857048</v>
      </c>
      <c r="S119" s="1130">
        <f t="shared" ca="1" si="36"/>
        <v>48773434.022693634</v>
      </c>
      <c r="T119" s="1130">
        <f t="shared" ca="1" si="28"/>
        <v>4397254735.8343544</v>
      </c>
      <c r="U119" s="1132">
        <f t="shared" ca="1" si="29"/>
        <v>0.37655228757512771</v>
      </c>
      <c r="V119" s="1133">
        <f t="shared" ca="1" si="30"/>
        <v>5.0000000000000155E-2</v>
      </c>
      <c r="X119" s="1134">
        <f t="shared" ca="1" si="37"/>
        <v>234001482.62405527</v>
      </c>
      <c r="Y119" s="1134">
        <f t="shared" ca="1" si="31"/>
        <v>2567022.843298912</v>
      </c>
      <c r="Z119" s="1134">
        <f t="shared" ca="1" si="32"/>
        <v>231434459.78075635</v>
      </c>
      <c r="AA119" s="1132">
        <f t="shared" ca="1" si="33"/>
        <v>0.40289511471083894</v>
      </c>
      <c r="AB119" s="1105"/>
    </row>
    <row r="120" spans="1:28">
      <c r="A120" s="1144">
        <f>Calendar!J112</f>
        <v>48331</v>
      </c>
      <c r="C120" s="1104"/>
      <c r="D120" s="1125">
        <f t="shared" ca="1" si="19"/>
        <v>49368</v>
      </c>
      <c r="E120" s="1126">
        <f t="shared" ca="1" si="20"/>
        <v>49395</v>
      </c>
      <c r="F120" s="1127">
        <f t="shared" ca="1" si="21"/>
        <v>3346</v>
      </c>
      <c r="G120" s="1128">
        <f ca="1">IF(F120&lt;&gt;"",COUNTIF($F$11:F120,"&gt;0"),"")</f>
        <v>110</v>
      </c>
      <c r="H120" s="1129">
        <v>1.1052340116553533E-2</v>
      </c>
      <c r="I120" s="1073"/>
      <c r="J120" s="1130">
        <f t="shared" ca="1" si="22"/>
        <v>4628689195.6151104</v>
      </c>
      <c r="K120" s="1131">
        <f t="shared" ca="1" si="23"/>
        <v>51157847.283754788</v>
      </c>
      <c r="L120" s="1130">
        <f t="shared" ca="1" si="24"/>
        <v>0</v>
      </c>
      <c r="M120" s="1130">
        <f t="shared" ca="1" si="25"/>
        <v>0</v>
      </c>
      <c r="N120" s="1130">
        <f t="shared" ca="1" si="34"/>
        <v>4577531348.331356</v>
      </c>
      <c r="O120" s="1073"/>
      <c r="P120" s="1130">
        <f t="shared" ca="1" si="26"/>
        <v>51157847.283754349</v>
      </c>
      <c r="Q120" s="1130">
        <f t="shared" ca="1" si="27"/>
        <v>4348654780.9147882</v>
      </c>
      <c r="R120" s="1130">
        <f t="shared" ca="1" si="35"/>
        <v>4397254735.8343544</v>
      </c>
      <c r="S120" s="1130">
        <f t="shared" ca="1" si="36"/>
        <v>48599954.919566154</v>
      </c>
      <c r="T120" s="1130">
        <f t="shared" ca="1" si="28"/>
        <v>4348654780.9147882</v>
      </c>
      <c r="U120" s="1132">
        <f t="shared" ca="1" si="29"/>
        <v>0.37242146620996969</v>
      </c>
      <c r="V120" s="1133">
        <f t="shared" ca="1" si="30"/>
        <v>5.0000000000000044E-2</v>
      </c>
      <c r="X120" s="1134">
        <f t="shared" ca="1" si="37"/>
        <v>231434459.78075635</v>
      </c>
      <c r="Y120" s="1134">
        <f t="shared" ca="1" si="31"/>
        <v>2557892.3641881943</v>
      </c>
      <c r="Z120" s="1134">
        <f t="shared" ca="1" si="32"/>
        <v>228876567.41656816</v>
      </c>
      <c r="AA120" s="1132">
        <f t="shared" ca="1" si="33"/>
        <v>0.39847530953986976</v>
      </c>
      <c r="AB120" s="1105"/>
    </row>
    <row r="121" spans="1:28">
      <c r="A121" s="1144">
        <f>Calendar!J113</f>
        <v>48361</v>
      </c>
      <c r="C121" s="1104"/>
      <c r="D121" s="1125">
        <f t="shared" ca="1" si="19"/>
        <v>49399</v>
      </c>
      <c r="E121" s="1126">
        <f t="shared" ca="1" si="20"/>
        <v>49426</v>
      </c>
      <c r="F121" s="1127">
        <f t="shared" ca="1" si="21"/>
        <v>3377</v>
      </c>
      <c r="G121" s="1128">
        <f ca="1">IF(F121&lt;&gt;"",COUNTIF($F$11:F121,"&gt;0"),"")</f>
        <v>111</v>
      </c>
      <c r="H121" s="1129">
        <v>1.1111771663004718E-2</v>
      </c>
      <c r="I121" s="1073"/>
      <c r="J121" s="1130">
        <f t="shared" ca="1" si="22"/>
        <v>4577531348.331356</v>
      </c>
      <c r="K121" s="1131">
        <f t="shared" ca="1" si="23"/>
        <v>50864483.122904144</v>
      </c>
      <c r="L121" s="1130">
        <f t="shared" ca="1" si="24"/>
        <v>0</v>
      </c>
      <c r="M121" s="1130">
        <f t="shared" ca="1" si="25"/>
        <v>0</v>
      </c>
      <c r="N121" s="1130">
        <f t="shared" ca="1" si="34"/>
        <v>4526666865.2084522</v>
      </c>
      <c r="O121" s="1073"/>
      <c r="P121" s="1130">
        <f t="shared" ca="1" si="26"/>
        <v>50864483.122903824</v>
      </c>
      <c r="Q121" s="1130">
        <f t="shared" ca="1" si="27"/>
        <v>4300333521.9480295</v>
      </c>
      <c r="R121" s="1130">
        <f t="shared" ca="1" si="35"/>
        <v>4348654780.9147882</v>
      </c>
      <c r="S121" s="1130">
        <f t="shared" ca="1" si="36"/>
        <v>48321258.966758728</v>
      </c>
      <c r="T121" s="1130">
        <f t="shared" ca="1" si="28"/>
        <v>4300333521.9480295</v>
      </c>
      <c r="U121" s="1132">
        <f t="shared" ca="1" si="29"/>
        <v>0.36830533749871164</v>
      </c>
      <c r="V121" s="1133">
        <f t="shared" ca="1" si="30"/>
        <v>5.0000000000000044E-2</v>
      </c>
      <c r="X121" s="1134">
        <f t="shared" ca="1" si="37"/>
        <v>228876567.41656816</v>
      </c>
      <c r="Y121" s="1134">
        <f t="shared" ca="1" si="31"/>
        <v>2543224.1561450958</v>
      </c>
      <c r="Z121" s="1134">
        <f t="shared" ca="1" si="32"/>
        <v>226333343.26042306</v>
      </c>
      <c r="AA121" s="1132">
        <f t="shared" ca="1" si="33"/>
        <v>0.39407122489078539</v>
      </c>
      <c r="AB121" s="1105"/>
    </row>
    <row r="122" spans="1:28">
      <c r="A122" s="1144">
        <f>Calendar!J114</f>
        <v>48393</v>
      </c>
      <c r="C122" s="1104"/>
      <c r="D122" s="1125">
        <f t="shared" ca="1" si="19"/>
        <v>49429</v>
      </c>
      <c r="E122" s="1126">
        <f t="shared" ca="1" si="20"/>
        <v>49457</v>
      </c>
      <c r="F122" s="1127">
        <f t="shared" ca="1" si="21"/>
        <v>3408</v>
      </c>
      <c r="G122" s="1128">
        <f ca="1">IF(F122&lt;&gt;"",COUNTIF($F$11:F122,"&gt;0"),"")</f>
        <v>112</v>
      </c>
      <c r="H122" s="1129">
        <v>1.1196095104483026E-2</v>
      </c>
      <c r="I122" s="1073"/>
      <c r="J122" s="1130">
        <f t="shared" ca="1" si="22"/>
        <v>4526666865.2084522</v>
      </c>
      <c r="K122" s="1131">
        <f t="shared" ca="1" si="23"/>
        <v>50680992.729185879</v>
      </c>
      <c r="L122" s="1130">
        <f t="shared" ca="1" si="24"/>
        <v>0</v>
      </c>
      <c r="M122" s="1130">
        <f t="shared" ca="1" si="25"/>
        <v>0</v>
      </c>
      <c r="N122" s="1130">
        <f t="shared" ca="1" si="34"/>
        <v>4475985872.4792662</v>
      </c>
      <c r="O122" s="1073"/>
      <c r="P122" s="1130">
        <f t="shared" ca="1" si="26"/>
        <v>50680992.729186058</v>
      </c>
      <c r="Q122" s="1130">
        <f t="shared" ca="1" si="27"/>
        <v>4252186578.8553028</v>
      </c>
      <c r="R122" s="1130">
        <f t="shared" ca="1" si="35"/>
        <v>4300333521.9480295</v>
      </c>
      <c r="S122" s="1130">
        <f t="shared" ca="1" si="36"/>
        <v>48146943.092726707</v>
      </c>
      <c r="T122" s="1130">
        <f t="shared" ca="1" si="28"/>
        <v>4252186578.8553028</v>
      </c>
      <c r="U122" s="1132">
        <f t="shared" ca="1" si="29"/>
        <v>0.36421281268616013</v>
      </c>
      <c r="V122" s="1133">
        <f t="shared" ca="1" si="30"/>
        <v>5.0000000000000044E-2</v>
      </c>
      <c r="X122" s="1134">
        <f t="shared" ca="1" si="37"/>
        <v>226333343.26042306</v>
      </c>
      <c r="Y122" s="1134">
        <f t="shared" ca="1" si="31"/>
        <v>2534049.6364593506</v>
      </c>
      <c r="Z122" s="1134">
        <f t="shared" ca="1" si="32"/>
        <v>223799293.62396371</v>
      </c>
      <c r="AA122" s="1132">
        <f t="shared" ca="1" si="33"/>
        <v>0.38969239542083861</v>
      </c>
      <c r="AB122" s="1105"/>
    </row>
    <row r="123" spans="1:28">
      <c r="A123" s="1144">
        <f>Calendar!J115</f>
        <v>48422</v>
      </c>
      <c r="C123" s="1104"/>
      <c r="D123" s="1125">
        <f t="shared" ca="1" si="19"/>
        <v>49460</v>
      </c>
      <c r="E123" s="1126">
        <f t="shared" ca="1" si="20"/>
        <v>49487</v>
      </c>
      <c r="F123" s="1127">
        <f t="shared" ca="1" si="21"/>
        <v>3438</v>
      </c>
      <c r="G123" s="1128">
        <f ca="1">IF(F123&lt;&gt;"",COUNTIF($F$11:F123,"&gt;0"),"")</f>
        <v>113</v>
      </c>
      <c r="H123" s="1129">
        <v>1.1262061112173481E-2</v>
      </c>
      <c r="I123" s="1073"/>
      <c r="J123" s="1130">
        <f t="shared" ca="1" si="22"/>
        <v>4475985872.4792662</v>
      </c>
      <c r="K123" s="1131">
        <f t="shared" ca="1" si="23"/>
        <v>50408826.433086634</v>
      </c>
      <c r="L123" s="1130">
        <f t="shared" ca="1" si="24"/>
        <v>0</v>
      </c>
      <c r="M123" s="1130">
        <f t="shared" ca="1" si="25"/>
        <v>0</v>
      </c>
      <c r="N123" s="1130">
        <f t="shared" ca="1" si="34"/>
        <v>4425577046.0461798</v>
      </c>
      <c r="O123" s="1073"/>
      <c r="P123" s="1130">
        <f t="shared" ca="1" si="26"/>
        <v>50408826.433086395</v>
      </c>
      <c r="Q123" s="1130">
        <f t="shared" ca="1" si="27"/>
        <v>4204298193.7438707</v>
      </c>
      <c r="R123" s="1130">
        <f t="shared" ca="1" si="35"/>
        <v>4252186578.8553028</v>
      </c>
      <c r="S123" s="1130">
        <f t="shared" ca="1" si="36"/>
        <v>47888385.111432076</v>
      </c>
      <c r="T123" s="1130">
        <f t="shared" ca="1" si="28"/>
        <v>4204298193.7438707</v>
      </c>
      <c r="U123" s="1132">
        <f t="shared" ca="1" si="29"/>
        <v>0.3601350513970546</v>
      </c>
      <c r="V123" s="1133">
        <f t="shared" ca="1" si="30"/>
        <v>5.0000000000000044E-2</v>
      </c>
      <c r="X123" s="1134">
        <f t="shared" ca="1" si="37"/>
        <v>223799293.62396371</v>
      </c>
      <c r="Y123" s="1134">
        <f t="shared" ca="1" si="31"/>
        <v>2520441.3216543198</v>
      </c>
      <c r="Z123" s="1134">
        <f t="shared" ca="1" si="32"/>
        <v>221278852.30230939</v>
      </c>
      <c r="AA123" s="1132">
        <f t="shared" ca="1" si="33"/>
        <v>0.38532936230021303</v>
      </c>
      <c r="AB123" s="1105"/>
    </row>
    <row r="124" spans="1:28">
      <c r="A124" s="1144">
        <f>Calendar!J116</f>
        <v>48453</v>
      </c>
      <c r="C124" s="1104"/>
      <c r="D124" s="1125">
        <f t="shared" ca="1" si="19"/>
        <v>49490</v>
      </c>
      <c r="E124" s="1126">
        <f t="shared" ca="1" si="20"/>
        <v>49517</v>
      </c>
      <c r="F124" s="1127">
        <f t="shared" ca="1" si="21"/>
        <v>3468</v>
      </c>
      <c r="G124" s="1128">
        <f ca="1">IF(F124&lt;&gt;"",COUNTIF($F$11:F124,"&gt;0"),"")</f>
        <v>114</v>
      </c>
      <c r="H124" s="1129">
        <v>1.1334964767391655E-2</v>
      </c>
      <c r="I124" s="1073"/>
      <c r="J124" s="1130">
        <f t="shared" ca="1" si="22"/>
        <v>4425577046.0461798</v>
      </c>
      <c r="K124" s="1131">
        <f t="shared" ca="1" si="23"/>
        <v>50163759.892310686</v>
      </c>
      <c r="L124" s="1130">
        <f t="shared" ca="1" si="24"/>
        <v>0</v>
      </c>
      <c r="M124" s="1130">
        <f t="shared" ca="1" si="25"/>
        <v>0</v>
      </c>
      <c r="N124" s="1130">
        <f t="shared" ca="1" si="34"/>
        <v>4375413286.1538687</v>
      </c>
      <c r="O124" s="1073"/>
      <c r="P124" s="1130">
        <f t="shared" ca="1" si="26"/>
        <v>50163759.892311096</v>
      </c>
      <c r="Q124" s="1130">
        <f t="shared" ca="1" si="27"/>
        <v>4156642621.8461752</v>
      </c>
      <c r="R124" s="1130">
        <f t="shared" ca="1" si="35"/>
        <v>4204298193.7438707</v>
      </c>
      <c r="S124" s="1130">
        <f t="shared" ca="1" si="36"/>
        <v>47655571.897695541</v>
      </c>
      <c r="T124" s="1130">
        <f t="shared" ca="1" si="28"/>
        <v>4156642621.8461752</v>
      </c>
      <c r="U124" s="1132">
        <f t="shared" ca="1" si="29"/>
        <v>0.35607918843958525</v>
      </c>
      <c r="V124" s="1133">
        <f t="shared" ca="1" si="30"/>
        <v>5.0000000000000044E-2</v>
      </c>
      <c r="X124" s="1134">
        <f t="shared" ca="1" si="37"/>
        <v>221278852.30230939</v>
      </c>
      <c r="Y124" s="1134">
        <f t="shared" ca="1" si="31"/>
        <v>2508187.9946155548</v>
      </c>
      <c r="Z124" s="1134">
        <f t="shared" ca="1" si="32"/>
        <v>218770664.30769384</v>
      </c>
      <c r="AA124" s="1132">
        <f t="shared" ca="1" si="33"/>
        <v>0.3809897594736732</v>
      </c>
      <c r="AB124" s="1105"/>
    </row>
    <row r="125" spans="1:28">
      <c r="A125" s="1144">
        <f>Calendar!J117</f>
        <v>48484</v>
      </c>
      <c r="C125" s="1104"/>
      <c r="D125" s="1125">
        <f t="shared" ca="1" si="19"/>
        <v>49521</v>
      </c>
      <c r="E125" s="1126">
        <f t="shared" ca="1" si="20"/>
        <v>49548</v>
      </c>
      <c r="F125" s="1127">
        <f t="shared" ca="1" si="21"/>
        <v>3499</v>
      </c>
      <c r="G125" s="1128">
        <f ca="1">IF(F125&lt;&gt;"",COUNTIF($F$11:F125,"&gt;0"),"")</f>
        <v>115</v>
      </c>
      <c r="H125" s="1129">
        <v>1.1393319989222802E-2</v>
      </c>
      <c r="I125" s="1073"/>
      <c r="J125" s="1130">
        <f t="shared" ca="1" si="22"/>
        <v>4375413286.1538687</v>
      </c>
      <c r="K125" s="1131">
        <f t="shared" ca="1" si="23"/>
        <v>49850483.654247895</v>
      </c>
      <c r="L125" s="1130">
        <f t="shared" ca="1" si="24"/>
        <v>0</v>
      </c>
      <c r="M125" s="1130">
        <f t="shared" ca="1" si="25"/>
        <v>0</v>
      </c>
      <c r="N125" s="1130">
        <f t="shared" ca="1" si="34"/>
        <v>4325562802.4996204</v>
      </c>
      <c r="O125" s="1073"/>
      <c r="P125" s="1130">
        <f t="shared" ca="1" si="26"/>
        <v>49850483.654248238</v>
      </c>
      <c r="Q125" s="1130">
        <f t="shared" ca="1" si="27"/>
        <v>4109284662.374639</v>
      </c>
      <c r="R125" s="1130">
        <f t="shared" ca="1" si="35"/>
        <v>4156642621.8461752</v>
      </c>
      <c r="S125" s="1130">
        <f t="shared" ca="1" si="36"/>
        <v>47357959.47153616</v>
      </c>
      <c r="T125" s="1130">
        <f t="shared" ca="1" si="28"/>
        <v>4109284662.374639</v>
      </c>
      <c r="U125" s="1132">
        <f t="shared" ca="1" si="29"/>
        <v>0.3520430433842211</v>
      </c>
      <c r="V125" s="1133">
        <f t="shared" ca="1" si="30"/>
        <v>5.0000000000000044E-2</v>
      </c>
      <c r="X125" s="1134">
        <f t="shared" ca="1" si="37"/>
        <v>218770664.30769384</v>
      </c>
      <c r="Y125" s="1134">
        <f t="shared" ca="1" si="31"/>
        <v>2492524.1827120781</v>
      </c>
      <c r="Z125" s="1134">
        <f t="shared" ca="1" si="32"/>
        <v>216278140.12498176</v>
      </c>
      <c r="AA125" s="1132">
        <f t="shared" ca="1" si="33"/>
        <v>0.37667125397330209</v>
      </c>
      <c r="AB125" s="1105"/>
    </row>
    <row r="126" spans="1:28">
      <c r="A126" s="1144">
        <f>Calendar!J118</f>
        <v>48514</v>
      </c>
      <c r="C126" s="1104"/>
      <c r="D126" s="1125">
        <f t="shared" ca="1" si="19"/>
        <v>49552</v>
      </c>
      <c r="E126" s="1126">
        <f t="shared" ca="1" si="20"/>
        <v>49579</v>
      </c>
      <c r="F126" s="1127">
        <f t="shared" ca="1" si="21"/>
        <v>3530</v>
      </c>
      <c r="G126" s="1128">
        <f ca="1">IF(F126&lt;&gt;"",COUNTIF($F$11:F126,"&gt;0"),"")</f>
        <v>116</v>
      </c>
      <c r="H126" s="1129">
        <v>1.1436699626936178E-2</v>
      </c>
      <c r="I126" s="1073"/>
      <c r="J126" s="1130">
        <f t="shared" ca="1" si="22"/>
        <v>4325562802.4996204</v>
      </c>
      <c r="K126" s="1131">
        <f t="shared" ca="1" si="23"/>
        <v>49470162.489636421</v>
      </c>
      <c r="L126" s="1130">
        <f t="shared" ca="1" si="24"/>
        <v>0</v>
      </c>
      <c r="M126" s="1130">
        <f t="shared" ca="1" si="25"/>
        <v>0</v>
      </c>
      <c r="N126" s="1130">
        <f t="shared" ca="1" si="34"/>
        <v>4276092640.009984</v>
      </c>
      <c r="O126" s="1073"/>
      <c r="P126" s="1130">
        <f t="shared" ca="1" si="26"/>
        <v>49470162.489636421</v>
      </c>
      <c r="Q126" s="1130">
        <f t="shared" ca="1" si="27"/>
        <v>4062288008.0094848</v>
      </c>
      <c r="R126" s="1130">
        <f t="shared" ca="1" si="35"/>
        <v>4109284662.374639</v>
      </c>
      <c r="S126" s="1130">
        <f t="shared" ca="1" si="36"/>
        <v>46996654.365154266</v>
      </c>
      <c r="T126" s="1130">
        <f t="shared" ca="1" si="28"/>
        <v>4062288008.0094848</v>
      </c>
      <c r="U126" s="1132">
        <f t="shared" ca="1" si="29"/>
        <v>0.34803210434096477</v>
      </c>
      <c r="V126" s="1133">
        <f t="shared" ca="1" si="30"/>
        <v>5.0000000000000044E-2</v>
      </c>
      <c r="X126" s="1134">
        <f t="shared" ca="1" si="37"/>
        <v>216278140.12498176</v>
      </c>
      <c r="Y126" s="1134">
        <f t="shared" ca="1" si="31"/>
        <v>2473508.1244821548</v>
      </c>
      <c r="Z126" s="1134">
        <f t="shared" ca="1" si="32"/>
        <v>213804632.00049961</v>
      </c>
      <c r="AA126" s="1132">
        <f t="shared" ca="1" si="33"/>
        <v>0.37237971784604296</v>
      </c>
      <c r="AB126" s="1105"/>
    </row>
    <row r="127" spans="1:28">
      <c r="A127" s="1144">
        <f>Calendar!J119</f>
        <v>48547</v>
      </c>
      <c r="C127" s="1104"/>
      <c r="D127" s="1125">
        <f t="shared" ca="1" si="19"/>
        <v>49582</v>
      </c>
      <c r="E127" s="1126">
        <f t="shared" ca="1" si="20"/>
        <v>49611</v>
      </c>
      <c r="F127" s="1127">
        <f t="shared" ca="1" si="21"/>
        <v>3562</v>
      </c>
      <c r="G127" s="1128">
        <f ca="1">IF(F127&lt;&gt;"",COUNTIF($F$11:F127,"&gt;0"),"")</f>
        <v>117</v>
      </c>
      <c r="H127" s="1129">
        <v>1.149743588772667E-2</v>
      </c>
      <c r="I127" s="1073"/>
      <c r="J127" s="1130">
        <f t="shared" ca="1" si="22"/>
        <v>4276092640.009984</v>
      </c>
      <c r="K127" s="1131">
        <f t="shared" ca="1" si="23"/>
        <v>49164100.978494674</v>
      </c>
      <c r="L127" s="1130">
        <f t="shared" ca="1" si="24"/>
        <v>0</v>
      </c>
      <c r="M127" s="1130">
        <f t="shared" ca="1" si="25"/>
        <v>0</v>
      </c>
      <c r="N127" s="1130">
        <f t="shared" ca="1" si="34"/>
        <v>4226928539.0314894</v>
      </c>
      <c r="O127" s="1073"/>
      <c r="P127" s="1130">
        <f t="shared" ca="1" si="26"/>
        <v>49164100.978495121</v>
      </c>
      <c r="Q127" s="1130">
        <f t="shared" ca="1" si="27"/>
        <v>4015582112.0799146</v>
      </c>
      <c r="R127" s="1130">
        <f t="shared" ca="1" si="35"/>
        <v>4062288008.0094848</v>
      </c>
      <c r="S127" s="1130">
        <f t="shared" ca="1" si="36"/>
        <v>46705895.929570198</v>
      </c>
      <c r="T127" s="1130">
        <f t="shared" ca="1" si="28"/>
        <v>4015582112.0799146</v>
      </c>
      <c r="U127" s="1132">
        <f t="shared" ca="1" si="29"/>
        <v>0.34405176570308665</v>
      </c>
      <c r="V127" s="1133">
        <f t="shared" ca="1" si="30"/>
        <v>5.0000000000000044E-2</v>
      </c>
      <c r="X127" s="1134">
        <f t="shared" ca="1" si="37"/>
        <v>213804632.00049961</v>
      </c>
      <c r="Y127" s="1134">
        <f t="shared" ca="1" si="31"/>
        <v>2458205.0489249229</v>
      </c>
      <c r="Z127" s="1134">
        <f t="shared" ca="1" si="32"/>
        <v>211346426.95157468</v>
      </c>
      <c r="AA127" s="1132">
        <f t="shared" ca="1" si="33"/>
        <v>0.368120922865874</v>
      </c>
      <c r="AB127" s="1105"/>
    </row>
    <row r="128" spans="1:28">
      <c r="A128" s="1144">
        <f>Calendar!J120</f>
        <v>48575</v>
      </c>
      <c r="C128" s="1104"/>
      <c r="D128" s="1125">
        <f t="shared" ca="1" si="19"/>
        <v>49613</v>
      </c>
      <c r="E128" s="1126">
        <f t="shared" ca="1" si="20"/>
        <v>49640</v>
      </c>
      <c r="F128" s="1127">
        <f t="shared" ca="1" si="21"/>
        <v>3591</v>
      </c>
      <c r="G128" s="1128">
        <f ca="1">IF(F128&lt;&gt;"",COUNTIF($F$11:F128,"&gt;0"),"")</f>
        <v>118</v>
      </c>
      <c r="H128" s="1129">
        <v>1.1555022241423348E-2</v>
      </c>
      <c r="I128" s="1073"/>
      <c r="J128" s="1130">
        <f t="shared" ca="1" si="22"/>
        <v>4226928539.0314894</v>
      </c>
      <c r="K128" s="1131">
        <f t="shared" ca="1" si="23"/>
        <v>48842253.281415962</v>
      </c>
      <c r="L128" s="1130">
        <f t="shared" ca="1" si="24"/>
        <v>0</v>
      </c>
      <c r="M128" s="1130">
        <f t="shared" ca="1" si="25"/>
        <v>0</v>
      </c>
      <c r="N128" s="1130">
        <f t="shared" ca="1" si="34"/>
        <v>4178086285.7500734</v>
      </c>
      <c r="O128" s="1073"/>
      <c r="P128" s="1130">
        <f t="shared" ca="1" si="26"/>
        <v>48842253.281415939</v>
      </c>
      <c r="Q128" s="1130">
        <f t="shared" ca="1" si="27"/>
        <v>3969181971.4625697</v>
      </c>
      <c r="R128" s="1130">
        <f t="shared" ca="1" si="35"/>
        <v>4015582112.0799146</v>
      </c>
      <c r="S128" s="1130">
        <f t="shared" ca="1" si="36"/>
        <v>46400140.617344856</v>
      </c>
      <c r="T128" s="1130">
        <f t="shared" ca="1" si="28"/>
        <v>3969181971.4625697</v>
      </c>
      <c r="U128" s="1132">
        <f t="shared" ca="1" si="29"/>
        <v>0.34009605258485626</v>
      </c>
      <c r="V128" s="1133">
        <f t="shared" ca="1" si="30"/>
        <v>5.0000000000000044E-2</v>
      </c>
      <c r="X128" s="1134">
        <f t="shared" ca="1" si="37"/>
        <v>211346426.95157468</v>
      </c>
      <c r="Y128" s="1134">
        <f t="shared" ca="1" si="31"/>
        <v>2442112.6640710831</v>
      </c>
      <c r="Z128" s="1134">
        <f t="shared" ca="1" si="32"/>
        <v>208904314.2875036</v>
      </c>
      <c r="AA128" s="1132">
        <f t="shared" ca="1" si="33"/>
        <v>0.3638884761562925</v>
      </c>
      <c r="AB128" s="1105"/>
    </row>
    <row r="129" spans="1:28">
      <c r="A129" s="1144">
        <f>Calendar!J121</f>
        <v>48606</v>
      </c>
      <c r="C129" s="1104"/>
      <c r="D129" s="1125">
        <f t="shared" ca="1" si="19"/>
        <v>49643</v>
      </c>
      <c r="E129" s="1126">
        <f t="shared" ca="1" si="20"/>
        <v>49670</v>
      </c>
      <c r="F129" s="1127">
        <f t="shared" ca="1" si="21"/>
        <v>3621</v>
      </c>
      <c r="G129" s="1128">
        <f ca="1">IF(F129&lt;&gt;"",COUNTIF($F$11:F129,"&gt;0"),"")</f>
        <v>119</v>
      </c>
      <c r="H129" s="1129">
        <v>1.1605834995699654E-2</v>
      </c>
      <c r="I129" s="1073"/>
      <c r="J129" s="1130">
        <f t="shared" ca="1" si="22"/>
        <v>4178086285.7500734</v>
      </c>
      <c r="K129" s="1131">
        <f t="shared" ca="1" si="23"/>
        <v>48490180.030210987</v>
      </c>
      <c r="L129" s="1130">
        <f t="shared" ca="1" si="24"/>
        <v>0</v>
      </c>
      <c r="M129" s="1130">
        <f t="shared" ca="1" si="25"/>
        <v>0</v>
      </c>
      <c r="N129" s="1130">
        <f t="shared" ca="1" si="34"/>
        <v>4129596105.7198625</v>
      </c>
      <c r="O129" s="1073"/>
      <c r="P129" s="1130">
        <f t="shared" ca="1" si="26"/>
        <v>48490180.030210972</v>
      </c>
      <c r="Q129" s="1130">
        <f t="shared" ca="1" si="27"/>
        <v>3923116300.4338694</v>
      </c>
      <c r="R129" s="1130">
        <f t="shared" ca="1" si="35"/>
        <v>3969181971.4625697</v>
      </c>
      <c r="S129" s="1130">
        <f t="shared" ca="1" si="36"/>
        <v>46065671.028700352</v>
      </c>
      <c r="T129" s="1130">
        <f t="shared" ca="1" si="28"/>
        <v>3923116300.4338694</v>
      </c>
      <c r="U129" s="1132">
        <f t="shared" ca="1" si="29"/>
        <v>0.33616623513301797</v>
      </c>
      <c r="V129" s="1133">
        <f t="shared" ca="1" si="30"/>
        <v>5.0000000000000044E-2</v>
      </c>
      <c r="X129" s="1134">
        <f t="shared" ca="1" si="37"/>
        <v>208904314.2875036</v>
      </c>
      <c r="Y129" s="1134">
        <f t="shared" ca="1" si="31"/>
        <v>2424509.0015106201</v>
      </c>
      <c r="Z129" s="1134">
        <f t="shared" ca="1" si="32"/>
        <v>206479805.28599298</v>
      </c>
      <c r="AA129" s="1132">
        <f t="shared" ca="1" si="33"/>
        <v>0.35968373672090842</v>
      </c>
      <c r="AB129" s="1105"/>
    </row>
    <row r="130" spans="1:28">
      <c r="A130" s="1144">
        <f>Calendar!J122</f>
        <v>48638</v>
      </c>
      <c r="C130" s="1104"/>
      <c r="D130" s="1125">
        <f t="shared" ca="1" si="19"/>
        <v>49674</v>
      </c>
      <c r="E130" s="1126">
        <f t="shared" ca="1" si="20"/>
        <v>49702</v>
      </c>
      <c r="F130" s="1127">
        <f t="shared" ca="1" si="21"/>
        <v>3653</v>
      </c>
      <c r="G130" s="1128">
        <f ca="1">IF(F130&lt;&gt;"",COUNTIF($F$11:F130,"&gt;0"),"")</f>
        <v>120</v>
      </c>
      <c r="H130" s="1129">
        <v>1.1655534415548082E-2</v>
      </c>
      <c r="I130" s="1073"/>
      <c r="J130" s="1130">
        <f t="shared" ca="1" si="22"/>
        <v>4129596105.7198625</v>
      </c>
      <c r="K130" s="1131">
        <f t="shared" ca="1" si="23"/>
        <v>48132649.532531194</v>
      </c>
      <c r="L130" s="1130">
        <f t="shared" ca="1" si="24"/>
        <v>0</v>
      </c>
      <c r="M130" s="1130">
        <f t="shared" ca="1" si="25"/>
        <v>0</v>
      </c>
      <c r="N130" s="1130">
        <f t="shared" ca="1" si="34"/>
        <v>4081463456.1873312</v>
      </c>
      <c r="O130" s="1073"/>
      <c r="P130" s="1130">
        <f t="shared" ca="1" si="26"/>
        <v>48132649.532531261</v>
      </c>
      <c r="Q130" s="1130">
        <f t="shared" ca="1" si="27"/>
        <v>3877390283.3779645</v>
      </c>
      <c r="R130" s="1130">
        <f t="shared" ca="1" si="35"/>
        <v>3923116300.4338694</v>
      </c>
      <c r="S130" s="1130">
        <f t="shared" ca="1" si="36"/>
        <v>45726017.055904865</v>
      </c>
      <c r="T130" s="1130">
        <f t="shared" ca="1" si="28"/>
        <v>3877390283.3779645</v>
      </c>
      <c r="U130" s="1132">
        <f t="shared" ca="1" si="29"/>
        <v>0.33226474527693861</v>
      </c>
      <c r="V130" s="1133">
        <f t="shared" ca="1" si="30"/>
        <v>5.0000000000000044E-2</v>
      </c>
      <c r="X130" s="1134">
        <f t="shared" ca="1" si="37"/>
        <v>206479805.28599298</v>
      </c>
      <c r="Y130" s="1134">
        <f t="shared" ca="1" si="31"/>
        <v>2406632.4766263962</v>
      </c>
      <c r="Z130" s="1134">
        <f t="shared" ca="1" si="32"/>
        <v>204073172.80936658</v>
      </c>
      <c r="AA130" s="1132">
        <f t="shared" ca="1" si="33"/>
        <v>0.35550930662188873</v>
      </c>
      <c r="AB130" s="1105"/>
    </row>
    <row r="131" spans="1:28">
      <c r="A131" s="1144">
        <f>Calendar!J123</f>
        <v>48666</v>
      </c>
      <c r="C131" s="1104"/>
      <c r="D131" s="1125">
        <f t="shared" ca="1" si="19"/>
        <v>49705</v>
      </c>
      <c r="E131" s="1126">
        <f t="shared" ca="1" si="20"/>
        <v>49732</v>
      </c>
      <c r="F131" s="1127">
        <f t="shared" ca="1" si="21"/>
        <v>3683</v>
      </c>
      <c r="G131" s="1128">
        <f ca="1">IF(F131&lt;&gt;"",COUNTIF($F$11:F131,"&gt;0"),"")</f>
        <v>121</v>
      </c>
      <c r="H131" s="1129">
        <v>1.1719020820377648E-2</v>
      </c>
      <c r="I131" s="1073"/>
      <c r="J131" s="1130">
        <f t="shared" ca="1" si="22"/>
        <v>4081463456.1873312</v>
      </c>
      <c r="K131" s="1131">
        <f t="shared" ca="1" si="23"/>
        <v>47830755.220669851</v>
      </c>
      <c r="L131" s="1130">
        <f t="shared" ca="1" si="24"/>
        <v>0</v>
      </c>
      <c r="M131" s="1130">
        <f t="shared" ca="1" si="25"/>
        <v>0</v>
      </c>
      <c r="N131" s="1130">
        <f t="shared" ca="1" si="34"/>
        <v>4033632700.9666615</v>
      </c>
      <c r="O131" s="1073"/>
      <c r="P131" s="1130">
        <f t="shared" ca="1" si="26"/>
        <v>47830755.220669746</v>
      </c>
      <c r="Q131" s="1130">
        <f t="shared" ca="1" si="27"/>
        <v>3831951065.9183283</v>
      </c>
      <c r="R131" s="1130">
        <f t="shared" ca="1" si="35"/>
        <v>3877390283.3779645</v>
      </c>
      <c r="S131" s="1130">
        <f t="shared" ca="1" si="36"/>
        <v>45439217.459636211</v>
      </c>
      <c r="T131" s="1130">
        <f t="shared" ca="1" si="28"/>
        <v>3831951065.9183283</v>
      </c>
      <c r="U131" s="1132">
        <f t="shared" ca="1" si="29"/>
        <v>0.32839202210328988</v>
      </c>
      <c r="V131" s="1133">
        <f t="shared" ca="1" si="30"/>
        <v>5.0000000000000044E-2</v>
      </c>
      <c r="X131" s="1134">
        <f t="shared" ca="1" si="37"/>
        <v>204073172.80936658</v>
      </c>
      <c r="Y131" s="1134">
        <f t="shared" ca="1" si="31"/>
        <v>2391537.761033535</v>
      </c>
      <c r="Z131" s="1134">
        <f t="shared" ca="1" si="32"/>
        <v>201681635.04833305</v>
      </c>
      <c r="AA131" s="1132">
        <f t="shared" ca="1" si="33"/>
        <v>0.35136565566350997</v>
      </c>
      <c r="AB131" s="1105"/>
    </row>
    <row r="132" spans="1:28">
      <c r="A132" s="1144">
        <f>Calendar!J124</f>
        <v>48696</v>
      </c>
      <c r="C132" s="1104"/>
      <c r="D132" s="1125">
        <f t="shared" ca="1" si="19"/>
        <v>49734</v>
      </c>
      <c r="E132" s="1126">
        <f t="shared" ca="1" si="20"/>
        <v>49761</v>
      </c>
      <c r="F132" s="1127">
        <f t="shared" ca="1" si="21"/>
        <v>3712</v>
      </c>
      <c r="G132" s="1128">
        <f ca="1">IF(F132&lt;&gt;"",COUNTIF($F$11:F132,"&gt;0"),"")</f>
        <v>122</v>
      </c>
      <c r="H132" s="1129">
        <v>1.1772454203261574E-2</v>
      </c>
      <c r="I132" s="1073"/>
      <c r="J132" s="1130">
        <f t="shared" ca="1" si="22"/>
        <v>4033632700.9666615</v>
      </c>
      <c r="K132" s="1131">
        <f t="shared" ca="1" si="23"/>
        <v>47485756.24490831</v>
      </c>
      <c r="L132" s="1130">
        <f t="shared" ca="1" si="24"/>
        <v>0</v>
      </c>
      <c r="M132" s="1130">
        <f t="shared" ca="1" si="25"/>
        <v>0</v>
      </c>
      <c r="N132" s="1130">
        <f t="shared" ca="1" si="34"/>
        <v>3986146944.7217531</v>
      </c>
      <c r="O132" s="1073"/>
      <c r="P132" s="1130">
        <f t="shared" ca="1" si="26"/>
        <v>47485756.244908333</v>
      </c>
      <c r="Q132" s="1130">
        <f t="shared" ca="1" si="27"/>
        <v>3786839597.4856653</v>
      </c>
      <c r="R132" s="1130">
        <f t="shared" ca="1" si="35"/>
        <v>3831951065.9183283</v>
      </c>
      <c r="S132" s="1130">
        <f t="shared" ca="1" si="36"/>
        <v>45111468.432662964</v>
      </c>
      <c r="T132" s="1130">
        <f t="shared" ca="1" si="28"/>
        <v>3786839597.4856653</v>
      </c>
      <c r="U132" s="1132">
        <f t="shared" ca="1" si="29"/>
        <v>0.32454358915901554</v>
      </c>
      <c r="V132" s="1133">
        <f t="shared" ca="1" si="30"/>
        <v>5.0000000000000044E-2</v>
      </c>
      <c r="X132" s="1134">
        <f t="shared" ca="1" si="37"/>
        <v>201681635.04833305</v>
      </c>
      <c r="Y132" s="1134">
        <f t="shared" ca="1" si="31"/>
        <v>2374287.812245369</v>
      </c>
      <c r="Z132" s="1134">
        <f t="shared" ca="1" si="32"/>
        <v>199307347.23608768</v>
      </c>
      <c r="AA132" s="1132">
        <f t="shared" ca="1" si="33"/>
        <v>0.34724799422922359</v>
      </c>
      <c r="AB132" s="1105"/>
    </row>
    <row r="133" spans="1:28">
      <c r="A133" s="1144">
        <f>Calendar!J125</f>
        <v>48726</v>
      </c>
      <c r="C133" s="1104"/>
      <c r="D133" s="1125">
        <f t="shared" ca="1" si="19"/>
        <v>49765</v>
      </c>
      <c r="E133" s="1126">
        <f t="shared" ca="1" si="20"/>
        <v>49793</v>
      </c>
      <c r="F133" s="1127">
        <f t="shared" ca="1" si="21"/>
        <v>3744</v>
      </c>
      <c r="G133" s="1128">
        <f ca="1">IF(F133&lt;&gt;"",COUNTIF($F$11:F133,"&gt;0"),"")</f>
        <v>123</v>
      </c>
      <c r="H133" s="1129">
        <v>1.1814644938606718E-2</v>
      </c>
      <c r="I133" s="1073"/>
      <c r="J133" s="1130">
        <f t="shared" ca="1" si="22"/>
        <v>3986146944.7217531</v>
      </c>
      <c r="K133" s="1131">
        <f t="shared" ca="1" si="23"/>
        <v>47094910.824999489</v>
      </c>
      <c r="L133" s="1130">
        <f t="shared" ca="1" si="24"/>
        <v>0</v>
      </c>
      <c r="M133" s="1130">
        <f t="shared" ca="1" si="25"/>
        <v>0</v>
      </c>
      <c r="N133" s="1130">
        <f t="shared" ca="1" si="34"/>
        <v>3939052033.8967538</v>
      </c>
      <c r="O133" s="1073"/>
      <c r="P133" s="1130">
        <f t="shared" ca="1" si="26"/>
        <v>47094910.824999332</v>
      </c>
      <c r="Q133" s="1130">
        <f t="shared" ca="1" si="27"/>
        <v>3742099432.2019157</v>
      </c>
      <c r="R133" s="1130">
        <f t="shared" ca="1" si="35"/>
        <v>3786839597.4856653</v>
      </c>
      <c r="S133" s="1130">
        <f t="shared" ca="1" si="36"/>
        <v>44740165.28374958</v>
      </c>
      <c r="T133" s="1130">
        <f t="shared" ca="1" si="28"/>
        <v>3742099432.2019157</v>
      </c>
      <c r="U133" s="1132">
        <f t="shared" ca="1" si="29"/>
        <v>0.32072291461867891</v>
      </c>
      <c r="V133" s="1133">
        <f t="shared" ca="1" si="30"/>
        <v>5.0000000000000044E-2</v>
      </c>
      <c r="X133" s="1134">
        <f t="shared" ca="1" si="37"/>
        <v>199307347.23608768</v>
      </c>
      <c r="Y133" s="1134">
        <f t="shared" ca="1" si="31"/>
        <v>2354745.541249752</v>
      </c>
      <c r="Z133" s="1134">
        <f t="shared" ca="1" si="32"/>
        <v>196952601.69483793</v>
      </c>
      <c r="AA133" s="1132">
        <f t="shared" ca="1" si="33"/>
        <v>0.34316003311998566</v>
      </c>
      <c r="AB133" s="1105"/>
    </row>
    <row r="134" spans="1:28">
      <c r="A134" s="1144">
        <f>Calendar!J126</f>
        <v>48757</v>
      </c>
      <c r="C134" s="1104"/>
      <c r="D134" s="1125">
        <f t="shared" ca="1" si="19"/>
        <v>49795</v>
      </c>
      <c r="E134" s="1126">
        <f t="shared" ca="1" si="20"/>
        <v>49822</v>
      </c>
      <c r="F134" s="1127">
        <f t="shared" ca="1" si="21"/>
        <v>3773</v>
      </c>
      <c r="G134" s="1128">
        <f ca="1">IF(F134&lt;&gt;"",COUNTIF($F$11:F134,"&gt;0"),"")</f>
        <v>124</v>
      </c>
      <c r="H134" s="1129">
        <v>1.184628088348732E-2</v>
      </c>
      <c r="I134" s="1073"/>
      <c r="J134" s="1130">
        <f t="shared" ca="1" si="22"/>
        <v>3939052033.8967538</v>
      </c>
      <c r="K134" s="1131">
        <f t="shared" ca="1" si="23"/>
        <v>46663116.808212966</v>
      </c>
      <c r="L134" s="1130">
        <f t="shared" ca="1" si="24"/>
        <v>0</v>
      </c>
      <c r="M134" s="1130">
        <f t="shared" ca="1" si="25"/>
        <v>0</v>
      </c>
      <c r="N134" s="1130">
        <f t="shared" ca="1" si="34"/>
        <v>3892388917.088541</v>
      </c>
      <c r="O134" s="1073"/>
      <c r="P134" s="1130">
        <f t="shared" ca="1" si="26"/>
        <v>46663116.808212757</v>
      </c>
      <c r="Q134" s="1130">
        <f t="shared" ca="1" si="27"/>
        <v>3697769471.2341137</v>
      </c>
      <c r="R134" s="1130">
        <f t="shared" ca="1" si="35"/>
        <v>3742099432.2019157</v>
      </c>
      <c r="S134" s="1130">
        <f t="shared" ca="1" si="36"/>
        <v>44329960.967802048</v>
      </c>
      <c r="T134" s="1130">
        <f t="shared" ca="1" si="28"/>
        <v>3697769471.2341137</v>
      </c>
      <c r="U134" s="1132">
        <f t="shared" ca="1" si="29"/>
        <v>0.31693368725878412</v>
      </c>
      <c r="V134" s="1133">
        <f t="shared" ca="1" si="30"/>
        <v>5.0000000000000044E-2</v>
      </c>
      <c r="X134" s="1134">
        <f t="shared" ca="1" si="37"/>
        <v>196952601.69483793</v>
      </c>
      <c r="Y134" s="1134">
        <f t="shared" ca="1" si="31"/>
        <v>2333155.8404107094</v>
      </c>
      <c r="Z134" s="1134">
        <f t="shared" ca="1" si="32"/>
        <v>194619445.85442722</v>
      </c>
      <c r="AA134" s="1132">
        <f t="shared" ca="1" si="33"/>
        <v>0.33910571917155291</v>
      </c>
      <c r="AB134" s="1105"/>
    </row>
    <row r="135" spans="1:28">
      <c r="A135" s="1144">
        <f>Calendar!J127</f>
        <v>48787</v>
      </c>
      <c r="C135" s="1104"/>
      <c r="D135" s="1125">
        <f t="shared" ca="1" si="19"/>
        <v>49826</v>
      </c>
      <c r="E135" s="1126">
        <f t="shared" ca="1" si="20"/>
        <v>49853</v>
      </c>
      <c r="F135" s="1127">
        <f t="shared" ca="1" si="21"/>
        <v>3804</v>
      </c>
      <c r="G135" s="1128">
        <f ca="1">IF(F135&lt;&gt;"",COUNTIF($F$11:F135,"&gt;0"),"")</f>
        <v>125</v>
      </c>
      <c r="H135" s="1129">
        <v>1.189451779593848E-2</v>
      </c>
      <c r="I135" s="1073"/>
      <c r="J135" s="1130">
        <f t="shared" ca="1" si="22"/>
        <v>3892388917.088541</v>
      </c>
      <c r="K135" s="1131">
        <f t="shared" ca="1" si="23"/>
        <v>46298089.243023358</v>
      </c>
      <c r="L135" s="1130">
        <f t="shared" ca="1" si="24"/>
        <v>0</v>
      </c>
      <c r="M135" s="1130">
        <f t="shared" ca="1" si="25"/>
        <v>0</v>
      </c>
      <c r="N135" s="1130">
        <f t="shared" ca="1" si="34"/>
        <v>3846090827.8455176</v>
      </c>
      <c r="O135" s="1073"/>
      <c r="P135" s="1130">
        <f t="shared" ca="1" si="26"/>
        <v>46298089.243023396</v>
      </c>
      <c r="Q135" s="1130">
        <f t="shared" ca="1" si="27"/>
        <v>3653786286.4532413</v>
      </c>
      <c r="R135" s="1130">
        <f t="shared" ca="1" si="35"/>
        <v>3697769471.2341137</v>
      </c>
      <c r="S135" s="1130">
        <f t="shared" ca="1" si="36"/>
        <v>43983184.780872345</v>
      </c>
      <c r="T135" s="1130">
        <f t="shared" ca="1" si="28"/>
        <v>3653786286.4532413</v>
      </c>
      <c r="U135" s="1132">
        <f t="shared" ca="1" si="29"/>
        <v>0.31317920177807723</v>
      </c>
      <c r="V135" s="1133">
        <f t="shared" ca="1" si="30"/>
        <v>5.0000000000000155E-2</v>
      </c>
      <c r="X135" s="1134">
        <f t="shared" ca="1" si="37"/>
        <v>194619445.85442722</v>
      </c>
      <c r="Y135" s="1134">
        <f t="shared" ca="1" si="31"/>
        <v>2314904.4621510506</v>
      </c>
      <c r="Z135" s="1134">
        <f t="shared" ca="1" si="32"/>
        <v>192304541.39227617</v>
      </c>
      <c r="AA135" s="1132">
        <f t="shared" ca="1" si="33"/>
        <v>0.33508857757304961</v>
      </c>
      <c r="AB135" s="1105"/>
    </row>
    <row r="136" spans="1:28">
      <c r="A136" s="1144">
        <f>Calendar!J128</f>
        <v>48820</v>
      </c>
      <c r="C136" s="1104"/>
      <c r="D136" s="1125">
        <f t="shared" ca="1" si="19"/>
        <v>49856</v>
      </c>
      <c r="E136" s="1126">
        <f t="shared" ca="1" si="20"/>
        <v>49884</v>
      </c>
      <c r="F136" s="1127">
        <f t="shared" ca="1" si="21"/>
        <v>3835</v>
      </c>
      <c r="G136" s="1128">
        <f ca="1">IF(F136&lt;&gt;"",COUNTIF($F$11:F136,"&gt;0"),"")</f>
        <v>126</v>
      </c>
      <c r="H136" s="1129">
        <v>1.1958332181730192E-2</v>
      </c>
      <c r="I136" s="1073"/>
      <c r="J136" s="1130">
        <f t="shared" ca="1" si="22"/>
        <v>3846090827.8455176</v>
      </c>
      <c r="K136" s="1131">
        <f t="shared" ca="1" si="23"/>
        <v>45992831.720482372</v>
      </c>
      <c r="L136" s="1130">
        <f t="shared" ca="1" si="24"/>
        <v>0</v>
      </c>
      <c r="M136" s="1130">
        <f t="shared" ca="1" si="25"/>
        <v>0</v>
      </c>
      <c r="N136" s="1130">
        <f t="shared" ca="1" si="34"/>
        <v>3800097996.1250353</v>
      </c>
      <c r="O136" s="1073"/>
      <c r="P136" s="1130">
        <f t="shared" ca="1" si="26"/>
        <v>45992831.720482349</v>
      </c>
      <c r="Q136" s="1130">
        <f t="shared" ca="1" si="27"/>
        <v>3610093096.3187833</v>
      </c>
      <c r="R136" s="1130">
        <f t="shared" ca="1" si="35"/>
        <v>3653786286.4532413</v>
      </c>
      <c r="S136" s="1130">
        <f t="shared" ca="1" si="36"/>
        <v>43693190.134458065</v>
      </c>
      <c r="T136" s="1130">
        <f t="shared" ca="1" si="28"/>
        <v>3610093096.3187833</v>
      </c>
      <c r="U136" s="1132">
        <f t="shared" ca="1" si="29"/>
        <v>0.30945408618921011</v>
      </c>
      <c r="V136" s="1133">
        <f t="shared" ca="1" si="30"/>
        <v>5.0000000000000044E-2</v>
      </c>
      <c r="X136" s="1134">
        <f t="shared" ca="1" si="37"/>
        <v>192304541.39227617</v>
      </c>
      <c r="Y136" s="1134">
        <f t="shared" ca="1" si="31"/>
        <v>2299641.5860242844</v>
      </c>
      <c r="Z136" s="1134">
        <f t="shared" ca="1" si="32"/>
        <v>190004899.80625188</v>
      </c>
      <c r="AA136" s="1132">
        <f t="shared" ca="1" si="33"/>
        <v>0.33110286052389148</v>
      </c>
      <c r="AB136" s="1105"/>
    </row>
    <row r="137" spans="1:28">
      <c r="A137" s="1144">
        <f>Calendar!J129</f>
        <v>48849</v>
      </c>
      <c r="C137" s="1104"/>
      <c r="D137" s="1125">
        <f t="shared" ca="1" si="19"/>
        <v>49887</v>
      </c>
      <c r="E137" s="1126">
        <f t="shared" ca="1" si="20"/>
        <v>49914</v>
      </c>
      <c r="F137" s="1127">
        <f t="shared" ca="1" si="21"/>
        <v>3865</v>
      </c>
      <c r="G137" s="1128">
        <f ca="1">IF(F137&lt;&gt;"",COUNTIF($F$11:F137,"&gt;0"),"")</f>
        <v>127</v>
      </c>
      <c r="H137" s="1129">
        <v>1.2017089671290681E-2</v>
      </c>
      <c r="I137" s="1073"/>
      <c r="J137" s="1130">
        <f t="shared" ca="1" si="22"/>
        <v>3800097996.1250353</v>
      </c>
      <c r="K137" s="1131">
        <f t="shared" ca="1" si="23"/>
        <v>45666118.379126579</v>
      </c>
      <c r="L137" s="1130">
        <f t="shared" ca="1" si="24"/>
        <v>0</v>
      </c>
      <c r="M137" s="1130">
        <f t="shared" ca="1" si="25"/>
        <v>0</v>
      </c>
      <c r="N137" s="1130">
        <f t="shared" ca="1" si="34"/>
        <v>3754431877.7459087</v>
      </c>
      <c r="O137" s="1073"/>
      <c r="P137" s="1130">
        <f t="shared" ca="1" si="26"/>
        <v>45666118.379126549</v>
      </c>
      <c r="Q137" s="1130">
        <f t="shared" ca="1" si="27"/>
        <v>3566710283.858613</v>
      </c>
      <c r="R137" s="1130">
        <f t="shared" ca="1" si="35"/>
        <v>3610093096.3187833</v>
      </c>
      <c r="S137" s="1130">
        <f t="shared" ca="1" si="36"/>
        <v>43382812.460170269</v>
      </c>
      <c r="T137" s="1130">
        <f t="shared" ca="1" si="28"/>
        <v>3566710283.858613</v>
      </c>
      <c r="U137" s="1132">
        <f t="shared" ca="1" si="29"/>
        <v>0.30575353143156575</v>
      </c>
      <c r="V137" s="1133">
        <f t="shared" ca="1" si="30"/>
        <v>5.0000000000000044E-2</v>
      </c>
      <c r="X137" s="1134">
        <f t="shared" ca="1" si="37"/>
        <v>190004899.80625188</v>
      </c>
      <c r="Y137" s="1134">
        <f t="shared" ca="1" si="31"/>
        <v>2283305.9189562798</v>
      </c>
      <c r="Z137" s="1134">
        <f t="shared" ca="1" si="32"/>
        <v>187721593.8872956</v>
      </c>
      <c r="AA137" s="1132">
        <f t="shared" ca="1" si="33"/>
        <v>0.32714342253142542</v>
      </c>
      <c r="AB137" s="1105"/>
    </row>
    <row r="138" spans="1:28">
      <c r="A138" s="1144">
        <f>Calendar!J130</f>
        <v>48879</v>
      </c>
      <c r="C138" s="1104"/>
      <c r="D138" s="1125">
        <f t="shared" ca="1" si="19"/>
        <v>49918</v>
      </c>
      <c r="E138" s="1126">
        <f t="shared" ca="1" si="20"/>
        <v>49947</v>
      </c>
      <c r="F138" s="1127">
        <f t="shared" ca="1" si="21"/>
        <v>3898</v>
      </c>
      <c r="G138" s="1128">
        <f ca="1">IF(F138&lt;&gt;"",COUNTIF($F$11:F138,"&gt;0"),"")</f>
        <v>128</v>
      </c>
      <c r="H138" s="1129">
        <v>1.2072204422934746E-2</v>
      </c>
      <c r="I138" s="1073"/>
      <c r="J138" s="1130">
        <f t="shared" ca="1" si="22"/>
        <v>3754431877.7459087</v>
      </c>
      <c r="K138" s="1131">
        <f t="shared" ca="1" si="23"/>
        <v>45324269.120131366</v>
      </c>
      <c r="L138" s="1130">
        <f t="shared" ca="1" si="24"/>
        <v>0</v>
      </c>
      <c r="M138" s="1130">
        <f t="shared" ca="1" si="25"/>
        <v>0</v>
      </c>
      <c r="N138" s="1130">
        <f t="shared" ca="1" si="34"/>
        <v>3709107608.6257772</v>
      </c>
      <c r="O138" s="1073"/>
      <c r="P138" s="1130">
        <f t="shared" ca="1" si="26"/>
        <v>45324269.120131493</v>
      </c>
      <c r="Q138" s="1130">
        <f t="shared" ca="1" si="27"/>
        <v>3523652228.194488</v>
      </c>
      <c r="R138" s="1130">
        <f t="shared" ca="1" si="35"/>
        <v>3566710283.858613</v>
      </c>
      <c r="S138" s="1130">
        <f t="shared" ca="1" si="36"/>
        <v>43058055.664124966</v>
      </c>
      <c r="T138" s="1130">
        <f t="shared" ca="1" si="28"/>
        <v>3523652228.194488</v>
      </c>
      <c r="U138" s="1132">
        <f t="shared" ca="1" si="29"/>
        <v>0.30207926382703887</v>
      </c>
      <c r="V138" s="1133">
        <f t="shared" ca="1" si="30"/>
        <v>5.0000000000000044E-2</v>
      </c>
      <c r="X138" s="1134">
        <f t="shared" ca="1" si="37"/>
        <v>187721593.8872956</v>
      </c>
      <c r="Y138" s="1134">
        <f t="shared" ca="1" si="31"/>
        <v>2266213.4560065269</v>
      </c>
      <c r="Z138" s="1134">
        <f t="shared" ca="1" si="32"/>
        <v>185455380.43128908</v>
      </c>
      <c r="AA138" s="1132">
        <f t="shared" ca="1" si="33"/>
        <v>0.32321211068749245</v>
      </c>
      <c r="AB138" s="1105"/>
    </row>
    <row r="139" spans="1:28">
      <c r="A139" s="1144">
        <f>Calendar!J131</f>
        <v>48911</v>
      </c>
      <c r="C139" s="1104"/>
      <c r="D139" s="1125">
        <f t="shared" ca="1" si="19"/>
        <v>49948</v>
      </c>
      <c r="E139" s="1126">
        <f t="shared" ca="1" si="20"/>
        <v>49975</v>
      </c>
      <c r="F139" s="1127">
        <f t="shared" ca="1" si="21"/>
        <v>3926</v>
      </c>
      <c r="G139" s="1128">
        <f ca="1">IF(F139&lt;&gt;"",COUNTIF($F$11:F139,"&gt;0"),"")</f>
        <v>129</v>
      </c>
      <c r="H139" s="1129">
        <v>1.2146929369312066E-2</v>
      </c>
      <c r="I139" s="1073"/>
      <c r="J139" s="1130">
        <f t="shared" ca="1" si="22"/>
        <v>3709107608.6257772</v>
      </c>
      <c r="K139" s="1131">
        <f t="shared" ca="1" si="23"/>
        <v>45054268.145155296</v>
      </c>
      <c r="L139" s="1130">
        <f t="shared" ca="1" si="24"/>
        <v>0</v>
      </c>
      <c r="M139" s="1130">
        <f t="shared" ca="1" si="25"/>
        <v>0</v>
      </c>
      <c r="N139" s="1130">
        <f t="shared" ca="1" si="34"/>
        <v>3664053340.4806218</v>
      </c>
      <c r="O139" s="1073"/>
      <c r="P139" s="1130">
        <f t="shared" ca="1" si="26"/>
        <v>45054268.14515543</v>
      </c>
      <c r="Q139" s="1130">
        <f t="shared" ca="1" si="27"/>
        <v>3480850673.4565907</v>
      </c>
      <c r="R139" s="1130">
        <f t="shared" ca="1" si="35"/>
        <v>3523652228.194488</v>
      </c>
      <c r="S139" s="1130">
        <f t="shared" ca="1" si="36"/>
        <v>42801554.737897396</v>
      </c>
      <c r="T139" s="1130">
        <f t="shared" ca="1" si="28"/>
        <v>3480850673.4565907</v>
      </c>
      <c r="U139" s="1132">
        <f t="shared" ca="1" si="29"/>
        <v>0.29843250120218917</v>
      </c>
      <c r="V139" s="1133">
        <f t="shared" ca="1" si="30"/>
        <v>5.0000000000000044E-2</v>
      </c>
      <c r="X139" s="1134">
        <f t="shared" ca="1" si="37"/>
        <v>185455380.43128908</v>
      </c>
      <c r="Y139" s="1134">
        <f t="shared" ca="1" si="31"/>
        <v>2252713.4072580338</v>
      </c>
      <c r="Z139" s="1134">
        <f t="shared" ca="1" si="32"/>
        <v>183202667.02403104</v>
      </c>
      <c r="AA139" s="1132">
        <f t="shared" ca="1" si="33"/>
        <v>0.3193102280153049</v>
      </c>
      <c r="AB139" s="1105"/>
    </row>
    <row r="140" spans="1:28">
      <c r="A140" s="1144">
        <f>Calendar!J132</f>
        <v>48940</v>
      </c>
      <c r="C140" s="1104"/>
      <c r="D140" s="1125">
        <f t="shared" ref="D140:D203" ca="1" si="38">IF(E140&lt;&gt;"",EOMONTH(E140,-1),"")</f>
        <v>49979</v>
      </c>
      <c r="E140" s="1126">
        <f t="shared" ref="E140:E203" ca="1" si="39">IF(INDIRECT("A"&amp;(IFERROR(MATCH(E139,A:A),999)+1))&gt;0,INDIRECT("A"&amp;(IFERROR(MATCH(E139,A:A),999)+1)),"")</f>
        <v>50006</v>
      </c>
      <c r="F140" s="1127">
        <f t="shared" ref="F140:F203" ca="1" si="40">IF(E140&lt;&gt;"",E140-$A$31,"")</f>
        <v>3957</v>
      </c>
      <c r="G140" s="1128">
        <f ca="1">IF(F140&lt;&gt;"",COUNTIF($F$11:F140,"&gt;0"),"")</f>
        <v>130</v>
      </c>
      <c r="H140" s="1129">
        <v>1.2214711467789191E-2</v>
      </c>
      <c r="I140" s="1073"/>
      <c r="J140" s="1130">
        <f t="shared" ref="J140:J203" ca="1" si="41">IF(G140=1,$A$7,N139)</f>
        <v>3664053340.4806218</v>
      </c>
      <c r="K140" s="1131">
        <f t="shared" ref="K140:K203" ca="1" si="42">H140*J140</f>
        <v>44755354.35655994</v>
      </c>
      <c r="L140" s="1130">
        <f t="shared" ref="L140:L203" ca="1" si="43">IF(E140&lt;&gt;"",(1-(1-$A$25)^(1/12))*(J140-K140),"")</f>
        <v>0</v>
      </c>
      <c r="M140" s="1130">
        <f t="shared" ref="M140:M203" ca="1" si="44">IF(J140-K140-L140&lt;$A$27*$A$5,J140-K140-L140,0)</f>
        <v>0</v>
      </c>
      <c r="N140" s="1130">
        <f t="shared" ca="1" si="34"/>
        <v>3619297986.1240621</v>
      </c>
      <c r="O140" s="1073"/>
      <c r="P140" s="1130">
        <f t="shared" ref="P140:P203" ca="1" si="45">IF(G140&lt;&gt; "", R140+X140-N140, "")</f>
        <v>44755354.356559753</v>
      </c>
      <c r="Q140" s="1130">
        <f t="shared" ref="Q140:Q203" ca="1" si="46">IF(E140&lt;&gt;"", N140*(1-$A$15), "")</f>
        <v>3438333086.8178587</v>
      </c>
      <c r="R140" s="1130">
        <f t="shared" ca="1" si="35"/>
        <v>3480850673.4565907</v>
      </c>
      <c r="S140" s="1130">
        <f t="shared" ca="1" si="36"/>
        <v>42517586.638731956</v>
      </c>
      <c r="T140" s="1130">
        <f t="shared" ref="T140:T203" ca="1" si="47">IF(E140&lt;&gt;"", R140-S140, "")</f>
        <v>3438333086.8178587</v>
      </c>
      <c r="U140" s="1132">
        <f t="shared" ref="U140:U203" ca="1" si="48">IF(E140&lt;&gt;"", R140/$A$11, "")</f>
        <v>0.29480746268857905</v>
      </c>
      <c r="V140" s="1133">
        <f t="shared" ref="V140:V203" ca="1" si="49">IF(E140&lt;&gt;"", IFERROR(1-T140/N140, "n.a."), "")</f>
        <v>5.0000000000000044E-2</v>
      </c>
      <c r="X140" s="1134">
        <f t="shared" ca="1" si="37"/>
        <v>183202667.02403104</v>
      </c>
      <c r="Y140" s="1134">
        <f t="shared" ref="Y140:Y203" ca="1" si="50">IF(E140&lt;&gt;"", P140-S140, "")</f>
        <v>2237767.7178277969</v>
      </c>
      <c r="Z140" s="1134">
        <f t="shared" ref="Z140:Z203" ca="1" si="51">IF(E140&lt;&gt;"", X140-Y140, "")</f>
        <v>180964899.30620325</v>
      </c>
      <c r="AA140" s="1132">
        <f t="shared" ref="AA140:AA203" ca="1" si="52">IF(E140&lt;&gt;"", X140/$A$19, "")</f>
        <v>0.31543158922870357</v>
      </c>
      <c r="AB140" s="1105"/>
    </row>
    <row r="141" spans="1:28">
      <c r="A141" s="1144">
        <f>Calendar!J133</f>
        <v>48971</v>
      </c>
      <c r="C141" s="1104"/>
      <c r="D141" s="1125">
        <f t="shared" ca="1" si="38"/>
        <v>50009</v>
      </c>
      <c r="E141" s="1126">
        <f t="shared" ca="1" si="39"/>
        <v>50038</v>
      </c>
      <c r="F141" s="1127">
        <f t="shared" ca="1" si="40"/>
        <v>3989</v>
      </c>
      <c r="G141" s="1128">
        <f ca="1">IF(F141&lt;&gt;"",COUNTIF($F$11:F141,"&gt;0"),"")</f>
        <v>131</v>
      </c>
      <c r="H141" s="1129">
        <v>1.2293182292235061E-2</v>
      </c>
      <c r="I141" s="1073"/>
      <c r="J141" s="1130">
        <f t="shared" ca="1" si="41"/>
        <v>3619297986.1240621</v>
      </c>
      <c r="K141" s="1131">
        <f t="shared" ca="1" si="42"/>
        <v>44492689.913342334</v>
      </c>
      <c r="L141" s="1130">
        <f t="shared" ca="1" si="43"/>
        <v>0</v>
      </c>
      <c r="M141" s="1130">
        <f t="shared" ca="1" si="44"/>
        <v>0</v>
      </c>
      <c r="N141" s="1130">
        <f t="shared" ref="N141:N204" ca="1" si="53">IF(E141&lt;&gt;"",J141-K141-L141-M141,"")</f>
        <v>3574805296.2107196</v>
      </c>
      <c r="O141" s="1073"/>
      <c r="P141" s="1130">
        <f t="shared" ca="1" si="45"/>
        <v>44492689.913342476</v>
      </c>
      <c r="Q141" s="1130">
        <f t="shared" ca="1" si="46"/>
        <v>3396065031.4001837</v>
      </c>
      <c r="R141" s="1130">
        <f t="shared" ref="R141:R204" ca="1" si="54">IF(E141&lt;&gt;"", T140, "")</f>
        <v>3438333086.8178587</v>
      </c>
      <c r="S141" s="1130">
        <f t="shared" ref="S141:S204" ca="1" si="55">IF(E141&lt;&gt;"", MIN(P141,MAX(R141-Q141,0)), "")</f>
        <v>42268055.417675018</v>
      </c>
      <c r="T141" s="1130">
        <f t="shared" ca="1" si="47"/>
        <v>3396065031.4001837</v>
      </c>
      <c r="U141" s="1132">
        <f t="shared" ca="1" si="48"/>
        <v>0.29120647459328702</v>
      </c>
      <c r="V141" s="1133">
        <f t="shared" ca="1" si="49"/>
        <v>4.9999999999999933E-2</v>
      </c>
      <c r="X141" s="1134">
        <f t="shared" ref="X141:X204" ca="1" si="56">IF(E141&lt;&gt;"", Z140, "")</f>
        <v>180964899.30620325</v>
      </c>
      <c r="Y141" s="1134">
        <f t="shared" ca="1" si="50"/>
        <v>2224634.4956674576</v>
      </c>
      <c r="Z141" s="1134">
        <f t="shared" ca="1" si="51"/>
        <v>178740264.81053579</v>
      </c>
      <c r="AA141" s="1132">
        <f t="shared" ca="1" si="52"/>
        <v>0.31157868337844913</v>
      </c>
      <c r="AB141" s="1105"/>
    </row>
    <row r="142" spans="1:28">
      <c r="A142" s="1144">
        <f>Calendar!J134</f>
        <v>49002</v>
      </c>
      <c r="C142" s="1104"/>
      <c r="D142" s="1125">
        <f t="shared" ca="1" si="38"/>
        <v>50040</v>
      </c>
      <c r="E142" s="1126">
        <f t="shared" ca="1" si="39"/>
        <v>50067</v>
      </c>
      <c r="F142" s="1127">
        <f t="shared" ca="1" si="40"/>
        <v>4018</v>
      </c>
      <c r="G142" s="1128">
        <f ca="1">IF(F142&lt;&gt;"",COUNTIF($F$11:F142,"&gt;0"),"")</f>
        <v>132</v>
      </c>
      <c r="H142" s="1129">
        <v>1.2384469228646137E-2</v>
      </c>
      <c r="I142" s="1073"/>
      <c r="J142" s="1130">
        <f t="shared" ca="1" si="41"/>
        <v>3574805296.2107196</v>
      </c>
      <c r="K142" s="1131">
        <f t="shared" ca="1" si="42"/>
        <v>44272066.189322896</v>
      </c>
      <c r="L142" s="1130">
        <f t="shared" ca="1" si="43"/>
        <v>0</v>
      </c>
      <c r="M142" s="1130">
        <f t="shared" ca="1" si="44"/>
        <v>0</v>
      </c>
      <c r="N142" s="1130">
        <f t="shared" ca="1" si="53"/>
        <v>3530533230.0213966</v>
      </c>
      <c r="O142" s="1073"/>
      <c r="P142" s="1130">
        <f t="shared" ca="1" si="45"/>
        <v>44272066.189322948</v>
      </c>
      <c r="Q142" s="1130">
        <f t="shared" ca="1" si="46"/>
        <v>3354006568.5203266</v>
      </c>
      <c r="R142" s="1130">
        <f t="shared" ca="1" si="54"/>
        <v>3396065031.4001837</v>
      </c>
      <c r="S142" s="1130">
        <f t="shared" ca="1" si="55"/>
        <v>42058462.879857063</v>
      </c>
      <c r="T142" s="1130">
        <f t="shared" ca="1" si="47"/>
        <v>3354006568.5203266</v>
      </c>
      <c r="U142" s="1132">
        <f t="shared" ca="1" si="48"/>
        <v>0.28762662031643266</v>
      </c>
      <c r="V142" s="1133">
        <f t="shared" ca="1" si="49"/>
        <v>5.0000000000000044E-2</v>
      </c>
      <c r="X142" s="1134">
        <f t="shared" ca="1" si="56"/>
        <v>178740264.81053579</v>
      </c>
      <c r="Y142" s="1134">
        <f t="shared" ca="1" si="50"/>
        <v>2213603.3094658852</v>
      </c>
      <c r="Z142" s="1134">
        <f t="shared" ca="1" si="51"/>
        <v>176526661.5010699</v>
      </c>
      <c r="AA142" s="1132">
        <f t="shared" ca="1" si="52"/>
        <v>0.30774838982530267</v>
      </c>
      <c r="AB142" s="1105"/>
    </row>
    <row r="143" spans="1:28">
      <c r="A143" s="1144">
        <f>Calendar!J135</f>
        <v>49030</v>
      </c>
      <c r="C143" s="1104"/>
      <c r="D143" s="1125">
        <f t="shared" ca="1" si="38"/>
        <v>50071</v>
      </c>
      <c r="E143" s="1126">
        <f t="shared" ca="1" si="39"/>
        <v>50098</v>
      </c>
      <c r="F143" s="1127">
        <f t="shared" ca="1" si="40"/>
        <v>4049</v>
      </c>
      <c r="G143" s="1128">
        <f ca="1">IF(F143&lt;&gt;"",COUNTIF($F$11:F143,"&gt;0"),"")</f>
        <v>133</v>
      </c>
      <c r="H143" s="1129">
        <v>1.2485675641903553E-2</v>
      </c>
      <c r="I143" s="1073"/>
      <c r="J143" s="1130">
        <f t="shared" ca="1" si="41"/>
        <v>3530533230.0213966</v>
      </c>
      <c r="K143" s="1131">
        <f t="shared" ca="1" si="42"/>
        <v>44081092.753009222</v>
      </c>
      <c r="L143" s="1130">
        <f t="shared" ca="1" si="43"/>
        <v>0</v>
      </c>
      <c r="M143" s="1130">
        <f t="shared" ca="1" si="44"/>
        <v>0</v>
      </c>
      <c r="N143" s="1130">
        <f t="shared" ca="1" si="53"/>
        <v>3486452137.2683873</v>
      </c>
      <c r="O143" s="1073"/>
      <c r="P143" s="1130">
        <f t="shared" ca="1" si="45"/>
        <v>44081092.753009319</v>
      </c>
      <c r="Q143" s="1130">
        <f t="shared" ca="1" si="46"/>
        <v>3312129530.4049678</v>
      </c>
      <c r="R143" s="1130">
        <f t="shared" ca="1" si="54"/>
        <v>3354006568.5203266</v>
      </c>
      <c r="S143" s="1130">
        <f t="shared" ca="1" si="55"/>
        <v>41877038.115358829</v>
      </c>
      <c r="T143" s="1130">
        <f t="shared" ca="1" si="47"/>
        <v>3312129530.4049678</v>
      </c>
      <c r="U143" s="1132">
        <f t="shared" ca="1" si="48"/>
        <v>0.28406451728778431</v>
      </c>
      <c r="V143" s="1133">
        <f t="shared" ca="1" si="49"/>
        <v>5.0000000000000044E-2</v>
      </c>
      <c r="X143" s="1134">
        <f t="shared" ca="1" si="56"/>
        <v>176526661.5010699</v>
      </c>
      <c r="Y143" s="1134">
        <f t="shared" ca="1" si="50"/>
        <v>2204054.6376504898</v>
      </c>
      <c r="Z143" s="1134">
        <f t="shared" ca="1" si="51"/>
        <v>174322606.86341941</v>
      </c>
      <c r="AA143" s="1132">
        <f t="shared" ca="1" si="52"/>
        <v>0.30393708936134628</v>
      </c>
      <c r="AB143" s="1105"/>
    </row>
    <row r="144" spans="1:28">
      <c r="A144" s="1144">
        <f>Calendar!J136</f>
        <v>49061</v>
      </c>
      <c r="C144" s="1104"/>
      <c r="D144" s="1125">
        <f t="shared" ca="1" si="38"/>
        <v>50099</v>
      </c>
      <c r="E144" s="1126">
        <f t="shared" ca="1" si="39"/>
        <v>50126</v>
      </c>
      <c r="F144" s="1127">
        <f t="shared" ca="1" si="40"/>
        <v>4077</v>
      </c>
      <c r="G144" s="1128">
        <f ca="1">IF(F144&lt;&gt;"",COUNTIF($F$11:F144,"&gt;0"),"")</f>
        <v>134</v>
      </c>
      <c r="H144" s="1129">
        <v>1.2585610525184927E-2</v>
      </c>
      <c r="I144" s="1073"/>
      <c r="J144" s="1130">
        <f t="shared" ca="1" si="41"/>
        <v>3486452137.2683873</v>
      </c>
      <c r="K144" s="1131">
        <f t="shared" ca="1" si="42"/>
        <v>43879128.714358501</v>
      </c>
      <c r="L144" s="1130">
        <f t="shared" ca="1" si="43"/>
        <v>0</v>
      </c>
      <c r="M144" s="1130">
        <f t="shared" ca="1" si="44"/>
        <v>0</v>
      </c>
      <c r="N144" s="1130">
        <f t="shared" ca="1" si="53"/>
        <v>3442573008.554029</v>
      </c>
      <c r="O144" s="1073"/>
      <c r="P144" s="1130">
        <f t="shared" ca="1" si="45"/>
        <v>43879128.71435833</v>
      </c>
      <c r="Q144" s="1130">
        <f t="shared" ca="1" si="46"/>
        <v>3270444358.1263275</v>
      </c>
      <c r="R144" s="1130">
        <f t="shared" ca="1" si="54"/>
        <v>3312129530.4049678</v>
      </c>
      <c r="S144" s="1130">
        <f t="shared" ca="1" si="55"/>
        <v>41685172.27864027</v>
      </c>
      <c r="T144" s="1130">
        <f t="shared" ca="1" si="47"/>
        <v>3270444358.1263275</v>
      </c>
      <c r="U144" s="1132">
        <f t="shared" ca="1" si="48"/>
        <v>0.28051777986355508</v>
      </c>
      <c r="V144" s="1133">
        <f t="shared" ca="1" si="49"/>
        <v>5.0000000000000044E-2</v>
      </c>
      <c r="X144" s="1134">
        <f t="shared" ca="1" si="56"/>
        <v>174322606.86341941</v>
      </c>
      <c r="Y144" s="1134">
        <f t="shared" ca="1" si="50"/>
        <v>2193956.4357180595</v>
      </c>
      <c r="Z144" s="1134">
        <f t="shared" ca="1" si="51"/>
        <v>172128650.42770135</v>
      </c>
      <c r="AA144" s="1132">
        <f t="shared" ca="1" si="52"/>
        <v>0.3001422294480362</v>
      </c>
      <c r="AB144" s="1105"/>
    </row>
    <row r="145" spans="1:28">
      <c r="A145" s="1144">
        <f>Calendar!J137</f>
        <v>49094</v>
      </c>
      <c r="C145" s="1104"/>
      <c r="D145" s="1125">
        <f t="shared" ca="1" si="38"/>
        <v>50130</v>
      </c>
      <c r="E145" s="1126">
        <f t="shared" ca="1" si="39"/>
        <v>50157</v>
      </c>
      <c r="F145" s="1127">
        <f t="shared" ca="1" si="40"/>
        <v>4108</v>
      </c>
      <c r="G145" s="1128">
        <f ca="1">IF(F145&lt;&gt;"",COUNTIF($F$11:F145,"&gt;0"),"")</f>
        <v>135</v>
      </c>
      <c r="H145" s="1129">
        <v>1.2665408375706582E-2</v>
      </c>
      <c r="I145" s="1073"/>
      <c r="J145" s="1130">
        <f t="shared" ca="1" si="41"/>
        <v>3442573008.554029</v>
      </c>
      <c r="K145" s="1131">
        <f t="shared" ca="1" si="42"/>
        <v>43601593.016521603</v>
      </c>
      <c r="L145" s="1130">
        <f t="shared" ca="1" si="43"/>
        <v>0</v>
      </c>
      <c r="M145" s="1130">
        <f t="shared" ca="1" si="44"/>
        <v>0</v>
      </c>
      <c r="N145" s="1130">
        <f t="shared" ca="1" si="53"/>
        <v>3398971415.5375075</v>
      </c>
      <c r="O145" s="1073"/>
      <c r="P145" s="1130">
        <f t="shared" ca="1" si="45"/>
        <v>43601593.016521454</v>
      </c>
      <c r="Q145" s="1130">
        <f t="shared" ca="1" si="46"/>
        <v>3229022844.760632</v>
      </c>
      <c r="R145" s="1130">
        <f t="shared" ca="1" si="54"/>
        <v>3270444358.1263275</v>
      </c>
      <c r="S145" s="1130">
        <f t="shared" ca="1" si="55"/>
        <v>41421513.365695477</v>
      </c>
      <c r="T145" s="1130">
        <f t="shared" ca="1" si="47"/>
        <v>3229022844.760632</v>
      </c>
      <c r="U145" s="1132">
        <f t="shared" ca="1" si="48"/>
        <v>0.27698729234080288</v>
      </c>
      <c r="V145" s="1133">
        <f t="shared" ca="1" si="49"/>
        <v>5.0000000000000044E-2</v>
      </c>
      <c r="X145" s="1134">
        <f t="shared" ca="1" si="56"/>
        <v>172128650.42770135</v>
      </c>
      <c r="Y145" s="1134">
        <f t="shared" ca="1" si="50"/>
        <v>2180079.6508259773</v>
      </c>
      <c r="Z145" s="1134">
        <f t="shared" ca="1" si="51"/>
        <v>169948570.77687538</v>
      </c>
      <c r="AA145" s="1132">
        <f t="shared" ca="1" si="52"/>
        <v>0.29636475624604225</v>
      </c>
      <c r="AB145" s="1105"/>
    </row>
    <row r="146" spans="1:28">
      <c r="A146" s="1144">
        <f>Calendar!J138</f>
        <v>49122</v>
      </c>
      <c r="C146" s="1104"/>
      <c r="D146" s="1125">
        <f t="shared" ca="1" si="38"/>
        <v>50160</v>
      </c>
      <c r="E146" s="1126">
        <f t="shared" ca="1" si="39"/>
        <v>50187</v>
      </c>
      <c r="F146" s="1127">
        <f t="shared" ca="1" si="40"/>
        <v>4138</v>
      </c>
      <c r="G146" s="1128">
        <f ca="1">IF(F146&lt;&gt;"",COUNTIF($F$11:F146,"&gt;0"),"")</f>
        <v>136</v>
      </c>
      <c r="H146" s="1129">
        <v>1.2756916567808798E-2</v>
      </c>
      <c r="I146" s="1073"/>
      <c r="J146" s="1130">
        <f t="shared" ca="1" si="41"/>
        <v>3398971415.5375075</v>
      </c>
      <c r="K146" s="1131">
        <f t="shared" ca="1" si="42"/>
        <v>43360394.76437895</v>
      </c>
      <c r="L146" s="1130">
        <f t="shared" ca="1" si="43"/>
        <v>0</v>
      </c>
      <c r="M146" s="1130">
        <f t="shared" ca="1" si="44"/>
        <v>0</v>
      </c>
      <c r="N146" s="1130">
        <f t="shared" ca="1" si="53"/>
        <v>3355611020.7731285</v>
      </c>
      <c r="O146" s="1073"/>
      <c r="P146" s="1130">
        <f t="shared" ca="1" si="45"/>
        <v>43360394.764379025</v>
      </c>
      <c r="Q146" s="1130">
        <f t="shared" ca="1" si="46"/>
        <v>3187830469.7344718</v>
      </c>
      <c r="R146" s="1130">
        <f t="shared" ca="1" si="54"/>
        <v>3229022844.760632</v>
      </c>
      <c r="S146" s="1130">
        <f t="shared" ca="1" si="55"/>
        <v>41192375.02616024</v>
      </c>
      <c r="T146" s="1130">
        <f t="shared" ca="1" si="47"/>
        <v>3187830469.7344718</v>
      </c>
      <c r="U146" s="1132">
        <f t="shared" ca="1" si="48"/>
        <v>0.27347913516842537</v>
      </c>
      <c r="V146" s="1133">
        <f t="shared" ca="1" si="49"/>
        <v>5.0000000000000044E-2</v>
      </c>
      <c r="X146" s="1134">
        <f t="shared" ca="1" si="56"/>
        <v>169948570.77687538</v>
      </c>
      <c r="Y146" s="1134">
        <f t="shared" ca="1" si="50"/>
        <v>2168019.7382187843</v>
      </c>
      <c r="Z146" s="1134">
        <f t="shared" ca="1" si="51"/>
        <v>167780551.03865659</v>
      </c>
      <c r="AA146" s="1132">
        <f t="shared" ca="1" si="52"/>
        <v>0.29261117558001959</v>
      </c>
      <c r="AB146" s="1105"/>
    </row>
    <row r="147" spans="1:28">
      <c r="A147" s="1144">
        <f>Calendar!J139</f>
        <v>49152</v>
      </c>
      <c r="C147" s="1104"/>
      <c r="D147" s="1125">
        <f t="shared" ca="1" si="38"/>
        <v>50191</v>
      </c>
      <c r="E147" s="1126">
        <f t="shared" ca="1" si="39"/>
        <v>50220</v>
      </c>
      <c r="F147" s="1127">
        <f t="shared" ca="1" si="40"/>
        <v>4171</v>
      </c>
      <c r="G147" s="1128">
        <f ca="1">IF(F147&lt;&gt;"",COUNTIF($F$11:F147,"&gt;0"),"")</f>
        <v>137</v>
      </c>
      <c r="H147" s="1129">
        <v>1.2839097125528609E-2</v>
      </c>
      <c r="I147" s="1073"/>
      <c r="J147" s="1130">
        <f t="shared" ca="1" si="41"/>
        <v>3355611020.7731285</v>
      </c>
      <c r="K147" s="1131">
        <f t="shared" ca="1" si="42"/>
        <v>43083015.811200395</v>
      </c>
      <c r="L147" s="1130">
        <f t="shared" ca="1" si="43"/>
        <v>0</v>
      </c>
      <c r="M147" s="1130">
        <f t="shared" ca="1" si="44"/>
        <v>0</v>
      </c>
      <c r="N147" s="1130">
        <f t="shared" ca="1" si="53"/>
        <v>3312528004.9619279</v>
      </c>
      <c r="O147" s="1073"/>
      <c r="P147" s="1130">
        <f t="shared" ca="1" si="45"/>
        <v>43083015.811200619</v>
      </c>
      <c r="Q147" s="1130">
        <f t="shared" ca="1" si="46"/>
        <v>3146901604.7138314</v>
      </c>
      <c r="R147" s="1130">
        <f t="shared" ca="1" si="54"/>
        <v>3187830469.7344718</v>
      </c>
      <c r="S147" s="1130">
        <f t="shared" ca="1" si="55"/>
        <v>40928865.020640373</v>
      </c>
      <c r="T147" s="1130">
        <f t="shared" ca="1" si="47"/>
        <v>3146901604.7138314</v>
      </c>
      <c r="U147" s="1132">
        <f t="shared" ca="1" si="48"/>
        <v>0.26999038465804526</v>
      </c>
      <c r="V147" s="1133">
        <f t="shared" ca="1" si="49"/>
        <v>5.0000000000000044E-2</v>
      </c>
      <c r="X147" s="1134">
        <f t="shared" ca="1" si="56"/>
        <v>167780551.03865659</v>
      </c>
      <c r="Y147" s="1134">
        <f t="shared" ca="1" si="50"/>
        <v>2154150.7905602455</v>
      </c>
      <c r="Z147" s="1134">
        <f t="shared" ca="1" si="51"/>
        <v>165626400.24809635</v>
      </c>
      <c r="AA147" s="1132">
        <f t="shared" ca="1" si="52"/>
        <v>0.28887835922633709</v>
      </c>
      <c r="AB147" s="1105"/>
    </row>
    <row r="148" spans="1:28">
      <c r="A148" s="1144">
        <f>Calendar!J140</f>
        <v>49184</v>
      </c>
      <c r="C148" s="1104"/>
      <c r="D148" s="1125">
        <f t="shared" ca="1" si="38"/>
        <v>50221</v>
      </c>
      <c r="E148" s="1126">
        <f t="shared" ca="1" si="39"/>
        <v>50248</v>
      </c>
      <c r="F148" s="1127">
        <f t="shared" ca="1" si="40"/>
        <v>4199</v>
      </c>
      <c r="G148" s="1128">
        <f ca="1">IF(F148&lt;&gt;"",COUNTIF($F$11:F148,"&gt;0"),"")</f>
        <v>138</v>
      </c>
      <c r="H148" s="1129">
        <v>1.2935741665823631E-2</v>
      </c>
      <c r="I148" s="1073"/>
      <c r="J148" s="1130">
        <f t="shared" ca="1" si="41"/>
        <v>3312528004.9619279</v>
      </c>
      <c r="K148" s="1131">
        <f t="shared" ca="1" si="42"/>
        <v>42850006.532993637</v>
      </c>
      <c r="L148" s="1130">
        <f t="shared" ca="1" si="43"/>
        <v>0</v>
      </c>
      <c r="M148" s="1130">
        <f t="shared" ca="1" si="44"/>
        <v>0</v>
      </c>
      <c r="N148" s="1130">
        <f t="shared" ca="1" si="53"/>
        <v>3269677998.4289341</v>
      </c>
      <c r="O148" s="1073"/>
      <c r="P148" s="1130">
        <f t="shared" ca="1" si="45"/>
        <v>42850006.532993793</v>
      </c>
      <c r="Q148" s="1130">
        <f t="shared" ca="1" si="46"/>
        <v>3106194098.5074873</v>
      </c>
      <c r="R148" s="1130">
        <f t="shared" ca="1" si="54"/>
        <v>3146901604.7138314</v>
      </c>
      <c r="S148" s="1130">
        <f t="shared" ca="1" si="55"/>
        <v>40707506.206344128</v>
      </c>
      <c r="T148" s="1130">
        <f t="shared" ca="1" si="47"/>
        <v>3106194098.5074873</v>
      </c>
      <c r="U148" s="1132">
        <f t="shared" ca="1" si="48"/>
        <v>0.26652395188646177</v>
      </c>
      <c r="V148" s="1133">
        <f t="shared" ca="1" si="49"/>
        <v>5.0000000000000044E-2</v>
      </c>
      <c r="X148" s="1134">
        <f t="shared" ca="1" si="56"/>
        <v>165626400.24809635</v>
      </c>
      <c r="Y148" s="1134">
        <f t="shared" ca="1" si="50"/>
        <v>2142500.3266496658</v>
      </c>
      <c r="Z148" s="1134">
        <f t="shared" ca="1" si="51"/>
        <v>163483899.92144668</v>
      </c>
      <c r="AA148" s="1132">
        <f t="shared" ca="1" si="52"/>
        <v>0.28516942191476646</v>
      </c>
      <c r="AB148" s="1105"/>
    </row>
    <row r="149" spans="1:28">
      <c r="A149" s="1144">
        <f>Calendar!J141</f>
        <v>49214</v>
      </c>
      <c r="C149" s="1104"/>
      <c r="D149" s="1125">
        <f t="shared" ca="1" si="38"/>
        <v>50252</v>
      </c>
      <c r="E149" s="1126">
        <f t="shared" ca="1" si="39"/>
        <v>50279</v>
      </c>
      <c r="F149" s="1127">
        <f t="shared" ca="1" si="40"/>
        <v>4230</v>
      </c>
      <c r="G149" s="1128">
        <f ca="1">IF(F149&lt;&gt;"",COUNTIF($F$11:F149,"&gt;0"),"")</f>
        <v>139</v>
      </c>
      <c r="H149" s="1129">
        <v>1.3033364791696398E-2</v>
      </c>
      <c r="I149" s="1073"/>
      <c r="J149" s="1130">
        <f t="shared" ca="1" si="41"/>
        <v>3269677998.4289341</v>
      </c>
      <c r="K149" s="1131">
        <f t="shared" ca="1" si="42"/>
        <v>42614906.104908019</v>
      </c>
      <c r="L149" s="1130">
        <f t="shared" ca="1" si="43"/>
        <v>0</v>
      </c>
      <c r="M149" s="1130">
        <f t="shared" ca="1" si="44"/>
        <v>0</v>
      </c>
      <c r="N149" s="1130">
        <f t="shared" ca="1" si="53"/>
        <v>3227063092.3240261</v>
      </c>
      <c r="O149" s="1073"/>
      <c r="P149" s="1130">
        <f t="shared" ca="1" si="45"/>
        <v>42614906.10490799</v>
      </c>
      <c r="Q149" s="1130">
        <f t="shared" ca="1" si="46"/>
        <v>3065709937.7078247</v>
      </c>
      <c r="R149" s="1130">
        <f t="shared" ca="1" si="54"/>
        <v>3106194098.5074873</v>
      </c>
      <c r="S149" s="1130">
        <f t="shared" ca="1" si="55"/>
        <v>40484160.79966259</v>
      </c>
      <c r="T149" s="1130">
        <f t="shared" ca="1" si="47"/>
        <v>3065709937.7078247</v>
      </c>
      <c r="U149" s="1132">
        <f t="shared" ca="1" si="48"/>
        <v>0.26307626689710406</v>
      </c>
      <c r="V149" s="1133">
        <f t="shared" ca="1" si="49"/>
        <v>5.0000000000000044E-2</v>
      </c>
      <c r="X149" s="1134">
        <f t="shared" ca="1" si="56"/>
        <v>163483899.92144668</v>
      </c>
      <c r="Y149" s="1134">
        <f t="shared" ca="1" si="50"/>
        <v>2130745.3052453995</v>
      </c>
      <c r="Z149" s="1134">
        <f t="shared" ca="1" si="51"/>
        <v>161353154.61620128</v>
      </c>
      <c r="AA149" s="1132">
        <f t="shared" ca="1" si="52"/>
        <v>0.28148054394188476</v>
      </c>
      <c r="AB149" s="1105"/>
    </row>
    <row r="150" spans="1:28">
      <c r="A150" s="1144">
        <f>Calendar!J142</f>
        <v>49244</v>
      </c>
      <c r="B150" s="1145"/>
      <c r="C150" s="1104"/>
      <c r="D150" s="1125">
        <f t="shared" ca="1" si="38"/>
        <v>50283</v>
      </c>
      <c r="E150" s="1126">
        <f t="shared" ca="1" si="39"/>
        <v>50311</v>
      </c>
      <c r="F150" s="1127">
        <f t="shared" ca="1" si="40"/>
        <v>4262</v>
      </c>
      <c r="G150" s="1128">
        <f ca="1">IF(F150&lt;&gt;"",COUNTIF($F$11:F150,"&gt;0"),"")</f>
        <v>140</v>
      </c>
      <c r="H150" s="1129">
        <v>1.3123396781396355E-2</v>
      </c>
      <c r="I150" s="1073"/>
      <c r="J150" s="1130">
        <f t="shared" ca="1" si="41"/>
        <v>3227063092.3240261</v>
      </c>
      <c r="K150" s="1131">
        <f t="shared" ca="1" si="42"/>
        <v>42350029.399168089</v>
      </c>
      <c r="L150" s="1130">
        <f t="shared" ca="1" si="43"/>
        <v>0</v>
      </c>
      <c r="M150" s="1130">
        <f t="shared" ca="1" si="44"/>
        <v>0</v>
      </c>
      <c r="N150" s="1130">
        <f t="shared" ca="1" si="53"/>
        <v>3184713062.9248581</v>
      </c>
      <c r="O150" s="1073"/>
      <c r="P150" s="1130">
        <f t="shared" ca="1" si="45"/>
        <v>42350029.399168015</v>
      </c>
      <c r="Q150" s="1130">
        <f t="shared" ca="1" si="46"/>
        <v>3025477409.778615</v>
      </c>
      <c r="R150" s="1130">
        <f t="shared" ca="1" si="54"/>
        <v>3065709937.7078247</v>
      </c>
      <c r="S150" s="1130">
        <f t="shared" ca="1" si="55"/>
        <v>40232527.929209709</v>
      </c>
      <c r="T150" s="1130">
        <f t="shared" ca="1" si="47"/>
        <v>3025477409.778615</v>
      </c>
      <c r="U150" s="1132">
        <f t="shared" ca="1" si="48"/>
        <v>0.25964749794259645</v>
      </c>
      <c r="V150" s="1133">
        <f t="shared" ca="1" si="49"/>
        <v>5.0000000000000044E-2</v>
      </c>
      <c r="X150" s="1134">
        <f t="shared" ca="1" si="56"/>
        <v>161353154.61620128</v>
      </c>
      <c r="Y150" s="1134">
        <f t="shared" ca="1" si="50"/>
        <v>2117501.4699583054</v>
      </c>
      <c r="Z150" s="1134">
        <f t="shared" ca="1" si="51"/>
        <v>159235653.14624298</v>
      </c>
      <c r="AA150" s="1132">
        <f t="shared" ca="1" si="52"/>
        <v>0.27781190533092509</v>
      </c>
      <c r="AB150" s="1105"/>
    </row>
    <row r="151" spans="1:28">
      <c r="A151" s="1144">
        <f>Calendar!J143</f>
        <v>49275</v>
      </c>
      <c r="C151" s="1146"/>
      <c r="D151" s="1125">
        <f t="shared" ca="1" si="38"/>
        <v>50313</v>
      </c>
      <c r="E151" s="1126">
        <f t="shared" ca="1" si="39"/>
        <v>50340</v>
      </c>
      <c r="F151" s="1127">
        <f t="shared" ca="1" si="40"/>
        <v>4291</v>
      </c>
      <c r="G151" s="1128">
        <f ca="1">IF(F151&lt;&gt;"",COUNTIF($F$11:F151,"&gt;0"),"")</f>
        <v>141</v>
      </c>
      <c r="H151" s="1129">
        <v>1.322381871433074E-2</v>
      </c>
      <c r="I151" s="1073"/>
      <c r="J151" s="1130">
        <f t="shared" ca="1" si="41"/>
        <v>3184713062.9248581</v>
      </c>
      <c r="K151" s="1131">
        <f t="shared" ca="1" si="42"/>
        <v>42114068.201279312</v>
      </c>
      <c r="L151" s="1130">
        <f t="shared" ca="1" si="43"/>
        <v>0</v>
      </c>
      <c r="M151" s="1130">
        <f t="shared" ca="1" si="44"/>
        <v>0</v>
      </c>
      <c r="N151" s="1130">
        <f t="shared" ca="1" si="53"/>
        <v>3142598994.7235789</v>
      </c>
      <c r="O151" s="1073"/>
      <c r="P151" s="1130">
        <f t="shared" ca="1" si="45"/>
        <v>42114068.201279163</v>
      </c>
      <c r="Q151" s="1130">
        <f t="shared" ca="1" si="46"/>
        <v>2985469044.9874001</v>
      </c>
      <c r="R151" s="1130">
        <f t="shared" ca="1" si="54"/>
        <v>3025477409.778615</v>
      </c>
      <c r="S151" s="1130">
        <f t="shared" ca="1" si="55"/>
        <v>40008364.791214943</v>
      </c>
      <c r="T151" s="1130">
        <f t="shared" ca="1" si="47"/>
        <v>2985469044.9874001</v>
      </c>
      <c r="U151" s="1132">
        <f t="shared" ca="1" si="48"/>
        <v>0.25624004080379897</v>
      </c>
      <c r="V151" s="1133">
        <f t="shared" ca="1" si="49"/>
        <v>4.9999999999999933E-2</v>
      </c>
      <c r="X151" s="1134">
        <f t="shared" ca="1" si="56"/>
        <v>159235653.14624298</v>
      </c>
      <c r="Y151" s="1134">
        <f t="shared" ca="1" si="50"/>
        <v>2105703.4100642204</v>
      </c>
      <c r="Z151" s="1134">
        <f t="shared" ca="1" si="51"/>
        <v>157129949.73617876</v>
      </c>
      <c r="AA151" s="1132">
        <f t="shared" ca="1" si="52"/>
        <v>0.27416606946667177</v>
      </c>
      <c r="AB151" s="1105"/>
    </row>
    <row r="152" spans="1:28">
      <c r="A152" s="1144">
        <f>Calendar!J144</f>
        <v>49305</v>
      </c>
      <c r="C152" s="1104"/>
      <c r="D152" s="1125">
        <f t="shared" ca="1" si="38"/>
        <v>50344</v>
      </c>
      <c r="E152" s="1126">
        <f t="shared" ca="1" si="39"/>
        <v>50371</v>
      </c>
      <c r="F152" s="1127">
        <f t="shared" ca="1" si="40"/>
        <v>4322</v>
      </c>
      <c r="G152" s="1128">
        <f ca="1">IF(F152&lt;&gt;"",COUNTIF($F$11:F152,"&gt;0"),"")</f>
        <v>142</v>
      </c>
      <c r="H152" s="1129">
        <v>1.3320595285273972E-2</v>
      </c>
      <c r="I152" s="1073"/>
      <c r="J152" s="1130">
        <f t="shared" ca="1" si="41"/>
        <v>3142598994.7235789</v>
      </c>
      <c r="K152" s="1131">
        <f t="shared" ca="1" si="42"/>
        <v>41861289.35262163</v>
      </c>
      <c r="L152" s="1130">
        <f t="shared" ca="1" si="43"/>
        <v>0</v>
      </c>
      <c r="M152" s="1130">
        <f t="shared" ca="1" si="44"/>
        <v>0</v>
      </c>
      <c r="N152" s="1130">
        <f t="shared" ca="1" si="53"/>
        <v>3100737705.3709574</v>
      </c>
      <c r="O152" s="1073"/>
      <c r="P152" s="1130">
        <f t="shared" ca="1" si="45"/>
        <v>41861289.352621555</v>
      </c>
      <c r="Q152" s="1130">
        <f t="shared" ca="1" si="46"/>
        <v>2945700820.1024094</v>
      </c>
      <c r="R152" s="1130">
        <f t="shared" ca="1" si="54"/>
        <v>2985469044.9874001</v>
      </c>
      <c r="S152" s="1130">
        <f t="shared" ca="1" si="55"/>
        <v>39768224.884990692</v>
      </c>
      <c r="T152" s="1130">
        <f t="shared" ca="1" si="47"/>
        <v>2945700820.1024094</v>
      </c>
      <c r="U152" s="1132">
        <f t="shared" ca="1" si="48"/>
        <v>0.25285156895685684</v>
      </c>
      <c r="V152" s="1133">
        <f t="shared" ca="1" si="49"/>
        <v>5.0000000000000044E-2</v>
      </c>
      <c r="X152" s="1134">
        <f t="shared" ca="1" si="56"/>
        <v>157129949.73617876</v>
      </c>
      <c r="Y152" s="1134">
        <f t="shared" ca="1" si="50"/>
        <v>2093064.4676308632</v>
      </c>
      <c r="Z152" s="1134">
        <f t="shared" ca="1" si="51"/>
        <v>155036885.26854789</v>
      </c>
      <c r="AA152" s="1132">
        <f t="shared" ca="1" si="52"/>
        <v>0.2705405470664235</v>
      </c>
      <c r="AB152" s="1105"/>
    </row>
    <row r="153" spans="1:28">
      <c r="A153" s="1144">
        <f>Calendar!J145</f>
        <v>49338</v>
      </c>
      <c r="C153" s="1104"/>
      <c r="D153" s="1125">
        <f t="shared" ca="1" si="38"/>
        <v>50374</v>
      </c>
      <c r="E153" s="1126">
        <f t="shared" ca="1" si="39"/>
        <v>50402</v>
      </c>
      <c r="F153" s="1127">
        <f t="shared" ca="1" si="40"/>
        <v>4353</v>
      </c>
      <c r="G153" s="1128">
        <f ca="1">IF(F153&lt;&gt;"",COUNTIF($F$11:F153,"&gt;0"),"")</f>
        <v>143</v>
      </c>
      <c r="H153" s="1129">
        <v>1.3429315092184863E-2</v>
      </c>
      <c r="I153" s="1073"/>
      <c r="J153" s="1130">
        <f t="shared" ca="1" si="41"/>
        <v>3100737705.3709574</v>
      </c>
      <c r="K153" s="1131">
        <f t="shared" ca="1" si="42"/>
        <v>41640783.663644858</v>
      </c>
      <c r="L153" s="1130">
        <f t="shared" ca="1" si="43"/>
        <v>0</v>
      </c>
      <c r="M153" s="1130">
        <f t="shared" ca="1" si="44"/>
        <v>0</v>
      </c>
      <c r="N153" s="1130">
        <f t="shared" ca="1" si="53"/>
        <v>3059096921.7073126</v>
      </c>
      <c r="O153" s="1073"/>
      <c r="P153" s="1130">
        <f t="shared" ca="1" si="45"/>
        <v>41640783.663644791</v>
      </c>
      <c r="Q153" s="1130">
        <f t="shared" ca="1" si="46"/>
        <v>2906142075.6219468</v>
      </c>
      <c r="R153" s="1130">
        <f t="shared" ca="1" si="54"/>
        <v>2945700820.1024094</v>
      </c>
      <c r="S153" s="1130">
        <f t="shared" ca="1" si="55"/>
        <v>39558744.480462551</v>
      </c>
      <c r="T153" s="1130">
        <f t="shared" ca="1" si="47"/>
        <v>2906142075.6219468</v>
      </c>
      <c r="U153" s="1132">
        <f t="shared" ca="1" si="48"/>
        <v>0.249483435539536</v>
      </c>
      <c r="V153" s="1133">
        <f t="shared" ca="1" si="49"/>
        <v>5.0000000000000044E-2</v>
      </c>
      <c r="X153" s="1134">
        <f t="shared" ca="1" si="56"/>
        <v>155036885.26854789</v>
      </c>
      <c r="Y153" s="1134">
        <f t="shared" ca="1" si="50"/>
        <v>2082039.1831822395</v>
      </c>
      <c r="Z153" s="1134">
        <f t="shared" ca="1" si="51"/>
        <v>152954846.08536565</v>
      </c>
      <c r="AA153" s="1132">
        <f t="shared" ca="1" si="52"/>
        <v>0.26693678593069542</v>
      </c>
      <c r="AB153" s="1105"/>
    </row>
    <row r="154" spans="1:28">
      <c r="A154" s="1144">
        <f>Calendar!J146</f>
        <v>49367</v>
      </c>
      <c r="C154" s="1104"/>
      <c r="D154" s="1125">
        <f t="shared" ca="1" si="38"/>
        <v>50405</v>
      </c>
      <c r="E154" s="1126">
        <f t="shared" ca="1" si="39"/>
        <v>50432</v>
      </c>
      <c r="F154" s="1127">
        <f t="shared" ca="1" si="40"/>
        <v>4383</v>
      </c>
      <c r="G154" s="1128">
        <f ca="1">IF(F154&lt;&gt;"",COUNTIF($F$11:F154,"&gt;0"),"")</f>
        <v>144</v>
      </c>
      <c r="H154" s="1129">
        <v>1.3521071130576162E-2</v>
      </c>
      <c r="I154" s="1073"/>
      <c r="J154" s="1130">
        <f t="shared" ca="1" si="41"/>
        <v>3059096921.7073126</v>
      </c>
      <c r="K154" s="1131">
        <f t="shared" ca="1" si="42"/>
        <v>41362267.073731147</v>
      </c>
      <c r="L154" s="1130">
        <f t="shared" ca="1" si="43"/>
        <v>0</v>
      </c>
      <c r="M154" s="1130">
        <f t="shared" ca="1" si="44"/>
        <v>0</v>
      </c>
      <c r="N154" s="1130">
        <f t="shared" ca="1" si="53"/>
        <v>3017734654.6335816</v>
      </c>
      <c r="O154" s="1073"/>
      <c r="P154" s="1130">
        <f t="shared" ca="1" si="45"/>
        <v>41362267.073730946</v>
      </c>
      <c r="Q154" s="1130">
        <f t="shared" ca="1" si="46"/>
        <v>2866847921.9019022</v>
      </c>
      <c r="R154" s="1130">
        <f t="shared" ca="1" si="54"/>
        <v>2906142075.6219468</v>
      </c>
      <c r="S154" s="1130">
        <f t="shared" ca="1" si="55"/>
        <v>39294153.720044613</v>
      </c>
      <c r="T154" s="1130">
        <f t="shared" ca="1" si="47"/>
        <v>2866847921.9019022</v>
      </c>
      <c r="U154" s="1132">
        <f t="shared" ca="1" si="48"/>
        <v>0.24613304387339477</v>
      </c>
      <c r="V154" s="1133">
        <f t="shared" ca="1" si="49"/>
        <v>5.0000000000000155E-2</v>
      </c>
      <c r="X154" s="1134">
        <f t="shared" ca="1" si="56"/>
        <v>152954846.08536565</v>
      </c>
      <c r="Y154" s="1134">
        <f t="shared" ca="1" si="50"/>
        <v>2068113.3536863327</v>
      </c>
      <c r="Z154" s="1134">
        <f t="shared" ca="1" si="51"/>
        <v>150886732.73167932</v>
      </c>
      <c r="AA154" s="1132">
        <f t="shared" ca="1" si="52"/>
        <v>0.26335200772273698</v>
      </c>
      <c r="AB154" s="1105"/>
    </row>
    <row r="155" spans="1:28">
      <c r="A155" s="1144">
        <f>Calendar!J147</f>
        <v>49395</v>
      </c>
      <c r="C155" s="1104"/>
      <c r="D155" s="1125">
        <f t="shared" ca="1" si="38"/>
        <v>50436</v>
      </c>
      <c r="E155" s="1126">
        <f t="shared" ca="1" si="39"/>
        <v>50462</v>
      </c>
      <c r="F155" s="1127">
        <f t="shared" ca="1" si="40"/>
        <v>4413</v>
      </c>
      <c r="G155" s="1128">
        <f ca="1">IF(F155&lt;&gt;"",COUNTIF($F$11:F155,"&gt;0"),"")</f>
        <v>145</v>
      </c>
      <c r="H155" s="1129">
        <v>1.3633895063393728E-2</v>
      </c>
      <c r="I155" s="1073"/>
      <c r="J155" s="1130">
        <f t="shared" ca="1" si="41"/>
        <v>3017734654.6335816</v>
      </c>
      <c r="K155" s="1131">
        <f t="shared" ca="1" si="42"/>
        <v>41143477.610440962</v>
      </c>
      <c r="L155" s="1130">
        <f t="shared" ca="1" si="43"/>
        <v>0</v>
      </c>
      <c r="M155" s="1130">
        <f t="shared" ca="1" si="44"/>
        <v>0</v>
      </c>
      <c r="N155" s="1130">
        <f t="shared" ca="1" si="53"/>
        <v>2976591177.0231409</v>
      </c>
      <c r="O155" s="1073"/>
      <c r="P155" s="1130">
        <f t="shared" ca="1" si="45"/>
        <v>41143477.610440731</v>
      </c>
      <c r="Q155" s="1130">
        <f t="shared" ca="1" si="46"/>
        <v>2827761618.1719837</v>
      </c>
      <c r="R155" s="1130">
        <f t="shared" ca="1" si="54"/>
        <v>2866847921.9019022</v>
      </c>
      <c r="S155" s="1130">
        <f t="shared" ca="1" si="55"/>
        <v>39086303.72991848</v>
      </c>
      <c r="T155" s="1130">
        <f t="shared" ca="1" si="47"/>
        <v>2827761618.1719837</v>
      </c>
      <c r="U155" s="1132">
        <f t="shared" ca="1" si="48"/>
        <v>0.24280506147959738</v>
      </c>
      <c r="V155" s="1133">
        <f t="shared" ca="1" si="49"/>
        <v>5.0000000000000044E-2</v>
      </c>
      <c r="X155" s="1134">
        <f t="shared" ca="1" si="56"/>
        <v>150886732.73167932</v>
      </c>
      <c r="Y155" s="1134">
        <f t="shared" ca="1" si="50"/>
        <v>2057173.8805222511</v>
      </c>
      <c r="Z155" s="1134">
        <f t="shared" ca="1" si="51"/>
        <v>148829558.85115707</v>
      </c>
      <c r="AA155" s="1132">
        <f t="shared" ca="1" si="52"/>
        <v>0.25979120649393822</v>
      </c>
      <c r="AB155" s="1105"/>
    </row>
    <row r="156" spans="1:28">
      <c r="A156" s="1144">
        <f>Calendar!J148</f>
        <v>49426</v>
      </c>
      <c r="C156" s="1104"/>
      <c r="D156" s="1125">
        <f t="shared" ca="1" si="38"/>
        <v>50464</v>
      </c>
      <c r="E156" s="1126">
        <f t="shared" ca="1" si="39"/>
        <v>50493</v>
      </c>
      <c r="F156" s="1127">
        <f t="shared" ca="1" si="40"/>
        <v>4444</v>
      </c>
      <c r="G156" s="1128">
        <f ca="1">IF(F156&lt;&gt;"",COUNTIF($F$11:F156,"&gt;0"),"")</f>
        <v>146</v>
      </c>
      <c r="H156" s="1129">
        <v>1.374583120308915E-2</v>
      </c>
      <c r="I156" s="1073"/>
      <c r="J156" s="1130">
        <f t="shared" ca="1" si="41"/>
        <v>2976591177.0231409</v>
      </c>
      <c r="K156" s="1131">
        <f t="shared" ca="1" si="42"/>
        <v>40915719.879964553</v>
      </c>
      <c r="L156" s="1130">
        <f t="shared" ca="1" si="43"/>
        <v>0</v>
      </c>
      <c r="M156" s="1130">
        <f t="shared" ca="1" si="44"/>
        <v>0</v>
      </c>
      <c r="N156" s="1130">
        <f t="shared" ca="1" si="53"/>
        <v>2935675457.1431766</v>
      </c>
      <c r="O156" s="1073"/>
      <c r="P156" s="1130">
        <f t="shared" ca="1" si="45"/>
        <v>40915719.879964352</v>
      </c>
      <c r="Q156" s="1130">
        <f t="shared" ca="1" si="46"/>
        <v>2788891684.2860174</v>
      </c>
      <c r="R156" s="1130">
        <f t="shared" ca="1" si="54"/>
        <v>2827761618.1719837</v>
      </c>
      <c r="S156" s="1130">
        <f t="shared" ca="1" si="55"/>
        <v>38869933.885966301</v>
      </c>
      <c r="T156" s="1130">
        <f t="shared" ca="1" si="47"/>
        <v>2788891684.2860174</v>
      </c>
      <c r="U156" s="1132">
        <f t="shared" ca="1" si="48"/>
        <v>0.23949468275052371</v>
      </c>
      <c r="V156" s="1133">
        <f t="shared" ca="1" si="49"/>
        <v>5.0000000000000155E-2</v>
      </c>
      <c r="X156" s="1134">
        <f t="shared" ca="1" si="56"/>
        <v>148829558.85115707</v>
      </c>
      <c r="Y156" s="1134">
        <f t="shared" ca="1" si="50"/>
        <v>2045785.9939980507</v>
      </c>
      <c r="Z156" s="1134">
        <f t="shared" ca="1" si="51"/>
        <v>146783772.85715902</v>
      </c>
      <c r="AA156" s="1132">
        <f t="shared" ca="1" si="52"/>
        <v>0.25624924044620706</v>
      </c>
      <c r="AB156" s="1105"/>
    </row>
    <row r="157" spans="1:28">
      <c r="A157" s="1144">
        <f>Calendar!J149</f>
        <v>49457</v>
      </c>
      <c r="C157" s="1104"/>
      <c r="D157" s="1125">
        <f t="shared" ca="1" si="38"/>
        <v>50495</v>
      </c>
      <c r="E157" s="1126">
        <f t="shared" ca="1" si="39"/>
        <v>50522</v>
      </c>
      <c r="F157" s="1127">
        <f t="shared" ca="1" si="40"/>
        <v>4473</v>
      </c>
      <c r="G157" s="1128">
        <f ca="1">IF(F157&lt;&gt;"",COUNTIF($F$11:F157,"&gt;0"),"")</f>
        <v>147</v>
      </c>
      <c r="H157" s="1129">
        <v>1.3860294491654501E-2</v>
      </c>
      <c r="I157" s="1073"/>
      <c r="J157" s="1130">
        <f t="shared" ca="1" si="41"/>
        <v>2935675457.1431766</v>
      </c>
      <c r="K157" s="1131">
        <f t="shared" ca="1" si="42"/>
        <v>40689326.367926881</v>
      </c>
      <c r="L157" s="1130">
        <f t="shared" ca="1" si="43"/>
        <v>0</v>
      </c>
      <c r="M157" s="1130">
        <f t="shared" ca="1" si="44"/>
        <v>0</v>
      </c>
      <c r="N157" s="1130">
        <f t="shared" ca="1" si="53"/>
        <v>2894986130.7752495</v>
      </c>
      <c r="O157" s="1073"/>
      <c r="P157" s="1130">
        <f t="shared" ca="1" si="45"/>
        <v>40689326.367927074</v>
      </c>
      <c r="Q157" s="1130">
        <f t="shared" ca="1" si="46"/>
        <v>2750236824.2364869</v>
      </c>
      <c r="R157" s="1130">
        <f t="shared" ca="1" si="54"/>
        <v>2788891684.2860174</v>
      </c>
      <c r="S157" s="1130">
        <f t="shared" ca="1" si="55"/>
        <v>38654860.049530506</v>
      </c>
      <c r="T157" s="1130">
        <f t="shared" ca="1" si="47"/>
        <v>2750236824.2364869</v>
      </c>
      <c r="U157" s="1132">
        <f t="shared" ca="1" si="48"/>
        <v>0.23620262926739763</v>
      </c>
      <c r="V157" s="1133">
        <f t="shared" ca="1" si="49"/>
        <v>5.0000000000000044E-2</v>
      </c>
      <c r="X157" s="1134">
        <f t="shared" ca="1" si="56"/>
        <v>146783772.85715902</v>
      </c>
      <c r="Y157" s="1134">
        <f t="shared" ca="1" si="50"/>
        <v>2034466.3183965683</v>
      </c>
      <c r="Z157" s="1134">
        <f t="shared" ca="1" si="51"/>
        <v>144749306.53876245</v>
      </c>
      <c r="AA157" s="1132">
        <f t="shared" ca="1" si="52"/>
        <v>0.25272688164111401</v>
      </c>
      <c r="AB157" s="1105"/>
    </row>
    <row r="158" spans="1:28">
      <c r="A158" s="1144">
        <f>Calendar!J150</f>
        <v>49487</v>
      </c>
      <c r="C158" s="1104"/>
      <c r="D158" s="1125">
        <f t="shared" ca="1" si="38"/>
        <v>50525</v>
      </c>
      <c r="E158" s="1126">
        <f t="shared" ca="1" si="39"/>
        <v>50552</v>
      </c>
      <c r="F158" s="1127">
        <f t="shared" ca="1" si="40"/>
        <v>4503</v>
      </c>
      <c r="G158" s="1128">
        <f ca="1">IF(F158&lt;&gt;"",COUNTIF($F$11:F158,"&gt;0"),"")</f>
        <v>148</v>
      </c>
      <c r="H158" s="1129">
        <v>1.3972418818144639E-2</v>
      </c>
      <c r="I158" s="1073"/>
      <c r="J158" s="1130">
        <f t="shared" ca="1" si="41"/>
        <v>2894986130.7752495</v>
      </c>
      <c r="K158" s="1131">
        <f t="shared" ca="1" si="42"/>
        <v>40449958.691911831</v>
      </c>
      <c r="L158" s="1130">
        <f t="shared" ca="1" si="43"/>
        <v>0</v>
      </c>
      <c r="M158" s="1130">
        <f t="shared" ca="1" si="44"/>
        <v>0</v>
      </c>
      <c r="N158" s="1130">
        <f t="shared" ca="1" si="53"/>
        <v>2854536172.0833378</v>
      </c>
      <c r="O158" s="1073"/>
      <c r="P158" s="1130">
        <f t="shared" ca="1" si="45"/>
        <v>40449958.691911697</v>
      </c>
      <c r="Q158" s="1130">
        <f t="shared" ca="1" si="46"/>
        <v>2711809363.4791708</v>
      </c>
      <c r="R158" s="1130">
        <f t="shared" ca="1" si="54"/>
        <v>2750236824.2364869</v>
      </c>
      <c r="S158" s="1130">
        <f t="shared" ca="1" si="55"/>
        <v>38427460.757316113</v>
      </c>
      <c r="T158" s="1130">
        <f t="shared" ca="1" si="47"/>
        <v>2711809363.4791708</v>
      </c>
      <c r="U158" s="1132">
        <f t="shared" ca="1" si="48"/>
        <v>0.23292879126604843</v>
      </c>
      <c r="V158" s="1133">
        <f t="shared" ca="1" si="49"/>
        <v>5.0000000000000044E-2</v>
      </c>
      <c r="X158" s="1134">
        <f t="shared" ca="1" si="56"/>
        <v>144749306.53876245</v>
      </c>
      <c r="Y158" s="1134">
        <f t="shared" ca="1" si="50"/>
        <v>2022497.9345955849</v>
      </c>
      <c r="Z158" s="1134">
        <f t="shared" ca="1" si="51"/>
        <v>142726808.60416687</v>
      </c>
      <c r="AA158" s="1132">
        <f t="shared" ca="1" si="52"/>
        <v>0.24922401263561028</v>
      </c>
      <c r="AB158" s="1105"/>
    </row>
    <row r="159" spans="1:28">
      <c r="A159" s="1144">
        <f>Calendar!J151</f>
        <v>49517</v>
      </c>
      <c r="C159" s="1104"/>
      <c r="D159" s="1125">
        <f t="shared" ca="1" si="38"/>
        <v>50556</v>
      </c>
      <c r="E159" s="1126">
        <f t="shared" ca="1" si="39"/>
        <v>50584</v>
      </c>
      <c r="F159" s="1127">
        <f t="shared" ca="1" si="40"/>
        <v>4535</v>
      </c>
      <c r="G159" s="1128">
        <f ca="1">IF(F159&lt;&gt;"",COUNTIF($F$11:F159,"&gt;0"),"")</f>
        <v>149</v>
      </c>
      <c r="H159" s="1129">
        <v>1.408602523770945E-2</v>
      </c>
      <c r="I159" s="1073"/>
      <c r="J159" s="1130">
        <f t="shared" ca="1" si="41"/>
        <v>2854536172.0833378</v>
      </c>
      <c r="K159" s="1131">
        <f t="shared" ca="1" si="42"/>
        <v>40209068.561920419</v>
      </c>
      <c r="L159" s="1130">
        <f t="shared" ca="1" si="43"/>
        <v>0</v>
      </c>
      <c r="M159" s="1130">
        <f t="shared" ca="1" si="44"/>
        <v>0</v>
      </c>
      <c r="N159" s="1130">
        <f t="shared" ca="1" si="53"/>
        <v>2814327103.5214171</v>
      </c>
      <c r="O159" s="1073"/>
      <c r="P159" s="1130">
        <f t="shared" ca="1" si="45"/>
        <v>40209068.561920643</v>
      </c>
      <c r="Q159" s="1130">
        <f t="shared" ca="1" si="46"/>
        <v>2673610748.345346</v>
      </c>
      <c r="R159" s="1130">
        <f t="shared" ca="1" si="54"/>
        <v>2711809363.4791708</v>
      </c>
      <c r="S159" s="1130">
        <f t="shared" ca="1" si="55"/>
        <v>38198615.133824825</v>
      </c>
      <c r="T159" s="1130">
        <f t="shared" ca="1" si="47"/>
        <v>2673610748.345346</v>
      </c>
      <c r="U159" s="1132">
        <f t="shared" ca="1" si="48"/>
        <v>0.22967421263967502</v>
      </c>
      <c r="V159" s="1133">
        <f t="shared" ca="1" si="49"/>
        <v>5.0000000000000155E-2</v>
      </c>
      <c r="X159" s="1134">
        <f t="shared" ca="1" si="56"/>
        <v>142726808.60416687</v>
      </c>
      <c r="Y159" s="1134">
        <f t="shared" ca="1" si="50"/>
        <v>2010453.4280958176</v>
      </c>
      <c r="Z159" s="1134">
        <f t="shared" ca="1" si="51"/>
        <v>140716355.17607105</v>
      </c>
      <c r="AA159" s="1132">
        <f t="shared" ca="1" si="52"/>
        <v>0.24574175035152698</v>
      </c>
      <c r="AB159" s="1105"/>
    </row>
    <row r="160" spans="1:28">
      <c r="A160" s="1144">
        <f>Calendar!J152</f>
        <v>49548</v>
      </c>
      <c r="C160" s="1104"/>
      <c r="D160" s="1125">
        <f t="shared" ca="1" si="38"/>
        <v>50586</v>
      </c>
      <c r="E160" s="1126">
        <f t="shared" ca="1" si="39"/>
        <v>50613</v>
      </c>
      <c r="F160" s="1127">
        <f t="shared" ca="1" si="40"/>
        <v>4564</v>
      </c>
      <c r="G160" s="1128">
        <f ca="1">IF(F160&lt;&gt;"",COUNTIF($F$11:F160,"&gt;0"),"")</f>
        <v>150</v>
      </c>
      <c r="H160" s="1129">
        <v>1.4212850209998613E-2</v>
      </c>
      <c r="I160" s="1073"/>
      <c r="J160" s="1130">
        <f t="shared" ca="1" si="41"/>
        <v>2814327103.5214171</v>
      </c>
      <c r="K160" s="1131">
        <f t="shared" ca="1" si="42"/>
        <v>39999609.56428916</v>
      </c>
      <c r="L160" s="1130">
        <f t="shared" ca="1" si="43"/>
        <v>0</v>
      </c>
      <c r="M160" s="1130">
        <f t="shared" ca="1" si="44"/>
        <v>0</v>
      </c>
      <c r="N160" s="1130">
        <f t="shared" ca="1" si="53"/>
        <v>2774327493.957128</v>
      </c>
      <c r="O160" s="1073"/>
      <c r="P160" s="1130">
        <f t="shared" ca="1" si="45"/>
        <v>39999609.564289093</v>
      </c>
      <c r="Q160" s="1130">
        <f t="shared" ca="1" si="46"/>
        <v>2635611119.2592716</v>
      </c>
      <c r="R160" s="1130">
        <f t="shared" ca="1" si="54"/>
        <v>2673610748.345346</v>
      </c>
      <c r="S160" s="1130">
        <f t="shared" ca="1" si="55"/>
        <v>37999629.086074352</v>
      </c>
      <c r="T160" s="1130">
        <f t="shared" ca="1" si="47"/>
        <v>2635611119.2592716</v>
      </c>
      <c r="U160" s="1132">
        <f t="shared" ca="1" si="48"/>
        <v>0.22643901588398146</v>
      </c>
      <c r="V160" s="1133">
        <f t="shared" ca="1" si="49"/>
        <v>5.0000000000000044E-2</v>
      </c>
      <c r="X160" s="1134">
        <f t="shared" ca="1" si="56"/>
        <v>140716355.17607105</v>
      </c>
      <c r="Y160" s="1134">
        <f t="shared" ca="1" si="50"/>
        <v>1999980.4782147408</v>
      </c>
      <c r="Z160" s="1134">
        <f t="shared" ca="1" si="51"/>
        <v>138716374.69785631</v>
      </c>
      <c r="AA160" s="1132">
        <f t="shared" ca="1" si="52"/>
        <v>0.24228022585411682</v>
      </c>
      <c r="AB160" s="1105"/>
    </row>
    <row r="161" spans="1:28">
      <c r="A161" s="1144">
        <f>Calendar!J153</f>
        <v>49579</v>
      </c>
      <c r="C161" s="1104"/>
      <c r="D161" s="1125">
        <f t="shared" ca="1" si="38"/>
        <v>50617</v>
      </c>
      <c r="E161" s="1126">
        <f t="shared" ca="1" si="39"/>
        <v>50644</v>
      </c>
      <c r="F161" s="1127">
        <f t="shared" ca="1" si="40"/>
        <v>4595</v>
      </c>
      <c r="G161" s="1128">
        <f ca="1">IF(F161&lt;&gt;"",COUNTIF($F$11:F161,"&gt;0"),"")</f>
        <v>151</v>
      </c>
      <c r="H161" s="1129">
        <v>1.4318366202048219E-2</v>
      </c>
      <c r="I161" s="1073"/>
      <c r="J161" s="1130">
        <f t="shared" ca="1" si="41"/>
        <v>2774327493.957128</v>
      </c>
      <c r="K161" s="1131">
        <f t="shared" ca="1" si="42"/>
        <v>39723837.022888876</v>
      </c>
      <c r="L161" s="1130">
        <f t="shared" ca="1" si="43"/>
        <v>0</v>
      </c>
      <c r="M161" s="1130">
        <f t="shared" ca="1" si="44"/>
        <v>0</v>
      </c>
      <c r="N161" s="1130">
        <f t="shared" ca="1" si="53"/>
        <v>2734603656.9342394</v>
      </c>
      <c r="O161" s="1073"/>
      <c r="P161" s="1130">
        <f t="shared" ca="1" si="45"/>
        <v>39723837.02288866</v>
      </c>
      <c r="Q161" s="1130">
        <f t="shared" ca="1" si="46"/>
        <v>2597873474.0875273</v>
      </c>
      <c r="R161" s="1130">
        <f t="shared" ca="1" si="54"/>
        <v>2635611119.2592716</v>
      </c>
      <c r="S161" s="1130">
        <f t="shared" ca="1" si="55"/>
        <v>37737645.171744347</v>
      </c>
      <c r="T161" s="1130">
        <f t="shared" ca="1" si="47"/>
        <v>2597873474.0875273</v>
      </c>
      <c r="U161" s="1132">
        <f t="shared" ca="1" si="48"/>
        <v>0.22322067206952298</v>
      </c>
      <c r="V161" s="1133">
        <f t="shared" ca="1" si="49"/>
        <v>5.0000000000000044E-2</v>
      </c>
      <c r="X161" s="1134">
        <f t="shared" ca="1" si="56"/>
        <v>138716374.69785631</v>
      </c>
      <c r="Y161" s="1134">
        <f t="shared" ca="1" si="50"/>
        <v>1986191.8511443138</v>
      </c>
      <c r="Z161" s="1134">
        <f t="shared" ca="1" si="51"/>
        <v>136730182.84671199</v>
      </c>
      <c r="AA161" s="1132">
        <f t="shared" ca="1" si="52"/>
        <v>0.23883673329520713</v>
      </c>
      <c r="AB161" s="1105"/>
    </row>
    <row r="162" spans="1:28">
      <c r="A162" s="1144">
        <f>Calendar!J154</f>
        <v>49611</v>
      </c>
      <c r="C162" s="1104"/>
      <c r="D162" s="1125">
        <f t="shared" ca="1" si="38"/>
        <v>50648</v>
      </c>
      <c r="E162" s="1126">
        <f t="shared" ca="1" si="39"/>
        <v>50675</v>
      </c>
      <c r="F162" s="1127">
        <f t="shared" ca="1" si="40"/>
        <v>4626</v>
      </c>
      <c r="G162" s="1128">
        <f ca="1">IF(F162&lt;&gt;"",COUNTIF($F$11:F162,"&gt;0"),"")</f>
        <v>152</v>
      </c>
      <c r="H162" s="1129">
        <v>1.441117846125589E-2</v>
      </c>
      <c r="I162" s="1073"/>
      <c r="J162" s="1130">
        <f t="shared" ca="1" si="41"/>
        <v>2734603656.9342394</v>
      </c>
      <c r="K162" s="1131">
        <f t="shared" ca="1" si="42"/>
        <v>39408861.320882298</v>
      </c>
      <c r="L162" s="1130">
        <f t="shared" ca="1" si="43"/>
        <v>0</v>
      </c>
      <c r="M162" s="1130">
        <f t="shared" ca="1" si="44"/>
        <v>0</v>
      </c>
      <c r="N162" s="1130">
        <f t="shared" ca="1" si="53"/>
        <v>2695194795.6133571</v>
      </c>
      <c r="O162" s="1073"/>
      <c r="P162" s="1130">
        <f t="shared" ca="1" si="45"/>
        <v>39408861.32088232</v>
      </c>
      <c r="Q162" s="1130">
        <f t="shared" ca="1" si="46"/>
        <v>2560435055.8326893</v>
      </c>
      <c r="R162" s="1130">
        <f t="shared" ca="1" si="54"/>
        <v>2597873474.0875273</v>
      </c>
      <c r="S162" s="1130">
        <f t="shared" ca="1" si="55"/>
        <v>37438418.25483799</v>
      </c>
      <c r="T162" s="1130">
        <f t="shared" ca="1" si="47"/>
        <v>2560435055.8326893</v>
      </c>
      <c r="U162" s="1132">
        <f t="shared" ca="1" si="48"/>
        <v>0.22002451674296422</v>
      </c>
      <c r="V162" s="1133">
        <f t="shared" ca="1" si="49"/>
        <v>4.9999999999999933E-2</v>
      </c>
      <c r="X162" s="1134">
        <f t="shared" ca="1" si="56"/>
        <v>136730182.84671199</v>
      </c>
      <c r="Y162" s="1134">
        <f t="shared" ca="1" si="50"/>
        <v>1970443.0660443306</v>
      </c>
      <c r="Z162" s="1134">
        <f t="shared" ca="1" si="51"/>
        <v>134759739.78066766</v>
      </c>
      <c r="AA162" s="1132">
        <f t="shared" ca="1" si="52"/>
        <v>0.23541698148538567</v>
      </c>
      <c r="AB162" s="1105"/>
    </row>
    <row r="163" spans="1:28">
      <c r="A163" s="1144">
        <f>Calendar!J155</f>
        <v>49640</v>
      </c>
      <c r="C163" s="1104"/>
      <c r="D163" s="1125">
        <f t="shared" ca="1" si="38"/>
        <v>50678</v>
      </c>
      <c r="E163" s="1126">
        <f t="shared" ca="1" si="39"/>
        <v>50705</v>
      </c>
      <c r="F163" s="1127">
        <f t="shared" ca="1" si="40"/>
        <v>4656</v>
      </c>
      <c r="G163" s="1128">
        <f ca="1">IF(F163&lt;&gt;"",COUNTIF($F$11:F163,"&gt;0"),"")</f>
        <v>153</v>
      </c>
      <c r="H163" s="1129">
        <v>1.4529656567135439E-2</v>
      </c>
      <c r="I163" s="1073"/>
      <c r="J163" s="1130">
        <f t="shared" ca="1" si="41"/>
        <v>2695194795.6133571</v>
      </c>
      <c r="K163" s="1131">
        <f t="shared" ca="1" si="42"/>
        <v>39160254.761792868</v>
      </c>
      <c r="L163" s="1130">
        <f t="shared" ca="1" si="43"/>
        <v>0</v>
      </c>
      <c r="M163" s="1130">
        <f t="shared" ca="1" si="44"/>
        <v>0</v>
      </c>
      <c r="N163" s="1130">
        <f t="shared" ca="1" si="53"/>
        <v>2656034540.8515644</v>
      </c>
      <c r="O163" s="1073"/>
      <c r="P163" s="1130">
        <f t="shared" ca="1" si="45"/>
        <v>39160254.76179266</v>
      </c>
      <c r="Q163" s="1130">
        <f t="shared" ca="1" si="46"/>
        <v>2523232813.8089862</v>
      </c>
      <c r="R163" s="1130">
        <f t="shared" ca="1" si="54"/>
        <v>2560435055.8326893</v>
      </c>
      <c r="S163" s="1130">
        <f t="shared" ca="1" si="55"/>
        <v>37202242.023703098</v>
      </c>
      <c r="T163" s="1130">
        <f t="shared" ca="1" si="47"/>
        <v>2523232813.8089862</v>
      </c>
      <c r="U163" s="1132">
        <f t="shared" ca="1" si="48"/>
        <v>0.21685370416632982</v>
      </c>
      <c r="V163" s="1133">
        <f t="shared" ca="1" si="49"/>
        <v>5.0000000000000044E-2</v>
      </c>
      <c r="X163" s="1134">
        <f t="shared" ca="1" si="56"/>
        <v>134759739.78066766</v>
      </c>
      <c r="Y163" s="1134">
        <f t="shared" ca="1" si="50"/>
        <v>1958012.7380895615</v>
      </c>
      <c r="Z163" s="1134">
        <f t="shared" ca="1" si="51"/>
        <v>132801727.0425781</v>
      </c>
      <c r="AA163" s="1132">
        <f t="shared" ca="1" si="52"/>
        <v>0.23202434535238922</v>
      </c>
      <c r="AB163" s="1105"/>
    </row>
    <row r="164" spans="1:28">
      <c r="A164" s="1144">
        <f>Calendar!J156</f>
        <v>49670</v>
      </c>
      <c r="C164" s="1104"/>
      <c r="D164" s="1125">
        <f t="shared" ca="1" si="38"/>
        <v>50709</v>
      </c>
      <c r="E164" s="1126">
        <f t="shared" ca="1" si="39"/>
        <v>50738</v>
      </c>
      <c r="F164" s="1127">
        <f t="shared" ca="1" si="40"/>
        <v>4689</v>
      </c>
      <c r="G164" s="1128">
        <f ca="1">IF(F164&lt;&gt;"",COUNTIF($F$11:F164,"&gt;0"),"")</f>
        <v>154</v>
      </c>
      <c r="H164" s="1129">
        <v>1.4624710398279348E-2</v>
      </c>
      <c r="I164" s="1073"/>
      <c r="J164" s="1130">
        <f t="shared" ca="1" si="41"/>
        <v>2656034540.8515644</v>
      </c>
      <c r="K164" s="1131">
        <f t="shared" ca="1" si="42"/>
        <v>38843735.967780985</v>
      </c>
      <c r="L164" s="1130">
        <f t="shared" ca="1" si="43"/>
        <v>0</v>
      </c>
      <c r="M164" s="1130">
        <f t="shared" ca="1" si="44"/>
        <v>0</v>
      </c>
      <c r="N164" s="1130">
        <f t="shared" ca="1" si="53"/>
        <v>2617190804.8837833</v>
      </c>
      <c r="O164" s="1073"/>
      <c r="P164" s="1130">
        <f t="shared" ca="1" si="45"/>
        <v>38843735.967781067</v>
      </c>
      <c r="Q164" s="1130">
        <f t="shared" ca="1" si="46"/>
        <v>2486331264.6395941</v>
      </c>
      <c r="R164" s="1130">
        <f t="shared" ca="1" si="54"/>
        <v>2523232813.8089862</v>
      </c>
      <c r="S164" s="1130">
        <f t="shared" ca="1" si="55"/>
        <v>36901549.169392109</v>
      </c>
      <c r="T164" s="1130">
        <f t="shared" ca="1" si="47"/>
        <v>2486331264.6395941</v>
      </c>
      <c r="U164" s="1132">
        <f t="shared" ca="1" si="48"/>
        <v>0.21370289431948186</v>
      </c>
      <c r="V164" s="1133">
        <f t="shared" ca="1" si="49"/>
        <v>5.0000000000000044E-2</v>
      </c>
      <c r="X164" s="1134">
        <f t="shared" ca="1" si="56"/>
        <v>132801727.0425781</v>
      </c>
      <c r="Y164" s="1134">
        <f t="shared" ca="1" si="50"/>
        <v>1942186.798388958</v>
      </c>
      <c r="Z164" s="1134">
        <f t="shared" ca="1" si="51"/>
        <v>130859540.24418914</v>
      </c>
      <c r="AA164" s="1132">
        <f t="shared" ca="1" si="52"/>
        <v>0.22865311129920471</v>
      </c>
      <c r="AB164" s="1105"/>
    </row>
    <row r="165" spans="1:28">
      <c r="A165" s="1144">
        <f>Calendar!J157</f>
        <v>49702</v>
      </c>
      <c r="C165" s="1104"/>
      <c r="D165" s="1125">
        <f t="shared" ca="1" si="38"/>
        <v>50739</v>
      </c>
      <c r="E165" s="1126">
        <f t="shared" ca="1" si="39"/>
        <v>50766</v>
      </c>
      <c r="F165" s="1127">
        <f t="shared" ca="1" si="40"/>
        <v>4717</v>
      </c>
      <c r="G165" s="1128">
        <f ca="1">IF(F165&lt;&gt;"",COUNTIF($F$11:F165,"&gt;0"),"")</f>
        <v>155</v>
      </c>
      <c r="H165" s="1129">
        <v>1.4725494240915864E-2</v>
      </c>
      <c r="I165" s="1073"/>
      <c r="J165" s="1130">
        <f t="shared" ca="1" si="41"/>
        <v>2617190804.8837833</v>
      </c>
      <c r="K165" s="1131">
        <f t="shared" ca="1" si="42"/>
        <v>38539428.124694109</v>
      </c>
      <c r="L165" s="1130">
        <f t="shared" ca="1" si="43"/>
        <v>0</v>
      </c>
      <c r="M165" s="1130">
        <f t="shared" ca="1" si="44"/>
        <v>0</v>
      </c>
      <c r="N165" s="1130">
        <f t="shared" ca="1" si="53"/>
        <v>2578651376.7590895</v>
      </c>
      <c r="O165" s="1073"/>
      <c r="P165" s="1130">
        <f t="shared" ca="1" si="45"/>
        <v>38539428.124693871</v>
      </c>
      <c r="Q165" s="1130">
        <f t="shared" ca="1" si="46"/>
        <v>2449718807.9211349</v>
      </c>
      <c r="R165" s="1130">
        <f t="shared" ca="1" si="54"/>
        <v>2486331264.6395941</v>
      </c>
      <c r="S165" s="1130">
        <f t="shared" ca="1" si="55"/>
        <v>36612456.718459129</v>
      </c>
      <c r="T165" s="1130">
        <f t="shared" ca="1" si="47"/>
        <v>2449718807.9211349</v>
      </c>
      <c r="U165" s="1132">
        <f t="shared" ca="1" si="48"/>
        <v>0.21057755137878531</v>
      </c>
      <c r="V165" s="1133">
        <f t="shared" ca="1" si="49"/>
        <v>5.0000000000000044E-2</v>
      </c>
      <c r="X165" s="1134">
        <f t="shared" ca="1" si="56"/>
        <v>130859540.24418914</v>
      </c>
      <c r="Y165" s="1134">
        <f t="shared" ca="1" si="50"/>
        <v>1926971.4062347412</v>
      </c>
      <c r="Z165" s="1134">
        <f t="shared" ca="1" si="51"/>
        <v>128932568.8379544</v>
      </c>
      <c r="AA165" s="1132">
        <f t="shared" ca="1" si="52"/>
        <v>0.22530912576478848</v>
      </c>
      <c r="AB165" s="1105"/>
    </row>
    <row r="166" spans="1:28">
      <c r="A166" s="1144">
        <f>Calendar!J158</f>
        <v>49732</v>
      </c>
      <c r="C166" s="1104"/>
      <c r="D166" s="1125">
        <f t="shared" ca="1" si="38"/>
        <v>50770</v>
      </c>
      <c r="E166" s="1126">
        <f t="shared" ca="1" si="39"/>
        <v>50797</v>
      </c>
      <c r="F166" s="1127">
        <f t="shared" ca="1" si="40"/>
        <v>4748</v>
      </c>
      <c r="G166" s="1128">
        <f ca="1">IF(F166&lt;&gt;"",COUNTIF($F$11:F166,"&gt;0"),"")</f>
        <v>156</v>
      </c>
      <c r="H166" s="1129">
        <v>1.4840873232337378E-2</v>
      </c>
      <c r="I166" s="1073"/>
      <c r="J166" s="1130">
        <f t="shared" ca="1" si="41"/>
        <v>2578651376.7590895</v>
      </c>
      <c r="K166" s="1131">
        <f t="shared" ca="1" si="42"/>
        <v>38269438.192873895</v>
      </c>
      <c r="L166" s="1130">
        <f t="shared" ca="1" si="43"/>
        <v>0</v>
      </c>
      <c r="M166" s="1130">
        <f t="shared" ca="1" si="44"/>
        <v>0</v>
      </c>
      <c r="N166" s="1130">
        <f t="shared" ca="1" si="53"/>
        <v>2540381938.5662155</v>
      </c>
      <c r="O166" s="1073"/>
      <c r="P166" s="1130">
        <f t="shared" ca="1" si="45"/>
        <v>38269438.192873955</v>
      </c>
      <c r="Q166" s="1130">
        <f t="shared" ca="1" si="46"/>
        <v>2413362841.6379046</v>
      </c>
      <c r="R166" s="1130">
        <f t="shared" ca="1" si="54"/>
        <v>2449718807.9211349</v>
      </c>
      <c r="S166" s="1130">
        <f t="shared" ca="1" si="55"/>
        <v>36355966.283230305</v>
      </c>
      <c r="T166" s="1130">
        <f t="shared" ca="1" si="47"/>
        <v>2413362841.6379046</v>
      </c>
      <c r="U166" s="1132">
        <f t="shared" ca="1" si="48"/>
        <v>0.20747669285869089</v>
      </c>
      <c r="V166" s="1133">
        <f t="shared" ca="1" si="49"/>
        <v>5.0000000000000044E-2</v>
      </c>
      <c r="X166" s="1134">
        <f t="shared" ca="1" si="56"/>
        <v>128932568.8379544</v>
      </c>
      <c r="Y166" s="1134">
        <f t="shared" ca="1" si="50"/>
        <v>1913471.9096436501</v>
      </c>
      <c r="Z166" s="1134">
        <f t="shared" ca="1" si="51"/>
        <v>127019096.92831075</v>
      </c>
      <c r="AA166" s="1132">
        <f t="shared" ca="1" si="52"/>
        <v>0.22199133753091321</v>
      </c>
      <c r="AB166" s="1105"/>
    </row>
    <row r="167" spans="1:28">
      <c r="A167" s="1144">
        <f>Calendar!J159</f>
        <v>49761</v>
      </c>
      <c r="C167" s="1104"/>
      <c r="D167" s="1125">
        <f t="shared" ca="1" si="38"/>
        <v>50801</v>
      </c>
      <c r="E167" s="1126">
        <f t="shared" ca="1" si="39"/>
        <v>50829</v>
      </c>
      <c r="F167" s="1127">
        <f t="shared" ca="1" si="40"/>
        <v>4780</v>
      </c>
      <c r="G167" s="1128">
        <f ca="1">IF(F167&lt;&gt;"",COUNTIF($F$11:F167,"&gt;0"),"")</f>
        <v>157</v>
      </c>
      <c r="H167" s="1129">
        <v>1.4954538629712818E-2</v>
      </c>
      <c r="I167" s="1073"/>
      <c r="J167" s="1130">
        <f t="shared" ca="1" si="41"/>
        <v>2540381938.5662155</v>
      </c>
      <c r="K167" s="1131">
        <f t="shared" ca="1" si="42"/>
        <v>37990239.834513202</v>
      </c>
      <c r="L167" s="1130">
        <f t="shared" ca="1" si="43"/>
        <v>0</v>
      </c>
      <c r="M167" s="1130">
        <f t="shared" ca="1" si="44"/>
        <v>0</v>
      </c>
      <c r="N167" s="1130">
        <f t="shared" ca="1" si="53"/>
        <v>2502391698.7317023</v>
      </c>
      <c r="O167" s="1073"/>
      <c r="P167" s="1130">
        <f t="shared" ca="1" si="45"/>
        <v>37990239.834513187</v>
      </c>
      <c r="Q167" s="1130">
        <f t="shared" ca="1" si="46"/>
        <v>2377272113.7951169</v>
      </c>
      <c r="R167" s="1130">
        <f t="shared" ca="1" si="54"/>
        <v>2413362841.6379046</v>
      </c>
      <c r="S167" s="1130">
        <f t="shared" ca="1" si="55"/>
        <v>36090727.842787743</v>
      </c>
      <c r="T167" s="1130">
        <f t="shared" ca="1" si="47"/>
        <v>2377272113.7951169</v>
      </c>
      <c r="U167" s="1132">
        <f t="shared" ca="1" si="48"/>
        <v>0.20439755756131045</v>
      </c>
      <c r="V167" s="1133">
        <f t="shared" ca="1" si="49"/>
        <v>5.0000000000000155E-2</v>
      </c>
      <c r="X167" s="1134">
        <f t="shared" ca="1" si="56"/>
        <v>127019096.92831075</v>
      </c>
      <c r="Y167" s="1134">
        <f t="shared" ca="1" si="50"/>
        <v>1899511.9917254448</v>
      </c>
      <c r="Z167" s="1134">
        <f t="shared" ca="1" si="51"/>
        <v>125119584.93658531</v>
      </c>
      <c r="AA167" s="1132">
        <f t="shared" ca="1" si="52"/>
        <v>0.21869679223194</v>
      </c>
      <c r="AB167" s="1105"/>
    </row>
    <row r="168" spans="1:28">
      <c r="A168" s="1144">
        <f>Calendar!J160</f>
        <v>49793</v>
      </c>
      <c r="C168" s="1104"/>
      <c r="D168" s="1125">
        <f t="shared" ca="1" si="38"/>
        <v>50829</v>
      </c>
      <c r="E168" s="1126">
        <f t="shared" ca="1" si="39"/>
        <v>50857</v>
      </c>
      <c r="F168" s="1127">
        <f t="shared" ca="1" si="40"/>
        <v>4808</v>
      </c>
      <c r="G168" s="1128">
        <f ca="1">IF(F168&lt;&gt;"",COUNTIF($F$11:F168,"&gt;0"),"")</f>
        <v>158</v>
      </c>
      <c r="H168" s="1129">
        <v>1.504881792198098E-2</v>
      </c>
      <c r="I168" s="1073"/>
      <c r="J168" s="1130">
        <f t="shared" ca="1" si="41"/>
        <v>2502391698.7317023</v>
      </c>
      <c r="K168" s="1131">
        <f t="shared" ca="1" si="42"/>
        <v>37658037.043690071</v>
      </c>
      <c r="L168" s="1130">
        <f t="shared" ca="1" si="43"/>
        <v>0</v>
      </c>
      <c r="M168" s="1130">
        <f t="shared" ca="1" si="44"/>
        <v>0</v>
      </c>
      <c r="N168" s="1130">
        <f t="shared" ca="1" si="53"/>
        <v>2464733661.6880121</v>
      </c>
      <c r="O168" s="1073"/>
      <c r="P168" s="1130">
        <f t="shared" ca="1" si="45"/>
        <v>37658037.043690205</v>
      </c>
      <c r="Q168" s="1130">
        <f t="shared" ca="1" si="46"/>
        <v>2341496978.6036115</v>
      </c>
      <c r="R168" s="1130">
        <f t="shared" ca="1" si="54"/>
        <v>2377272113.7951169</v>
      </c>
      <c r="S168" s="1130">
        <f t="shared" ca="1" si="55"/>
        <v>35775135.191505432</v>
      </c>
      <c r="T168" s="1130">
        <f t="shared" ca="1" si="47"/>
        <v>2341496978.6036115</v>
      </c>
      <c r="U168" s="1132">
        <f t="shared" ca="1" si="48"/>
        <v>0.20134088639094086</v>
      </c>
      <c r="V168" s="1133">
        <f t="shared" ca="1" si="49"/>
        <v>5.0000000000000044E-2</v>
      </c>
      <c r="X168" s="1134">
        <f t="shared" ca="1" si="56"/>
        <v>125119584.93658531</v>
      </c>
      <c r="Y168" s="1134">
        <f t="shared" ca="1" si="50"/>
        <v>1882901.8521847725</v>
      </c>
      <c r="Z168" s="1134">
        <f t="shared" ca="1" si="51"/>
        <v>123236683.08440053</v>
      </c>
      <c r="AA168" s="1132">
        <f t="shared" ca="1" si="52"/>
        <v>0.21542628260431354</v>
      </c>
      <c r="AB168" s="1105"/>
    </row>
    <row r="169" spans="1:28">
      <c r="A169" s="1144">
        <f>Calendar!J161</f>
        <v>49822</v>
      </c>
      <c r="C169" s="1104"/>
      <c r="D169" s="1125">
        <f t="shared" ca="1" si="38"/>
        <v>50860</v>
      </c>
      <c r="E169" s="1126">
        <f t="shared" ca="1" si="39"/>
        <v>50887</v>
      </c>
      <c r="F169" s="1127">
        <f t="shared" ca="1" si="40"/>
        <v>4838</v>
      </c>
      <c r="G169" s="1128">
        <f ca="1">IF(F169&lt;&gt;"",COUNTIF($F$11:F169,"&gt;0"),"")</f>
        <v>159</v>
      </c>
      <c r="H169" s="1129">
        <v>1.5140884402968137E-2</v>
      </c>
      <c r="I169" s="1073"/>
      <c r="J169" s="1130">
        <f t="shared" ca="1" si="41"/>
        <v>2464733661.6880121</v>
      </c>
      <c r="K169" s="1131">
        <f t="shared" ca="1" si="42"/>
        <v>37318247.455722563</v>
      </c>
      <c r="L169" s="1130">
        <f t="shared" ca="1" si="43"/>
        <v>0</v>
      </c>
      <c r="M169" s="1130">
        <f t="shared" ca="1" si="44"/>
        <v>0</v>
      </c>
      <c r="N169" s="1130">
        <f t="shared" ca="1" si="53"/>
        <v>2427415414.2322898</v>
      </c>
      <c r="O169" s="1073"/>
      <c r="P169" s="1130">
        <f t="shared" ca="1" si="45"/>
        <v>37318247.455722332</v>
      </c>
      <c r="Q169" s="1130">
        <f t="shared" ca="1" si="46"/>
        <v>2306044643.5206752</v>
      </c>
      <c r="R169" s="1130">
        <f t="shared" ca="1" si="54"/>
        <v>2341496978.6036115</v>
      </c>
      <c r="S169" s="1130">
        <f t="shared" ca="1" si="55"/>
        <v>35452335.082936287</v>
      </c>
      <c r="T169" s="1130">
        <f t="shared" ca="1" si="47"/>
        <v>2306044643.5206752</v>
      </c>
      <c r="U169" s="1132">
        <f t="shared" ca="1" si="48"/>
        <v>0.19831094405139335</v>
      </c>
      <c r="V169" s="1133">
        <f t="shared" ca="1" si="49"/>
        <v>5.0000000000000044E-2</v>
      </c>
      <c r="X169" s="1134">
        <f t="shared" ca="1" si="56"/>
        <v>123236683.08440053</v>
      </c>
      <c r="Y169" s="1134">
        <f t="shared" ca="1" si="50"/>
        <v>1865912.3727860451</v>
      </c>
      <c r="Z169" s="1134">
        <f t="shared" ca="1" si="51"/>
        <v>121370770.71161449</v>
      </c>
      <c r="AA169" s="1132">
        <f t="shared" ca="1" si="52"/>
        <v>0.21218437170179155</v>
      </c>
      <c r="AB169" s="1105"/>
    </row>
    <row r="170" spans="1:28">
      <c r="A170" s="1144">
        <f>Calendar!J162</f>
        <v>49853</v>
      </c>
      <c r="C170" s="1104"/>
      <c r="D170" s="1125">
        <f t="shared" ca="1" si="38"/>
        <v>50890</v>
      </c>
      <c r="E170" s="1126">
        <f t="shared" ca="1" si="39"/>
        <v>50917</v>
      </c>
      <c r="F170" s="1127">
        <f t="shared" ca="1" si="40"/>
        <v>4868</v>
      </c>
      <c r="G170" s="1128">
        <f ca="1">IF(F170&lt;&gt;"",COUNTIF($F$11:F170,"&gt;0"),"")</f>
        <v>160</v>
      </c>
      <c r="H170" s="1129">
        <v>1.5239153987182522E-2</v>
      </c>
      <c r="I170" s="1073"/>
      <c r="J170" s="1130">
        <f t="shared" ca="1" si="41"/>
        <v>2427415414.2322898</v>
      </c>
      <c r="K170" s="1131">
        <f t="shared" ca="1" si="42"/>
        <v>36991757.288346313</v>
      </c>
      <c r="L170" s="1130">
        <f t="shared" ca="1" si="43"/>
        <v>0</v>
      </c>
      <c r="M170" s="1130">
        <f t="shared" ca="1" si="44"/>
        <v>0</v>
      </c>
      <c r="N170" s="1130">
        <f t="shared" ca="1" si="53"/>
        <v>2390423656.9439435</v>
      </c>
      <c r="O170" s="1073"/>
      <c r="P170" s="1130">
        <f t="shared" ca="1" si="45"/>
        <v>36991757.288346291</v>
      </c>
      <c r="Q170" s="1130">
        <f t="shared" ca="1" si="46"/>
        <v>2270902474.0967464</v>
      </c>
      <c r="R170" s="1130">
        <f t="shared" ca="1" si="54"/>
        <v>2306044643.5206752</v>
      </c>
      <c r="S170" s="1130">
        <f t="shared" ca="1" si="55"/>
        <v>35142169.423928738</v>
      </c>
      <c r="T170" s="1130">
        <f t="shared" ca="1" si="47"/>
        <v>2270902474.0967464</v>
      </c>
      <c r="U170" s="1132">
        <f t="shared" ca="1" si="48"/>
        <v>0.19530834097166772</v>
      </c>
      <c r="V170" s="1133">
        <f t="shared" ca="1" si="49"/>
        <v>4.9999999999999933E-2</v>
      </c>
      <c r="X170" s="1134">
        <f t="shared" ca="1" si="56"/>
        <v>121370770.71161449</v>
      </c>
      <c r="Y170" s="1134">
        <f t="shared" ca="1" si="50"/>
        <v>1849587.8644175529</v>
      </c>
      <c r="Z170" s="1134">
        <f t="shared" ca="1" si="51"/>
        <v>119521182.84719694</v>
      </c>
      <c r="AA170" s="1132">
        <f t="shared" ca="1" si="52"/>
        <v>0.20897171265773845</v>
      </c>
      <c r="AB170" s="1105"/>
    </row>
    <row r="171" spans="1:28">
      <c r="A171" s="1144">
        <f>Calendar!J163</f>
        <v>49884</v>
      </c>
      <c r="C171" s="1104"/>
      <c r="D171" s="1125">
        <f t="shared" ca="1" si="38"/>
        <v>50921</v>
      </c>
      <c r="E171" s="1126">
        <f t="shared" ca="1" si="39"/>
        <v>50948</v>
      </c>
      <c r="F171" s="1127">
        <f t="shared" ca="1" si="40"/>
        <v>4899</v>
      </c>
      <c r="G171" s="1128">
        <f ca="1">IF(F171&lt;&gt;"",COUNTIF($F$11:F171,"&gt;0"),"")</f>
        <v>161</v>
      </c>
      <c r="H171" s="1129">
        <v>1.5343443916137591E-2</v>
      </c>
      <c r="I171" s="1073"/>
      <c r="J171" s="1130">
        <f t="shared" ca="1" si="41"/>
        <v>2390423656.9439435</v>
      </c>
      <c r="K171" s="1131">
        <f t="shared" ca="1" si="42"/>
        <v>36677331.316127919</v>
      </c>
      <c r="L171" s="1130">
        <f t="shared" ca="1" si="43"/>
        <v>0</v>
      </c>
      <c r="M171" s="1130">
        <f t="shared" ca="1" si="44"/>
        <v>0</v>
      </c>
      <c r="N171" s="1130">
        <f t="shared" ca="1" si="53"/>
        <v>2353746325.6278157</v>
      </c>
      <c r="O171" s="1073"/>
      <c r="P171" s="1130">
        <f t="shared" ca="1" si="45"/>
        <v>36677331.316127777</v>
      </c>
      <c r="Q171" s="1130">
        <f t="shared" ca="1" si="46"/>
        <v>2236059009.3464251</v>
      </c>
      <c r="R171" s="1130">
        <f t="shared" ca="1" si="54"/>
        <v>2270902474.0967464</v>
      </c>
      <c r="S171" s="1130">
        <f t="shared" ca="1" si="55"/>
        <v>34843464.750321388</v>
      </c>
      <c r="T171" s="1130">
        <f t="shared" ca="1" si="47"/>
        <v>2236059009.3464251</v>
      </c>
      <c r="U171" s="1132">
        <f t="shared" ca="1" si="48"/>
        <v>0.19233200708861936</v>
      </c>
      <c r="V171" s="1133">
        <f t="shared" ca="1" si="49"/>
        <v>4.9999999999999933E-2</v>
      </c>
      <c r="X171" s="1134">
        <f t="shared" ca="1" si="56"/>
        <v>119521182.84719694</v>
      </c>
      <c r="Y171" s="1134">
        <f t="shared" ca="1" si="50"/>
        <v>1833866.5658063889</v>
      </c>
      <c r="Z171" s="1134">
        <f t="shared" ca="1" si="51"/>
        <v>117687316.28139055</v>
      </c>
      <c r="AA171" s="1132">
        <f t="shared" ca="1" si="52"/>
        <v>0.20578716054958152</v>
      </c>
      <c r="AB171" s="1105"/>
    </row>
    <row r="172" spans="1:28">
      <c r="A172" s="1144">
        <f>Calendar!J164</f>
        <v>49914</v>
      </c>
      <c r="C172" s="1104"/>
      <c r="D172" s="1125">
        <f t="shared" ca="1" si="38"/>
        <v>50951</v>
      </c>
      <c r="E172" s="1126">
        <f t="shared" ca="1" si="39"/>
        <v>50978</v>
      </c>
      <c r="F172" s="1127">
        <f t="shared" ca="1" si="40"/>
        <v>4929</v>
      </c>
      <c r="G172" s="1128">
        <f ca="1">IF(F172&lt;&gt;"",COUNTIF($F$11:F172,"&gt;0"),"")</f>
        <v>162</v>
      </c>
      <c r="H172" s="1129">
        <v>1.5447912871940713E-2</v>
      </c>
      <c r="I172" s="1073"/>
      <c r="J172" s="1130">
        <f t="shared" ca="1" si="41"/>
        <v>2353746325.6278157</v>
      </c>
      <c r="K172" s="1131">
        <f t="shared" ca="1" si="42"/>
        <v>36360468.160949096</v>
      </c>
      <c r="L172" s="1130">
        <f t="shared" ca="1" si="43"/>
        <v>0</v>
      </c>
      <c r="M172" s="1130">
        <f t="shared" ca="1" si="44"/>
        <v>0</v>
      </c>
      <c r="N172" s="1130">
        <f t="shared" ca="1" si="53"/>
        <v>2317385857.4668665</v>
      </c>
      <c r="O172" s="1073"/>
      <c r="P172" s="1130">
        <f t="shared" ca="1" si="45"/>
        <v>36360468.16094923</v>
      </c>
      <c r="Q172" s="1130">
        <f t="shared" ca="1" si="46"/>
        <v>2201516564.593523</v>
      </c>
      <c r="R172" s="1130">
        <f t="shared" ca="1" si="54"/>
        <v>2236059009.3464251</v>
      </c>
      <c r="S172" s="1130">
        <f t="shared" ca="1" si="55"/>
        <v>34542444.752902031</v>
      </c>
      <c r="T172" s="1130">
        <f t="shared" ca="1" si="47"/>
        <v>2201516564.593523</v>
      </c>
      <c r="U172" s="1132">
        <f t="shared" ca="1" si="48"/>
        <v>0.18938097172457696</v>
      </c>
      <c r="V172" s="1133">
        <f t="shared" ca="1" si="49"/>
        <v>5.0000000000000044E-2</v>
      </c>
      <c r="X172" s="1134">
        <f t="shared" ca="1" si="56"/>
        <v>117687316.28139055</v>
      </c>
      <c r="Y172" s="1134">
        <f t="shared" ca="1" si="50"/>
        <v>1818023.4080471992</v>
      </c>
      <c r="Z172" s="1134">
        <f t="shared" ca="1" si="51"/>
        <v>115869292.87334335</v>
      </c>
      <c r="AA172" s="1132">
        <f t="shared" ca="1" si="52"/>
        <v>0.20262967679302779</v>
      </c>
      <c r="AB172" s="1105"/>
    </row>
    <row r="173" spans="1:28">
      <c r="A173" s="1144">
        <f>Calendar!J165</f>
        <v>49947</v>
      </c>
      <c r="C173" s="1104"/>
      <c r="D173" s="1125">
        <f t="shared" ca="1" si="38"/>
        <v>50982</v>
      </c>
      <c r="E173" s="1126">
        <f t="shared" ca="1" si="39"/>
        <v>51011</v>
      </c>
      <c r="F173" s="1127">
        <f t="shared" ca="1" si="40"/>
        <v>4962</v>
      </c>
      <c r="G173" s="1128">
        <f ca="1">IF(F173&lt;&gt;"",COUNTIF($F$11:F173,"&gt;0"),"")</f>
        <v>163</v>
      </c>
      <c r="H173" s="1129">
        <v>1.553540043119273E-2</v>
      </c>
      <c r="I173" s="1073"/>
      <c r="J173" s="1130">
        <f t="shared" ca="1" si="41"/>
        <v>2317385857.4668665</v>
      </c>
      <c r="K173" s="1131">
        <f t="shared" ca="1" si="42"/>
        <v>36001517.249330692</v>
      </c>
      <c r="L173" s="1130">
        <f t="shared" ca="1" si="43"/>
        <v>0</v>
      </c>
      <c r="M173" s="1130">
        <f t="shared" ca="1" si="44"/>
        <v>0</v>
      </c>
      <c r="N173" s="1130">
        <f t="shared" ca="1" si="53"/>
        <v>2281384340.217536</v>
      </c>
      <c r="O173" s="1073"/>
      <c r="P173" s="1130">
        <f t="shared" ca="1" si="45"/>
        <v>36001517.249330521</v>
      </c>
      <c r="Q173" s="1130">
        <f t="shared" ca="1" si="46"/>
        <v>2167315123.2066588</v>
      </c>
      <c r="R173" s="1130">
        <f t="shared" ca="1" si="54"/>
        <v>2201516564.593523</v>
      </c>
      <c r="S173" s="1130">
        <f t="shared" ca="1" si="55"/>
        <v>34201441.386864185</v>
      </c>
      <c r="T173" s="1130">
        <f t="shared" ca="1" si="47"/>
        <v>2167315123.2066588</v>
      </c>
      <c r="U173" s="1132">
        <f t="shared" ca="1" si="48"/>
        <v>0.18645543097377218</v>
      </c>
      <c r="V173" s="1133">
        <f t="shared" ca="1" si="49"/>
        <v>5.0000000000000155E-2</v>
      </c>
      <c r="X173" s="1134">
        <f t="shared" ca="1" si="56"/>
        <v>115869292.87334335</v>
      </c>
      <c r="Y173" s="1134">
        <f t="shared" ca="1" si="50"/>
        <v>1800075.8624663353</v>
      </c>
      <c r="Z173" s="1134">
        <f t="shared" ca="1" si="51"/>
        <v>114069217.01087701</v>
      </c>
      <c r="AA173" s="1132">
        <f t="shared" ca="1" si="52"/>
        <v>0.19949947120066003</v>
      </c>
      <c r="AB173" s="1105"/>
    </row>
    <row r="174" spans="1:28">
      <c r="A174" s="1144">
        <f>Calendar!J166</f>
        <v>49975</v>
      </c>
      <c r="C174" s="1104"/>
      <c r="D174" s="1125">
        <f t="shared" ca="1" si="38"/>
        <v>51013</v>
      </c>
      <c r="E174" s="1126">
        <f t="shared" ca="1" si="39"/>
        <v>51040</v>
      </c>
      <c r="F174" s="1127">
        <f t="shared" ca="1" si="40"/>
        <v>4991</v>
      </c>
      <c r="G174" s="1128">
        <f ca="1">IF(F174&lt;&gt;"",COUNTIF($F$11:F174,"&gt;0"),"")</f>
        <v>164</v>
      </c>
      <c r="H174" s="1129">
        <v>1.5615344497241317E-2</v>
      </c>
      <c r="I174" s="1073"/>
      <c r="J174" s="1130">
        <f t="shared" ca="1" si="41"/>
        <v>2281384340.217536</v>
      </c>
      <c r="K174" s="1131">
        <f t="shared" ca="1" si="42"/>
        <v>35624602.403108411</v>
      </c>
      <c r="L174" s="1130">
        <f t="shared" ca="1" si="43"/>
        <v>0</v>
      </c>
      <c r="M174" s="1130">
        <f t="shared" ca="1" si="44"/>
        <v>0</v>
      </c>
      <c r="N174" s="1130">
        <f t="shared" ca="1" si="53"/>
        <v>2245759737.8144274</v>
      </c>
      <c r="O174" s="1073"/>
      <c r="P174" s="1130">
        <f t="shared" ca="1" si="45"/>
        <v>35624602.403108597</v>
      </c>
      <c r="Q174" s="1130">
        <f t="shared" ca="1" si="46"/>
        <v>2133471750.9237058</v>
      </c>
      <c r="R174" s="1130">
        <f t="shared" ca="1" si="54"/>
        <v>2167315123.2066588</v>
      </c>
      <c r="S174" s="1130">
        <f t="shared" ca="1" si="55"/>
        <v>33843372.282953024</v>
      </c>
      <c r="T174" s="1130">
        <f t="shared" ca="1" si="47"/>
        <v>2133471750.9237058</v>
      </c>
      <c r="U174" s="1132">
        <f t="shared" ca="1" si="48"/>
        <v>0.18355877119102401</v>
      </c>
      <c r="V174" s="1133">
        <f t="shared" ca="1" si="49"/>
        <v>5.0000000000000044E-2</v>
      </c>
      <c r="X174" s="1134">
        <f t="shared" ca="1" si="56"/>
        <v>114069217.01087701</v>
      </c>
      <c r="Y174" s="1134">
        <f t="shared" ca="1" si="50"/>
        <v>1781230.1201555729</v>
      </c>
      <c r="Z174" s="1134">
        <f t="shared" ca="1" si="51"/>
        <v>112287986.89072144</v>
      </c>
      <c r="AA174" s="1132">
        <f t="shared" ca="1" si="52"/>
        <v>0.19640016702974691</v>
      </c>
      <c r="AB174" s="1105"/>
    </row>
    <row r="175" spans="1:28">
      <c r="A175" s="1144">
        <f>Calendar!J167</f>
        <v>50006</v>
      </c>
      <c r="C175" s="1104"/>
      <c r="D175" s="1125">
        <f t="shared" ca="1" si="38"/>
        <v>51043</v>
      </c>
      <c r="E175" s="1126">
        <f t="shared" ca="1" si="39"/>
        <v>51070</v>
      </c>
      <c r="F175" s="1127">
        <f t="shared" ca="1" si="40"/>
        <v>5021</v>
      </c>
      <c r="G175" s="1128">
        <f ca="1">IF(F175&lt;&gt;"",COUNTIF($F$11:F175,"&gt;0"),"")</f>
        <v>165</v>
      </c>
      <c r="H175" s="1129">
        <v>1.5720716728036072E-2</v>
      </c>
      <c r="I175" s="1073"/>
      <c r="J175" s="1130">
        <f t="shared" ca="1" si="41"/>
        <v>2245759737.8144274</v>
      </c>
      <c r="K175" s="1131">
        <f t="shared" ca="1" si="42"/>
        <v>35304952.677409172</v>
      </c>
      <c r="L175" s="1130">
        <f t="shared" ca="1" si="43"/>
        <v>0</v>
      </c>
      <c r="M175" s="1130">
        <f t="shared" ca="1" si="44"/>
        <v>0</v>
      </c>
      <c r="N175" s="1130">
        <f t="shared" ca="1" si="53"/>
        <v>2210454785.1370182</v>
      </c>
      <c r="O175" s="1073"/>
      <c r="P175" s="1130">
        <f t="shared" ca="1" si="45"/>
        <v>35304952.677409172</v>
      </c>
      <c r="Q175" s="1130">
        <f t="shared" ca="1" si="46"/>
        <v>2099932045.8801672</v>
      </c>
      <c r="R175" s="1130">
        <f t="shared" ca="1" si="54"/>
        <v>2133471750.9237058</v>
      </c>
      <c r="S175" s="1130">
        <f t="shared" ca="1" si="55"/>
        <v>33539705.04353857</v>
      </c>
      <c r="T175" s="1130">
        <f t="shared" ca="1" si="47"/>
        <v>2099932045.8801672</v>
      </c>
      <c r="U175" s="1132">
        <f t="shared" ca="1" si="48"/>
        <v>0.18069243774338589</v>
      </c>
      <c r="V175" s="1133">
        <f t="shared" ca="1" si="49"/>
        <v>5.0000000000000044E-2</v>
      </c>
      <c r="X175" s="1134">
        <f t="shared" ca="1" si="56"/>
        <v>112287986.89072144</v>
      </c>
      <c r="Y175" s="1134">
        <f t="shared" ca="1" si="50"/>
        <v>1765247.6338706017</v>
      </c>
      <c r="Z175" s="1134">
        <f t="shared" ca="1" si="51"/>
        <v>110522739.25685084</v>
      </c>
      <c r="AA175" s="1132">
        <f t="shared" ca="1" si="52"/>
        <v>0.19333331076226143</v>
      </c>
      <c r="AB175" s="1105"/>
    </row>
    <row r="176" spans="1:28">
      <c r="A176" s="1144">
        <f>Calendar!J168</f>
        <v>50038</v>
      </c>
      <c r="C176" s="1104"/>
      <c r="D176" s="1125">
        <f t="shared" ca="1" si="38"/>
        <v>51074</v>
      </c>
      <c r="E176" s="1126">
        <f t="shared" ca="1" si="39"/>
        <v>51102</v>
      </c>
      <c r="F176" s="1127">
        <f t="shared" ca="1" si="40"/>
        <v>5053</v>
      </c>
      <c r="G176" s="1128">
        <f ca="1">IF(F176&lt;&gt;"",COUNTIF($F$11:F176,"&gt;0"),"")</f>
        <v>166</v>
      </c>
      <c r="H176" s="1129">
        <v>1.580574357171256E-2</v>
      </c>
      <c r="I176" s="1073"/>
      <c r="J176" s="1130">
        <f t="shared" ca="1" si="41"/>
        <v>2210454785.1370182</v>
      </c>
      <c r="K176" s="1131">
        <f t="shared" ca="1" si="42"/>
        <v>34937881.51074069</v>
      </c>
      <c r="L176" s="1130">
        <f t="shared" ca="1" si="43"/>
        <v>0</v>
      </c>
      <c r="M176" s="1130">
        <f t="shared" ca="1" si="44"/>
        <v>0</v>
      </c>
      <c r="N176" s="1130">
        <f t="shared" ca="1" si="53"/>
        <v>2175516903.6262774</v>
      </c>
      <c r="O176" s="1073"/>
      <c r="P176" s="1130">
        <f t="shared" ca="1" si="45"/>
        <v>34937881.510740757</v>
      </c>
      <c r="Q176" s="1130">
        <f t="shared" ca="1" si="46"/>
        <v>2066741058.4449635</v>
      </c>
      <c r="R176" s="1130">
        <f t="shared" ca="1" si="54"/>
        <v>2099932045.8801672</v>
      </c>
      <c r="S176" s="1130">
        <f t="shared" ca="1" si="55"/>
        <v>33190987.435203791</v>
      </c>
      <c r="T176" s="1130">
        <f t="shared" ca="1" si="47"/>
        <v>2066741058.4449635</v>
      </c>
      <c r="U176" s="1132">
        <f t="shared" ca="1" si="48"/>
        <v>0.17785182311472383</v>
      </c>
      <c r="V176" s="1133">
        <f t="shared" ca="1" si="49"/>
        <v>5.0000000000000044E-2</v>
      </c>
      <c r="X176" s="1134">
        <f t="shared" ca="1" si="56"/>
        <v>110522739.25685084</v>
      </c>
      <c r="Y176" s="1134">
        <f t="shared" ca="1" si="50"/>
        <v>1746894.0755369663</v>
      </c>
      <c r="Z176" s="1134">
        <f t="shared" ca="1" si="51"/>
        <v>108775845.18131387</v>
      </c>
      <c r="AA176" s="1132">
        <f t="shared" ca="1" si="52"/>
        <v>0.19029397254967431</v>
      </c>
      <c r="AB176" s="1105"/>
    </row>
    <row r="177" spans="1:28">
      <c r="A177" s="1144">
        <f>Calendar!J169</f>
        <v>50067</v>
      </c>
      <c r="C177" s="1104"/>
      <c r="D177" s="1125">
        <f t="shared" ca="1" si="38"/>
        <v>51104</v>
      </c>
      <c r="E177" s="1126">
        <f t="shared" ca="1" si="39"/>
        <v>51131</v>
      </c>
      <c r="F177" s="1127">
        <f t="shared" ca="1" si="40"/>
        <v>5082</v>
      </c>
      <c r="G177" s="1128">
        <f ca="1">IF(F177&lt;&gt;"",COUNTIF($F$11:F177,"&gt;0"),"")</f>
        <v>167</v>
      </c>
      <c r="H177" s="1129">
        <v>1.5909727788583974E-2</v>
      </c>
      <c r="I177" s="1073"/>
      <c r="J177" s="1130">
        <f t="shared" ca="1" si="41"/>
        <v>2175516903.6262774</v>
      </c>
      <c r="K177" s="1131">
        <f t="shared" ca="1" si="42"/>
        <v>34611881.736157149</v>
      </c>
      <c r="L177" s="1130">
        <f t="shared" ca="1" si="43"/>
        <v>0</v>
      </c>
      <c r="M177" s="1130">
        <f t="shared" ca="1" si="44"/>
        <v>0</v>
      </c>
      <c r="N177" s="1130">
        <f t="shared" ca="1" si="53"/>
        <v>2140905021.8901203</v>
      </c>
      <c r="O177" s="1073"/>
      <c r="P177" s="1130">
        <f t="shared" ca="1" si="45"/>
        <v>34611881.736157179</v>
      </c>
      <c r="Q177" s="1130">
        <f t="shared" ca="1" si="46"/>
        <v>2033859770.7956142</v>
      </c>
      <c r="R177" s="1130">
        <f t="shared" ca="1" si="54"/>
        <v>2066741058.4449635</v>
      </c>
      <c r="S177" s="1130">
        <f t="shared" ca="1" si="55"/>
        <v>32881287.649349213</v>
      </c>
      <c r="T177" s="1130">
        <f t="shared" ca="1" si="47"/>
        <v>2033859770.7956142</v>
      </c>
      <c r="U177" s="1132">
        <f t="shared" ca="1" si="48"/>
        <v>0.17504074280481091</v>
      </c>
      <c r="V177" s="1133">
        <f t="shared" ca="1" si="49"/>
        <v>5.0000000000000044E-2</v>
      </c>
      <c r="X177" s="1134">
        <f t="shared" ca="1" si="56"/>
        <v>108775845.18131387</v>
      </c>
      <c r="Y177" s="1134">
        <f t="shared" ca="1" si="50"/>
        <v>1730594.0868079662</v>
      </c>
      <c r="Z177" s="1134">
        <f t="shared" ca="1" si="51"/>
        <v>107045251.09450591</v>
      </c>
      <c r="AA177" s="1132">
        <f t="shared" ca="1" si="52"/>
        <v>0.18728623481631176</v>
      </c>
      <c r="AB177" s="1105"/>
    </row>
    <row r="178" spans="1:28">
      <c r="A178" s="1144">
        <f>Calendar!J170</f>
        <v>50098</v>
      </c>
      <c r="C178" s="1104"/>
      <c r="D178" s="1125">
        <f t="shared" ca="1" si="38"/>
        <v>51135</v>
      </c>
      <c r="E178" s="1126">
        <f t="shared" ca="1" si="39"/>
        <v>51162</v>
      </c>
      <c r="F178" s="1127">
        <f t="shared" ca="1" si="40"/>
        <v>5113</v>
      </c>
      <c r="G178" s="1128">
        <f ca="1">IF(F178&lt;&gt;"",COUNTIF($F$11:F178,"&gt;0"),"")</f>
        <v>168</v>
      </c>
      <c r="H178" s="1129">
        <v>1.6001483846585514E-2</v>
      </c>
      <c r="I178" s="1073"/>
      <c r="J178" s="1130">
        <f t="shared" ca="1" si="41"/>
        <v>2140905021.8901203</v>
      </c>
      <c r="K178" s="1131">
        <f t="shared" ca="1" si="42"/>
        <v>34257657.124848567</v>
      </c>
      <c r="L178" s="1130">
        <f t="shared" ca="1" si="43"/>
        <v>0</v>
      </c>
      <c r="M178" s="1130">
        <f t="shared" ca="1" si="44"/>
        <v>0</v>
      </c>
      <c r="N178" s="1130">
        <f t="shared" ca="1" si="53"/>
        <v>2106647364.7652717</v>
      </c>
      <c r="O178" s="1073"/>
      <c r="P178" s="1130">
        <f t="shared" ca="1" si="45"/>
        <v>34257657.124848366</v>
      </c>
      <c r="Q178" s="1130">
        <f t="shared" ca="1" si="46"/>
        <v>2001314996.5270081</v>
      </c>
      <c r="R178" s="1130">
        <f t="shared" ca="1" si="54"/>
        <v>2033859770.7956142</v>
      </c>
      <c r="S178" s="1130">
        <f t="shared" ca="1" si="55"/>
        <v>32544774.268606186</v>
      </c>
      <c r="T178" s="1130">
        <f t="shared" ca="1" si="47"/>
        <v>2001314996.5270081</v>
      </c>
      <c r="U178" s="1132">
        <f t="shared" ca="1" si="48"/>
        <v>0.17225589223487484</v>
      </c>
      <c r="V178" s="1133">
        <f t="shared" ca="1" si="49"/>
        <v>5.0000000000000044E-2</v>
      </c>
      <c r="X178" s="1134">
        <f t="shared" ca="1" si="56"/>
        <v>107045251.09450591</v>
      </c>
      <c r="Y178" s="1134">
        <f t="shared" ca="1" si="50"/>
        <v>1712882.8562421799</v>
      </c>
      <c r="Z178" s="1134">
        <f t="shared" ca="1" si="51"/>
        <v>105332368.23826373</v>
      </c>
      <c r="AA178" s="1132">
        <f t="shared" ca="1" si="52"/>
        <v>0.18430656180183524</v>
      </c>
      <c r="AB178" s="1105"/>
    </row>
    <row r="179" spans="1:28">
      <c r="A179" s="1144">
        <f>Calendar!J171</f>
        <v>50126</v>
      </c>
      <c r="C179" s="1104"/>
      <c r="D179" s="1125">
        <f t="shared" ca="1" si="38"/>
        <v>51166</v>
      </c>
      <c r="E179" s="1126">
        <f t="shared" ca="1" si="39"/>
        <v>51193</v>
      </c>
      <c r="F179" s="1127">
        <f t="shared" ca="1" si="40"/>
        <v>5144</v>
      </c>
      <c r="G179" s="1128">
        <f ca="1">IF(F179&lt;&gt;"",COUNTIF($F$11:F179,"&gt;0"),"")</f>
        <v>169</v>
      </c>
      <c r="H179" s="1129">
        <v>1.6094577730115241E-2</v>
      </c>
      <c r="I179" s="1073"/>
      <c r="J179" s="1130">
        <f t="shared" ca="1" si="41"/>
        <v>2106647364.7652717</v>
      </c>
      <c r="K179" s="1131">
        <f t="shared" ca="1" si="42"/>
        <v>33905599.762157097</v>
      </c>
      <c r="L179" s="1130">
        <f t="shared" ca="1" si="43"/>
        <v>0</v>
      </c>
      <c r="M179" s="1130">
        <f t="shared" ca="1" si="44"/>
        <v>0</v>
      </c>
      <c r="N179" s="1130">
        <f t="shared" ca="1" si="53"/>
        <v>2072741765.0031145</v>
      </c>
      <c r="O179" s="1073"/>
      <c r="P179" s="1130">
        <f t="shared" ca="1" si="45"/>
        <v>33905599.762157202</v>
      </c>
      <c r="Q179" s="1130">
        <f t="shared" ca="1" si="46"/>
        <v>1969104676.7529585</v>
      </c>
      <c r="R179" s="1130">
        <f t="shared" ca="1" si="54"/>
        <v>2001314996.5270081</v>
      </c>
      <c r="S179" s="1130">
        <f t="shared" ca="1" si="55"/>
        <v>32210319.77404952</v>
      </c>
      <c r="T179" s="1130">
        <f t="shared" ca="1" si="47"/>
        <v>1969104676.7529585</v>
      </c>
      <c r="U179" s="1132">
        <f t="shared" ca="1" si="48"/>
        <v>0.16949954235779932</v>
      </c>
      <c r="V179" s="1133">
        <f t="shared" ca="1" si="49"/>
        <v>5.0000000000000044E-2</v>
      </c>
      <c r="X179" s="1134">
        <f t="shared" ca="1" si="56"/>
        <v>105332368.23826373</v>
      </c>
      <c r="Y179" s="1134">
        <f t="shared" ca="1" si="50"/>
        <v>1695279.9881076813</v>
      </c>
      <c r="Z179" s="1134">
        <f t="shared" ca="1" si="51"/>
        <v>103637088.25015604</v>
      </c>
      <c r="AA179" s="1132">
        <f t="shared" ca="1" si="52"/>
        <v>0.18135738333034387</v>
      </c>
      <c r="AB179" s="1105"/>
    </row>
    <row r="180" spans="1:28">
      <c r="A180" s="1144">
        <f>Calendar!J172</f>
        <v>50157</v>
      </c>
      <c r="C180" s="1104"/>
      <c r="D180" s="1125">
        <f t="shared" ca="1" si="38"/>
        <v>51195</v>
      </c>
      <c r="E180" s="1126">
        <f t="shared" ca="1" si="39"/>
        <v>51222</v>
      </c>
      <c r="F180" s="1127">
        <f t="shared" ca="1" si="40"/>
        <v>5173</v>
      </c>
      <c r="G180" s="1128">
        <f ca="1">IF(F180&lt;&gt;"",COUNTIF($F$11:F180,"&gt;0"),"")</f>
        <v>170</v>
      </c>
      <c r="H180" s="1129">
        <v>1.622730145022349E-2</v>
      </c>
      <c r="I180" s="1073"/>
      <c r="J180" s="1130">
        <f t="shared" ca="1" si="41"/>
        <v>2072741765.0031145</v>
      </c>
      <c r="K180" s="1131">
        <f t="shared" ca="1" si="42"/>
        <v>33635005.449173838</v>
      </c>
      <c r="L180" s="1130">
        <f t="shared" ca="1" si="43"/>
        <v>0</v>
      </c>
      <c r="M180" s="1130">
        <f t="shared" ca="1" si="44"/>
        <v>0</v>
      </c>
      <c r="N180" s="1130">
        <f t="shared" ca="1" si="53"/>
        <v>2039106759.5539405</v>
      </c>
      <c r="O180" s="1073"/>
      <c r="P180" s="1130">
        <f t="shared" ca="1" si="45"/>
        <v>33635005.449174166</v>
      </c>
      <c r="Q180" s="1130">
        <f t="shared" ca="1" si="46"/>
        <v>1937151421.5762434</v>
      </c>
      <c r="R180" s="1130">
        <f t="shared" ca="1" si="54"/>
        <v>1969104676.7529585</v>
      </c>
      <c r="S180" s="1130">
        <f t="shared" ca="1" si="55"/>
        <v>31953255.176715136</v>
      </c>
      <c r="T180" s="1130">
        <f t="shared" ca="1" si="47"/>
        <v>1937151421.5762434</v>
      </c>
      <c r="U180" s="1132">
        <f t="shared" ca="1" si="48"/>
        <v>0.16677151879810273</v>
      </c>
      <c r="V180" s="1133">
        <f t="shared" ca="1" si="49"/>
        <v>5.0000000000000044E-2</v>
      </c>
      <c r="X180" s="1134">
        <f t="shared" ca="1" si="56"/>
        <v>103637088.25015604</v>
      </c>
      <c r="Y180" s="1134">
        <f t="shared" ca="1" si="50"/>
        <v>1681750.2724590302</v>
      </c>
      <c r="Z180" s="1134">
        <f t="shared" ca="1" si="51"/>
        <v>101955337.97769701</v>
      </c>
      <c r="AA180" s="1132">
        <f t="shared" ca="1" si="52"/>
        <v>0.17843851282740367</v>
      </c>
      <c r="AB180" s="1105"/>
    </row>
    <row r="181" spans="1:28">
      <c r="A181" s="1144">
        <f>Calendar!J173</f>
        <v>50187</v>
      </c>
      <c r="C181" s="1104"/>
      <c r="D181" s="1125">
        <f t="shared" ca="1" si="38"/>
        <v>51226</v>
      </c>
      <c r="E181" s="1126">
        <f t="shared" ca="1" si="39"/>
        <v>51253</v>
      </c>
      <c r="F181" s="1127">
        <f t="shared" ca="1" si="40"/>
        <v>5204</v>
      </c>
      <c r="G181" s="1128">
        <f ca="1">IF(F181&lt;&gt;"",COUNTIF($F$11:F181,"&gt;0"),"")</f>
        <v>171</v>
      </c>
      <c r="H181" s="1129">
        <v>1.6378965258124826E-2</v>
      </c>
      <c r="I181" s="1073"/>
      <c r="J181" s="1130">
        <f t="shared" ca="1" si="41"/>
        <v>2039106759.5539405</v>
      </c>
      <c r="K181" s="1131">
        <f t="shared" ca="1" si="42"/>
        <v>33398458.772341486</v>
      </c>
      <c r="L181" s="1130">
        <f t="shared" ca="1" si="43"/>
        <v>0</v>
      </c>
      <c r="M181" s="1130">
        <f t="shared" ca="1" si="44"/>
        <v>0</v>
      </c>
      <c r="N181" s="1130">
        <f t="shared" ca="1" si="53"/>
        <v>2005708300.781599</v>
      </c>
      <c r="O181" s="1073"/>
      <c r="P181" s="1130">
        <f t="shared" ca="1" si="45"/>
        <v>33398458.772341251</v>
      </c>
      <c r="Q181" s="1130">
        <f t="shared" ca="1" si="46"/>
        <v>1905422885.7425189</v>
      </c>
      <c r="R181" s="1130">
        <f t="shared" ca="1" si="54"/>
        <v>1937151421.5762434</v>
      </c>
      <c r="S181" s="1130">
        <f t="shared" ca="1" si="55"/>
        <v>31728535.833724499</v>
      </c>
      <c r="T181" s="1130">
        <f t="shared" ca="1" si="47"/>
        <v>1905422885.7425189</v>
      </c>
      <c r="U181" s="1132">
        <f t="shared" ca="1" si="48"/>
        <v>0.16406526708925431</v>
      </c>
      <c r="V181" s="1133">
        <f t="shared" ca="1" si="49"/>
        <v>5.0000000000000044E-2</v>
      </c>
      <c r="X181" s="1134">
        <f t="shared" ca="1" si="56"/>
        <v>101955337.97769701</v>
      </c>
      <c r="Y181" s="1134">
        <f t="shared" ca="1" si="50"/>
        <v>1669922.9386167526</v>
      </c>
      <c r="Z181" s="1134">
        <f t="shared" ca="1" si="51"/>
        <v>100285415.03908026</v>
      </c>
      <c r="AA181" s="1132">
        <f t="shared" ca="1" si="52"/>
        <v>0.17554293728942325</v>
      </c>
      <c r="AB181" s="1105"/>
    </row>
    <row r="182" spans="1:28">
      <c r="A182" s="1144">
        <f>Calendar!J174</f>
        <v>50220</v>
      </c>
      <c r="C182" s="1104"/>
      <c r="D182" s="1125">
        <f t="shared" ca="1" si="38"/>
        <v>51256</v>
      </c>
      <c r="E182" s="1126">
        <f t="shared" ca="1" si="39"/>
        <v>51284</v>
      </c>
      <c r="F182" s="1127">
        <f t="shared" ca="1" si="40"/>
        <v>5235</v>
      </c>
      <c r="G182" s="1128">
        <f ca="1">IF(F182&lt;&gt;"",COUNTIF($F$11:F182,"&gt;0"),"")</f>
        <v>172</v>
      </c>
      <c r="H182" s="1129">
        <v>1.649593965294251E-2</v>
      </c>
      <c r="I182" s="1073"/>
      <c r="J182" s="1130">
        <f t="shared" ca="1" si="41"/>
        <v>2005708300.781599</v>
      </c>
      <c r="K182" s="1131">
        <f t="shared" ca="1" si="42"/>
        <v>33086043.091099124</v>
      </c>
      <c r="L182" s="1130">
        <f t="shared" ca="1" si="43"/>
        <v>0</v>
      </c>
      <c r="M182" s="1130">
        <f t="shared" ca="1" si="44"/>
        <v>0</v>
      </c>
      <c r="N182" s="1130">
        <f t="shared" ca="1" si="53"/>
        <v>1972622257.6905</v>
      </c>
      <c r="O182" s="1073"/>
      <c r="P182" s="1130">
        <f t="shared" ca="1" si="45"/>
        <v>33086043.091099024</v>
      </c>
      <c r="Q182" s="1130">
        <f t="shared" ca="1" si="46"/>
        <v>1873991144.805975</v>
      </c>
      <c r="R182" s="1130">
        <f t="shared" ca="1" si="54"/>
        <v>1905422885.7425189</v>
      </c>
      <c r="S182" s="1130">
        <f t="shared" ca="1" si="55"/>
        <v>31431740.936543941</v>
      </c>
      <c r="T182" s="1130">
        <f t="shared" ca="1" si="47"/>
        <v>1873991144.805975</v>
      </c>
      <c r="U182" s="1132">
        <f t="shared" ca="1" si="48"/>
        <v>0.16137804777953443</v>
      </c>
      <c r="V182" s="1133">
        <f t="shared" ca="1" si="49"/>
        <v>5.0000000000000044E-2</v>
      </c>
      <c r="X182" s="1134">
        <f t="shared" ca="1" si="56"/>
        <v>100285415.03908026</v>
      </c>
      <c r="Y182" s="1134">
        <f t="shared" ca="1" si="50"/>
        <v>1654302.1545550823</v>
      </c>
      <c r="Z182" s="1134">
        <f t="shared" ca="1" si="51"/>
        <v>98631112.88452518</v>
      </c>
      <c r="AA182" s="1132">
        <f t="shared" ca="1" si="52"/>
        <v>0.17266772561825114</v>
      </c>
      <c r="AB182" s="1105"/>
    </row>
    <row r="183" spans="1:28">
      <c r="A183" s="1144">
        <f>Calendar!J175</f>
        <v>50248</v>
      </c>
      <c r="C183" s="1104"/>
      <c r="D183" s="1125">
        <f t="shared" ca="1" si="38"/>
        <v>51287</v>
      </c>
      <c r="E183" s="1126">
        <f t="shared" ca="1" si="39"/>
        <v>51314</v>
      </c>
      <c r="F183" s="1127">
        <f t="shared" ca="1" si="40"/>
        <v>5265</v>
      </c>
      <c r="G183" s="1128">
        <f ca="1">IF(F183&lt;&gt;"",COUNTIF($F$11:F183,"&gt;0"),"")</f>
        <v>173</v>
      </c>
      <c r="H183" s="1129">
        <v>1.6625995194031577E-2</v>
      </c>
      <c r="I183" s="1073"/>
      <c r="J183" s="1130">
        <f t="shared" ca="1" si="41"/>
        <v>1972622257.6905</v>
      </c>
      <c r="K183" s="1131">
        <f t="shared" ca="1" si="42"/>
        <v>32796808.17600197</v>
      </c>
      <c r="L183" s="1130">
        <f t="shared" ca="1" si="43"/>
        <v>0</v>
      </c>
      <c r="M183" s="1130">
        <f t="shared" ca="1" si="44"/>
        <v>0</v>
      </c>
      <c r="N183" s="1130">
        <f t="shared" ca="1" si="53"/>
        <v>1939825449.514498</v>
      </c>
      <c r="O183" s="1073"/>
      <c r="P183" s="1130">
        <f t="shared" ca="1" si="45"/>
        <v>32796808.176002264</v>
      </c>
      <c r="Q183" s="1130">
        <f t="shared" ca="1" si="46"/>
        <v>1842834177.0387731</v>
      </c>
      <c r="R183" s="1130">
        <f t="shared" ca="1" si="54"/>
        <v>1873991144.805975</v>
      </c>
      <c r="S183" s="1130">
        <f t="shared" ca="1" si="55"/>
        <v>31156967.7672019</v>
      </c>
      <c r="T183" s="1130">
        <f t="shared" ca="1" si="47"/>
        <v>1842834177.0387731</v>
      </c>
      <c r="U183" s="1132">
        <f t="shared" ca="1" si="48"/>
        <v>0.15871596524205359</v>
      </c>
      <c r="V183" s="1133">
        <f t="shared" ca="1" si="49"/>
        <v>5.0000000000000044E-2</v>
      </c>
      <c r="X183" s="1134">
        <f t="shared" ca="1" si="56"/>
        <v>98631112.88452518</v>
      </c>
      <c r="Y183" s="1134">
        <f t="shared" ca="1" si="50"/>
        <v>1639840.4088003635</v>
      </c>
      <c r="Z183" s="1134">
        <f t="shared" ca="1" si="51"/>
        <v>96991272.475724816</v>
      </c>
      <c r="AA183" s="1132">
        <f t="shared" ca="1" si="52"/>
        <v>0.16981940923644143</v>
      </c>
      <c r="AB183" s="1105"/>
    </row>
    <row r="184" spans="1:28">
      <c r="A184" s="1144">
        <f>Calendar!J176</f>
        <v>50279</v>
      </c>
      <c r="C184" s="1104"/>
      <c r="D184" s="1125">
        <f t="shared" ca="1" si="38"/>
        <v>51317</v>
      </c>
      <c r="E184" s="1126">
        <f t="shared" ca="1" si="39"/>
        <v>51344</v>
      </c>
      <c r="F184" s="1127">
        <f t="shared" ca="1" si="40"/>
        <v>5295</v>
      </c>
      <c r="G184" s="1128">
        <f ca="1">IF(F184&lt;&gt;"",COUNTIF($F$11:F184,"&gt;0"),"")</f>
        <v>174</v>
      </c>
      <c r="H184" s="1129">
        <v>1.6770003583705364E-2</v>
      </c>
      <c r="I184" s="1073"/>
      <c r="J184" s="1130">
        <f t="shared" ca="1" si="41"/>
        <v>1939825449.514498</v>
      </c>
      <c r="K184" s="1131">
        <f t="shared" ca="1" si="42"/>
        <v>32530879.740121</v>
      </c>
      <c r="L184" s="1130">
        <f t="shared" ca="1" si="43"/>
        <v>0</v>
      </c>
      <c r="M184" s="1130">
        <f t="shared" ca="1" si="44"/>
        <v>0</v>
      </c>
      <c r="N184" s="1130">
        <f t="shared" ca="1" si="53"/>
        <v>1907294569.7743771</v>
      </c>
      <c r="O184" s="1073"/>
      <c r="P184" s="1130">
        <f t="shared" ca="1" si="45"/>
        <v>32530879.740120649</v>
      </c>
      <c r="Q184" s="1130">
        <f t="shared" ca="1" si="46"/>
        <v>1811929841.2856581</v>
      </c>
      <c r="R184" s="1130">
        <f t="shared" ca="1" si="54"/>
        <v>1842834177.0387731</v>
      </c>
      <c r="S184" s="1130">
        <f t="shared" ca="1" si="55"/>
        <v>30904335.753114939</v>
      </c>
      <c r="T184" s="1130">
        <f t="shared" ca="1" si="47"/>
        <v>1811929841.2856581</v>
      </c>
      <c r="U184" s="1132">
        <f t="shared" ca="1" si="48"/>
        <v>0.15607715436672312</v>
      </c>
      <c r="V184" s="1133">
        <f t="shared" ca="1" si="49"/>
        <v>5.0000000000000044E-2</v>
      </c>
      <c r="X184" s="1134">
        <f t="shared" ca="1" si="56"/>
        <v>96991272.475724816</v>
      </c>
      <c r="Y184" s="1134">
        <f t="shared" ca="1" si="50"/>
        <v>1626543.9870057106</v>
      </c>
      <c r="Z184" s="1134">
        <f t="shared" ca="1" si="51"/>
        <v>95364728.488719106</v>
      </c>
      <c r="AA184" s="1132">
        <f t="shared" ca="1" si="52"/>
        <v>0.16699599255462261</v>
      </c>
      <c r="AB184" s="1105"/>
    </row>
    <row r="185" spans="1:28">
      <c r="A185" s="1144">
        <f>Calendar!J177</f>
        <v>50311</v>
      </c>
      <c r="C185" s="1104"/>
      <c r="D185" s="1125">
        <f t="shared" ca="1" si="38"/>
        <v>51348</v>
      </c>
      <c r="E185" s="1126">
        <f t="shared" ca="1" si="39"/>
        <v>51375</v>
      </c>
      <c r="F185" s="1127">
        <f t="shared" ca="1" si="40"/>
        <v>5326</v>
      </c>
      <c r="G185" s="1128">
        <f ca="1">IF(F185&lt;&gt;"",COUNTIF($F$11:F185,"&gt;0"),"")</f>
        <v>175</v>
      </c>
      <c r="H185" s="1129">
        <v>1.6885742730233598E-2</v>
      </c>
      <c r="I185" s="1073"/>
      <c r="J185" s="1130">
        <f t="shared" ca="1" si="41"/>
        <v>1907294569.7743771</v>
      </c>
      <c r="K185" s="1131">
        <f t="shared" ca="1" si="42"/>
        <v>32206085.415981706</v>
      </c>
      <c r="L185" s="1130">
        <f t="shared" ca="1" si="43"/>
        <v>0</v>
      </c>
      <c r="M185" s="1130">
        <f t="shared" ca="1" si="44"/>
        <v>0</v>
      </c>
      <c r="N185" s="1130">
        <f t="shared" ca="1" si="53"/>
        <v>1875088484.3583953</v>
      </c>
      <c r="O185" s="1073"/>
      <c r="P185" s="1130">
        <f t="shared" ca="1" si="45"/>
        <v>32206085.415982008</v>
      </c>
      <c r="Q185" s="1130">
        <f t="shared" ca="1" si="46"/>
        <v>1781334060.1404755</v>
      </c>
      <c r="R185" s="1130">
        <f t="shared" ca="1" si="54"/>
        <v>1811929841.2856581</v>
      </c>
      <c r="S185" s="1130">
        <f t="shared" ca="1" si="55"/>
        <v>30595781.14518261</v>
      </c>
      <c r="T185" s="1130">
        <f t="shared" ca="1" si="47"/>
        <v>1781334060.1404755</v>
      </c>
      <c r="U185" s="1132">
        <f t="shared" ca="1" si="48"/>
        <v>0.15345973992865863</v>
      </c>
      <c r="V185" s="1133">
        <f t="shared" ca="1" si="49"/>
        <v>5.0000000000000044E-2</v>
      </c>
      <c r="X185" s="1134">
        <f t="shared" ca="1" si="56"/>
        <v>95364728.488719106</v>
      </c>
      <c r="Y185" s="1134">
        <f t="shared" ca="1" si="50"/>
        <v>1610304.2707993984</v>
      </c>
      <c r="Z185" s="1134">
        <f t="shared" ca="1" si="51"/>
        <v>93754424.217919707</v>
      </c>
      <c r="AA185" s="1132">
        <f t="shared" ca="1" si="52"/>
        <v>0.16419546916101774</v>
      </c>
      <c r="AB185" s="1105"/>
    </row>
    <row r="186" spans="1:28">
      <c r="A186" s="1144">
        <f>Calendar!J178</f>
        <v>50340</v>
      </c>
      <c r="C186" s="1104"/>
      <c r="D186" s="1125">
        <f t="shared" ca="1" si="38"/>
        <v>51379</v>
      </c>
      <c r="E186" s="1126">
        <f t="shared" ca="1" si="39"/>
        <v>51406</v>
      </c>
      <c r="F186" s="1127">
        <f t="shared" ca="1" si="40"/>
        <v>5357</v>
      </c>
      <c r="G186" s="1128">
        <f ca="1">IF(F186&lt;&gt;"",COUNTIF($F$11:F186,"&gt;0"),"")</f>
        <v>176</v>
      </c>
      <c r="H186" s="1129">
        <v>1.6997256534494937E-2</v>
      </c>
      <c r="I186" s="1073"/>
      <c r="J186" s="1130">
        <f t="shared" ca="1" si="41"/>
        <v>1875088484.3583953</v>
      </c>
      <c r="K186" s="1131">
        <f t="shared" ca="1" si="42"/>
        <v>31871359.993516941</v>
      </c>
      <c r="L186" s="1130">
        <f t="shared" ca="1" si="43"/>
        <v>0</v>
      </c>
      <c r="M186" s="1130">
        <f t="shared" ca="1" si="44"/>
        <v>0</v>
      </c>
      <c r="N186" s="1130">
        <f t="shared" ca="1" si="53"/>
        <v>1843217124.3648784</v>
      </c>
      <c r="O186" s="1073"/>
      <c r="P186" s="1130">
        <f t="shared" ca="1" si="45"/>
        <v>31871359.993516684</v>
      </c>
      <c r="Q186" s="1130">
        <f t="shared" ca="1" si="46"/>
        <v>1751056268.1466343</v>
      </c>
      <c r="R186" s="1130">
        <f t="shared" ca="1" si="54"/>
        <v>1781334060.1404755</v>
      </c>
      <c r="S186" s="1130">
        <f t="shared" ca="1" si="55"/>
        <v>30277791.993841171</v>
      </c>
      <c r="T186" s="1130">
        <f t="shared" ca="1" si="47"/>
        <v>1751056268.1466343</v>
      </c>
      <c r="U186" s="1132">
        <f t="shared" ca="1" si="48"/>
        <v>0.15086845824077474</v>
      </c>
      <c r="V186" s="1133">
        <f t="shared" ca="1" si="49"/>
        <v>5.0000000000000044E-2</v>
      </c>
      <c r="X186" s="1134">
        <f t="shared" ca="1" si="56"/>
        <v>93754424.217919707</v>
      </c>
      <c r="Y186" s="1134">
        <f t="shared" ca="1" si="50"/>
        <v>1593567.9996755123</v>
      </c>
      <c r="Z186" s="1134">
        <f t="shared" ca="1" si="51"/>
        <v>92160856.218244195</v>
      </c>
      <c r="AA186" s="1132">
        <f t="shared" ca="1" si="52"/>
        <v>0.16142290671129425</v>
      </c>
      <c r="AB186" s="1105"/>
    </row>
    <row r="187" spans="1:28">
      <c r="A187" s="1144">
        <f>Calendar!J179</f>
        <v>50371</v>
      </c>
      <c r="C187" s="1104"/>
      <c r="D187" s="1125">
        <f t="shared" ca="1" si="38"/>
        <v>51409</v>
      </c>
      <c r="E187" s="1126">
        <f t="shared" ca="1" si="39"/>
        <v>51438</v>
      </c>
      <c r="F187" s="1127">
        <f t="shared" ca="1" si="40"/>
        <v>5389</v>
      </c>
      <c r="G187" s="1128">
        <f ca="1">IF(F187&lt;&gt;"",COUNTIF($F$11:F187,"&gt;0"),"")</f>
        <v>177</v>
      </c>
      <c r="H187" s="1129">
        <v>1.7130972692743759E-2</v>
      </c>
      <c r="I187" s="1073"/>
      <c r="J187" s="1130">
        <f t="shared" ca="1" si="41"/>
        <v>1843217124.3648784</v>
      </c>
      <c r="K187" s="1131">
        <f t="shared" ca="1" si="42"/>
        <v>31576102.224292409</v>
      </c>
      <c r="L187" s="1130">
        <f t="shared" ca="1" si="43"/>
        <v>0</v>
      </c>
      <c r="M187" s="1130">
        <f t="shared" ca="1" si="44"/>
        <v>0</v>
      </c>
      <c r="N187" s="1130">
        <f t="shared" ca="1" si="53"/>
        <v>1811641022.1405859</v>
      </c>
      <c r="O187" s="1073"/>
      <c r="P187" s="1130">
        <f t="shared" ca="1" si="45"/>
        <v>31576102.224292755</v>
      </c>
      <c r="Q187" s="1130">
        <f t="shared" ca="1" si="46"/>
        <v>1721058971.0335565</v>
      </c>
      <c r="R187" s="1130">
        <f t="shared" ca="1" si="54"/>
        <v>1751056268.1466343</v>
      </c>
      <c r="S187" s="1130">
        <f t="shared" ca="1" si="55"/>
        <v>29997297.113077879</v>
      </c>
      <c r="T187" s="1130">
        <f t="shared" ca="1" si="47"/>
        <v>1721058971.0335565</v>
      </c>
      <c r="U187" s="1132">
        <f t="shared" ca="1" si="48"/>
        <v>0.14830410835309255</v>
      </c>
      <c r="V187" s="1133">
        <f t="shared" ca="1" si="49"/>
        <v>5.0000000000000044E-2</v>
      </c>
      <c r="X187" s="1134">
        <f t="shared" ca="1" si="56"/>
        <v>92160856.218244195</v>
      </c>
      <c r="Y187" s="1134">
        <f t="shared" ca="1" si="50"/>
        <v>1578805.1112148762</v>
      </c>
      <c r="Z187" s="1134">
        <f t="shared" ca="1" si="51"/>
        <v>90582051.107029319</v>
      </c>
      <c r="AA187" s="1132">
        <f t="shared" ca="1" si="52"/>
        <v>0.15867916015537911</v>
      </c>
      <c r="AB187" s="1105"/>
    </row>
    <row r="188" spans="1:28">
      <c r="A188" s="1144">
        <f>Calendar!J180</f>
        <v>50402</v>
      </c>
      <c r="C188" s="1104"/>
      <c r="D188" s="1125">
        <f t="shared" ca="1" si="38"/>
        <v>51440</v>
      </c>
      <c r="E188" s="1126">
        <f t="shared" ca="1" si="39"/>
        <v>51467</v>
      </c>
      <c r="F188" s="1127">
        <f t="shared" ca="1" si="40"/>
        <v>5418</v>
      </c>
      <c r="G188" s="1128">
        <f ca="1">IF(F188&lt;&gt;"",COUNTIF($F$11:F188,"&gt;0"),"")</f>
        <v>178</v>
      </c>
      <c r="H188" s="1129">
        <v>1.7226374147011319E-2</v>
      </c>
      <c r="I188" s="1073"/>
      <c r="J188" s="1130">
        <f t="shared" ca="1" si="41"/>
        <v>1811641022.1405859</v>
      </c>
      <c r="K188" s="1131">
        <f t="shared" ca="1" si="42"/>
        <v>31208006.067467749</v>
      </c>
      <c r="L188" s="1130">
        <f t="shared" ca="1" si="43"/>
        <v>0</v>
      </c>
      <c r="M188" s="1130">
        <f t="shared" ca="1" si="44"/>
        <v>0</v>
      </c>
      <c r="N188" s="1130">
        <f t="shared" ca="1" si="53"/>
        <v>1780433016.0731182</v>
      </c>
      <c r="O188" s="1073"/>
      <c r="P188" s="1130">
        <f t="shared" ca="1" si="45"/>
        <v>31208006.06746769</v>
      </c>
      <c r="Q188" s="1130">
        <f t="shared" ca="1" si="46"/>
        <v>1691411365.2694621</v>
      </c>
      <c r="R188" s="1130">
        <f t="shared" ca="1" si="54"/>
        <v>1721058971.0335565</v>
      </c>
      <c r="S188" s="1130">
        <f t="shared" ca="1" si="55"/>
        <v>29647605.764094353</v>
      </c>
      <c r="T188" s="1130">
        <f t="shared" ca="1" si="47"/>
        <v>1691411365.2694621</v>
      </c>
      <c r="U188" s="1132">
        <f t="shared" ca="1" si="48"/>
        <v>0.14576351472267399</v>
      </c>
      <c r="V188" s="1133">
        <f t="shared" ca="1" si="49"/>
        <v>5.0000000000000155E-2</v>
      </c>
      <c r="X188" s="1134">
        <f t="shared" ca="1" si="56"/>
        <v>90582051.107029319</v>
      </c>
      <c r="Y188" s="1134">
        <f t="shared" ca="1" si="50"/>
        <v>1560400.3033733368</v>
      </c>
      <c r="Z188" s="1134">
        <f t="shared" ca="1" si="51"/>
        <v>89021650.803655982</v>
      </c>
      <c r="AA188" s="1132">
        <f t="shared" ca="1" si="52"/>
        <v>0.15596083179584938</v>
      </c>
      <c r="AB188" s="1105"/>
    </row>
    <row r="189" spans="1:28">
      <c r="A189" s="1144">
        <f>Calendar!J181</f>
        <v>50432</v>
      </c>
      <c r="C189" s="1104"/>
      <c r="D189" s="1125">
        <f t="shared" ca="1" si="38"/>
        <v>51470</v>
      </c>
      <c r="E189" s="1126">
        <f t="shared" ca="1" si="39"/>
        <v>51497</v>
      </c>
      <c r="F189" s="1127">
        <f t="shared" ca="1" si="40"/>
        <v>5448</v>
      </c>
      <c r="G189" s="1128">
        <f ca="1">IF(F189&lt;&gt;"",COUNTIF($F$11:F189,"&gt;0"),"")</f>
        <v>179</v>
      </c>
      <c r="H189" s="1129">
        <v>1.7300299089173389E-2</v>
      </c>
      <c r="I189" s="1073"/>
      <c r="J189" s="1130">
        <f t="shared" ca="1" si="41"/>
        <v>1780433016.0731182</v>
      </c>
      <c r="K189" s="1131">
        <f t="shared" ca="1" si="42"/>
        <v>30802023.686303996</v>
      </c>
      <c r="L189" s="1130">
        <f t="shared" ca="1" si="43"/>
        <v>0</v>
      </c>
      <c r="M189" s="1130">
        <f t="shared" ca="1" si="44"/>
        <v>0</v>
      </c>
      <c r="N189" s="1130">
        <f t="shared" ca="1" si="53"/>
        <v>1749630992.3868141</v>
      </c>
      <c r="O189" s="1073"/>
      <c r="P189" s="1130">
        <f t="shared" ca="1" si="45"/>
        <v>30802023.686304092</v>
      </c>
      <c r="Q189" s="1130">
        <f t="shared" ca="1" si="46"/>
        <v>1662149442.7674732</v>
      </c>
      <c r="R189" s="1130">
        <f t="shared" ca="1" si="54"/>
        <v>1691411365.2694621</v>
      </c>
      <c r="S189" s="1130">
        <f t="shared" ca="1" si="55"/>
        <v>29261922.501988888</v>
      </c>
      <c r="T189" s="1130">
        <f t="shared" ca="1" si="47"/>
        <v>1662149442.7674732</v>
      </c>
      <c r="U189" s="1132">
        <f t="shared" ca="1" si="48"/>
        <v>0.14325253788107783</v>
      </c>
      <c r="V189" s="1133">
        <f t="shared" ca="1" si="49"/>
        <v>5.0000000000000155E-2</v>
      </c>
      <c r="X189" s="1134">
        <f t="shared" ca="1" si="56"/>
        <v>89021650.803655982</v>
      </c>
      <c r="Y189" s="1134">
        <f t="shared" ca="1" si="50"/>
        <v>1540101.1843152046</v>
      </c>
      <c r="Z189" s="1134">
        <f t="shared" ca="1" si="51"/>
        <v>87481549.619340777</v>
      </c>
      <c r="AA189" s="1132">
        <f t="shared" ca="1" si="52"/>
        <v>0.15327419215505506</v>
      </c>
      <c r="AB189" s="1105"/>
    </row>
    <row r="190" spans="1:28">
      <c r="A190" s="1144">
        <f>Calendar!J182</f>
        <v>50462</v>
      </c>
      <c r="C190" s="1104"/>
      <c r="D190" s="1125">
        <f t="shared" ca="1" si="38"/>
        <v>51501</v>
      </c>
      <c r="E190" s="1126">
        <f t="shared" ca="1" si="39"/>
        <v>51529</v>
      </c>
      <c r="F190" s="1127">
        <f t="shared" ca="1" si="40"/>
        <v>5480</v>
      </c>
      <c r="G190" s="1128">
        <f ca="1">IF(F190&lt;&gt;"",COUNTIF($F$11:F190,"&gt;0"),"")</f>
        <v>180</v>
      </c>
      <c r="H190" s="1129">
        <v>1.7421261075670755E-2</v>
      </c>
      <c r="I190" s="1073"/>
      <c r="J190" s="1130">
        <f t="shared" ca="1" si="41"/>
        <v>1749630992.3868141</v>
      </c>
      <c r="K190" s="1131">
        <f t="shared" ca="1" si="42"/>
        <v>30480778.304455601</v>
      </c>
      <c r="L190" s="1130">
        <f t="shared" ca="1" si="43"/>
        <v>0</v>
      </c>
      <c r="M190" s="1130">
        <f t="shared" ca="1" si="44"/>
        <v>0</v>
      </c>
      <c r="N190" s="1130">
        <f t="shared" ca="1" si="53"/>
        <v>1719150214.0823586</v>
      </c>
      <c r="O190" s="1073"/>
      <c r="P190" s="1130">
        <f t="shared" ca="1" si="45"/>
        <v>30480778.304455519</v>
      </c>
      <c r="Q190" s="1130">
        <f t="shared" ca="1" si="46"/>
        <v>1633192703.3782406</v>
      </c>
      <c r="R190" s="1130">
        <f t="shared" ca="1" si="54"/>
        <v>1662149442.7674732</v>
      </c>
      <c r="S190" s="1130">
        <f t="shared" ca="1" si="55"/>
        <v>28956739.389232635</v>
      </c>
      <c r="T190" s="1130">
        <f t="shared" ca="1" si="47"/>
        <v>1633192703.3782406</v>
      </c>
      <c r="U190" s="1132">
        <f t="shared" ca="1" si="48"/>
        <v>0.14077422613045204</v>
      </c>
      <c r="V190" s="1133">
        <f t="shared" ca="1" si="49"/>
        <v>5.0000000000000044E-2</v>
      </c>
      <c r="X190" s="1134">
        <f t="shared" ca="1" si="56"/>
        <v>87481549.619340777</v>
      </c>
      <c r="Y190" s="1134">
        <f t="shared" ca="1" si="50"/>
        <v>1524038.9152228832</v>
      </c>
      <c r="Z190" s="1134">
        <f t="shared" ca="1" si="51"/>
        <v>85957510.704117894</v>
      </c>
      <c r="AA190" s="1132">
        <f t="shared" ca="1" si="52"/>
        <v>0.15062250278812117</v>
      </c>
      <c r="AB190" s="1105"/>
    </row>
    <row r="191" spans="1:28">
      <c r="A191" s="1144">
        <f>Calendar!J183</f>
        <v>50493</v>
      </c>
      <c r="C191" s="1104"/>
      <c r="D191" s="1125">
        <f t="shared" ca="1" si="38"/>
        <v>51532</v>
      </c>
      <c r="E191" s="1126">
        <f t="shared" ca="1" si="39"/>
        <v>51559</v>
      </c>
      <c r="F191" s="1127">
        <f t="shared" ca="1" si="40"/>
        <v>5510</v>
      </c>
      <c r="G191" s="1128">
        <f ca="1">IF(F191&lt;&gt;"",COUNTIF($F$11:F191,"&gt;0"),"")</f>
        <v>181</v>
      </c>
      <c r="H191" s="1129">
        <v>1.7534292494479728E-2</v>
      </c>
      <c r="I191" s="1073"/>
      <c r="J191" s="1130">
        <f t="shared" ca="1" si="41"/>
        <v>1719150214.0823586</v>
      </c>
      <c r="K191" s="1131">
        <f t="shared" ca="1" si="42"/>
        <v>30144082.695667516</v>
      </c>
      <c r="L191" s="1130">
        <f t="shared" ca="1" si="43"/>
        <v>0</v>
      </c>
      <c r="M191" s="1130">
        <f t="shared" ca="1" si="44"/>
        <v>0</v>
      </c>
      <c r="N191" s="1130">
        <f t="shared" ca="1" si="53"/>
        <v>1689006131.3866911</v>
      </c>
      <c r="O191" s="1073"/>
      <c r="P191" s="1130">
        <f t="shared" ca="1" si="45"/>
        <v>30144082.695667267</v>
      </c>
      <c r="Q191" s="1130">
        <f t="shared" ca="1" si="46"/>
        <v>1604555824.8173563</v>
      </c>
      <c r="R191" s="1130">
        <f t="shared" ca="1" si="54"/>
        <v>1633192703.3782406</v>
      </c>
      <c r="S191" s="1130">
        <f t="shared" ca="1" si="55"/>
        <v>28636878.560884237</v>
      </c>
      <c r="T191" s="1130">
        <f t="shared" ca="1" si="47"/>
        <v>1604555824.8173563</v>
      </c>
      <c r="U191" s="1132">
        <f t="shared" ca="1" si="48"/>
        <v>0.13832176158430792</v>
      </c>
      <c r="V191" s="1133">
        <f t="shared" ca="1" si="49"/>
        <v>5.0000000000000155E-2</v>
      </c>
      <c r="X191" s="1134">
        <f t="shared" ca="1" si="56"/>
        <v>85957510.704117894</v>
      </c>
      <c r="Y191" s="1134">
        <f t="shared" ca="1" si="50"/>
        <v>1507204.1347830296</v>
      </c>
      <c r="Z191" s="1134">
        <f t="shared" ca="1" si="51"/>
        <v>84450306.569334865</v>
      </c>
      <c r="AA191" s="1132">
        <f t="shared" ca="1" si="52"/>
        <v>0.14799846884317819</v>
      </c>
      <c r="AB191" s="1105"/>
    </row>
    <row r="192" spans="1:28">
      <c r="A192" s="1144">
        <f>Calendar!J184</f>
        <v>50522</v>
      </c>
      <c r="C192" s="1104"/>
      <c r="D192" s="1125">
        <f t="shared" ca="1" si="38"/>
        <v>51560</v>
      </c>
      <c r="E192" s="1126">
        <f t="shared" ca="1" si="39"/>
        <v>51587</v>
      </c>
      <c r="F192" s="1127">
        <f t="shared" ca="1" si="40"/>
        <v>5538</v>
      </c>
      <c r="G192" s="1128">
        <f ca="1">IF(F192&lt;&gt;"",COUNTIF($F$11:F192,"&gt;0"),"")</f>
        <v>182</v>
      </c>
      <c r="H192" s="1129">
        <v>1.7676261966314354E-2</v>
      </c>
      <c r="I192" s="1073"/>
      <c r="J192" s="1130">
        <f t="shared" ca="1" si="41"/>
        <v>1689006131.3866911</v>
      </c>
      <c r="K192" s="1131">
        <f t="shared" ca="1" si="42"/>
        <v>29855314.841102313</v>
      </c>
      <c r="L192" s="1130">
        <f t="shared" ca="1" si="43"/>
        <v>0</v>
      </c>
      <c r="M192" s="1130">
        <f t="shared" ca="1" si="44"/>
        <v>0</v>
      </c>
      <c r="N192" s="1130">
        <f t="shared" ca="1" si="53"/>
        <v>1659150816.5455887</v>
      </c>
      <c r="O192" s="1073"/>
      <c r="P192" s="1130">
        <f t="shared" ca="1" si="45"/>
        <v>29855314.841102362</v>
      </c>
      <c r="Q192" s="1130">
        <f t="shared" ca="1" si="46"/>
        <v>1576193275.7183092</v>
      </c>
      <c r="R192" s="1130">
        <f t="shared" ca="1" si="54"/>
        <v>1604555824.8173563</v>
      </c>
      <c r="S192" s="1130">
        <f t="shared" ca="1" si="55"/>
        <v>28362549.099047184</v>
      </c>
      <c r="T192" s="1130">
        <f t="shared" ca="1" si="47"/>
        <v>1576193275.7183092</v>
      </c>
      <c r="U192" s="1132">
        <f t="shared" ca="1" si="48"/>
        <v>0.13589638735833698</v>
      </c>
      <c r="V192" s="1133">
        <f t="shared" ca="1" si="49"/>
        <v>5.0000000000000044E-2</v>
      </c>
      <c r="X192" s="1134">
        <f t="shared" ca="1" si="56"/>
        <v>84450306.569334865</v>
      </c>
      <c r="Y192" s="1134">
        <f t="shared" ca="1" si="50"/>
        <v>1492765.7420551777</v>
      </c>
      <c r="Z192" s="1134">
        <f t="shared" ca="1" si="51"/>
        <v>82957540.827279687</v>
      </c>
      <c r="AA192" s="1132">
        <f t="shared" ca="1" si="52"/>
        <v>0.14540342040174736</v>
      </c>
      <c r="AB192" s="1105"/>
    </row>
    <row r="193" spans="1:28">
      <c r="A193" s="1144">
        <f>Calendar!J185</f>
        <v>50552</v>
      </c>
      <c r="C193" s="1104"/>
      <c r="D193" s="1125">
        <f t="shared" ca="1" si="38"/>
        <v>51591</v>
      </c>
      <c r="E193" s="1126">
        <f t="shared" ca="1" si="39"/>
        <v>51620</v>
      </c>
      <c r="F193" s="1127">
        <f t="shared" ca="1" si="40"/>
        <v>5571</v>
      </c>
      <c r="G193" s="1128">
        <f ca="1">IF(F193&lt;&gt;"",COUNTIF($F$11:F193,"&gt;0"),"")</f>
        <v>183</v>
      </c>
      <c r="H193" s="1129">
        <v>1.7802590891272663E-2</v>
      </c>
      <c r="I193" s="1073"/>
      <c r="J193" s="1130">
        <f t="shared" ca="1" si="41"/>
        <v>1659150816.5455887</v>
      </c>
      <c r="K193" s="1131">
        <f t="shared" ca="1" si="42"/>
        <v>29537183.2138821</v>
      </c>
      <c r="L193" s="1130">
        <f t="shared" ca="1" si="43"/>
        <v>0</v>
      </c>
      <c r="M193" s="1130">
        <f t="shared" ca="1" si="44"/>
        <v>0</v>
      </c>
      <c r="N193" s="1130">
        <f t="shared" ca="1" si="53"/>
        <v>1629613633.3317065</v>
      </c>
      <c r="O193" s="1073"/>
      <c r="P193" s="1130">
        <f t="shared" ca="1" si="45"/>
        <v>29537183.213882446</v>
      </c>
      <c r="Q193" s="1130">
        <f t="shared" ca="1" si="46"/>
        <v>1548132951.6651211</v>
      </c>
      <c r="R193" s="1130">
        <f t="shared" ca="1" si="54"/>
        <v>1576193275.7183092</v>
      </c>
      <c r="S193" s="1130">
        <f t="shared" ca="1" si="55"/>
        <v>28060324.053188086</v>
      </c>
      <c r="T193" s="1130">
        <f t="shared" ca="1" si="47"/>
        <v>1548132951.6651211</v>
      </c>
      <c r="U193" s="1132">
        <f t="shared" ca="1" si="48"/>
        <v>0.13349424721511527</v>
      </c>
      <c r="V193" s="1133">
        <f t="shared" ca="1" si="49"/>
        <v>5.0000000000000044E-2</v>
      </c>
      <c r="X193" s="1134">
        <f t="shared" ca="1" si="56"/>
        <v>82957540.827279687</v>
      </c>
      <c r="Y193" s="1134">
        <f t="shared" ca="1" si="50"/>
        <v>1476859.1606943607</v>
      </c>
      <c r="Z193" s="1134">
        <f t="shared" ca="1" si="51"/>
        <v>81480681.666585326</v>
      </c>
      <c r="AA193" s="1132">
        <f t="shared" ca="1" si="52"/>
        <v>0.14283323145192783</v>
      </c>
      <c r="AB193" s="1105"/>
    </row>
    <row r="194" spans="1:28">
      <c r="A194" s="1144">
        <f>Calendar!J186</f>
        <v>50584</v>
      </c>
      <c r="C194" s="1104"/>
      <c r="D194" s="1125">
        <f t="shared" ca="1" si="38"/>
        <v>51621</v>
      </c>
      <c r="E194" s="1126">
        <f t="shared" ca="1" si="39"/>
        <v>51648</v>
      </c>
      <c r="F194" s="1127">
        <f t="shared" ca="1" si="40"/>
        <v>5599</v>
      </c>
      <c r="G194" s="1128">
        <f ca="1">IF(F194&lt;&gt;"",COUNTIF($F$11:F194,"&gt;0"),"")</f>
        <v>184</v>
      </c>
      <c r="H194" s="1129">
        <v>1.7940583529051871E-2</v>
      </c>
      <c r="I194" s="1073"/>
      <c r="J194" s="1130">
        <f t="shared" ca="1" si="41"/>
        <v>1629613633.3317065</v>
      </c>
      <c r="K194" s="1131">
        <f t="shared" ca="1" si="42"/>
        <v>29236219.50886919</v>
      </c>
      <c r="L194" s="1130">
        <f t="shared" ca="1" si="43"/>
        <v>0</v>
      </c>
      <c r="M194" s="1130">
        <f t="shared" ca="1" si="44"/>
        <v>0</v>
      </c>
      <c r="N194" s="1130">
        <f t="shared" ca="1" si="53"/>
        <v>1600377413.8228374</v>
      </c>
      <c r="O194" s="1073"/>
      <c r="P194" s="1130">
        <f t="shared" ca="1" si="45"/>
        <v>29236219.508869171</v>
      </c>
      <c r="Q194" s="1130">
        <f t="shared" ca="1" si="46"/>
        <v>1520358543.1316955</v>
      </c>
      <c r="R194" s="1130">
        <f t="shared" ca="1" si="54"/>
        <v>1548132951.6651211</v>
      </c>
      <c r="S194" s="1130">
        <f t="shared" ca="1" si="55"/>
        <v>27774408.53342557</v>
      </c>
      <c r="T194" s="1130">
        <f t="shared" ca="1" si="47"/>
        <v>1520358543.1316955</v>
      </c>
      <c r="U194" s="1132">
        <f t="shared" ca="1" si="48"/>
        <v>0.13111770374560616</v>
      </c>
      <c r="V194" s="1133">
        <f t="shared" ca="1" si="49"/>
        <v>4.9999999999999933E-2</v>
      </c>
      <c r="X194" s="1134">
        <f t="shared" ca="1" si="56"/>
        <v>81480681.666585326</v>
      </c>
      <c r="Y194" s="1134">
        <f t="shared" ca="1" si="50"/>
        <v>1461810.9754436016</v>
      </c>
      <c r="Z194" s="1134">
        <f t="shared" ca="1" si="51"/>
        <v>80018870.691141725</v>
      </c>
      <c r="AA194" s="1132">
        <f t="shared" ca="1" si="52"/>
        <v>0.14029042986671028</v>
      </c>
      <c r="AB194" s="1105"/>
    </row>
    <row r="195" spans="1:28">
      <c r="A195" s="1144">
        <f>Calendar!J187</f>
        <v>50613</v>
      </c>
      <c r="C195" s="1104"/>
      <c r="D195" s="1125">
        <f t="shared" ca="1" si="38"/>
        <v>51652</v>
      </c>
      <c r="E195" s="1126">
        <f t="shared" ca="1" si="39"/>
        <v>51679</v>
      </c>
      <c r="F195" s="1127">
        <f t="shared" ca="1" si="40"/>
        <v>5630</v>
      </c>
      <c r="G195" s="1128">
        <f ca="1">IF(F195&lt;&gt;"",COUNTIF($F$11:F195,"&gt;0"),"")</f>
        <v>185</v>
      </c>
      <c r="H195" s="1129">
        <v>1.8092906505045664E-2</v>
      </c>
      <c r="I195" s="1073"/>
      <c r="J195" s="1130">
        <f t="shared" ca="1" si="41"/>
        <v>1600377413.8228374</v>
      </c>
      <c r="K195" s="1131">
        <f t="shared" ca="1" si="42"/>
        <v>28955478.921083372</v>
      </c>
      <c r="L195" s="1130">
        <f t="shared" ca="1" si="43"/>
        <v>0</v>
      </c>
      <c r="M195" s="1130">
        <f t="shared" ca="1" si="44"/>
        <v>0</v>
      </c>
      <c r="N195" s="1130">
        <f t="shared" ca="1" si="53"/>
        <v>1571421934.9017539</v>
      </c>
      <c r="O195" s="1073"/>
      <c r="P195" s="1130">
        <f t="shared" ca="1" si="45"/>
        <v>28955478.92108345</v>
      </c>
      <c r="Q195" s="1130">
        <f t="shared" ca="1" si="46"/>
        <v>1492850838.156666</v>
      </c>
      <c r="R195" s="1130">
        <f t="shared" ca="1" si="54"/>
        <v>1520358543.1316955</v>
      </c>
      <c r="S195" s="1130">
        <f t="shared" ca="1" si="55"/>
        <v>27507704.975029469</v>
      </c>
      <c r="T195" s="1130">
        <f t="shared" ca="1" si="47"/>
        <v>1492850838.156666</v>
      </c>
      <c r="U195" s="1132">
        <f t="shared" ca="1" si="48"/>
        <v>0.12876537562942064</v>
      </c>
      <c r="V195" s="1133">
        <f t="shared" ca="1" si="49"/>
        <v>5.0000000000000155E-2</v>
      </c>
      <c r="X195" s="1134">
        <f t="shared" ca="1" si="56"/>
        <v>80018870.691141725</v>
      </c>
      <c r="Y195" s="1134">
        <f t="shared" ca="1" si="50"/>
        <v>1447773.9460539818</v>
      </c>
      <c r="Z195" s="1134">
        <f t="shared" ca="1" si="51"/>
        <v>78571096.745087743</v>
      </c>
      <c r="AA195" s="1132">
        <f t="shared" ca="1" si="52"/>
        <v>0.13777353769135972</v>
      </c>
      <c r="AB195" s="1105"/>
    </row>
    <row r="196" spans="1:28">
      <c r="A196" s="1144">
        <f>Calendar!J188</f>
        <v>50644</v>
      </c>
      <c r="C196" s="1104"/>
      <c r="D196" s="1125">
        <f t="shared" ca="1" si="38"/>
        <v>51682</v>
      </c>
      <c r="E196" s="1126">
        <f t="shared" ca="1" si="39"/>
        <v>51711</v>
      </c>
      <c r="F196" s="1127">
        <f t="shared" ca="1" si="40"/>
        <v>5662</v>
      </c>
      <c r="G196" s="1128">
        <f ca="1">IF(F196&lt;&gt;"",COUNTIF($F$11:F196,"&gt;0"),"")</f>
        <v>186</v>
      </c>
      <c r="H196" s="1129">
        <v>1.8259235685001249E-2</v>
      </c>
      <c r="I196" s="1073"/>
      <c r="J196" s="1130">
        <f t="shared" ca="1" si="41"/>
        <v>1571421934.9017539</v>
      </c>
      <c r="K196" s="1131">
        <f t="shared" ca="1" si="42"/>
        <v>28692963.469951816</v>
      </c>
      <c r="L196" s="1130">
        <f t="shared" ca="1" si="43"/>
        <v>0</v>
      </c>
      <c r="M196" s="1130">
        <f t="shared" ca="1" si="44"/>
        <v>0</v>
      </c>
      <c r="N196" s="1130">
        <f t="shared" ca="1" si="53"/>
        <v>1542728971.431802</v>
      </c>
      <c r="O196" s="1073"/>
      <c r="P196" s="1130">
        <f t="shared" ca="1" si="45"/>
        <v>28692963.469951868</v>
      </c>
      <c r="Q196" s="1130">
        <f t="shared" ca="1" si="46"/>
        <v>1465592522.8602118</v>
      </c>
      <c r="R196" s="1130">
        <f t="shared" ca="1" si="54"/>
        <v>1492850838.156666</v>
      </c>
      <c r="S196" s="1130">
        <f t="shared" ca="1" si="55"/>
        <v>27258315.296454191</v>
      </c>
      <c r="T196" s="1130">
        <f t="shared" ca="1" si="47"/>
        <v>1465592522.8602118</v>
      </c>
      <c r="U196" s="1132">
        <f t="shared" ca="1" si="48"/>
        <v>0.12643563572707042</v>
      </c>
      <c r="V196" s="1133">
        <f t="shared" ca="1" si="49"/>
        <v>5.0000000000000044E-2</v>
      </c>
      <c r="X196" s="1134">
        <f t="shared" ca="1" si="56"/>
        <v>78571096.745087743</v>
      </c>
      <c r="Y196" s="1134">
        <f t="shared" ca="1" si="50"/>
        <v>1434648.1734976768</v>
      </c>
      <c r="Z196" s="1134">
        <f t="shared" ca="1" si="51"/>
        <v>77136448.571590066</v>
      </c>
      <c r="AA196" s="1132">
        <f t="shared" ca="1" si="52"/>
        <v>0.13528081395504088</v>
      </c>
      <c r="AB196" s="1105"/>
    </row>
    <row r="197" spans="1:28">
      <c r="A197" s="1144">
        <f>Calendar!J189</f>
        <v>50675</v>
      </c>
      <c r="C197" s="1104"/>
      <c r="D197" s="1125">
        <f t="shared" ca="1" si="38"/>
        <v>51713</v>
      </c>
      <c r="E197" s="1126">
        <f t="shared" ca="1" si="39"/>
        <v>51740</v>
      </c>
      <c r="F197" s="1127">
        <f t="shared" ca="1" si="40"/>
        <v>5691</v>
      </c>
      <c r="G197" s="1128">
        <f ca="1">IF(F197&lt;&gt;"",COUNTIF($F$11:F197,"&gt;0"),"")</f>
        <v>187</v>
      </c>
      <c r="H197" s="1129">
        <v>1.8405462194940533E-2</v>
      </c>
      <c r="I197" s="1073"/>
      <c r="J197" s="1130">
        <f t="shared" ca="1" si="41"/>
        <v>1542728971.431802</v>
      </c>
      <c r="K197" s="1131">
        <f t="shared" ca="1" si="42"/>
        <v>28394639.760727525</v>
      </c>
      <c r="L197" s="1130">
        <f t="shared" ca="1" si="43"/>
        <v>0</v>
      </c>
      <c r="M197" s="1130">
        <f t="shared" ca="1" si="44"/>
        <v>0</v>
      </c>
      <c r="N197" s="1130">
        <f t="shared" ca="1" si="53"/>
        <v>1514334331.6710744</v>
      </c>
      <c r="O197" s="1073"/>
      <c r="P197" s="1130">
        <f t="shared" ca="1" si="45"/>
        <v>28394639.760727406</v>
      </c>
      <c r="Q197" s="1130">
        <f t="shared" ca="1" si="46"/>
        <v>1438617615.0875206</v>
      </c>
      <c r="R197" s="1130">
        <f t="shared" ca="1" si="54"/>
        <v>1465592522.8602118</v>
      </c>
      <c r="S197" s="1130">
        <f t="shared" ca="1" si="55"/>
        <v>26974907.77269125</v>
      </c>
      <c r="T197" s="1130">
        <f t="shared" ca="1" si="47"/>
        <v>1438617615.0875206</v>
      </c>
      <c r="U197" s="1132">
        <f t="shared" ca="1" si="48"/>
        <v>0.12412701765534689</v>
      </c>
      <c r="V197" s="1133">
        <f t="shared" ca="1" si="49"/>
        <v>5.0000000000000044E-2</v>
      </c>
      <c r="X197" s="1134">
        <f t="shared" ca="1" si="56"/>
        <v>77136448.571590066</v>
      </c>
      <c r="Y197" s="1134">
        <f t="shared" ca="1" si="50"/>
        <v>1419731.9880361557</v>
      </c>
      <c r="Z197" s="1134">
        <f t="shared" ca="1" si="51"/>
        <v>75716716.58355391</v>
      </c>
      <c r="AA197" s="1132">
        <f t="shared" ca="1" si="52"/>
        <v>0.13281068968937684</v>
      </c>
      <c r="AB197" s="1105"/>
    </row>
    <row r="198" spans="1:28">
      <c r="A198" s="1144">
        <f>Calendar!J190</f>
        <v>50705</v>
      </c>
      <c r="C198" s="1104"/>
      <c r="D198" s="1125">
        <f t="shared" ca="1" si="38"/>
        <v>51744</v>
      </c>
      <c r="E198" s="1126">
        <f t="shared" ca="1" si="39"/>
        <v>51771</v>
      </c>
      <c r="F198" s="1127">
        <f t="shared" ca="1" si="40"/>
        <v>5722</v>
      </c>
      <c r="G198" s="1128">
        <f ca="1">IF(F198&lt;&gt;"",COUNTIF($F$11:F198,"&gt;0"),"")</f>
        <v>188</v>
      </c>
      <c r="H198" s="1129">
        <v>1.8569758844308379E-2</v>
      </c>
      <c r="I198" s="1073"/>
      <c r="J198" s="1130">
        <f t="shared" ca="1" si="41"/>
        <v>1514334331.6710744</v>
      </c>
      <c r="K198" s="1131">
        <f t="shared" ca="1" si="42"/>
        <v>28120823.348788753</v>
      </c>
      <c r="L198" s="1130">
        <f t="shared" ca="1" si="43"/>
        <v>0</v>
      </c>
      <c r="M198" s="1130">
        <f t="shared" ca="1" si="44"/>
        <v>0</v>
      </c>
      <c r="N198" s="1130">
        <f t="shared" ca="1" si="53"/>
        <v>1486213508.3222857</v>
      </c>
      <c r="O198" s="1073"/>
      <c r="P198" s="1130">
        <f t="shared" ca="1" si="45"/>
        <v>28120823.348788738</v>
      </c>
      <c r="Q198" s="1130">
        <f t="shared" ca="1" si="46"/>
        <v>1411902832.9061713</v>
      </c>
      <c r="R198" s="1130">
        <f t="shared" ca="1" si="54"/>
        <v>1438617615.0875206</v>
      </c>
      <c r="S198" s="1130">
        <f t="shared" ca="1" si="55"/>
        <v>26714782.181349277</v>
      </c>
      <c r="T198" s="1130">
        <f t="shared" ca="1" si="47"/>
        <v>1411902832.9061713</v>
      </c>
      <c r="U198" s="1132">
        <f t="shared" ca="1" si="48"/>
        <v>0.12184240252452068</v>
      </c>
      <c r="V198" s="1133">
        <f t="shared" ca="1" si="49"/>
        <v>5.0000000000000044E-2</v>
      </c>
      <c r="X198" s="1134">
        <f t="shared" ca="1" si="56"/>
        <v>75716716.58355391</v>
      </c>
      <c r="Y198" s="1134">
        <f t="shared" ca="1" si="50"/>
        <v>1406041.1674394608</v>
      </c>
      <c r="Z198" s="1134">
        <f t="shared" ca="1" si="51"/>
        <v>74310675.41611445</v>
      </c>
      <c r="AA198" s="1132">
        <f t="shared" ca="1" si="52"/>
        <v>0.1303662475612154</v>
      </c>
      <c r="AB198" s="1105"/>
    </row>
    <row r="199" spans="1:28">
      <c r="A199" s="1144">
        <f>Calendar!J191</f>
        <v>50738</v>
      </c>
      <c r="C199" s="1104"/>
      <c r="D199" s="1125">
        <f t="shared" ca="1" si="38"/>
        <v>51774</v>
      </c>
      <c r="E199" s="1126">
        <f t="shared" ca="1" si="39"/>
        <v>51802</v>
      </c>
      <c r="F199" s="1127">
        <f t="shared" ca="1" si="40"/>
        <v>5753</v>
      </c>
      <c r="G199" s="1128">
        <f ca="1">IF(F199&lt;&gt;"",COUNTIF($F$11:F199,"&gt;0"),"")</f>
        <v>189</v>
      </c>
      <c r="H199" s="1129">
        <v>1.8810495123137577E-2</v>
      </c>
      <c r="I199" s="1073"/>
      <c r="J199" s="1130">
        <f t="shared" ca="1" si="41"/>
        <v>1486213508.3222857</v>
      </c>
      <c r="K199" s="1131">
        <f t="shared" ca="1" si="42"/>
        <v>27956411.950237542</v>
      </c>
      <c r="L199" s="1130">
        <f t="shared" ca="1" si="43"/>
        <v>0</v>
      </c>
      <c r="M199" s="1130">
        <f t="shared" ca="1" si="44"/>
        <v>0</v>
      </c>
      <c r="N199" s="1130">
        <f t="shared" ca="1" si="53"/>
        <v>1458257096.3720481</v>
      </c>
      <c r="O199" s="1073"/>
      <c r="P199" s="1130">
        <f t="shared" ca="1" si="45"/>
        <v>27956411.950237513</v>
      </c>
      <c r="Q199" s="1130">
        <f t="shared" ca="1" si="46"/>
        <v>1385344241.5534456</v>
      </c>
      <c r="R199" s="1130">
        <f t="shared" ca="1" si="54"/>
        <v>1411902832.9061713</v>
      </c>
      <c r="S199" s="1130">
        <f t="shared" ca="1" si="55"/>
        <v>26558591.352725744</v>
      </c>
      <c r="T199" s="1130">
        <f t="shared" ca="1" si="47"/>
        <v>1385344241.5534456</v>
      </c>
      <c r="U199" s="1132">
        <f t="shared" ca="1" si="48"/>
        <v>0.11957981849262919</v>
      </c>
      <c r="V199" s="1133">
        <f t="shared" ca="1" si="49"/>
        <v>5.0000000000000155E-2</v>
      </c>
      <c r="X199" s="1134">
        <f t="shared" ca="1" si="56"/>
        <v>74310675.41611445</v>
      </c>
      <c r="Y199" s="1134">
        <f t="shared" ca="1" si="50"/>
        <v>1397820.5975117683</v>
      </c>
      <c r="Z199" s="1134">
        <f t="shared" ca="1" si="51"/>
        <v>72912854.818602681</v>
      </c>
      <c r="AA199" s="1132">
        <f t="shared" ca="1" si="52"/>
        <v>0.12794537778256621</v>
      </c>
      <c r="AB199" s="1105"/>
    </row>
    <row r="200" spans="1:28">
      <c r="A200" s="1144">
        <f>Calendar!J192</f>
        <v>50766</v>
      </c>
      <c r="C200" s="1104"/>
      <c r="D200" s="1125">
        <f t="shared" ca="1" si="38"/>
        <v>51805</v>
      </c>
      <c r="E200" s="1126">
        <f t="shared" ca="1" si="39"/>
        <v>51832</v>
      </c>
      <c r="F200" s="1127">
        <f t="shared" ca="1" si="40"/>
        <v>5783</v>
      </c>
      <c r="G200" s="1128">
        <f ca="1">IF(F200&lt;&gt;"",COUNTIF($F$11:F200,"&gt;0"),"")</f>
        <v>190</v>
      </c>
      <c r="H200" s="1129">
        <v>1.9010539009928829E-2</v>
      </c>
      <c r="I200" s="1073"/>
      <c r="J200" s="1130">
        <f t="shared" ca="1" si="41"/>
        <v>1458257096.3720481</v>
      </c>
      <c r="K200" s="1131">
        <f t="shared" ca="1" si="42"/>
        <v>27722253.417086363</v>
      </c>
      <c r="L200" s="1130">
        <f t="shared" ca="1" si="43"/>
        <v>0</v>
      </c>
      <c r="M200" s="1130">
        <f t="shared" ca="1" si="44"/>
        <v>0</v>
      </c>
      <c r="N200" s="1130">
        <f t="shared" ca="1" si="53"/>
        <v>1430534842.9549618</v>
      </c>
      <c r="O200" s="1073"/>
      <c r="P200" s="1130">
        <f t="shared" ca="1" si="45"/>
        <v>27722253.417086601</v>
      </c>
      <c r="Q200" s="1130">
        <f t="shared" ca="1" si="46"/>
        <v>1359008100.8072135</v>
      </c>
      <c r="R200" s="1130">
        <f t="shared" ca="1" si="54"/>
        <v>1385344241.5534456</v>
      </c>
      <c r="S200" s="1130">
        <f t="shared" ca="1" si="55"/>
        <v>26336140.746232033</v>
      </c>
      <c r="T200" s="1130">
        <f t="shared" ca="1" si="47"/>
        <v>1359008100.8072135</v>
      </c>
      <c r="U200" s="1132">
        <f t="shared" ca="1" si="48"/>
        <v>0.11733046290004791</v>
      </c>
      <c r="V200" s="1133">
        <f t="shared" ca="1" si="49"/>
        <v>5.0000000000000155E-2</v>
      </c>
      <c r="X200" s="1134">
        <f t="shared" ca="1" si="56"/>
        <v>72912854.818602681</v>
      </c>
      <c r="Y200" s="1134">
        <f t="shared" ca="1" si="50"/>
        <v>1386112.6708545685</v>
      </c>
      <c r="Z200" s="1134">
        <f t="shared" ca="1" si="51"/>
        <v>71526742.147748113</v>
      </c>
      <c r="AA200" s="1132">
        <f t="shared" ca="1" si="52"/>
        <v>0.12553866187775944</v>
      </c>
      <c r="AB200" s="1105"/>
    </row>
    <row r="201" spans="1:28">
      <c r="A201" s="1144">
        <f>Calendar!J193</f>
        <v>50797</v>
      </c>
      <c r="C201" s="1104"/>
      <c r="D201" s="1125">
        <f t="shared" ca="1" si="38"/>
        <v>51835</v>
      </c>
      <c r="E201" s="1126">
        <f t="shared" ca="1" si="39"/>
        <v>51862</v>
      </c>
      <c r="F201" s="1127">
        <f t="shared" ca="1" si="40"/>
        <v>5813</v>
      </c>
      <c r="G201" s="1128">
        <f ca="1">IF(F201&lt;&gt;"",COUNTIF($F$11:F201,"&gt;0"),"")</f>
        <v>191</v>
      </c>
      <c r="H201" s="1129">
        <v>1.9235363671771803E-2</v>
      </c>
      <c r="I201" s="1073"/>
      <c r="J201" s="1130">
        <f t="shared" ca="1" si="41"/>
        <v>1430534842.9549618</v>
      </c>
      <c r="K201" s="1131">
        <f t="shared" ca="1" si="42"/>
        <v>27516857.949379653</v>
      </c>
      <c r="L201" s="1130">
        <f t="shared" ca="1" si="43"/>
        <v>0</v>
      </c>
      <c r="M201" s="1130">
        <f t="shared" ca="1" si="44"/>
        <v>0</v>
      </c>
      <c r="N201" s="1130">
        <f t="shared" ca="1" si="53"/>
        <v>1403017985.0055821</v>
      </c>
      <c r="O201" s="1073"/>
      <c r="P201" s="1130">
        <f t="shared" ca="1" si="45"/>
        <v>27516857.949379683</v>
      </c>
      <c r="Q201" s="1130">
        <f t="shared" ca="1" si="46"/>
        <v>1332867085.7553029</v>
      </c>
      <c r="R201" s="1130">
        <f t="shared" ca="1" si="54"/>
        <v>1359008100.8072135</v>
      </c>
      <c r="S201" s="1130">
        <f t="shared" ca="1" si="55"/>
        <v>26141015.051910639</v>
      </c>
      <c r="T201" s="1130">
        <f t="shared" ca="1" si="47"/>
        <v>1332867085.7553029</v>
      </c>
      <c r="U201" s="1132">
        <f t="shared" ca="1" si="48"/>
        <v>0.11509994755803353</v>
      </c>
      <c r="V201" s="1133">
        <f t="shared" ca="1" si="49"/>
        <v>5.0000000000000044E-2</v>
      </c>
      <c r="X201" s="1134">
        <f t="shared" ca="1" si="56"/>
        <v>71526742.147748113</v>
      </c>
      <c r="Y201" s="1134">
        <f t="shared" ca="1" si="50"/>
        <v>1375842.8974690437</v>
      </c>
      <c r="Z201" s="1134">
        <f t="shared" ca="1" si="51"/>
        <v>70150899.250279069</v>
      </c>
      <c r="AA201" s="1132">
        <f t="shared" ca="1" si="52"/>
        <v>0.12315210424887761</v>
      </c>
      <c r="AB201" s="1105"/>
    </row>
    <row r="202" spans="1:28">
      <c r="A202" s="1144">
        <f>Calendar!J194</f>
        <v>50829</v>
      </c>
      <c r="C202" s="1104"/>
      <c r="D202" s="1125">
        <f t="shared" ca="1" si="38"/>
        <v>51866</v>
      </c>
      <c r="E202" s="1126">
        <f t="shared" ca="1" si="39"/>
        <v>51893</v>
      </c>
      <c r="F202" s="1127">
        <f t="shared" ca="1" si="40"/>
        <v>5844</v>
      </c>
      <c r="G202" s="1128">
        <f ca="1">IF(F202&lt;&gt;"",COUNTIF($F$11:F202,"&gt;0"),"")</f>
        <v>192</v>
      </c>
      <c r="H202" s="1129">
        <v>1.9459064867633255E-2</v>
      </c>
      <c r="I202" s="1073"/>
      <c r="J202" s="1130">
        <f t="shared" ca="1" si="41"/>
        <v>1403017985.0055821</v>
      </c>
      <c r="K202" s="1131">
        <f t="shared" ca="1" si="42"/>
        <v>27301417.980679724</v>
      </c>
      <c r="L202" s="1130">
        <f t="shared" ca="1" si="43"/>
        <v>0</v>
      </c>
      <c r="M202" s="1130">
        <f t="shared" ca="1" si="44"/>
        <v>0</v>
      </c>
      <c r="N202" s="1130">
        <f t="shared" ca="1" si="53"/>
        <v>1375716567.0249023</v>
      </c>
      <c r="O202" s="1073"/>
      <c r="P202" s="1130">
        <f t="shared" ca="1" si="45"/>
        <v>27301417.980679512</v>
      </c>
      <c r="Q202" s="1130">
        <f t="shared" ca="1" si="46"/>
        <v>1306930738.6736572</v>
      </c>
      <c r="R202" s="1130">
        <f t="shared" ca="1" si="54"/>
        <v>1332867085.7553029</v>
      </c>
      <c r="S202" s="1130">
        <f t="shared" ca="1" si="55"/>
        <v>25936347.081645727</v>
      </c>
      <c r="T202" s="1130">
        <f t="shared" ca="1" si="47"/>
        <v>1306930738.6736572</v>
      </c>
      <c r="U202" s="1132">
        <f t="shared" ca="1" si="48"/>
        <v>0.11288595820815289</v>
      </c>
      <c r="V202" s="1133">
        <f t="shared" ca="1" si="49"/>
        <v>5.0000000000000044E-2</v>
      </c>
      <c r="X202" s="1134">
        <f t="shared" ca="1" si="56"/>
        <v>70150899.250279069</v>
      </c>
      <c r="Y202" s="1134">
        <f t="shared" ca="1" si="50"/>
        <v>1365070.8990337849</v>
      </c>
      <c r="Z202" s="1134">
        <f t="shared" ca="1" si="51"/>
        <v>68785828.351245284</v>
      </c>
      <c r="AA202" s="1132">
        <f t="shared" ca="1" si="52"/>
        <v>0.12078322873670638</v>
      </c>
      <c r="AB202" s="1105"/>
    </row>
    <row r="203" spans="1:28">
      <c r="A203" s="1144">
        <f>Calendar!J195</f>
        <v>50857</v>
      </c>
      <c r="C203" s="1104"/>
      <c r="D203" s="1125">
        <f t="shared" ca="1" si="38"/>
        <v>51897</v>
      </c>
      <c r="E203" s="1126">
        <f t="shared" ca="1" si="39"/>
        <v>51924</v>
      </c>
      <c r="F203" s="1127">
        <f t="shared" ca="1" si="40"/>
        <v>5875</v>
      </c>
      <c r="G203" s="1128">
        <f ca="1">IF(F203&lt;&gt;"",COUNTIF($F$11:F203,"&gt;0"),"")</f>
        <v>193</v>
      </c>
      <c r="H203" s="1129">
        <v>1.9647369940321537E-2</v>
      </c>
      <c r="I203" s="1073"/>
      <c r="J203" s="1130">
        <f t="shared" ca="1" si="41"/>
        <v>1375716567.0249023</v>
      </c>
      <c r="K203" s="1131">
        <f t="shared" ca="1" si="42"/>
        <v>27029212.325367406</v>
      </c>
      <c r="L203" s="1130">
        <f t="shared" ca="1" si="43"/>
        <v>0</v>
      </c>
      <c r="M203" s="1130">
        <f t="shared" ca="1" si="44"/>
        <v>0</v>
      </c>
      <c r="N203" s="1130">
        <f t="shared" ca="1" si="53"/>
        <v>1348687354.6995349</v>
      </c>
      <c r="O203" s="1073"/>
      <c r="P203" s="1130">
        <f t="shared" ca="1" si="45"/>
        <v>27029212.325367451</v>
      </c>
      <c r="Q203" s="1130">
        <f t="shared" ca="1" si="46"/>
        <v>1281252986.9645581</v>
      </c>
      <c r="R203" s="1130">
        <f t="shared" ca="1" si="54"/>
        <v>1306930738.6736572</v>
      </c>
      <c r="S203" s="1130">
        <f t="shared" ca="1" si="55"/>
        <v>25677751.709099054</v>
      </c>
      <c r="T203" s="1130">
        <f t="shared" ca="1" si="47"/>
        <v>1281252986.9645581</v>
      </c>
      <c r="U203" s="1132">
        <f t="shared" ca="1" si="48"/>
        <v>0.11068930302473552</v>
      </c>
      <c r="V203" s="1133">
        <f t="shared" ca="1" si="49"/>
        <v>5.0000000000000044E-2</v>
      </c>
      <c r="X203" s="1134">
        <f t="shared" ca="1" si="56"/>
        <v>68785828.351245284</v>
      </c>
      <c r="Y203" s="1134">
        <f t="shared" ca="1" si="50"/>
        <v>1351460.6162683964</v>
      </c>
      <c r="Z203" s="1134">
        <f t="shared" ca="1" si="51"/>
        <v>67434367.734976888</v>
      </c>
      <c r="AA203" s="1132">
        <f t="shared" ca="1" si="52"/>
        <v>0.11843290005379697</v>
      </c>
      <c r="AB203" s="1105"/>
    </row>
    <row r="204" spans="1:28">
      <c r="A204" s="1144">
        <f>Calendar!J196</f>
        <v>50887</v>
      </c>
      <c r="C204" s="1104"/>
      <c r="D204" s="1125">
        <f t="shared" ref="D204:D267" ca="1" si="57">IF(E204&lt;&gt;"",EOMONTH(E204,-1),"")</f>
        <v>51925</v>
      </c>
      <c r="E204" s="1126">
        <f t="shared" ref="E204:E267" ca="1" si="58">IF(INDIRECT("A"&amp;(IFERROR(MATCH(E203,A:A),999)+1))&gt;0,INDIRECT("A"&amp;(IFERROR(MATCH(E203,A:A),999)+1)),"")</f>
        <v>51952</v>
      </c>
      <c r="F204" s="1127">
        <f t="shared" ref="F204:F267" ca="1" si="59">IF(E204&lt;&gt;"",E204-$A$31,"")</f>
        <v>5903</v>
      </c>
      <c r="G204" s="1128">
        <f ca="1">IF(F204&lt;&gt;"",COUNTIF($F$11:F204,"&gt;0"),"")</f>
        <v>194</v>
      </c>
      <c r="H204" s="1129">
        <v>1.9890863133051145E-2</v>
      </c>
      <c r="I204" s="1073"/>
      <c r="J204" s="1130">
        <f t="shared" ref="J204:J267" ca="1" si="60">IF(G204=1,$A$7,N203)</f>
        <v>1348687354.6995349</v>
      </c>
      <c r="K204" s="1131">
        <f t="shared" ref="K204:K267" ca="1" si="61">H204*J204</f>
        <v>26826555.581605252</v>
      </c>
      <c r="L204" s="1130">
        <f t="shared" ref="L204:L267" ca="1" si="62">IF(E204&lt;&gt;"",(1-(1-$A$25)^(1/12))*(J204-K204),"")</f>
        <v>0</v>
      </c>
      <c r="M204" s="1130">
        <f t="shared" ref="M204:M267" ca="1" si="63">IF(J204-K204-L204&lt;$A$27*$A$5,J204-K204-L204,0)</f>
        <v>0</v>
      </c>
      <c r="N204" s="1130">
        <f t="shared" ca="1" si="53"/>
        <v>1321860799.1179297</v>
      </c>
      <c r="O204" s="1073"/>
      <c r="P204" s="1130">
        <f t="shared" ref="P204:P267" ca="1" si="64">IF(G204&lt;&gt; "", R204+X204-N204, "")</f>
        <v>26826555.581605196</v>
      </c>
      <c r="Q204" s="1130">
        <f t="shared" ref="Q204:Q267" ca="1" si="65">IF(E204&lt;&gt;"", N204*(1-$A$15), "")</f>
        <v>1255767759.1620331</v>
      </c>
      <c r="R204" s="1130">
        <f t="shared" ca="1" si="54"/>
        <v>1281252986.9645581</v>
      </c>
      <c r="S204" s="1130">
        <f t="shared" ca="1" si="55"/>
        <v>25485227.802525043</v>
      </c>
      <c r="T204" s="1130">
        <f t="shared" ref="T204:T267" ca="1" si="66">IF(E204&lt;&gt;"", R204-S204, "")</f>
        <v>1255767759.1620331</v>
      </c>
      <c r="U204" s="1132">
        <f t="shared" ref="U204:U267" ca="1" si="67">IF(E204&lt;&gt;"", R204/$A$11, "")</f>
        <v>0.10851454933977218</v>
      </c>
      <c r="V204" s="1133">
        <f t="shared" ref="V204:V267" ca="1" si="68">IF(E204&lt;&gt;"", IFERROR(1-T204/N204, "n.a."), "")</f>
        <v>5.0000000000000044E-2</v>
      </c>
      <c r="X204" s="1134">
        <f t="shared" ca="1" si="56"/>
        <v>67434367.734976888</v>
      </c>
      <c r="Y204" s="1134">
        <f t="shared" ref="Y204:Y267" ca="1" si="69">IF(E204&lt;&gt;"", P204-S204, "")</f>
        <v>1341327.7790801525</v>
      </c>
      <c r="Z204" s="1134">
        <f t="shared" ref="Z204:Z267" ca="1" si="70">IF(E204&lt;&gt;"", X204-Y204, "")</f>
        <v>66093039.955896735</v>
      </c>
      <c r="AA204" s="1132">
        <f t="shared" ref="AA204:AA267" ca="1" si="71">IF(E204&lt;&gt;"", X204/$A$19, "")</f>
        <v>0.11610600505333486</v>
      </c>
      <c r="AB204" s="1105"/>
    </row>
    <row r="205" spans="1:28">
      <c r="A205" s="1144">
        <f>Calendar!J197</f>
        <v>50917</v>
      </c>
      <c r="C205" s="1104"/>
      <c r="D205" s="1125">
        <f t="shared" ca="1" si="57"/>
        <v>51956</v>
      </c>
      <c r="E205" s="1126">
        <f t="shared" ca="1" si="58"/>
        <v>51984</v>
      </c>
      <c r="F205" s="1127">
        <f t="shared" ca="1" si="59"/>
        <v>5935</v>
      </c>
      <c r="G205" s="1128">
        <f ca="1">IF(F205&lt;&gt;"",COUNTIF($F$11:F205,"&gt;0"),"")</f>
        <v>195</v>
      </c>
      <c r="H205" s="1129">
        <v>2.0101924204233134E-2</v>
      </c>
      <c r="I205" s="1073"/>
      <c r="J205" s="1130">
        <f t="shared" ca="1" si="60"/>
        <v>1321860799.1179297</v>
      </c>
      <c r="K205" s="1131">
        <f t="shared" ca="1" si="61"/>
        <v>26571945.592415664</v>
      </c>
      <c r="L205" s="1130">
        <f t="shared" ca="1" si="62"/>
        <v>0</v>
      </c>
      <c r="M205" s="1130">
        <f t="shared" ca="1" si="63"/>
        <v>0</v>
      </c>
      <c r="N205" s="1130">
        <f t="shared" ref="N205:N268" ca="1" si="72">IF(E205&lt;&gt;"",J205-K205-L205-M205,"")</f>
        <v>1295288853.5255141</v>
      </c>
      <c r="O205" s="1073"/>
      <c r="P205" s="1130">
        <f t="shared" ca="1" si="64"/>
        <v>26571945.59241581</v>
      </c>
      <c r="Q205" s="1130">
        <f t="shared" ca="1" si="65"/>
        <v>1230524410.8492384</v>
      </c>
      <c r="R205" s="1130">
        <f t="shared" ref="R205:R268" ca="1" si="73">IF(E205&lt;&gt;"", T204, "")</f>
        <v>1255767759.1620331</v>
      </c>
      <c r="S205" s="1130">
        <f t="shared" ref="S205:S268" ca="1" si="74">IF(E205&lt;&gt;"", MIN(P205,MAX(R205-Q205,0)), "")</f>
        <v>25243348.312794685</v>
      </c>
      <c r="T205" s="1130">
        <f t="shared" ca="1" si="66"/>
        <v>1230524410.8492384</v>
      </c>
      <c r="U205" s="1132">
        <f t="shared" ca="1" si="67"/>
        <v>0.10635610129091004</v>
      </c>
      <c r="V205" s="1133">
        <f t="shared" ca="1" si="68"/>
        <v>5.0000000000000044E-2</v>
      </c>
      <c r="X205" s="1134">
        <f t="shared" ref="X205:X268" ca="1" si="75">IF(E205&lt;&gt;"", Z204, "")</f>
        <v>66093039.955896735</v>
      </c>
      <c r="Y205" s="1134">
        <f t="shared" ca="1" si="69"/>
        <v>1328597.2796211243</v>
      </c>
      <c r="Z205" s="1134">
        <f t="shared" ca="1" si="70"/>
        <v>64764442.676275611</v>
      </c>
      <c r="AA205" s="1132">
        <f t="shared" ca="1" si="71"/>
        <v>0.11379655639789382</v>
      </c>
      <c r="AB205" s="1105"/>
    </row>
    <row r="206" spans="1:28">
      <c r="A206" s="1144">
        <f>Calendar!J198</f>
        <v>50948</v>
      </c>
      <c r="C206" s="1104"/>
      <c r="D206" s="1125">
        <f t="shared" ca="1" si="57"/>
        <v>51986</v>
      </c>
      <c r="E206" s="1126">
        <f t="shared" ca="1" si="58"/>
        <v>52013</v>
      </c>
      <c r="F206" s="1127">
        <f t="shared" ca="1" si="59"/>
        <v>5964</v>
      </c>
      <c r="G206" s="1128">
        <f ca="1">IF(F206&lt;&gt;"",COUNTIF($F$11:F206,"&gt;0"),"")</f>
        <v>196</v>
      </c>
      <c r="H206" s="1129">
        <v>2.0313465247822134E-2</v>
      </c>
      <c r="I206" s="1073"/>
      <c r="J206" s="1130">
        <f t="shared" ca="1" si="60"/>
        <v>1295288853.5255141</v>
      </c>
      <c r="K206" s="1131">
        <f t="shared" ca="1" si="61"/>
        <v>26311805.111981906</v>
      </c>
      <c r="L206" s="1130">
        <f t="shared" ca="1" si="62"/>
        <v>0</v>
      </c>
      <c r="M206" s="1130">
        <f t="shared" ca="1" si="63"/>
        <v>0</v>
      </c>
      <c r="N206" s="1130">
        <f t="shared" ca="1" si="72"/>
        <v>1268977048.4135323</v>
      </c>
      <c r="O206" s="1073"/>
      <c r="P206" s="1130">
        <f t="shared" ca="1" si="64"/>
        <v>26311805.111981869</v>
      </c>
      <c r="Q206" s="1130">
        <f t="shared" ca="1" si="65"/>
        <v>1205528195.9928555</v>
      </c>
      <c r="R206" s="1130">
        <f t="shared" ca="1" si="73"/>
        <v>1230524410.8492384</v>
      </c>
      <c r="S206" s="1130">
        <f t="shared" ca="1" si="74"/>
        <v>24996214.856382847</v>
      </c>
      <c r="T206" s="1130">
        <f t="shared" ca="1" si="66"/>
        <v>1205528195.9928555</v>
      </c>
      <c r="U206" s="1132">
        <f t="shared" ca="1" si="67"/>
        <v>0.10421813900410244</v>
      </c>
      <c r="V206" s="1133">
        <f t="shared" ca="1" si="68"/>
        <v>5.0000000000000044E-2</v>
      </c>
      <c r="X206" s="1134">
        <f t="shared" ca="1" si="75"/>
        <v>64764442.676275611</v>
      </c>
      <c r="Y206" s="1134">
        <f t="shared" ca="1" si="69"/>
        <v>1315590.2555990219</v>
      </c>
      <c r="Z206" s="1134">
        <f t="shared" ca="1" si="70"/>
        <v>63448852.420676589</v>
      </c>
      <c r="AA206" s="1132">
        <f t="shared" ca="1" si="71"/>
        <v>0.11150902664648005</v>
      </c>
      <c r="AB206" s="1105"/>
    </row>
    <row r="207" spans="1:28">
      <c r="A207" s="1144">
        <f>Calendar!J199</f>
        <v>50978</v>
      </c>
      <c r="C207" s="1104"/>
      <c r="D207" s="1125">
        <f t="shared" ca="1" si="57"/>
        <v>52017</v>
      </c>
      <c r="E207" s="1126">
        <f t="shared" ca="1" si="58"/>
        <v>52044</v>
      </c>
      <c r="F207" s="1127">
        <f t="shared" ca="1" si="59"/>
        <v>5995</v>
      </c>
      <c r="G207" s="1128">
        <f ca="1">IF(F207&lt;&gt;"",COUNTIF($F$11:F207,"&gt;0"),"")</f>
        <v>197</v>
      </c>
      <c r="H207" s="1129">
        <v>2.0517428346694375E-2</v>
      </c>
      <c r="I207" s="1073"/>
      <c r="J207" s="1130">
        <f t="shared" ca="1" si="60"/>
        <v>1268977048.4135323</v>
      </c>
      <c r="K207" s="1131">
        <f t="shared" ca="1" si="61"/>
        <v>26036145.664424367</v>
      </c>
      <c r="L207" s="1130">
        <f t="shared" ca="1" si="62"/>
        <v>0</v>
      </c>
      <c r="M207" s="1130">
        <f t="shared" ca="1" si="63"/>
        <v>0</v>
      </c>
      <c r="N207" s="1130">
        <f t="shared" ca="1" si="72"/>
        <v>1242940902.7491078</v>
      </c>
      <c r="O207" s="1073"/>
      <c r="P207" s="1130">
        <f t="shared" ca="1" si="64"/>
        <v>26036145.664424419</v>
      </c>
      <c r="Q207" s="1130">
        <f t="shared" ca="1" si="65"/>
        <v>1180793857.6116524</v>
      </c>
      <c r="R207" s="1130">
        <f t="shared" ca="1" si="73"/>
        <v>1205528195.9928555</v>
      </c>
      <c r="S207" s="1130">
        <f t="shared" ca="1" si="74"/>
        <v>24734338.381203175</v>
      </c>
      <c r="T207" s="1130">
        <f t="shared" ca="1" si="66"/>
        <v>1180793857.6116524</v>
      </c>
      <c r="U207" s="1132">
        <f t="shared" ca="1" si="67"/>
        <v>0.10210110745924991</v>
      </c>
      <c r="V207" s="1133">
        <f t="shared" ca="1" si="68"/>
        <v>5.0000000000000044E-2</v>
      </c>
      <c r="X207" s="1134">
        <f t="shared" ca="1" si="75"/>
        <v>63448852.420676589</v>
      </c>
      <c r="Y207" s="1134">
        <f t="shared" ca="1" si="69"/>
        <v>1301807.2832212448</v>
      </c>
      <c r="Z207" s="1134">
        <f t="shared" ca="1" si="70"/>
        <v>62147045.137455344</v>
      </c>
      <c r="AA207" s="1132">
        <f t="shared" ca="1" si="71"/>
        <v>0.10924389190887843</v>
      </c>
      <c r="AB207" s="1105"/>
    </row>
    <row r="208" spans="1:28">
      <c r="A208" s="1144">
        <f>Calendar!J200</f>
        <v>51011</v>
      </c>
      <c r="C208" s="1104"/>
      <c r="D208" s="1125">
        <f t="shared" ca="1" si="57"/>
        <v>52047</v>
      </c>
      <c r="E208" s="1126">
        <f t="shared" ca="1" si="58"/>
        <v>52075</v>
      </c>
      <c r="F208" s="1127">
        <f t="shared" ca="1" si="59"/>
        <v>6026</v>
      </c>
      <c r="G208" s="1128">
        <f ca="1">IF(F208&lt;&gt;"",COUNTIF($F$11:F208,"&gt;0"),"")</f>
        <v>198</v>
      </c>
      <c r="H208" s="1129">
        <v>2.0771912268192902E-2</v>
      </c>
      <c r="I208" s="1073"/>
      <c r="J208" s="1130">
        <f t="shared" ca="1" si="60"/>
        <v>1242940902.7491078</v>
      </c>
      <c r="K208" s="1131">
        <f t="shared" ca="1" si="61"/>
        <v>25818259.386452954</v>
      </c>
      <c r="L208" s="1130">
        <f t="shared" ca="1" si="62"/>
        <v>0</v>
      </c>
      <c r="M208" s="1130">
        <f t="shared" ca="1" si="63"/>
        <v>0</v>
      </c>
      <c r="N208" s="1130">
        <f t="shared" ca="1" si="72"/>
        <v>1217122643.3626549</v>
      </c>
      <c r="O208" s="1073"/>
      <c r="P208" s="1130">
        <f t="shared" ca="1" si="64"/>
        <v>25818259.386452913</v>
      </c>
      <c r="Q208" s="1130">
        <f t="shared" ca="1" si="65"/>
        <v>1156266511.1945221</v>
      </c>
      <c r="R208" s="1130">
        <f t="shared" ca="1" si="73"/>
        <v>1180793857.6116524</v>
      </c>
      <c r="S208" s="1130">
        <f t="shared" ca="1" si="74"/>
        <v>24527346.417130232</v>
      </c>
      <c r="T208" s="1130">
        <f t="shared" ca="1" si="66"/>
        <v>1156266511.1945221</v>
      </c>
      <c r="U208" s="1132">
        <f t="shared" ca="1" si="67"/>
        <v>0.10000625530283661</v>
      </c>
      <c r="V208" s="1133">
        <f t="shared" ca="1" si="68"/>
        <v>5.0000000000000044E-2</v>
      </c>
      <c r="X208" s="1134">
        <f t="shared" ca="1" si="75"/>
        <v>62147045.137455344</v>
      </c>
      <c r="Y208" s="1134">
        <f t="shared" ca="1" si="69"/>
        <v>1290912.9693226814</v>
      </c>
      <c r="Z208" s="1134">
        <f t="shared" ca="1" si="70"/>
        <v>60856132.168132663</v>
      </c>
      <c r="AA208" s="1132">
        <f t="shared" ca="1" si="71"/>
        <v>0.10700248818432394</v>
      </c>
      <c r="AB208" s="1105"/>
    </row>
    <row r="209" spans="1:28">
      <c r="A209" s="1144">
        <f>Calendar!J201</f>
        <v>51040</v>
      </c>
      <c r="C209" s="1104"/>
      <c r="D209" s="1125">
        <f t="shared" ca="1" si="57"/>
        <v>52078</v>
      </c>
      <c r="E209" s="1126">
        <f t="shared" ca="1" si="58"/>
        <v>52105</v>
      </c>
      <c r="F209" s="1127">
        <f t="shared" ca="1" si="59"/>
        <v>6056</v>
      </c>
      <c r="G209" s="1128">
        <f ca="1">IF(F209&lt;&gt;"",COUNTIF($F$11:F209,"&gt;0"),"")</f>
        <v>199</v>
      </c>
      <c r="H209" s="1129">
        <v>2.0971550729519801E-2</v>
      </c>
      <c r="I209" s="1073"/>
      <c r="J209" s="1130">
        <f t="shared" ca="1" si="60"/>
        <v>1217122643.3626549</v>
      </c>
      <c r="K209" s="1131">
        <f t="shared" ca="1" si="61"/>
        <v>25524949.259327155</v>
      </c>
      <c r="L209" s="1130">
        <f t="shared" ca="1" si="62"/>
        <v>0</v>
      </c>
      <c r="M209" s="1130">
        <f t="shared" ca="1" si="63"/>
        <v>0</v>
      </c>
      <c r="N209" s="1130">
        <f t="shared" ca="1" si="72"/>
        <v>1191597694.1033278</v>
      </c>
      <c r="O209" s="1073"/>
      <c r="P209" s="1130">
        <f t="shared" ca="1" si="64"/>
        <v>25524949.259326935</v>
      </c>
      <c r="Q209" s="1130">
        <f t="shared" ca="1" si="65"/>
        <v>1132017809.3981614</v>
      </c>
      <c r="R209" s="1130">
        <f t="shared" ca="1" si="73"/>
        <v>1156266511.1945221</v>
      </c>
      <c r="S209" s="1130">
        <f t="shared" ca="1" si="74"/>
        <v>24248701.796360731</v>
      </c>
      <c r="T209" s="1130">
        <f t="shared" ca="1" si="66"/>
        <v>1132017809.3981614</v>
      </c>
      <c r="U209" s="1132">
        <f t="shared" ca="1" si="67"/>
        <v>9.7928934141415583E-2</v>
      </c>
      <c r="V209" s="1133">
        <f t="shared" ca="1" si="68"/>
        <v>4.9999999999999933E-2</v>
      </c>
      <c r="X209" s="1134">
        <f t="shared" ca="1" si="75"/>
        <v>60856132.168132663</v>
      </c>
      <c r="Y209" s="1134">
        <f t="shared" ca="1" si="69"/>
        <v>1276247.4629662037</v>
      </c>
      <c r="Z209" s="1134">
        <f t="shared" ca="1" si="70"/>
        <v>59579884.705166459</v>
      </c>
      <c r="AA209" s="1132">
        <f t="shared" ca="1" si="71"/>
        <v>0.10477984188728076</v>
      </c>
      <c r="AB209" s="1105"/>
    </row>
    <row r="210" spans="1:28">
      <c r="A210" s="1144">
        <f>Calendar!J202</f>
        <v>51070</v>
      </c>
      <c r="C210" s="1104"/>
      <c r="D210" s="1125">
        <f t="shared" ca="1" si="57"/>
        <v>52109</v>
      </c>
      <c r="E210" s="1126">
        <f t="shared" ca="1" si="58"/>
        <v>52138</v>
      </c>
      <c r="F210" s="1127">
        <f t="shared" ca="1" si="59"/>
        <v>6089</v>
      </c>
      <c r="G210" s="1128">
        <f ca="1">IF(F210&lt;&gt;"",COUNTIF($F$11:F210,"&gt;0"),"")</f>
        <v>200</v>
      </c>
      <c r="H210" s="1129">
        <v>2.1135487560700862E-2</v>
      </c>
      <c r="I210" s="1073"/>
      <c r="J210" s="1130">
        <f t="shared" ca="1" si="60"/>
        <v>1191597694.1033278</v>
      </c>
      <c r="K210" s="1131">
        <f t="shared" ca="1" si="61"/>
        <v>25184998.241080716</v>
      </c>
      <c r="L210" s="1130">
        <f t="shared" ca="1" si="62"/>
        <v>0</v>
      </c>
      <c r="M210" s="1130">
        <f t="shared" ca="1" si="63"/>
        <v>0</v>
      </c>
      <c r="N210" s="1130">
        <f t="shared" ca="1" si="72"/>
        <v>1166412695.862247</v>
      </c>
      <c r="O210" s="1073"/>
      <c r="P210" s="1130">
        <f t="shared" ca="1" si="64"/>
        <v>25184998.241080761</v>
      </c>
      <c r="Q210" s="1130">
        <f t="shared" ca="1" si="65"/>
        <v>1108092061.0691345</v>
      </c>
      <c r="R210" s="1130">
        <f t="shared" ca="1" si="73"/>
        <v>1132017809.3981614</v>
      </c>
      <c r="S210" s="1130">
        <f t="shared" ca="1" si="74"/>
        <v>23925748.329026937</v>
      </c>
      <c r="T210" s="1130">
        <f t="shared" ca="1" si="66"/>
        <v>1108092061.0691345</v>
      </c>
      <c r="U210" s="1132">
        <f t="shared" ca="1" si="67"/>
        <v>9.58752125311811E-2</v>
      </c>
      <c r="V210" s="1133">
        <f t="shared" ca="1" si="68"/>
        <v>5.0000000000000155E-2</v>
      </c>
      <c r="X210" s="1134">
        <f t="shared" ca="1" si="75"/>
        <v>59579884.705166459</v>
      </c>
      <c r="Y210" s="1134">
        <f t="shared" ca="1" si="69"/>
        <v>1259249.9120538235</v>
      </c>
      <c r="Z210" s="1134">
        <f t="shared" ca="1" si="70"/>
        <v>58320634.793112636</v>
      </c>
      <c r="AA210" s="1132">
        <f t="shared" ca="1" si="71"/>
        <v>0.10258244611771085</v>
      </c>
      <c r="AB210" s="1105"/>
    </row>
    <row r="211" spans="1:28">
      <c r="A211" s="1144">
        <f>Calendar!J203</f>
        <v>51102</v>
      </c>
      <c r="C211" s="1104"/>
      <c r="D211" s="1125">
        <f t="shared" ca="1" si="57"/>
        <v>52139</v>
      </c>
      <c r="E211" s="1126">
        <f t="shared" ca="1" si="58"/>
        <v>52166</v>
      </c>
      <c r="F211" s="1127">
        <f t="shared" ca="1" si="59"/>
        <v>6117</v>
      </c>
      <c r="G211" s="1128">
        <f ca="1">IF(F211&lt;&gt;"",COUNTIF($F$11:F211,"&gt;0"),"")</f>
        <v>201</v>
      </c>
      <c r="H211" s="1129">
        <v>2.13718414344252E-2</v>
      </c>
      <c r="I211" s="1073"/>
      <c r="J211" s="1130">
        <f t="shared" ca="1" si="60"/>
        <v>1166412695.862247</v>
      </c>
      <c r="K211" s="1131">
        <f t="shared" ca="1" si="61"/>
        <v>24928387.183068369</v>
      </c>
      <c r="L211" s="1130">
        <f t="shared" ca="1" si="62"/>
        <v>0</v>
      </c>
      <c r="M211" s="1130">
        <f t="shared" ca="1" si="63"/>
        <v>0</v>
      </c>
      <c r="N211" s="1130">
        <f t="shared" ca="1" si="72"/>
        <v>1141484308.6791787</v>
      </c>
      <c r="O211" s="1073"/>
      <c r="P211" s="1130">
        <f t="shared" ca="1" si="64"/>
        <v>24928387.183068275</v>
      </c>
      <c r="Q211" s="1130">
        <f t="shared" ca="1" si="65"/>
        <v>1084410093.2452197</v>
      </c>
      <c r="R211" s="1130">
        <f t="shared" ca="1" si="73"/>
        <v>1108092061.0691345</v>
      </c>
      <c r="S211" s="1130">
        <f t="shared" ca="1" si="74"/>
        <v>23681967.823914766</v>
      </c>
      <c r="T211" s="1130">
        <f t="shared" ca="1" si="66"/>
        <v>1084410093.2452197</v>
      </c>
      <c r="U211" s="1132">
        <f t="shared" ca="1" si="67"/>
        <v>9.3848843169348745E-2</v>
      </c>
      <c r="V211" s="1133">
        <f t="shared" ca="1" si="68"/>
        <v>5.0000000000000044E-2</v>
      </c>
      <c r="X211" s="1134">
        <f t="shared" ca="1" si="75"/>
        <v>58320634.793112636</v>
      </c>
      <c r="Y211" s="1134">
        <f t="shared" ca="1" si="69"/>
        <v>1246419.3591535091</v>
      </c>
      <c r="Z211" s="1134">
        <f t="shared" ca="1" si="70"/>
        <v>57074215.433959126</v>
      </c>
      <c r="AA211" s="1132">
        <f t="shared" ca="1" si="71"/>
        <v>0.10041431610384408</v>
      </c>
      <c r="AB211" s="1105"/>
    </row>
    <row r="212" spans="1:28">
      <c r="A212" s="1144">
        <f>Calendar!J204</f>
        <v>51131</v>
      </c>
      <c r="C212" s="1104"/>
      <c r="D212" s="1125">
        <f t="shared" ca="1" si="57"/>
        <v>52170</v>
      </c>
      <c r="E212" s="1126">
        <f t="shared" ca="1" si="58"/>
        <v>52197</v>
      </c>
      <c r="F212" s="1127">
        <f t="shared" ca="1" si="59"/>
        <v>6148</v>
      </c>
      <c r="G212" s="1128">
        <f ca="1">IF(F212&lt;&gt;"",COUNTIF($F$11:F212,"&gt;0"),"")</f>
        <v>202</v>
      </c>
      <c r="H212" s="1129">
        <v>2.1598666612051797E-2</v>
      </c>
      <c r="I212" s="1073"/>
      <c r="J212" s="1130">
        <f t="shared" ca="1" si="60"/>
        <v>1141484308.6791787</v>
      </c>
      <c r="K212" s="1131">
        <f t="shared" ca="1" si="61"/>
        <v>24654539.026050005</v>
      </c>
      <c r="L212" s="1130">
        <f t="shared" ca="1" si="62"/>
        <v>0</v>
      </c>
      <c r="M212" s="1130">
        <f t="shared" ca="1" si="63"/>
        <v>0</v>
      </c>
      <c r="N212" s="1130">
        <f t="shared" ca="1" si="72"/>
        <v>1116829769.6531286</v>
      </c>
      <c r="O212" s="1073"/>
      <c r="P212" s="1130">
        <f t="shared" ca="1" si="64"/>
        <v>24654539.026050091</v>
      </c>
      <c r="Q212" s="1130">
        <f t="shared" ca="1" si="65"/>
        <v>1060988281.1704721</v>
      </c>
      <c r="R212" s="1130">
        <f t="shared" ca="1" si="73"/>
        <v>1084410093.2452197</v>
      </c>
      <c r="S212" s="1130">
        <f t="shared" ca="1" si="74"/>
        <v>23421812.074747562</v>
      </c>
      <c r="T212" s="1130">
        <f t="shared" ca="1" si="66"/>
        <v>1060988281.1704721</v>
      </c>
      <c r="U212" s="1132">
        <f t="shared" ca="1" si="67"/>
        <v>9.1843120574329196E-2</v>
      </c>
      <c r="V212" s="1133">
        <f t="shared" ca="1" si="68"/>
        <v>5.0000000000000044E-2</v>
      </c>
      <c r="X212" s="1134">
        <f t="shared" ca="1" si="75"/>
        <v>57074215.433959126</v>
      </c>
      <c r="Y212" s="1134">
        <f t="shared" ca="1" si="69"/>
        <v>1232726.9513025284</v>
      </c>
      <c r="Z212" s="1134">
        <f t="shared" ca="1" si="70"/>
        <v>55841488.482656598</v>
      </c>
      <c r="AA212" s="1132">
        <f t="shared" ca="1" si="71"/>
        <v>9.8268277262326315E-2</v>
      </c>
      <c r="AB212" s="1105"/>
    </row>
    <row r="213" spans="1:28">
      <c r="A213" s="1144">
        <f>Calendar!J205</f>
        <v>51162</v>
      </c>
      <c r="C213" s="1104"/>
      <c r="D213" s="1125">
        <f t="shared" ca="1" si="57"/>
        <v>52200</v>
      </c>
      <c r="E213" s="1126">
        <f t="shared" ca="1" si="58"/>
        <v>52229</v>
      </c>
      <c r="F213" s="1127">
        <f t="shared" ca="1" si="59"/>
        <v>6180</v>
      </c>
      <c r="G213" s="1128">
        <f ca="1">IF(F213&lt;&gt;"",COUNTIF($F$11:F213,"&gt;0"),"")</f>
        <v>203</v>
      </c>
      <c r="H213" s="1129">
        <v>2.1810724528929695E-2</v>
      </c>
      <c r="I213" s="1073"/>
      <c r="J213" s="1130">
        <f t="shared" ca="1" si="60"/>
        <v>1116829769.6531286</v>
      </c>
      <c r="K213" s="1131">
        <f t="shared" ca="1" si="61"/>
        <v>24358866.451612394</v>
      </c>
      <c r="L213" s="1130">
        <f t="shared" ca="1" si="62"/>
        <v>0</v>
      </c>
      <c r="M213" s="1130">
        <f t="shared" ca="1" si="63"/>
        <v>0</v>
      </c>
      <c r="N213" s="1130">
        <f t="shared" ca="1" si="72"/>
        <v>1092470903.2015162</v>
      </c>
      <c r="O213" s="1073"/>
      <c r="P213" s="1130">
        <f t="shared" ca="1" si="64"/>
        <v>24358866.451612473</v>
      </c>
      <c r="Q213" s="1130">
        <f t="shared" ca="1" si="65"/>
        <v>1037847358.0414402</v>
      </c>
      <c r="R213" s="1130">
        <f t="shared" ca="1" si="73"/>
        <v>1060988281.1704721</v>
      </c>
      <c r="S213" s="1130">
        <f t="shared" ca="1" si="74"/>
        <v>23140923.129031897</v>
      </c>
      <c r="T213" s="1130">
        <f t="shared" ca="1" si="66"/>
        <v>1037847358.0414402</v>
      </c>
      <c r="U213" s="1132">
        <f t="shared" ca="1" si="67"/>
        <v>8.9859431632433776E-2</v>
      </c>
      <c r="V213" s="1133">
        <f t="shared" ca="1" si="68"/>
        <v>5.0000000000000044E-2</v>
      </c>
      <c r="X213" s="1134">
        <f t="shared" ca="1" si="75"/>
        <v>55841488.482656598</v>
      </c>
      <c r="Y213" s="1134">
        <f t="shared" ca="1" si="69"/>
        <v>1217943.3225805759</v>
      </c>
      <c r="Z213" s="1134">
        <f t="shared" ca="1" si="70"/>
        <v>54623545.160076022</v>
      </c>
      <c r="AA213" s="1132">
        <f t="shared" ca="1" si="71"/>
        <v>9.614581350319662E-2</v>
      </c>
      <c r="AB213" s="1105"/>
    </row>
    <row r="214" spans="1:28">
      <c r="A214" s="1144">
        <f>Calendar!J206</f>
        <v>51193</v>
      </c>
      <c r="C214" s="1104"/>
      <c r="D214" s="1125">
        <f t="shared" ca="1" si="57"/>
        <v>52231</v>
      </c>
      <c r="E214" s="1126">
        <f t="shared" ca="1" si="58"/>
        <v>52258</v>
      </c>
      <c r="F214" s="1127">
        <f t="shared" ca="1" si="59"/>
        <v>6209</v>
      </c>
      <c r="G214" s="1128">
        <f ca="1">IF(F214&lt;&gt;"",COUNTIF($F$11:F214,"&gt;0"),"")</f>
        <v>204</v>
      </c>
      <c r="H214" s="1129">
        <v>2.2092659437701043E-2</v>
      </c>
      <c r="I214" s="1073"/>
      <c r="J214" s="1130">
        <f t="shared" ca="1" si="60"/>
        <v>1092470903.2015162</v>
      </c>
      <c r="K214" s="1131">
        <f t="shared" ca="1" si="61"/>
        <v>24135587.610028759</v>
      </c>
      <c r="L214" s="1130">
        <f t="shared" ca="1" si="62"/>
        <v>0</v>
      </c>
      <c r="M214" s="1130">
        <f t="shared" ca="1" si="63"/>
        <v>0</v>
      </c>
      <c r="N214" s="1130">
        <f t="shared" ca="1" si="72"/>
        <v>1068335315.5914874</v>
      </c>
      <c r="O214" s="1073"/>
      <c r="P214" s="1130">
        <f t="shared" ca="1" si="64"/>
        <v>24135587.610028744</v>
      </c>
      <c r="Q214" s="1130">
        <f t="shared" ca="1" si="65"/>
        <v>1014918549.811913</v>
      </c>
      <c r="R214" s="1130">
        <f t="shared" ca="1" si="73"/>
        <v>1037847358.0414402</v>
      </c>
      <c r="S214" s="1130">
        <f t="shared" ca="1" si="74"/>
        <v>22928808.229527235</v>
      </c>
      <c r="T214" s="1130">
        <f t="shared" ca="1" si="66"/>
        <v>1014918549.811913</v>
      </c>
      <c r="U214" s="1132">
        <f t="shared" ca="1" si="67"/>
        <v>8.7899532322772561E-2</v>
      </c>
      <c r="V214" s="1133">
        <f t="shared" ca="1" si="68"/>
        <v>5.0000000000000044E-2</v>
      </c>
      <c r="X214" s="1134">
        <f t="shared" ca="1" si="75"/>
        <v>54623545.160076022</v>
      </c>
      <c r="Y214" s="1134">
        <f t="shared" ca="1" si="69"/>
        <v>1206779.3805015087</v>
      </c>
      <c r="Z214" s="1134">
        <f t="shared" ca="1" si="70"/>
        <v>53416765.779574513</v>
      </c>
      <c r="AA214" s="1132">
        <f t="shared" ca="1" si="71"/>
        <v>9.4048803650268631E-2</v>
      </c>
      <c r="AB214" s="1105"/>
    </row>
    <row r="215" spans="1:28">
      <c r="A215" s="1144">
        <f>Calendar!J207</f>
        <v>51222</v>
      </c>
      <c r="C215" s="1104"/>
      <c r="D215" s="1125">
        <f t="shared" ca="1" si="57"/>
        <v>52262</v>
      </c>
      <c r="E215" s="1126">
        <f t="shared" ca="1" si="58"/>
        <v>52289</v>
      </c>
      <c r="F215" s="1127">
        <f t="shared" ca="1" si="59"/>
        <v>6240</v>
      </c>
      <c r="G215" s="1128">
        <f ca="1">IF(F215&lt;&gt;"",COUNTIF($F$11:F215,"&gt;0"),"")</f>
        <v>205</v>
      </c>
      <c r="H215" s="1129">
        <v>2.2389980617248905E-2</v>
      </c>
      <c r="I215" s="1073"/>
      <c r="J215" s="1130">
        <f t="shared" ca="1" si="60"/>
        <v>1068335315.5914874</v>
      </c>
      <c r="K215" s="1131">
        <f t="shared" ca="1" si="61"/>
        <v>23920007.008815896</v>
      </c>
      <c r="L215" s="1130">
        <f t="shared" ca="1" si="62"/>
        <v>0</v>
      </c>
      <c r="M215" s="1130">
        <f t="shared" ca="1" si="63"/>
        <v>0</v>
      </c>
      <c r="N215" s="1130">
        <f t="shared" ca="1" si="72"/>
        <v>1044415308.5826715</v>
      </c>
      <c r="O215" s="1073"/>
      <c r="P215" s="1130">
        <f t="shared" ca="1" si="64"/>
        <v>23920007.008816004</v>
      </c>
      <c r="Q215" s="1130">
        <f t="shared" ca="1" si="65"/>
        <v>992194543.15353787</v>
      </c>
      <c r="R215" s="1130">
        <f t="shared" ca="1" si="73"/>
        <v>1014918549.811913</v>
      </c>
      <c r="S215" s="1130">
        <f t="shared" ca="1" si="74"/>
        <v>22724006.658375144</v>
      </c>
      <c r="T215" s="1130">
        <f t="shared" ca="1" si="66"/>
        <v>992194543.15353787</v>
      </c>
      <c r="U215" s="1132">
        <f t="shared" ca="1" si="67"/>
        <v>8.5957597890432363E-2</v>
      </c>
      <c r="V215" s="1133">
        <f t="shared" ca="1" si="68"/>
        <v>5.0000000000000044E-2</v>
      </c>
      <c r="X215" s="1134">
        <f t="shared" ca="1" si="75"/>
        <v>53416765.779574513</v>
      </c>
      <c r="Y215" s="1134">
        <f t="shared" ca="1" si="69"/>
        <v>1196000.3504408598</v>
      </c>
      <c r="Z215" s="1134">
        <f t="shared" ca="1" si="70"/>
        <v>52220765.429133654</v>
      </c>
      <c r="AA215" s="1132">
        <f t="shared" ca="1" si="71"/>
        <v>9.1971015460699926E-2</v>
      </c>
      <c r="AB215" s="1105"/>
    </row>
    <row r="216" spans="1:28">
      <c r="A216" s="1144">
        <f>Calendar!J208</f>
        <v>51253</v>
      </c>
      <c r="C216" s="1104"/>
      <c r="D216" s="1125">
        <f t="shared" ca="1" si="57"/>
        <v>52290</v>
      </c>
      <c r="E216" s="1126">
        <f t="shared" ca="1" si="58"/>
        <v>52317</v>
      </c>
      <c r="F216" s="1127">
        <f t="shared" ca="1" si="59"/>
        <v>6268</v>
      </c>
      <c r="G216" s="1128">
        <f ca="1">IF(F216&lt;&gt;"",COUNTIF($F$11:F216,"&gt;0"),"")</f>
        <v>206</v>
      </c>
      <c r="H216" s="1129">
        <v>2.270543887829456E-2</v>
      </c>
      <c r="I216" s="1073"/>
      <c r="J216" s="1130">
        <f t="shared" ca="1" si="60"/>
        <v>1044415308.5826715</v>
      </c>
      <c r="K216" s="1131">
        <f t="shared" ca="1" si="61"/>
        <v>23713907.952578999</v>
      </c>
      <c r="L216" s="1130">
        <f t="shared" ca="1" si="62"/>
        <v>0</v>
      </c>
      <c r="M216" s="1130">
        <f t="shared" ca="1" si="63"/>
        <v>0</v>
      </c>
      <c r="N216" s="1130">
        <f t="shared" ca="1" si="72"/>
        <v>1020701400.6300925</v>
      </c>
      <c r="O216" s="1073"/>
      <c r="P216" s="1130">
        <f t="shared" ca="1" si="64"/>
        <v>23713907.952579021</v>
      </c>
      <c r="Q216" s="1130">
        <f t="shared" ca="1" si="65"/>
        <v>969666330.59858787</v>
      </c>
      <c r="R216" s="1130">
        <f t="shared" ca="1" si="73"/>
        <v>992194543.15353787</v>
      </c>
      <c r="S216" s="1130">
        <f t="shared" ca="1" si="74"/>
        <v>22528212.554949999</v>
      </c>
      <c r="T216" s="1130">
        <f t="shared" ca="1" si="66"/>
        <v>969666330.59858787</v>
      </c>
      <c r="U216" s="1132">
        <f t="shared" ca="1" si="67"/>
        <v>8.4033008939760304E-2</v>
      </c>
      <c r="V216" s="1133">
        <f t="shared" ca="1" si="68"/>
        <v>5.0000000000000044E-2</v>
      </c>
      <c r="X216" s="1134">
        <f t="shared" ca="1" si="75"/>
        <v>52220765.429133654</v>
      </c>
      <c r="Y216" s="1134">
        <f t="shared" ca="1" si="69"/>
        <v>1185695.3976290226</v>
      </c>
      <c r="Z216" s="1134">
        <f t="shared" ca="1" si="70"/>
        <v>51035070.031504631</v>
      </c>
      <c r="AA216" s="1132">
        <f t="shared" ca="1" si="71"/>
        <v>8.991178620718604E-2</v>
      </c>
      <c r="AB216" s="1105"/>
    </row>
    <row r="217" spans="1:28">
      <c r="A217" s="1144">
        <f>Calendar!J209</f>
        <v>51284</v>
      </c>
      <c r="C217" s="1104"/>
      <c r="D217" s="1125">
        <f t="shared" ca="1" si="57"/>
        <v>52321</v>
      </c>
      <c r="E217" s="1126">
        <f t="shared" ca="1" si="58"/>
        <v>52348</v>
      </c>
      <c r="F217" s="1127">
        <f t="shared" ca="1" si="59"/>
        <v>6299</v>
      </c>
      <c r="G217" s="1128">
        <f ca="1">IF(F217&lt;&gt;"",COUNTIF($F$11:F217,"&gt;0"),"")</f>
        <v>207</v>
      </c>
      <c r="H217" s="1129">
        <v>2.2953454632339589E-2</v>
      </c>
      <c r="I217" s="1073"/>
      <c r="J217" s="1130">
        <f t="shared" ca="1" si="60"/>
        <v>1020701400.6300925</v>
      </c>
      <c r="K217" s="1131">
        <f t="shared" ca="1" si="61"/>
        <v>23428623.292528301</v>
      </c>
      <c r="L217" s="1130">
        <f t="shared" ca="1" si="62"/>
        <v>0</v>
      </c>
      <c r="M217" s="1130">
        <f t="shared" ca="1" si="63"/>
        <v>0</v>
      </c>
      <c r="N217" s="1130">
        <f t="shared" ca="1" si="72"/>
        <v>997272777.33756423</v>
      </c>
      <c r="O217" s="1073"/>
      <c r="P217" s="1130">
        <f t="shared" ca="1" si="64"/>
        <v>23428623.292528272</v>
      </c>
      <c r="Q217" s="1130">
        <f t="shared" ca="1" si="65"/>
        <v>947409138.47068596</v>
      </c>
      <c r="R217" s="1130">
        <f t="shared" ca="1" si="73"/>
        <v>969666330.59858787</v>
      </c>
      <c r="S217" s="1130">
        <f t="shared" ca="1" si="74"/>
        <v>22257192.127901912</v>
      </c>
      <c r="T217" s="1130">
        <f t="shared" ca="1" si="66"/>
        <v>947409138.47068596</v>
      </c>
      <c r="U217" s="1132">
        <f t="shared" ca="1" si="67"/>
        <v>8.2125002591519405E-2</v>
      </c>
      <c r="V217" s="1133">
        <f t="shared" ca="1" si="68"/>
        <v>5.0000000000000044E-2</v>
      </c>
      <c r="X217" s="1134">
        <f t="shared" ca="1" si="75"/>
        <v>51035070.031504631</v>
      </c>
      <c r="Y217" s="1134">
        <f t="shared" ca="1" si="69"/>
        <v>1171431.1646263599</v>
      </c>
      <c r="Z217" s="1134">
        <f t="shared" ca="1" si="70"/>
        <v>49863638.866878271</v>
      </c>
      <c r="AA217" s="1132">
        <f t="shared" ca="1" si="71"/>
        <v>8.7870299641020375E-2</v>
      </c>
      <c r="AB217" s="1105"/>
    </row>
    <row r="218" spans="1:28">
      <c r="A218" s="1144">
        <f>Calendar!J210</f>
        <v>51314</v>
      </c>
      <c r="C218" s="1104"/>
      <c r="D218" s="1125">
        <f t="shared" ca="1" si="57"/>
        <v>52351</v>
      </c>
      <c r="E218" s="1126">
        <f t="shared" ca="1" si="58"/>
        <v>52378</v>
      </c>
      <c r="F218" s="1127">
        <f t="shared" ca="1" si="59"/>
        <v>6329</v>
      </c>
      <c r="G218" s="1128">
        <f ca="1">IF(F218&lt;&gt;"",COUNTIF($F$11:F218,"&gt;0"),"")</f>
        <v>208</v>
      </c>
      <c r="H218" s="1129">
        <v>2.3203851521724973E-2</v>
      </c>
      <c r="I218" s="1073"/>
      <c r="J218" s="1130">
        <f t="shared" ca="1" si="60"/>
        <v>997272777.33756423</v>
      </c>
      <c r="K218" s="1131">
        <f t="shared" ca="1" si="61"/>
        <v>23140569.451999132</v>
      </c>
      <c r="L218" s="1130">
        <f t="shared" ca="1" si="62"/>
        <v>0</v>
      </c>
      <c r="M218" s="1130">
        <f t="shared" ca="1" si="63"/>
        <v>0</v>
      </c>
      <c r="N218" s="1130">
        <f t="shared" ca="1" si="72"/>
        <v>974132207.88556504</v>
      </c>
      <c r="O218" s="1073"/>
      <c r="P218" s="1130">
        <f t="shared" ca="1" si="64"/>
        <v>23140569.451999187</v>
      </c>
      <c r="Q218" s="1130">
        <f t="shared" ca="1" si="65"/>
        <v>925425597.49128675</v>
      </c>
      <c r="R218" s="1130">
        <f t="shared" ca="1" si="73"/>
        <v>947409138.47068596</v>
      </c>
      <c r="S218" s="1130">
        <f t="shared" ca="1" si="74"/>
        <v>21983540.979399204</v>
      </c>
      <c r="T218" s="1130">
        <f t="shared" ca="1" si="66"/>
        <v>925425597.49128675</v>
      </c>
      <c r="U218" s="1132">
        <f t="shared" ca="1" si="67"/>
        <v>8.0239950070354185E-2</v>
      </c>
      <c r="V218" s="1133">
        <f t="shared" ca="1" si="68"/>
        <v>5.0000000000000044E-2</v>
      </c>
      <c r="X218" s="1134">
        <f t="shared" ca="1" si="75"/>
        <v>49863638.866878271</v>
      </c>
      <c r="Y218" s="1134">
        <f t="shared" ca="1" si="69"/>
        <v>1157028.4725999832</v>
      </c>
      <c r="Z218" s="1134">
        <f t="shared" ca="1" si="70"/>
        <v>48706610.394278288</v>
      </c>
      <c r="AA218" s="1132">
        <f t="shared" ca="1" si="71"/>
        <v>8.5853372704680214E-2</v>
      </c>
      <c r="AB218" s="1105"/>
    </row>
    <row r="219" spans="1:28">
      <c r="A219" s="1144">
        <f>Calendar!J211</f>
        <v>51344</v>
      </c>
      <c r="C219" s="1104"/>
      <c r="D219" s="1125">
        <f t="shared" ca="1" si="57"/>
        <v>52382</v>
      </c>
      <c r="E219" s="1126">
        <f t="shared" ca="1" si="58"/>
        <v>52411</v>
      </c>
      <c r="F219" s="1127">
        <f t="shared" ca="1" si="59"/>
        <v>6362</v>
      </c>
      <c r="G219" s="1128">
        <f ca="1">IF(F219&lt;&gt;"",COUNTIF($F$11:F219,"&gt;0"),"")</f>
        <v>209</v>
      </c>
      <c r="H219" s="1129">
        <v>2.3485895322030388E-2</v>
      </c>
      <c r="I219" s="1073"/>
      <c r="J219" s="1130">
        <f t="shared" ca="1" si="60"/>
        <v>974132207.88556504</v>
      </c>
      <c r="K219" s="1131">
        <f t="shared" ca="1" si="61"/>
        <v>22878367.064218726</v>
      </c>
      <c r="L219" s="1130">
        <f t="shared" ca="1" si="62"/>
        <v>0</v>
      </c>
      <c r="M219" s="1130">
        <f t="shared" ca="1" si="63"/>
        <v>0</v>
      </c>
      <c r="N219" s="1130">
        <f t="shared" ca="1" si="72"/>
        <v>951253840.82134628</v>
      </c>
      <c r="O219" s="1073"/>
      <c r="P219" s="1130">
        <f t="shared" ca="1" si="64"/>
        <v>22878367.06421876</v>
      </c>
      <c r="Q219" s="1130">
        <f t="shared" ca="1" si="65"/>
        <v>903691148.78027892</v>
      </c>
      <c r="R219" s="1130">
        <f t="shared" ca="1" si="73"/>
        <v>925425597.49128675</v>
      </c>
      <c r="S219" s="1130">
        <f t="shared" ca="1" si="74"/>
        <v>21734448.711007833</v>
      </c>
      <c r="T219" s="1130">
        <f t="shared" ca="1" si="66"/>
        <v>903691148.78027892</v>
      </c>
      <c r="U219" s="1132">
        <f t="shared" ca="1" si="67"/>
        <v>7.8378074182811064E-2</v>
      </c>
      <c r="V219" s="1133">
        <f t="shared" ca="1" si="68"/>
        <v>5.0000000000000044E-2</v>
      </c>
      <c r="X219" s="1134">
        <f t="shared" ca="1" si="75"/>
        <v>48706610.394278288</v>
      </c>
      <c r="Y219" s="1134">
        <f t="shared" ca="1" si="69"/>
        <v>1143918.3532109261</v>
      </c>
      <c r="Z219" s="1134">
        <f t="shared" ca="1" si="70"/>
        <v>47562692.041067362</v>
      </c>
      <c r="AA219" s="1132">
        <f t="shared" ca="1" si="71"/>
        <v>8.386124379180146E-2</v>
      </c>
      <c r="AB219" s="1105"/>
    </row>
    <row r="220" spans="1:28">
      <c r="A220" s="1144">
        <f>Calendar!J212</f>
        <v>51375</v>
      </c>
      <c r="C220" s="1104"/>
      <c r="D220" s="1125">
        <f t="shared" ca="1" si="57"/>
        <v>52412</v>
      </c>
      <c r="E220" s="1126">
        <f t="shared" ca="1" si="58"/>
        <v>52439</v>
      </c>
      <c r="F220" s="1127">
        <f t="shared" ca="1" si="59"/>
        <v>6390</v>
      </c>
      <c r="G220" s="1128">
        <f ca="1">IF(F220&lt;&gt;"",COUNTIF($F$11:F220,"&gt;0"),"")</f>
        <v>210</v>
      </c>
      <c r="H220" s="1129">
        <v>2.3744053897673978E-2</v>
      </c>
      <c r="I220" s="1073"/>
      <c r="J220" s="1130">
        <f t="shared" ca="1" si="60"/>
        <v>951253840.82134628</v>
      </c>
      <c r="K220" s="1131">
        <f t="shared" ca="1" si="61"/>
        <v>22586622.466831431</v>
      </c>
      <c r="L220" s="1130">
        <f t="shared" ca="1" si="62"/>
        <v>0</v>
      </c>
      <c r="M220" s="1130">
        <f t="shared" ca="1" si="63"/>
        <v>0</v>
      </c>
      <c r="N220" s="1130">
        <f t="shared" ca="1" si="72"/>
        <v>928667218.35451484</v>
      </c>
      <c r="O220" s="1073"/>
      <c r="P220" s="1130">
        <f t="shared" ca="1" si="64"/>
        <v>22586622.466831446</v>
      </c>
      <c r="Q220" s="1130">
        <f t="shared" ca="1" si="65"/>
        <v>882233857.43678904</v>
      </c>
      <c r="R220" s="1130">
        <f t="shared" ca="1" si="73"/>
        <v>903691148.78027892</v>
      </c>
      <c r="S220" s="1130">
        <f t="shared" ca="1" si="74"/>
        <v>21457291.343489885</v>
      </c>
      <c r="T220" s="1130">
        <f t="shared" ca="1" si="66"/>
        <v>882233857.43678904</v>
      </c>
      <c r="U220" s="1132">
        <f t="shared" ca="1" si="67"/>
        <v>7.6537294937011224E-2</v>
      </c>
      <c r="V220" s="1133">
        <f t="shared" ca="1" si="68"/>
        <v>5.0000000000000044E-2</v>
      </c>
      <c r="X220" s="1134">
        <f t="shared" ca="1" si="75"/>
        <v>47562692.041067362</v>
      </c>
      <c r="Y220" s="1134">
        <f t="shared" ca="1" si="69"/>
        <v>1129331.1233415604</v>
      </c>
      <c r="Z220" s="1134">
        <f t="shared" ca="1" si="70"/>
        <v>46433360.917725801</v>
      </c>
      <c r="AA220" s="1132">
        <f t="shared" ca="1" si="71"/>
        <v>8.1891687398531962E-2</v>
      </c>
      <c r="AB220" s="1105"/>
    </row>
    <row r="221" spans="1:28">
      <c r="A221" s="1144">
        <f>Calendar!J213</f>
        <v>51406</v>
      </c>
      <c r="C221" s="1104"/>
      <c r="D221" s="1125">
        <f t="shared" ca="1" si="57"/>
        <v>52443</v>
      </c>
      <c r="E221" s="1126">
        <f t="shared" ca="1" si="58"/>
        <v>52470</v>
      </c>
      <c r="F221" s="1127">
        <f t="shared" ca="1" si="59"/>
        <v>6421</v>
      </c>
      <c r="G221" s="1128">
        <f ca="1">IF(F221&lt;&gt;"",COUNTIF($F$11:F221,"&gt;0"),"")</f>
        <v>211</v>
      </c>
      <c r="H221" s="1129">
        <v>2.3943072521831265E-2</v>
      </c>
      <c r="I221" s="1073"/>
      <c r="J221" s="1130">
        <f t="shared" ca="1" si="60"/>
        <v>928667218.35451484</v>
      </c>
      <c r="K221" s="1131">
        <f t="shared" ca="1" si="61"/>
        <v>22235146.557709459</v>
      </c>
      <c r="L221" s="1130">
        <f t="shared" ca="1" si="62"/>
        <v>0</v>
      </c>
      <c r="M221" s="1130">
        <f t="shared" ca="1" si="63"/>
        <v>0</v>
      </c>
      <c r="N221" s="1130">
        <f t="shared" ca="1" si="72"/>
        <v>906432071.79680538</v>
      </c>
      <c r="O221" s="1073"/>
      <c r="P221" s="1130">
        <f t="shared" ca="1" si="64"/>
        <v>22235146.557709455</v>
      </c>
      <c r="Q221" s="1130">
        <f t="shared" ca="1" si="65"/>
        <v>861110468.20696509</v>
      </c>
      <c r="R221" s="1130">
        <f t="shared" ca="1" si="73"/>
        <v>882233857.43678904</v>
      </c>
      <c r="S221" s="1130">
        <f t="shared" ca="1" si="74"/>
        <v>21123389.229823947</v>
      </c>
      <c r="T221" s="1130">
        <f t="shared" ca="1" si="66"/>
        <v>861110468.20696509</v>
      </c>
      <c r="U221" s="1132">
        <f t="shared" ca="1" si="67"/>
        <v>7.4719989280844654E-2</v>
      </c>
      <c r="V221" s="1133">
        <f t="shared" ca="1" si="68"/>
        <v>5.0000000000000044E-2</v>
      </c>
      <c r="X221" s="1134">
        <f t="shared" ca="1" si="75"/>
        <v>46433360.917725801</v>
      </c>
      <c r="Y221" s="1134">
        <f t="shared" ca="1" si="69"/>
        <v>1111757.3278855085</v>
      </c>
      <c r="Z221" s="1134">
        <f t="shared" ca="1" si="70"/>
        <v>45321603.589840293</v>
      </c>
      <c r="AA221" s="1132">
        <f t="shared" ca="1" si="71"/>
        <v>7.9947246759169768E-2</v>
      </c>
      <c r="AB221" s="1105"/>
    </row>
    <row r="222" spans="1:28">
      <c r="A222" s="1144">
        <f>Calendar!J214</f>
        <v>51438</v>
      </c>
      <c r="C222" s="1104"/>
      <c r="D222" s="1125">
        <f t="shared" ca="1" si="57"/>
        <v>52474</v>
      </c>
      <c r="E222" s="1126">
        <f t="shared" ca="1" si="58"/>
        <v>52502</v>
      </c>
      <c r="F222" s="1127">
        <f t="shared" ca="1" si="59"/>
        <v>6453</v>
      </c>
      <c r="G222" s="1128">
        <f ca="1">IF(F222&lt;&gt;"",COUNTIF($F$11:F222,"&gt;0"),"")</f>
        <v>212</v>
      </c>
      <c r="H222" s="1129">
        <v>2.4097161214815345E-2</v>
      </c>
      <c r="I222" s="1073"/>
      <c r="J222" s="1130">
        <f t="shared" ca="1" si="60"/>
        <v>906432071.79680538</v>
      </c>
      <c r="K222" s="1131">
        <f t="shared" ca="1" si="61"/>
        <v>21842439.764366698</v>
      </c>
      <c r="L222" s="1130">
        <f t="shared" ca="1" si="62"/>
        <v>0</v>
      </c>
      <c r="M222" s="1130">
        <f t="shared" ca="1" si="63"/>
        <v>0</v>
      </c>
      <c r="N222" s="1130">
        <f t="shared" ca="1" si="72"/>
        <v>884589632.03243864</v>
      </c>
      <c r="O222" s="1073"/>
      <c r="P222" s="1130">
        <f t="shared" ca="1" si="64"/>
        <v>21842439.764366746</v>
      </c>
      <c r="Q222" s="1130">
        <f t="shared" ca="1" si="65"/>
        <v>840360150.43081665</v>
      </c>
      <c r="R222" s="1130">
        <f t="shared" ca="1" si="73"/>
        <v>861110468.20696509</v>
      </c>
      <c r="S222" s="1130">
        <f t="shared" ca="1" si="74"/>
        <v>20750317.776148438</v>
      </c>
      <c r="T222" s="1130">
        <f t="shared" ca="1" si="66"/>
        <v>840360150.43081665</v>
      </c>
      <c r="U222" s="1132">
        <f t="shared" ca="1" si="67"/>
        <v>7.2930963158662945E-2</v>
      </c>
      <c r="V222" s="1133">
        <f t="shared" ca="1" si="68"/>
        <v>5.0000000000000044E-2</v>
      </c>
      <c r="X222" s="1134">
        <f t="shared" ca="1" si="75"/>
        <v>45321603.589840293</v>
      </c>
      <c r="Y222" s="1134">
        <f t="shared" ca="1" si="69"/>
        <v>1092121.9882183075</v>
      </c>
      <c r="Z222" s="1134">
        <f t="shared" ca="1" si="70"/>
        <v>44229481.601621985</v>
      </c>
      <c r="AA222" s="1132">
        <f t="shared" ca="1" si="71"/>
        <v>7.8033064032094174E-2</v>
      </c>
      <c r="AB222" s="1105"/>
    </row>
    <row r="223" spans="1:28">
      <c r="A223" s="1144">
        <f>Calendar!J215</f>
        <v>51467</v>
      </c>
      <c r="C223" s="1104"/>
      <c r="D223" s="1125">
        <f t="shared" ca="1" si="57"/>
        <v>52504</v>
      </c>
      <c r="E223" s="1126">
        <f t="shared" ca="1" si="58"/>
        <v>52531</v>
      </c>
      <c r="F223" s="1127">
        <f t="shared" ca="1" si="59"/>
        <v>6482</v>
      </c>
      <c r="G223" s="1128">
        <f ca="1">IF(F223&lt;&gt;"",COUNTIF($F$11:F223,"&gt;0"),"")</f>
        <v>213</v>
      </c>
      <c r="H223" s="1129">
        <v>2.4344877704547116E-2</v>
      </c>
      <c r="I223" s="1073"/>
      <c r="J223" s="1130">
        <f t="shared" ca="1" si="60"/>
        <v>884589632.03243864</v>
      </c>
      <c r="K223" s="1131">
        <f t="shared" ca="1" si="61"/>
        <v>21535226.410540052</v>
      </c>
      <c r="L223" s="1130">
        <f t="shared" ca="1" si="62"/>
        <v>0</v>
      </c>
      <c r="M223" s="1130">
        <f t="shared" ca="1" si="63"/>
        <v>0</v>
      </c>
      <c r="N223" s="1130">
        <f t="shared" ca="1" si="72"/>
        <v>863054405.62189853</v>
      </c>
      <c r="O223" s="1073"/>
      <c r="P223" s="1130">
        <f t="shared" ca="1" si="64"/>
        <v>21535226.410540104</v>
      </c>
      <c r="Q223" s="1130">
        <f t="shared" ca="1" si="65"/>
        <v>819901685.34080362</v>
      </c>
      <c r="R223" s="1130">
        <f t="shared" ca="1" si="73"/>
        <v>840360150.43081665</v>
      </c>
      <c r="S223" s="1130">
        <f t="shared" ca="1" si="74"/>
        <v>20458465.090013027</v>
      </c>
      <c r="T223" s="1130">
        <f t="shared" ca="1" si="66"/>
        <v>819901685.34080362</v>
      </c>
      <c r="U223" s="1132">
        <f t="shared" ca="1" si="67"/>
        <v>7.1173533981876883E-2</v>
      </c>
      <c r="V223" s="1133">
        <f t="shared" ca="1" si="68"/>
        <v>4.9999999999999933E-2</v>
      </c>
      <c r="X223" s="1134">
        <f t="shared" ca="1" si="75"/>
        <v>44229481.601621985</v>
      </c>
      <c r="Y223" s="1134">
        <f t="shared" ca="1" si="69"/>
        <v>1076761.3205270767</v>
      </c>
      <c r="Z223" s="1134">
        <f t="shared" ca="1" si="70"/>
        <v>43152720.281094909</v>
      </c>
      <c r="AA223" s="1132">
        <f t="shared" ca="1" si="71"/>
        <v>7.6152688708026828E-2</v>
      </c>
      <c r="AB223" s="1105"/>
    </row>
    <row r="224" spans="1:28">
      <c r="A224" s="1144">
        <f>Calendar!J216</f>
        <v>51497</v>
      </c>
      <c r="C224" s="1104"/>
      <c r="D224" s="1125">
        <f t="shared" ca="1" si="57"/>
        <v>52535</v>
      </c>
      <c r="E224" s="1126">
        <f t="shared" ca="1" si="58"/>
        <v>52562</v>
      </c>
      <c r="F224" s="1127">
        <f t="shared" ca="1" si="59"/>
        <v>6513</v>
      </c>
      <c r="G224" s="1128">
        <f ca="1">IF(F224&lt;&gt;"",COUNTIF($F$11:F224,"&gt;0"),"")</f>
        <v>214</v>
      </c>
      <c r="H224" s="1129">
        <v>2.4467993562860439E-2</v>
      </c>
      <c r="I224" s="1073"/>
      <c r="J224" s="1130">
        <f t="shared" ca="1" si="60"/>
        <v>863054405.62189853</v>
      </c>
      <c r="K224" s="1131">
        <f t="shared" ca="1" si="61"/>
        <v>21117209.641154956</v>
      </c>
      <c r="L224" s="1130">
        <f t="shared" ca="1" si="62"/>
        <v>0</v>
      </c>
      <c r="M224" s="1130">
        <f t="shared" ca="1" si="63"/>
        <v>0</v>
      </c>
      <c r="N224" s="1130">
        <f t="shared" ca="1" si="72"/>
        <v>841937195.98074353</v>
      </c>
      <c r="O224" s="1073"/>
      <c r="P224" s="1130">
        <f t="shared" ca="1" si="64"/>
        <v>21117209.641155005</v>
      </c>
      <c r="Q224" s="1130">
        <f t="shared" ca="1" si="65"/>
        <v>799840336.18170631</v>
      </c>
      <c r="R224" s="1130">
        <f t="shared" ca="1" si="73"/>
        <v>819901685.34080362</v>
      </c>
      <c r="S224" s="1130">
        <f t="shared" ca="1" si="74"/>
        <v>20061349.159097314</v>
      </c>
      <c r="T224" s="1130">
        <f t="shared" ca="1" si="66"/>
        <v>799840336.18170631</v>
      </c>
      <c r="U224" s="1132">
        <f t="shared" ca="1" si="67"/>
        <v>6.9440823001287663E-2</v>
      </c>
      <c r="V224" s="1133">
        <f t="shared" ca="1" si="68"/>
        <v>5.0000000000000044E-2</v>
      </c>
      <c r="X224" s="1134">
        <f t="shared" ca="1" si="75"/>
        <v>43152720.281094909</v>
      </c>
      <c r="Y224" s="1134">
        <f t="shared" ca="1" si="69"/>
        <v>1055860.4820576906</v>
      </c>
      <c r="Z224" s="1134">
        <f t="shared" ca="1" si="70"/>
        <v>42096859.799037218</v>
      </c>
      <c r="AA224" s="1132">
        <f t="shared" ca="1" si="71"/>
        <v>7.4298760814557344E-2</v>
      </c>
      <c r="AB224" s="1105"/>
    </row>
    <row r="225" spans="1:28">
      <c r="A225" s="1144">
        <f>Calendar!J217</f>
        <v>51529</v>
      </c>
      <c r="C225" s="1104"/>
      <c r="D225" s="1125">
        <f t="shared" ca="1" si="57"/>
        <v>52565</v>
      </c>
      <c r="E225" s="1126">
        <f t="shared" ca="1" si="58"/>
        <v>52593</v>
      </c>
      <c r="F225" s="1127">
        <f t="shared" ca="1" si="59"/>
        <v>6544</v>
      </c>
      <c r="G225" s="1128">
        <f ca="1">IF(F225&lt;&gt;"",COUNTIF($F$11:F225,"&gt;0"),"")</f>
        <v>215</v>
      </c>
      <c r="H225" s="1129">
        <v>2.4572216241888677E-2</v>
      </c>
      <c r="I225" s="1073"/>
      <c r="J225" s="1130">
        <f t="shared" ca="1" si="60"/>
        <v>841937195.98074353</v>
      </c>
      <c r="K225" s="1131">
        <f t="shared" ca="1" si="61"/>
        <v>20688262.841728237</v>
      </c>
      <c r="L225" s="1130">
        <f t="shared" ca="1" si="62"/>
        <v>0</v>
      </c>
      <c r="M225" s="1130">
        <f t="shared" ca="1" si="63"/>
        <v>0</v>
      </c>
      <c r="N225" s="1130">
        <f t="shared" ca="1" si="72"/>
        <v>821248933.13901532</v>
      </c>
      <c r="O225" s="1073"/>
      <c r="P225" s="1130">
        <f t="shared" ca="1" si="64"/>
        <v>20688262.84172821</v>
      </c>
      <c r="Q225" s="1130">
        <f t="shared" ca="1" si="65"/>
        <v>780186486.48206449</v>
      </c>
      <c r="R225" s="1130">
        <f t="shared" ca="1" si="73"/>
        <v>799840336.18170631</v>
      </c>
      <c r="S225" s="1130">
        <f t="shared" ca="1" si="74"/>
        <v>19653849.699641824</v>
      </c>
      <c r="T225" s="1130">
        <f t="shared" ca="1" si="66"/>
        <v>780186486.48206449</v>
      </c>
      <c r="U225" s="1132">
        <f t="shared" ca="1" si="67"/>
        <v>6.7741745391092414E-2</v>
      </c>
      <c r="V225" s="1133">
        <f t="shared" ca="1" si="68"/>
        <v>5.0000000000000044E-2</v>
      </c>
      <c r="X225" s="1134">
        <f t="shared" ca="1" si="75"/>
        <v>42096859.799037218</v>
      </c>
      <c r="Y225" s="1134">
        <f t="shared" ca="1" si="69"/>
        <v>1034413.1420863867</v>
      </c>
      <c r="Z225" s="1134">
        <f t="shared" ca="1" si="70"/>
        <v>41062446.656950831</v>
      </c>
      <c r="AA225" s="1132">
        <f t="shared" ca="1" si="71"/>
        <v>7.2480819213218348E-2</v>
      </c>
      <c r="AB225" s="1105"/>
    </row>
    <row r="226" spans="1:28">
      <c r="A226" s="1144">
        <f>Calendar!J218</f>
        <v>51559</v>
      </c>
      <c r="C226" s="1104"/>
      <c r="D226" s="1125">
        <f t="shared" ca="1" si="57"/>
        <v>52596</v>
      </c>
      <c r="E226" s="1126">
        <f t="shared" ca="1" si="58"/>
        <v>52623</v>
      </c>
      <c r="F226" s="1127">
        <f t="shared" ca="1" si="59"/>
        <v>6574</v>
      </c>
      <c r="G226" s="1128">
        <f ca="1">IF(F226&lt;&gt;"",COUNTIF($F$11:F226,"&gt;0"),"")</f>
        <v>216</v>
      </c>
      <c r="H226" s="1129">
        <v>2.4696919442793848E-2</v>
      </c>
      <c r="I226" s="1073"/>
      <c r="J226" s="1130">
        <f t="shared" ca="1" si="60"/>
        <v>821248933.13901532</v>
      </c>
      <c r="K226" s="1131">
        <f t="shared" ca="1" si="61"/>
        <v>20282318.744214654</v>
      </c>
      <c r="L226" s="1130">
        <f t="shared" ca="1" si="62"/>
        <v>0</v>
      </c>
      <c r="M226" s="1130">
        <f t="shared" ca="1" si="63"/>
        <v>0</v>
      </c>
      <c r="N226" s="1130">
        <f t="shared" ca="1" si="72"/>
        <v>800966614.39480066</v>
      </c>
      <c r="O226" s="1073"/>
      <c r="P226" s="1130">
        <f t="shared" ca="1" si="64"/>
        <v>20282318.744214654</v>
      </c>
      <c r="Q226" s="1130">
        <f t="shared" ca="1" si="65"/>
        <v>760918283.67506063</v>
      </c>
      <c r="R226" s="1130">
        <f t="shared" ca="1" si="73"/>
        <v>780186486.48206449</v>
      </c>
      <c r="S226" s="1130">
        <f t="shared" ca="1" si="74"/>
        <v>19268202.807003856</v>
      </c>
      <c r="T226" s="1130">
        <f t="shared" ca="1" si="66"/>
        <v>760918283.67506063</v>
      </c>
      <c r="U226" s="1132">
        <f t="shared" ca="1" si="67"/>
        <v>6.6077180574739519E-2</v>
      </c>
      <c r="V226" s="1133">
        <f t="shared" ca="1" si="68"/>
        <v>5.0000000000000044E-2</v>
      </c>
      <c r="X226" s="1134">
        <f t="shared" ca="1" si="75"/>
        <v>41062446.656950831</v>
      </c>
      <c r="Y226" s="1134">
        <f t="shared" ca="1" si="69"/>
        <v>1014115.9372107983</v>
      </c>
      <c r="Z226" s="1134">
        <f t="shared" ca="1" si="70"/>
        <v>40048330.719740033</v>
      </c>
      <c r="AA226" s="1132">
        <f t="shared" ca="1" si="71"/>
        <v>7.069980485012195E-2</v>
      </c>
      <c r="AB226" s="1105"/>
    </row>
    <row r="227" spans="1:28">
      <c r="A227" s="1144">
        <f>Calendar!J219</f>
        <v>51587</v>
      </c>
      <c r="C227" s="1104"/>
      <c r="D227" s="1125">
        <f t="shared" ca="1" si="57"/>
        <v>52627</v>
      </c>
      <c r="E227" s="1126">
        <f t="shared" ca="1" si="58"/>
        <v>52656</v>
      </c>
      <c r="F227" s="1127">
        <f t="shared" ca="1" si="59"/>
        <v>6607</v>
      </c>
      <c r="G227" s="1128">
        <f ca="1">IF(F227&lt;&gt;"",COUNTIF($F$11:F227,"&gt;0"),"")</f>
        <v>217</v>
      </c>
      <c r="H227" s="1129">
        <v>2.4867699424687036E-2</v>
      </c>
      <c r="I227" s="1073"/>
      <c r="J227" s="1130">
        <f t="shared" ca="1" si="60"/>
        <v>800966614.39480066</v>
      </c>
      <c r="K227" s="1131">
        <f t="shared" ca="1" si="61"/>
        <v>19918197.015979107</v>
      </c>
      <c r="L227" s="1130">
        <f t="shared" ca="1" si="62"/>
        <v>0</v>
      </c>
      <c r="M227" s="1130">
        <f t="shared" ca="1" si="63"/>
        <v>0</v>
      </c>
      <c r="N227" s="1130">
        <f t="shared" ca="1" si="72"/>
        <v>781048417.37882161</v>
      </c>
      <c r="O227" s="1073"/>
      <c r="P227" s="1130">
        <f t="shared" ca="1" si="64"/>
        <v>19918197.015979052</v>
      </c>
      <c r="Q227" s="1130">
        <f t="shared" ca="1" si="65"/>
        <v>741995996.50988054</v>
      </c>
      <c r="R227" s="1130">
        <f t="shared" ca="1" si="73"/>
        <v>760918283.67506063</v>
      </c>
      <c r="S227" s="1130">
        <f t="shared" ca="1" si="74"/>
        <v>18922287.165180087</v>
      </c>
      <c r="T227" s="1130">
        <f t="shared" ca="1" si="66"/>
        <v>741995996.50988054</v>
      </c>
      <c r="U227" s="1132">
        <f t="shared" ca="1" si="67"/>
        <v>6.4445277769078241E-2</v>
      </c>
      <c r="V227" s="1133">
        <f t="shared" ca="1" si="68"/>
        <v>4.9999999999999933E-2</v>
      </c>
      <c r="X227" s="1134">
        <f t="shared" ca="1" si="75"/>
        <v>40048330.719740033</v>
      </c>
      <c r="Y227" s="1134">
        <f t="shared" ca="1" si="69"/>
        <v>995909.8507989645</v>
      </c>
      <c r="Z227" s="1134">
        <f t="shared" ca="1" si="70"/>
        <v>39052420.868941069</v>
      </c>
      <c r="AA227" s="1132">
        <f t="shared" ca="1" si="71"/>
        <v>6.895373746511714E-2</v>
      </c>
      <c r="AB227" s="1105"/>
    </row>
    <row r="228" spans="1:28">
      <c r="A228" s="1144">
        <f>Calendar!J220</f>
        <v>51620</v>
      </c>
      <c r="C228" s="1104"/>
      <c r="D228" s="1125">
        <f t="shared" ca="1" si="57"/>
        <v>52656</v>
      </c>
      <c r="E228" s="1126">
        <f t="shared" ca="1" si="58"/>
        <v>52684</v>
      </c>
      <c r="F228" s="1127">
        <f t="shared" ca="1" si="59"/>
        <v>6635</v>
      </c>
      <c r="G228" s="1128">
        <f ca="1">IF(F228&lt;&gt;"",COUNTIF($F$11:F228,"&gt;0"),"")</f>
        <v>218</v>
      </c>
      <c r="H228" s="1129">
        <v>2.5035405110877876E-2</v>
      </c>
      <c r="I228" s="1073"/>
      <c r="J228" s="1130">
        <f t="shared" ca="1" si="60"/>
        <v>781048417.37882161</v>
      </c>
      <c r="K228" s="1131">
        <f t="shared" ca="1" si="61"/>
        <v>19553863.540288828</v>
      </c>
      <c r="L228" s="1130">
        <f t="shared" ca="1" si="62"/>
        <v>0</v>
      </c>
      <c r="M228" s="1130">
        <f t="shared" ca="1" si="63"/>
        <v>0</v>
      </c>
      <c r="N228" s="1130">
        <f t="shared" ca="1" si="72"/>
        <v>761494553.83853281</v>
      </c>
      <c r="O228" s="1073"/>
      <c r="P228" s="1130">
        <f t="shared" ca="1" si="64"/>
        <v>19553863.540288806</v>
      </c>
      <c r="Q228" s="1130">
        <f t="shared" ca="1" si="65"/>
        <v>723419826.14660609</v>
      </c>
      <c r="R228" s="1130">
        <f t="shared" ca="1" si="73"/>
        <v>741995996.50988054</v>
      </c>
      <c r="S228" s="1130">
        <f t="shared" ca="1" si="74"/>
        <v>18576170.363274455</v>
      </c>
      <c r="T228" s="1130">
        <f t="shared" ca="1" si="66"/>
        <v>723419826.14660609</v>
      </c>
      <c r="U228" s="1132">
        <f t="shared" ca="1" si="67"/>
        <v>6.2842671972176342E-2</v>
      </c>
      <c r="V228" s="1133">
        <f t="shared" ca="1" si="68"/>
        <v>5.0000000000000155E-2</v>
      </c>
      <c r="X228" s="1134">
        <f t="shared" ca="1" si="75"/>
        <v>39052420.868941069</v>
      </c>
      <c r="Y228" s="1134">
        <f t="shared" ca="1" si="69"/>
        <v>977693.17701435089</v>
      </c>
      <c r="Z228" s="1134">
        <f t="shared" ca="1" si="70"/>
        <v>38074727.691926718</v>
      </c>
      <c r="AA228" s="1132">
        <f t="shared" ca="1" si="71"/>
        <v>6.7239016647625813E-2</v>
      </c>
      <c r="AB228" s="1105"/>
    </row>
    <row r="229" spans="1:28">
      <c r="A229" s="1144">
        <f>Calendar!J221</f>
        <v>51648</v>
      </c>
      <c r="C229" s="1104"/>
      <c r="D229" s="1125">
        <f t="shared" ca="1" si="57"/>
        <v>52687</v>
      </c>
      <c r="E229" s="1126">
        <f t="shared" ca="1" si="58"/>
        <v>52714</v>
      </c>
      <c r="F229" s="1127">
        <f t="shared" ca="1" si="59"/>
        <v>6665</v>
      </c>
      <c r="G229" s="1128">
        <f ca="1">IF(F229&lt;&gt;"",COUNTIF($F$11:F229,"&gt;0"),"")</f>
        <v>219</v>
      </c>
      <c r="H229" s="1129">
        <v>2.5155582815976858E-2</v>
      </c>
      <c r="I229" s="1073"/>
      <c r="J229" s="1130">
        <f t="shared" ca="1" si="60"/>
        <v>761494553.83853281</v>
      </c>
      <c r="K229" s="1131">
        <f t="shared" ca="1" si="61"/>
        <v>19155839.31300056</v>
      </c>
      <c r="L229" s="1130">
        <f t="shared" ca="1" si="62"/>
        <v>0</v>
      </c>
      <c r="M229" s="1130">
        <f t="shared" ca="1" si="63"/>
        <v>0</v>
      </c>
      <c r="N229" s="1130">
        <f t="shared" ca="1" si="72"/>
        <v>742338714.52553225</v>
      </c>
      <c r="O229" s="1073"/>
      <c r="P229" s="1130">
        <f t="shared" ca="1" si="64"/>
        <v>19155839.31300056</v>
      </c>
      <c r="Q229" s="1130">
        <f t="shared" ca="1" si="65"/>
        <v>705221778.79925561</v>
      </c>
      <c r="R229" s="1130">
        <f t="shared" ca="1" si="73"/>
        <v>723419826.14660609</v>
      </c>
      <c r="S229" s="1130">
        <f t="shared" ca="1" si="74"/>
        <v>18198047.347350478</v>
      </c>
      <c r="T229" s="1130">
        <f t="shared" ca="1" si="66"/>
        <v>705221778.79925561</v>
      </c>
      <c r="U229" s="1132">
        <f t="shared" ca="1" si="67"/>
        <v>6.1269380221102891E-2</v>
      </c>
      <c r="V229" s="1133">
        <f t="shared" ca="1" si="68"/>
        <v>5.0000000000000044E-2</v>
      </c>
      <c r="X229" s="1134">
        <f t="shared" ca="1" si="75"/>
        <v>38074727.691926718</v>
      </c>
      <c r="Y229" s="1134">
        <f t="shared" ca="1" si="69"/>
        <v>957791.96565008163</v>
      </c>
      <c r="Z229" s="1134">
        <f t="shared" ca="1" si="70"/>
        <v>37116935.726276636</v>
      </c>
      <c r="AA229" s="1132">
        <f t="shared" ca="1" si="71"/>
        <v>6.5555660626595583E-2</v>
      </c>
      <c r="AB229" s="1105"/>
    </row>
    <row r="230" spans="1:28">
      <c r="A230" s="1144">
        <f>Calendar!J222</f>
        <v>51679</v>
      </c>
      <c r="C230" s="1104"/>
      <c r="D230" s="1125">
        <f t="shared" ca="1" si="57"/>
        <v>52717</v>
      </c>
      <c r="E230" s="1126">
        <f t="shared" ca="1" si="58"/>
        <v>52744</v>
      </c>
      <c r="F230" s="1127">
        <f t="shared" ca="1" si="59"/>
        <v>6695</v>
      </c>
      <c r="G230" s="1128">
        <f ca="1">IF(F230&lt;&gt;"",COUNTIF($F$11:F230,"&gt;0"),"")</f>
        <v>220</v>
      </c>
      <c r="H230" s="1129">
        <v>2.5386577605328049E-2</v>
      </c>
      <c r="I230" s="1073"/>
      <c r="J230" s="1130">
        <f t="shared" ca="1" si="60"/>
        <v>742338714.52553225</v>
      </c>
      <c r="K230" s="1131">
        <f t="shared" ca="1" si="61"/>
        <v>18845439.385741889</v>
      </c>
      <c r="L230" s="1130">
        <f t="shared" ca="1" si="62"/>
        <v>0</v>
      </c>
      <c r="M230" s="1130">
        <f t="shared" ca="1" si="63"/>
        <v>0</v>
      </c>
      <c r="N230" s="1130">
        <f t="shared" ca="1" si="72"/>
        <v>723493275.1397903</v>
      </c>
      <c r="O230" s="1073"/>
      <c r="P230" s="1130">
        <f t="shared" ca="1" si="64"/>
        <v>18845439.385741949</v>
      </c>
      <c r="Q230" s="1130">
        <f t="shared" ca="1" si="65"/>
        <v>687318611.3828007</v>
      </c>
      <c r="R230" s="1130">
        <f t="shared" ca="1" si="73"/>
        <v>705221778.79925561</v>
      </c>
      <c r="S230" s="1130">
        <f t="shared" ca="1" si="74"/>
        <v>17903167.416454911</v>
      </c>
      <c r="T230" s="1130">
        <f t="shared" ca="1" si="66"/>
        <v>687318611.3828007</v>
      </c>
      <c r="U230" s="1132">
        <f t="shared" ca="1" si="67"/>
        <v>5.9728113252867372E-2</v>
      </c>
      <c r="V230" s="1133">
        <f t="shared" ca="1" si="68"/>
        <v>5.0000000000000155E-2</v>
      </c>
      <c r="X230" s="1134">
        <f t="shared" ca="1" si="75"/>
        <v>37116935.726276636</v>
      </c>
      <c r="Y230" s="1134">
        <f t="shared" ca="1" si="69"/>
        <v>942271.96928703785</v>
      </c>
      <c r="Z230" s="1134">
        <f t="shared" ca="1" si="70"/>
        <v>36174663.756989598</v>
      </c>
      <c r="AA230" s="1132">
        <f t="shared" ca="1" si="71"/>
        <v>6.3906569776647104E-2</v>
      </c>
      <c r="AB230" s="1105"/>
    </row>
    <row r="231" spans="1:28">
      <c r="A231" s="1144">
        <f>Calendar!J223</f>
        <v>51711</v>
      </c>
      <c r="C231" s="1104"/>
      <c r="D231" s="1125">
        <f t="shared" ca="1" si="57"/>
        <v>52748</v>
      </c>
      <c r="E231" s="1126">
        <f t="shared" ca="1" si="58"/>
        <v>52775</v>
      </c>
      <c r="F231" s="1127">
        <f t="shared" ca="1" si="59"/>
        <v>6726</v>
      </c>
      <c r="G231" s="1128">
        <f ca="1">IF(F231&lt;&gt;"",COUNTIF($F$11:F231,"&gt;0"),"")</f>
        <v>221</v>
      </c>
      <c r="H231" s="1129">
        <v>2.5685759597010187E-2</v>
      </c>
      <c r="I231" s="1073"/>
      <c r="J231" s="1130">
        <f t="shared" ca="1" si="60"/>
        <v>723493275.1397903</v>
      </c>
      <c r="K231" s="1131">
        <f t="shared" ca="1" si="61"/>
        <v>18583474.335294202</v>
      </c>
      <c r="L231" s="1130">
        <f t="shared" ca="1" si="62"/>
        <v>0</v>
      </c>
      <c r="M231" s="1130">
        <f t="shared" ca="1" si="63"/>
        <v>0</v>
      </c>
      <c r="N231" s="1130">
        <f t="shared" ca="1" si="72"/>
        <v>704909800.80449605</v>
      </c>
      <c r="O231" s="1073"/>
      <c r="P231" s="1130">
        <f t="shared" ca="1" si="64"/>
        <v>18583474.335294247</v>
      </c>
      <c r="Q231" s="1130">
        <f t="shared" ca="1" si="65"/>
        <v>669664310.76427126</v>
      </c>
      <c r="R231" s="1130">
        <f t="shared" ca="1" si="73"/>
        <v>687318611.3828007</v>
      </c>
      <c r="S231" s="1130">
        <f t="shared" ca="1" si="74"/>
        <v>17654300.618529439</v>
      </c>
      <c r="T231" s="1130">
        <f t="shared" ca="1" si="66"/>
        <v>669664310.76427126</v>
      </c>
      <c r="U231" s="1132">
        <f t="shared" ca="1" si="67"/>
        <v>5.821182087055362E-2</v>
      </c>
      <c r="V231" s="1133">
        <f t="shared" ca="1" si="68"/>
        <v>4.9999999999999933E-2</v>
      </c>
      <c r="X231" s="1134">
        <f t="shared" ca="1" si="75"/>
        <v>36174663.756989598</v>
      </c>
      <c r="Y231" s="1134">
        <f t="shared" ca="1" si="69"/>
        <v>929173.7167648077</v>
      </c>
      <c r="Z231" s="1134">
        <f t="shared" ca="1" si="70"/>
        <v>35245490.040224791</v>
      </c>
      <c r="AA231" s="1132">
        <f t="shared" ca="1" si="71"/>
        <v>6.2284200683522035E-2</v>
      </c>
      <c r="AB231" s="1105"/>
    </row>
    <row r="232" spans="1:28">
      <c r="A232" s="1144">
        <f>Calendar!J224</f>
        <v>51740</v>
      </c>
      <c r="C232" s="1104"/>
      <c r="D232" s="1125">
        <f t="shared" ca="1" si="57"/>
        <v>52778</v>
      </c>
      <c r="E232" s="1126">
        <f t="shared" ca="1" si="58"/>
        <v>52805</v>
      </c>
      <c r="F232" s="1127">
        <f t="shared" ca="1" si="59"/>
        <v>6756</v>
      </c>
      <c r="G232" s="1128">
        <f ca="1">IF(F232&lt;&gt;"",COUNTIF($F$11:F232,"&gt;0"),"")</f>
        <v>222</v>
      </c>
      <c r="H232" s="1129">
        <v>2.5908731309482604E-2</v>
      </c>
      <c r="I232" s="1073"/>
      <c r="J232" s="1130">
        <f t="shared" ca="1" si="60"/>
        <v>704909800.80449605</v>
      </c>
      <c r="K232" s="1131">
        <f t="shared" ca="1" si="61"/>
        <v>18263318.62646459</v>
      </c>
      <c r="L232" s="1130">
        <f t="shared" ca="1" si="62"/>
        <v>0</v>
      </c>
      <c r="M232" s="1130">
        <f t="shared" ca="1" si="63"/>
        <v>0</v>
      </c>
      <c r="N232" s="1130">
        <f t="shared" ca="1" si="72"/>
        <v>686646482.17803144</v>
      </c>
      <c r="O232" s="1073"/>
      <c r="P232" s="1130">
        <f t="shared" ca="1" si="64"/>
        <v>18263318.626464605</v>
      </c>
      <c r="Q232" s="1130">
        <f t="shared" ca="1" si="65"/>
        <v>652314158.06912982</v>
      </c>
      <c r="R232" s="1130">
        <f t="shared" ca="1" si="73"/>
        <v>669664310.76427126</v>
      </c>
      <c r="S232" s="1130">
        <f t="shared" ca="1" si="74"/>
        <v>17350152.695141435</v>
      </c>
      <c r="T232" s="1130">
        <f t="shared" ca="1" si="66"/>
        <v>652314158.06912982</v>
      </c>
      <c r="U232" s="1132">
        <f t="shared" ca="1" si="67"/>
        <v>5.6716606033968366E-2</v>
      </c>
      <c r="V232" s="1133">
        <f t="shared" ca="1" si="68"/>
        <v>5.0000000000000044E-2</v>
      </c>
      <c r="X232" s="1134">
        <f t="shared" ca="1" si="75"/>
        <v>35245490.040224791</v>
      </c>
      <c r="Y232" s="1134">
        <f t="shared" ca="1" si="69"/>
        <v>913165.93132317066</v>
      </c>
      <c r="Z232" s="1134">
        <f t="shared" ca="1" si="70"/>
        <v>34332324.10890162</v>
      </c>
      <c r="AA232" s="1132">
        <f t="shared" ca="1" si="71"/>
        <v>6.0684383678072988E-2</v>
      </c>
      <c r="AB232" s="1105"/>
    </row>
    <row r="233" spans="1:28">
      <c r="A233" s="1144">
        <f>Calendar!J225</f>
        <v>51771</v>
      </c>
      <c r="C233" s="1104"/>
      <c r="D233" s="1125">
        <f t="shared" ca="1" si="57"/>
        <v>52809</v>
      </c>
      <c r="E233" s="1126">
        <f t="shared" ca="1" si="58"/>
        <v>52838</v>
      </c>
      <c r="F233" s="1127">
        <f t="shared" ca="1" si="59"/>
        <v>6789</v>
      </c>
      <c r="G233" s="1128">
        <f ca="1">IF(F233&lt;&gt;"",COUNTIF($F$11:F233,"&gt;0"),"")</f>
        <v>223</v>
      </c>
      <c r="H233" s="1129">
        <v>2.6021856587252722E-2</v>
      </c>
      <c r="I233" s="1073"/>
      <c r="J233" s="1130">
        <f t="shared" ca="1" si="60"/>
        <v>686646482.17803144</v>
      </c>
      <c r="K233" s="1131">
        <f t="shared" ca="1" si="61"/>
        <v>17867816.285378315</v>
      </c>
      <c r="L233" s="1130">
        <f t="shared" ca="1" si="62"/>
        <v>0</v>
      </c>
      <c r="M233" s="1130">
        <f t="shared" ca="1" si="63"/>
        <v>0</v>
      </c>
      <c r="N233" s="1130">
        <f t="shared" ca="1" si="72"/>
        <v>668778665.89265311</v>
      </c>
      <c r="O233" s="1073"/>
      <c r="P233" s="1130">
        <f t="shared" ca="1" si="64"/>
        <v>17867816.285378337</v>
      </c>
      <c r="Q233" s="1130">
        <f t="shared" ca="1" si="65"/>
        <v>635339732.59802043</v>
      </c>
      <c r="R233" s="1130">
        <f t="shared" ca="1" si="73"/>
        <v>652314158.06912982</v>
      </c>
      <c r="S233" s="1130">
        <f t="shared" ca="1" si="74"/>
        <v>16974425.47110939</v>
      </c>
      <c r="T233" s="1130">
        <f t="shared" ca="1" si="66"/>
        <v>635339732.59802043</v>
      </c>
      <c r="U233" s="1132">
        <f t="shared" ca="1" si="67"/>
        <v>5.5247150727448492E-2</v>
      </c>
      <c r="V233" s="1133">
        <f t="shared" ca="1" si="68"/>
        <v>5.0000000000000044E-2</v>
      </c>
      <c r="X233" s="1134">
        <f t="shared" ca="1" si="75"/>
        <v>34332324.10890162</v>
      </c>
      <c r="Y233" s="1134">
        <f t="shared" ca="1" si="69"/>
        <v>893390.81426894665</v>
      </c>
      <c r="Z233" s="1134">
        <f t="shared" ca="1" si="70"/>
        <v>33438933.294632673</v>
      </c>
      <c r="AA233" s="1132">
        <f t="shared" ca="1" si="71"/>
        <v>5.9112128286676342E-2</v>
      </c>
      <c r="AB233" s="1105"/>
    </row>
    <row r="234" spans="1:28">
      <c r="A234" s="1144">
        <f>Calendar!J226</f>
        <v>51802</v>
      </c>
      <c r="C234" s="1104"/>
      <c r="D234" s="1125">
        <f t="shared" ca="1" si="57"/>
        <v>52840</v>
      </c>
      <c r="E234" s="1126">
        <f t="shared" ca="1" si="58"/>
        <v>52867</v>
      </c>
      <c r="F234" s="1127">
        <f t="shared" ca="1" si="59"/>
        <v>6818</v>
      </c>
      <c r="G234" s="1128">
        <f ca="1">IF(F234&lt;&gt;"",COUNTIF($F$11:F234,"&gt;0"),"")</f>
        <v>224</v>
      </c>
      <c r="H234" s="1129">
        <v>2.6135460068687395E-2</v>
      </c>
      <c r="I234" s="1073"/>
      <c r="J234" s="1130">
        <f t="shared" ca="1" si="60"/>
        <v>668778665.89265311</v>
      </c>
      <c r="K234" s="1131">
        <f t="shared" ca="1" si="61"/>
        <v>17478838.117227465</v>
      </c>
      <c r="L234" s="1130">
        <f t="shared" ca="1" si="62"/>
        <v>0</v>
      </c>
      <c r="M234" s="1130">
        <f t="shared" ca="1" si="63"/>
        <v>0</v>
      </c>
      <c r="N234" s="1130">
        <f t="shared" ca="1" si="72"/>
        <v>651299827.77542567</v>
      </c>
      <c r="O234" s="1073"/>
      <c r="P234" s="1130">
        <f t="shared" ca="1" si="64"/>
        <v>17478838.117227435</v>
      </c>
      <c r="Q234" s="1130">
        <f t="shared" ca="1" si="65"/>
        <v>618734836.38665438</v>
      </c>
      <c r="R234" s="1130">
        <f t="shared" ca="1" si="73"/>
        <v>635339732.59802043</v>
      </c>
      <c r="S234" s="1130">
        <f t="shared" ca="1" si="74"/>
        <v>16604896.211366057</v>
      </c>
      <c r="T234" s="1130">
        <f t="shared" ca="1" si="66"/>
        <v>618734836.38665438</v>
      </c>
      <c r="U234" s="1132">
        <f t="shared" ca="1" si="67"/>
        <v>5.3809517294364492E-2</v>
      </c>
      <c r="V234" s="1133">
        <f t="shared" ca="1" si="68"/>
        <v>5.0000000000000044E-2</v>
      </c>
      <c r="X234" s="1134">
        <f t="shared" ca="1" si="75"/>
        <v>33438933.294632673</v>
      </c>
      <c r="Y234" s="1134">
        <f t="shared" ca="1" si="69"/>
        <v>873941.90586137772</v>
      </c>
      <c r="Z234" s="1134">
        <f t="shared" ca="1" si="70"/>
        <v>32564991.388771296</v>
      </c>
      <c r="AA234" s="1132">
        <f t="shared" ca="1" si="71"/>
        <v>5.7573920961833114E-2</v>
      </c>
      <c r="AB234" s="1105"/>
    </row>
    <row r="235" spans="1:28">
      <c r="A235" s="1144">
        <f>Calendar!J227</f>
        <v>51832</v>
      </c>
      <c r="C235" s="1104"/>
      <c r="D235" s="1125">
        <f t="shared" ca="1" si="57"/>
        <v>52870</v>
      </c>
      <c r="E235" s="1126">
        <f t="shared" ca="1" si="58"/>
        <v>52897</v>
      </c>
      <c r="F235" s="1127">
        <f t="shared" ca="1" si="59"/>
        <v>6848</v>
      </c>
      <c r="G235" s="1128">
        <f ca="1">IF(F235&lt;&gt;"",COUNTIF($F$11:F235,"&gt;0"),"")</f>
        <v>225</v>
      </c>
      <c r="H235" s="1129">
        <v>2.6334136746163302E-2</v>
      </c>
      <c r="I235" s="1073"/>
      <c r="J235" s="1130">
        <f t="shared" ca="1" si="60"/>
        <v>651299827.77542567</v>
      </c>
      <c r="K235" s="1131">
        <f t="shared" ca="1" si="61"/>
        <v>17151418.727390666</v>
      </c>
      <c r="L235" s="1130">
        <f t="shared" ca="1" si="62"/>
        <v>0</v>
      </c>
      <c r="M235" s="1130">
        <f t="shared" ca="1" si="63"/>
        <v>0</v>
      </c>
      <c r="N235" s="1130">
        <f t="shared" ca="1" si="72"/>
        <v>634148409.04803503</v>
      </c>
      <c r="O235" s="1073"/>
      <c r="P235" s="1130">
        <f t="shared" ca="1" si="64"/>
        <v>17151418.727390647</v>
      </c>
      <c r="Q235" s="1130">
        <f t="shared" ca="1" si="65"/>
        <v>602440988.59563327</v>
      </c>
      <c r="R235" s="1130">
        <f t="shared" ca="1" si="73"/>
        <v>618734836.38665438</v>
      </c>
      <c r="S235" s="1130">
        <f t="shared" ca="1" si="74"/>
        <v>16293847.791021109</v>
      </c>
      <c r="T235" s="1130">
        <f t="shared" ca="1" si="66"/>
        <v>602440988.59563327</v>
      </c>
      <c r="U235" s="1132">
        <f t="shared" ca="1" si="67"/>
        <v>5.2403180803802289E-2</v>
      </c>
      <c r="V235" s="1133">
        <f t="shared" ca="1" si="68"/>
        <v>5.0000000000000044E-2</v>
      </c>
      <c r="X235" s="1134">
        <f t="shared" ca="1" si="75"/>
        <v>32564991.388771296</v>
      </c>
      <c r="Y235" s="1134">
        <f t="shared" ca="1" si="69"/>
        <v>857570.93636953831</v>
      </c>
      <c r="Z235" s="1134">
        <f t="shared" ca="1" si="70"/>
        <v>31707420.452401757</v>
      </c>
      <c r="AA235" s="1132">
        <f t="shared" ca="1" si="71"/>
        <v>5.6069200049537353E-2</v>
      </c>
      <c r="AB235" s="1105"/>
    </row>
    <row r="236" spans="1:28">
      <c r="A236" s="1144">
        <f>Calendar!J228</f>
        <v>51862</v>
      </c>
      <c r="C236" s="1104"/>
      <c r="D236" s="1125">
        <f t="shared" ca="1" si="57"/>
        <v>52901</v>
      </c>
      <c r="E236" s="1126">
        <f t="shared" ca="1" si="58"/>
        <v>52929</v>
      </c>
      <c r="F236" s="1127">
        <f t="shared" ca="1" si="59"/>
        <v>6880</v>
      </c>
      <c r="G236" s="1128">
        <f ca="1">IF(F236&lt;&gt;"",COUNTIF($F$11:F236,"&gt;0"),"")</f>
        <v>226</v>
      </c>
      <c r="H236" s="1129">
        <v>2.6358157049637791E-2</v>
      </c>
      <c r="I236" s="1073"/>
      <c r="J236" s="1130">
        <f t="shared" ca="1" si="60"/>
        <v>634148409.04803503</v>
      </c>
      <c r="K236" s="1131">
        <f t="shared" ca="1" si="61"/>
        <v>16714983.358466053</v>
      </c>
      <c r="L236" s="1130">
        <f t="shared" ca="1" si="62"/>
        <v>0</v>
      </c>
      <c r="M236" s="1130">
        <f t="shared" ca="1" si="63"/>
        <v>0</v>
      </c>
      <c r="N236" s="1130">
        <f t="shared" ca="1" si="72"/>
        <v>617433425.689569</v>
      </c>
      <c r="O236" s="1073"/>
      <c r="P236" s="1130">
        <f t="shared" ca="1" si="64"/>
        <v>16714983.358466029</v>
      </c>
      <c r="Q236" s="1130">
        <f t="shared" ca="1" si="65"/>
        <v>586561754.40509057</v>
      </c>
      <c r="R236" s="1130">
        <f t="shared" ca="1" si="73"/>
        <v>602440988.59563327</v>
      </c>
      <c r="S236" s="1130">
        <f t="shared" ca="1" si="74"/>
        <v>15879234.190542698</v>
      </c>
      <c r="T236" s="1130">
        <f t="shared" ca="1" si="66"/>
        <v>586561754.40509057</v>
      </c>
      <c r="U236" s="1132">
        <f t="shared" ca="1" si="67"/>
        <v>5.1023188274581043E-2</v>
      </c>
      <c r="V236" s="1133">
        <f t="shared" ca="1" si="68"/>
        <v>4.9999999999999933E-2</v>
      </c>
      <c r="X236" s="1134">
        <f t="shared" ca="1" si="75"/>
        <v>31707420.452401757</v>
      </c>
      <c r="Y236" s="1134">
        <f t="shared" ca="1" si="69"/>
        <v>835749.16792333126</v>
      </c>
      <c r="Z236" s="1134">
        <f t="shared" ca="1" si="70"/>
        <v>30871671.284478426</v>
      </c>
      <c r="AA236" s="1132">
        <f t="shared" ca="1" si="71"/>
        <v>5.4592666068184845E-2</v>
      </c>
      <c r="AB236" s="1105"/>
    </row>
    <row r="237" spans="1:28">
      <c r="A237" s="1144">
        <f>Calendar!J229</f>
        <v>51893</v>
      </c>
      <c r="C237" s="1104"/>
      <c r="D237" s="1125">
        <f t="shared" ca="1" si="57"/>
        <v>52931</v>
      </c>
      <c r="E237" s="1126">
        <f t="shared" ca="1" si="58"/>
        <v>52958</v>
      </c>
      <c r="F237" s="1127">
        <f t="shared" ca="1" si="59"/>
        <v>6909</v>
      </c>
      <c r="G237" s="1128">
        <f ca="1">IF(F237&lt;&gt;"",COUNTIF($F$11:F237,"&gt;0"),"")</f>
        <v>227</v>
      </c>
      <c r="H237" s="1129">
        <v>2.6289718067447992E-2</v>
      </c>
      <c r="I237" s="1073"/>
      <c r="J237" s="1130">
        <f t="shared" ca="1" si="60"/>
        <v>617433425.689569</v>
      </c>
      <c r="K237" s="1131">
        <f t="shared" ca="1" si="61"/>
        <v>16232150.686797369</v>
      </c>
      <c r="L237" s="1130">
        <f t="shared" ca="1" si="62"/>
        <v>0</v>
      </c>
      <c r="M237" s="1130">
        <f t="shared" ca="1" si="63"/>
        <v>0</v>
      </c>
      <c r="N237" s="1130">
        <f t="shared" ca="1" si="72"/>
        <v>601201275.00277162</v>
      </c>
      <c r="O237" s="1073"/>
      <c r="P237" s="1130">
        <f t="shared" ca="1" si="64"/>
        <v>16232150.68679738</v>
      </c>
      <c r="Q237" s="1130">
        <f t="shared" ca="1" si="65"/>
        <v>571141211.25263298</v>
      </c>
      <c r="R237" s="1130">
        <f t="shared" ca="1" si="73"/>
        <v>586561754.40509057</v>
      </c>
      <c r="S237" s="1130">
        <f t="shared" ca="1" si="74"/>
        <v>15420543.152457595</v>
      </c>
      <c r="T237" s="1130">
        <f t="shared" ca="1" si="66"/>
        <v>571141211.25263298</v>
      </c>
      <c r="U237" s="1132">
        <f t="shared" ca="1" si="67"/>
        <v>4.96783110648664E-2</v>
      </c>
      <c r="V237" s="1133">
        <f t="shared" ca="1" si="68"/>
        <v>5.0000000000000044E-2</v>
      </c>
      <c r="X237" s="1134">
        <f t="shared" ca="1" si="75"/>
        <v>30871671.284478426</v>
      </c>
      <c r="Y237" s="1134">
        <f t="shared" ca="1" si="69"/>
        <v>811607.53433978558</v>
      </c>
      <c r="Z237" s="1134">
        <f t="shared" ca="1" si="70"/>
        <v>30060063.75013864</v>
      </c>
      <c r="AA237" s="1132">
        <f t="shared" ca="1" si="71"/>
        <v>5.3153704002201145E-2</v>
      </c>
      <c r="AB237" s="1105"/>
    </row>
    <row r="238" spans="1:28">
      <c r="A238" s="1144">
        <f>Calendar!J230</f>
        <v>51924</v>
      </c>
      <c r="C238" s="1104"/>
      <c r="D238" s="1125">
        <f t="shared" ca="1" si="57"/>
        <v>52962</v>
      </c>
      <c r="E238" s="1126">
        <f t="shared" ca="1" si="58"/>
        <v>52989</v>
      </c>
      <c r="F238" s="1127">
        <f t="shared" ca="1" si="59"/>
        <v>6940</v>
      </c>
      <c r="G238" s="1128">
        <f ca="1">IF(F238&lt;&gt;"",COUNTIF($F$11:F238,"&gt;0"),"")</f>
        <v>228</v>
      </c>
      <c r="H238" s="1129">
        <v>2.6262783735619473E-2</v>
      </c>
      <c r="I238" s="1073"/>
      <c r="J238" s="1130">
        <f t="shared" ca="1" si="60"/>
        <v>601201275.00277162</v>
      </c>
      <c r="K238" s="1131">
        <f t="shared" ca="1" si="61"/>
        <v>15789219.06697648</v>
      </c>
      <c r="L238" s="1130">
        <f t="shared" ca="1" si="62"/>
        <v>0</v>
      </c>
      <c r="M238" s="1130">
        <f t="shared" ca="1" si="63"/>
        <v>0</v>
      </c>
      <c r="N238" s="1130">
        <f t="shared" ca="1" si="72"/>
        <v>585412055.93579519</v>
      </c>
      <c r="O238" s="1073"/>
      <c r="P238" s="1130">
        <f t="shared" ca="1" si="64"/>
        <v>15789219.066976428</v>
      </c>
      <c r="Q238" s="1130">
        <f t="shared" ca="1" si="65"/>
        <v>556141453.13900542</v>
      </c>
      <c r="R238" s="1130">
        <f t="shared" ca="1" si="73"/>
        <v>571141211.25263298</v>
      </c>
      <c r="S238" s="1130">
        <f t="shared" ca="1" si="74"/>
        <v>14999758.113627553</v>
      </c>
      <c r="T238" s="1130">
        <f t="shared" ca="1" si="66"/>
        <v>556141453.13900542</v>
      </c>
      <c r="U238" s="1132">
        <f t="shared" ca="1" si="67"/>
        <v>4.837228227290407E-2</v>
      </c>
      <c r="V238" s="1133">
        <f t="shared" ca="1" si="68"/>
        <v>5.0000000000000044E-2</v>
      </c>
      <c r="X238" s="1134">
        <f t="shared" ca="1" si="75"/>
        <v>30060063.75013864</v>
      </c>
      <c r="Y238" s="1134">
        <f t="shared" ca="1" si="69"/>
        <v>789460.95334887505</v>
      </c>
      <c r="Z238" s="1134">
        <f t="shared" ca="1" si="70"/>
        <v>29270602.796789765</v>
      </c>
      <c r="AA238" s="1132">
        <f t="shared" ca="1" si="71"/>
        <v>5.1756308109742841E-2</v>
      </c>
      <c r="AB238" s="1105"/>
    </row>
    <row r="239" spans="1:28">
      <c r="A239" s="1144">
        <f>Calendar!J231</f>
        <v>51952</v>
      </c>
      <c r="C239" s="1104"/>
      <c r="D239" s="1125">
        <f t="shared" ca="1" si="57"/>
        <v>52993</v>
      </c>
      <c r="E239" s="1126">
        <f t="shared" ca="1" si="58"/>
        <v>53020</v>
      </c>
      <c r="F239" s="1127">
        <f t="shared" ca="1" si="59"/>
        <v>6971</v>
      </c>
      <c r="G239" s="1128">
        <f ca="1">IF(F239&lt;&gt;"",COUNTIF($F$11:F239,"&gt;0"),"")</f>
        <v>229</v>
      </c>
      <c r="H239" s="1129">
        <v>2.6128829337453124E-2</v>
      </c>
      <c r="I239" s="1073"/>
      <c r="J239" s="1130">
        <f t="shared" ca="1" si="60"/>
        <v>585412055.93579519</v>
      </c>
      <c r="K239" s="1131">
        <f t="shared" ca="1" si="61"/>
        <v>15296131.701633954</v>
      </c>
      <c r="L239" s="1130">
        <f t="shared" ca="1" si="62"/>
        <v>0</v>
      </c>
      <c r="M239" s="1130">
        <f t="shared" ca="1" si="63"/>
        <v>0</v>
      </c>
      <c r="N239" s="1130">
        <f t="shared" ca="1" si="72"/>
        <v>570115924.23416126</v>
      </c>
      <c r="O239" s="1073"/>
      <c r="P239" s="1130">
        <f t="shared" ca="1" si="64"/>
        <v>15296131.70163393</v>
      </c>
      <c r="Q239" s="1130">
        <f t="shared" ca="1" si="65"/>
        <v>541610128.02245319</v>
      </c>
      <c r="R239" s="1130">
        <f t="shared" ca="1" si="73"/>
        <v>556141453.13900542</v>
      </c>
      <c r="S239" s="1130">
        <f t="shared" ca="1" si="74"/>
        <v>14531325.116552234</v>
      </c>
      <c r="T239" s="1130">
        <f t="shared" ca="1" si="66"/>
        <v>541610128.02245319</v>
      </c>
      <c r="U239" s="1132">
        <f t="shared" ca="1" si="67"/>
        <v>4.7101891484772465E-2</v>
      </c>
      <c r="V239" s="1133">
        <f t="shared" ca="1" si="68"/>
        <v>5.0000000000000044E-2</v>
      </c>
      <c r="X239" s="1134">
        <f t="shared" ca="1" si="75"/>
        <v>29270602.796789765</v>
      </c>
      <c r="Y239" s="1134">
        <f t="shared" ca="1" si="69"/>
        <v>764806.58508169651</v>
      </c>
      <c r="Z239" s="1134">
        <f t="shared" ca="1" si="70"/>
        <v>28505796.211708069</v>
      </c>
      <c r="AA239" s="1132">
        <f t="shared" ca="1" si="71"/>
        <v>5.039704338290249E-2</v>
      </c>
      <c r="AB239" s="1105"/>
    </row>
    <row r="240" spans="1:28">
      <c r="A240" s="1144">
        <f>Calendar!J232</f>
        <v>51984</v>
      </c>
      <c r="C240" s="1104"/>
      <c r="D240" s="1125">
        <f t="shared" ca="1" si="57"/>
        <v>53021</v>
      </c>
      <c r="E240" s="1126">
        <f t="shared" ca="1" si="58"/>
        <v>53048</v>
      </c>
      <c r="F240" s="1127">
        <f t="shared" ca="1" si="59"/>
        <v>6999</v>
      </c>
      <c r="G240" s="1128">
        <f ca="1">IF(F240&lt;&gt;"",COUNTIF($F$11:F240,"&gt;0"),"")</f>
        <v>230</v>
      </c>
      <c r="H240" s="1129">
        <v>2.6144464632107983E-2</v>
      </c>
      <c r="I240" s="1073"/>
      <c r="J240" s="1130">
        <f t="shared" ca="1" si="60"/>
        <v>570115924.23416126</v>
      </c>
      <c r="K240" s="1131">
        <f t="shared" ca="1" si="61"/>
        <v>14905375.617341584</v>
      </c>
      <c r="L240" s="1130">
        <f t="shared" ca="1" si="62"/>
        <v>0</v>
      </c>
      <c r="M240" s="1130">
        <f t="shared" ca="1" si="63"/>
        <v>0</v>
      </c>
      <c r="N240" s="1130">
        <f t="shared" ca="1" si="72"/>
        <v>555210548.61681962</v>
      </c>
      <c r="O240" s="1073"/>
      <c r="P240" s="1130">
        <f t="shared" ca="1" si="64"/>
        <v>14905375.617341638</v>
      </c>
      <c r="Q240" s="1130">
        <f t="shared" ca="1" si="65"/>
        <v>527450021.18597859</v>
      </c>
      <c r="R240" s="1130">
        <f t="shared" ca="1" si="73"/>
        <v>541610128.02245319</v>
      </c>
      <c r="S240" s="1130">
        <f t="shared" ca="1" si="74"/>
        <v>14160106.836474597</v>
      </c>
      <c r="T240" s="1130">
        <f t="shared" ca="1" si="66"/>
        <v>527450021.18597859</v>
      </c>
      <c r="U240" s="1132">
        <f t="shared" ca="1" si="67"/>
        <v>4.5871174200695607E-2</v>
      </c>
      <c r="V240" s="1133">
        <f t="shared" ca="1" si="68"/>
        <v>5.0000000000000044E-2</v>
      </c>
      <c r="X240" s="1134">
        <f t="shared" ca="1" si="75"/>
        <v>28505796.211708069</v>
      </c>
      <c r="Y240" s="1134">
        <f t="shared" ca="1" si="69"/>
        <v>745268.78086704016</v>
      </c>
      <c r="Z240" s="1134">
        <f t="shared" ca="1" si="70"/>
        <v>27760527.430841029</v>
      </c>
      <c r="AA240" s="1132">
        <f t="shared" ca="1" si="71"/>
        <v>4.9080227637238412E-2</v>
      </c>
      <c r="AB240" s="1105"/>
    </row>
    <row r="241" spans="1:28">
      <c r="A241" s="1144">
        <f>Calendar!J233</f>
        <v>52013</v>
      </c>
      <c r="C241" s="1104"/>
      <c r="D241" s="1125">
        <f t="shared" ca="1" si="57"/>
        <v>53052</v>
      </c>
      <c r="E241" s="1126">
        <f t="shared" ca="1" si="58"/>
        <v>53079</v>
      </c>
      <c r="F241" s="1127">
        <f t="shared" ca="1" si="59"/>
        <v>7030</v>
      </c>
      <c r="G241" s="1128">
        <f ca="1">IF(F241&lt;&gt;"",COUNTIF($F$11:F241,"&gt;0"),"")</f>
        <v>231</v>
      </c>
      <c r="H241" s="1129">
        <v>2.6281385504956678E-2</v>
      </c>
      <c r="I241" s="1073"/>
      <c r="J241" s="1130">
        <f t="shared" ca="1" si="60"/>
        <v>555210548.61681962</v>
      </c>
      <c r="K241" s="1131">
        <f t="shared" ca="1" si="61"/>
        <v>14591702.464617128</v>
      </c>
      <c r="L241" s="1130">
        <f t="shared" ca="1" si="62"/>
        <v>0</v>
      </c>
      <c r="M241" s="1130">
        <f t="shared" ca="1" si="63"/>
        <v>0</v>
      </c>
      <c r="N241" s="1130">
        <f t="shared" ca="1" si="72"/>
        <v>540618846.15220249</v>
      </c>
      <c r="O241" s="1073"/>
      <c r="P241" s="1130">
        <f t="shared" ca="1" si="64"/>
        <v>14591702.464617133</v>
      </c>
      <c r="Q241" s="1130">
        <f t="shared" ca="1" si="65"/>
        <v>513587903.84459233</v>
      </c>
      <c r="R241" s="1130">
        <f t="shared" ca="1" si="73"/>
        <v>527450021.18597859</v>
      </c>
      <c r="S241" s="1130">
        <f t="shared" ca="1" si="74"/>
        <v>13862117.341386259</v>
      </c>
      <c r="T241" s="1130">
        <f t="shared" ca="1" si="66"/>
        <v>513587903.84459233</v>
      </c>
      <c r="U241" s="1132">
        <f t="shared" ca="1" si="67"/>
        <v>4.4671896909172247E-2</v>
      </c>
      <c r="V241" s="1133">
        <f t="shared" ca="1" si="68"/>
        <v>5.0000000000000044E-2</v>
      </c>
      <c r="X241" s="1134">
        <f t="shared" ca="1" si="75"/>
        <v>27760527.430841029</v>
      </c>
      <c r="Y241" s="1134">
        <f t="shared" ca="1" si="69"/>
        <v>729585.12323087454</v>
      </c>
      <c r="Z241" s="1134">
        <f t="shared" ca="1" si="70"/>
        <v>27030942.307610154</v>
      </c>
      <c r="AA241" s="1132">
        <f t="shared" ca="1" si="71"/>
        <v>4.7797051361640891E-2</v>
      </c>
      <c r="AB241" s="1105"/>
    </row>
    <row r="242" spans="1:28">
      <c r="A242" s="1144">
        <f>Calendar!J234</f>
        <v>52044</v>
      </c>
      <c r="C242" s="1104"/>
      <c r="D242" s="1125">
        <f t="shared" ca="1" si="57"/>
        <v>53082</v>
      </c>
      <c r="E242" s="1126">
        <f t="shared" ca="1" si="58"/>
        <v>53111</v>
      </c>
      <c r="F242" s="1127">
        <f t="shared" ca="1" si="59"/>
        <v>7062</v>
      </c>
      <c r="G242" s="1128">
        <f ca="1">IF(F242&lt;&gt;"",COUNTIF($F$11:F242,"&gt;0"),"")</f>
        <v>232</v>
      </c>
      <c r="H242" s="1129">
        <v>2.6385687555472232E-2</v>
      </c>
      <c r="I242" s="1073"/>
      <c r="J242" s="1130">
        <f t="shared" ca="1" si="60"/>
        <v>540618846.15220249</v>
      </c>
      <c r="K242" s="1131">
        <f t="shared" ca="1" si="61"/>
        <v>14264599.961171927</v>
      </c>
      <c r="L242" s="1130">
        <f t="shared" ca="1" si="62"/>
        <v>0</v>
      </c>
      <c r="M242" s="1130">
        <f t="shared" ca="1" si="63"/>
        <v>0</v>
      </c>
      <c r="N242" s="1130">
        <f t="shared" ca="1" si="72"/>
        <v>526354246.19103056</v>
      </c>
      <c r="O242" s="1073"/>
      <c r="P242" s="1130">
        <f t="shared" ca="1" si="64"/>
        <v>14264599.961171925</v>
      </c>
      <c r="Q242" s="1130">
        <f t="shared" ca="1" si="65"/>
        <v>500036533.88147902</v>
      </c>
      <c r="R242" s="1130">
        <f t="shared" ca="1" si="73"/>
        <v>513587903.84459233</v>
      </c>
      <c r="S242" s="1130">
        <f t="shared" ca="1" si="74"/>
        <v>13551369.963113308</v>
      </c>
      <c r="T242" s="1130">
        <f t="shared" ca="1" si="66"/>
        <v>500036533.88147902</v>
      </c>
      <c r="U242" s="1132">
        <f t="shared" ca="1" si="67"/>
        <v>4.3497857565264614E-2</v>
      </c>
      <c r="V242" s="1133">
        <f t="shared" ca="1" si="68"/>
        <v>5.0000000000000044E-2</v>
      </c>
      <c r="X242" s="1134">
        <f t="shared" ca="1" si="75"/>
        <v>27030942.307610154</v>
      </c>
      <c r="Y242" s="1134">
        <f t="shared" ca="1" si="69"/>
        <v>713229.99805861712</v>
      </c>
      <c r="Z242" s="1134">
        <f t="shared" ca="1" si="70"/>
        <v>26317712.309551537</v>
      </c>
      <c r="AA242" s="1132">
        <f t="shared" ca="1" si="71"/>
        <v>4.6540878628805363E-2</v>
      </c>
      <c r="AB242" s="1105"/>
    </row>
    <row r="243" spans="1:28">
      <c r="A243" s="1144">
        <f>Calendar!J235</f>
        <v>52075</v>
      </c>
      <c r="C243" s="1104"/>
      <c r="D243" s="1125">
        <f t="shared" ca="1" si="57"/>
        <v>53113</v>
      </c>
      <c r="E243" s="1126">
        <f t="shared" ca="1" si="58"/>
        <v>53140</v>
      </c>
      <c r="F243" s="1127">
        <f t="shared" ca="1" si="59"/>
        <v>7091</v>
      </c>
      <c r="G243" s="1128">
        <f ca="1">IF(F243&lt;&gt;"",COUNTIF($F$11:F243,"&gt;0"),"")</f>
        <v>233</v>
      </c>
      <c r="H243" s="1129">
        <v>2.6452360100786755E-2</v>
      </c>
      <c r="I243" s="1073"/>
      <c r="J243" s="1130">
        <f t="shared" ca="1" si="60"/>
        <v>526354246.19103056</v>
      </c>
      <c r="K243" s="1131">
        <f t="shared" ca="1" si="61"/>
        <v>13923312.060823306</v>
      </c>
      <c r="L243" s="1130">
        <f t="shared" ca="1" si="62"/>
        <v>0</v>
      </c>
      <c r="M243" s="1130">
        <f t="shared" ca="1" si="63"/>
        <v>0</v>
      </c>
      <c r="N243" s="1130">
        <f t="shared" ca="1" si="72"/>
        <v>512430934.13020724</v>
      </c>
      <c r="O243" s="1073"/>
      <c r="P243" s="1130">
        <f t="shared" ca="1" si="64"/>
        <v>13923312.060823321</v>
      </c>
      <c r="Q243" s="1130">
        <f t="shared" ca="1" si="65"/>
        <v>486809387.42369688</v>
      </c>
      <c r="R243" s="1130">
        <f t="shared" ca="1" si="73"/>
        <v>500036533.88147902</v>
      </c>
      <c r="S243" s="1130">
        <f t="shared" ca="1" si="74"/>
        <v>13227146.457782149</v>
      </c>
      <c r="T243" s="1130">
        <f t="shared" ca="1" si="66"/>
        <v>486809387.42369688</v>
      </c>
      <c r="U243" s="1132">
        <f t="shared" ca="1" si="67"/>
        <v>4.2350136686215109E-2</v>
      </c>
      <c r="V243" s="1133">
        <f t="shared" ca="1" si="68"/>
        <v>5.0000000000000044E-2</v>
      </c>
      <c r="X243" s="1134">
        <f t="shared" ca="1" si="75"/>
        <v>26317712.309551537</v>
      </c>
      <c r="Y243" s="1134">
        <f t="shared" ca="1" si="69"/>
        <v>696165.60304117203</v>
      </c>
      <c r="Z243" s="1134">
        <f t="shared" ca="1" si="70"/>
        <v>25621546.706510365</v>
      </c>
      <c r="AA243" s="1132">
        <f t="shared" ca="1" si="71"/>
        <v>4.5312865546748515E-2</v>
      </c>
      <c r="AB243" s="1105"/>
    </row>
    <row r="244" spans="1:28">
      <c r="A244" s="1144">
        <f>Calendar!J236</f>
        <v>52105</v>
      </c>
      <c r="C244" s="1104"/>
      <c r="D244" s="1125">
        <f t="shared" ca="1" si="57"/>
        <v>53143</v>
      </c>
      <c r="E244" s="1126">
        <f t="shared" ca="1" si="58"/>
        <v>53170</v>
      </c>
      <c r="F244" s="1127">
        <f t="shared" ca="1" si="59"/>
        <v>7121</v>
      </c>
      <c r="G244" s="1128">
        <f ca="1">IF(F244&lt;&gt;"",COUNTIF($F$11:F244,"&gt;0"),"")</f>
        <v>234</v>
      </c>
      <c r="H244" s="1129">
        <v>2.660722629029932E-2</v>
      </c>
      <c r="I244" s="1073"/>
      <c r="J244" s="1130">
        <f t="shared" ca="1" si="60"/>
        <v>512430934.13020724</v>
      </c>
      <c r="K244" s="1131">
        <f t="shared" ca="1" si="61"/>
        <v>13634365.822551889</v>
      </c>
      <c r="L244" s="1130">
        <f t="shared" ca="1" si="62"/>
        <v>0</v>
      </c>
      <c r="M244" s="1130">
        <f t="shared" ca="1" si="63"/>
        <v>0</v>
      </c>
      <c r="N244" s="1130">
        <f t="shared" ca="1" si="72"/>
        <v>498796568.30765533</v>
      </c>
      <c r="O244" s="1073"/>
      <c r="P244" s="1130">
        <f t="shared" ca="1" si="64"/>
        <v>13634365.822551906</v>
      </c>
      <c r="Q244" s="1130">
        <f t="shared" ca="1" si="65"/>
        <v>473856739.89227253</v>
      </c>
      <c r="R244" s="1130">
        <f t="shared" ca="1" si="73"/>
        <v>486809387.42369688</v>
      </c>
      <c r="S244" s="1130">
        <f t="shared" ca="1" si="74"/>
        <v>12952647.531424344</v>
      </c>
      <c r="T244" s="1130">
        <f t="shared" ca="1" si="66"/>
        <v>473856739.89227253</v>
      </c>
      <c r="U244" s="1132">
        <f t="shared" ca="1" si="67"/>
        <v>4.1229875620273804E-2</v>
      </c>
      <c r="V244" s="1133">
        <f t="shared" ca="1" si="68"/>
        <v>5.0000000000000044E-2</v>
      </c>
      <c r="X244" s="1134">
        <f t="shared" ca="1" si="75"/>
        <v>25621546.706510365</v>
      </c>
      <c r="Y244" s="1134">
        <f t="shared" ca="1" si="69"/>
        <v>681718.29112756252</v>
      </c>
      <c r="Z244" s="1134">
        <f t="shared" ca="1" si="70"/>
        <v>24939828.415382802</v>
      </c>
      <c r="AA244" s="1132">
        <f t="shared" ca="1" si="71"/>
        <v>4.411423331010738E-2</v>
      </c>
      <c r="AB244" s="1105"/>
    </row>
    <row r="245" spans="1:28">
      <c r="A245" s="1144">
        <f>Calendar!J237</f>
        <v>52138</v>
      </c>
      <c r="C245" s="1104"/>
      <c r="D245" s="1125">
        <f t="shared" ca="1" si="57"/>
        <v>53174</v>
      </c>
      <c r="E245" s="1126">
        <f t="shared" ca="1" si="58"/>
        <v>53202</v>
      </c>
      <c r="F245" s="1127">
        <f t="shared" ca="1" si="59"/>
        <v>7153</v>
      </c>
      <c r="G245" s="1128">
        <f ca="1">IF(F245&lt;&gt;"",COUNTIF($F$11:F245,"&gt;0"),"")</f>
        <v>235</v>
      </c>
      <c r="H245" s="1129">
        <v>2.6609230945894537E-2</v>
      </c>
      <c r="I245" s="1073"/>
      <c r="J245" s="1130">
        <f t="shared" ca="1" si="60"/>
        <v>498796568.30765533</v>
      </c>
      <c r="K245" s="1131">
        <f t="shared" ca="1" si="61"/>
        <v>13272593.08111806</v>
      </c>
      <c r="L245" s="1130">
        <f t="shared" ca="1" si="62"/>
        <v>0</v>
      </c>
      <c r="M245" s="1130">
        <f t="shared" ca="1" si="63"/>
        <v>0</v>
      </c>
      <c r="N245" s="1130">
        <f t="shared" ca="1" si="72"/>
        <v>485523975.22653729</v>
      </c>
      <c r="O245" s="1073"/>
      <c r="P245" s="1130">
        <f t="shared" ca="1" si="64"/>
        <v>13272593.081118047</v>
      </c>
      <c r="Q245" s="1130">
        <f t="shared" ca="1" si="65"/>
        <v>461247776.46521038</v>
      </c>
      <c r="R245" s="1130">
        <f t="shared" ca="1" si="73"/>
        <v>473856739.89227253</v>
      </c>
      <c r="S245" s="1130">
        <f t="shared" ca="1" si="74"/>
        <v>12608963.427062154</v>
      </c>
      <c r="T245" s="1130">
        <f t="shared" ca="1" si="66"/>
        <v>461247776.46521038</v>
      </c>
      <c r="U245" s="1132">
        <f t="shared" ca="1" si="67"/>
        <v>4.013286298972428E-2</v>
      </c>
      <c r="V245" s="1133">
        <f t="shared" ca="1" si="68"/>
        <v>5.0000000000000044E-2</v>
      </c>
      <c r="X245" s="1134">
        <f t="shared" ca="1" si="75"/>
        <v>24939828.415382802</v>
      </c>
      <c r="Y245" s="1134">
        <f t="shared" ca="1" si="69"/>
        <v>663629.65405589342</v>
      </c>
      <c r="Z245" s="1134">
        <f t="shared" ca="1" si="70"/>
        <v>24276198.761326909</v>
      </c>
      <c r="AA245" s="1132">
        <f t="shared" ca="1" si="71"/>
        <v>4.2940475921802349E-2</v>
      </c>
      <c r="AB245" s="1105"/>
    </row>
    <row r="246" spans="1:28">
      <c r="A246" s="1144">
        <f>Calendar!J238</f>
        <v>52166</v>
      </c>
      <c r="C246" s="1104"/>
      <c r="D246" s="1125">
        <f t="shared" ca="1" si="57"/>
        <v>53205</v>
      </c>
      <c r="E246" s="1126">
        <f t="shared" ca="1" si="58"/>
        <v>53232</v>
      </c>
      <c r="F246" s="1127">
        <f t="shared" ca="1" si="59"/>
        <v>7183</v>
      </c>
      <c r="G246" s="1128">
        <f ca="1">IF(F246&lt;&gt;"",COUNTIF($F$11:F246,"&gt;0"),"")</f>
        <v>236</v>
      </c>
      <c r="H246" s="1129">
        <v>2.6528809878518623E-2</v>
      </c>
      <c r="I246" s="1073"/>
      <c r="J246" s="1130">
        <f t="shared" ca="1" si="60"/>
        <v>485523975.22653729</v>
      </c>
      <c r="K246" s="1131">
        <f t="shared" ca="1" si="61"/>
        <v>12880373.230247393</v>
      </c>
      <c r="L246" s="1130">
        <f t="shared" ca="1" si="62"/>
        <v>0</v>
      </c>
      <c r="M246" s="1130">
        <f t="shared" ca="1" si="63"/>
        <v>0</v>
      </c>
      <c r="N246" s="1130">
        <f t="shared" ca="1" si="72"/>
        <v>472643601.99628991</v>
      </c>
      <c r="O246" s="1073"/>
      <c r="P246" s="1130">
        <f t="shared" ca="1" si="64"/>
        <v>12880373.230247378</v>
      </c>
      <c r="Q246" s="1130">
        <f t="shared" ca="1" si="65"/>
        <v>449011421.89647537</v>
      </c>
      <c r="R246" s="1130">
        <f t="shared" ca="1" si="73"/>
        <v>461247776.46521038</v>
      </c>
      <c r="S246" s="1130">
        <f t="shared" ca="1" si="74"/>
        <v>12236354.568735003</v>
      </c>
      <c r="T246" s="1130">
        <f t="shared" ca="1" si="66"/>
        <v>449011421.89647537</v>
      </c>
      <c r="U246" s="1132">
        <f t="shared" ca="1" si="67"/>
        <v>3.9064958369910766E-2</v>
      </c>
      <c r="V246" s="1133">
        <f t="shared" ca="1" si="68"/>
        <v>5.0000000000000044E-2</v>
      </c>
      <c r="X246" s="1134">
        <f t="shared" ca="1" si="75"/>
        <v>24276198.761326909</v>
      </c>
      <c r="Y246" s="1134">
        <f t="shared" ca="1" si="69"/>
        <v>644018.66151237488</v>
      </c>
      <c r="Z246" s="1134">
        <f t="shared" ca="1" si="70"/>
        <v>23632180.099814534</v>
      </c>
      <c r="AA246" s="1132">
        <f t="shared" ca="1" si="71"/>
        <v>4.1797862881072505E-2</v>
      </c>
      <c r="AB246" s="1105"/>
    </row>
    <row r="247" spans="1:28">
      <c r="A247" s="1144">
        <f>Calendar!J239</f>
        <v>52197</v>
      </c>
      <c r="C247" s="1104"/>
      <c r="D247" s="1125">
        <f t="shared" ca="1" si="57"/>
        <v>53235</v>
      </c>
      <c r="E247" s="1126">
        <f t="shared" ca="1" si="58"/>
        <v>53262</v>
      </c>
      <c r="F247" s="1127">
        <f t="shared" ca="1" si="59"/>
        <v>7213</v>
      </c>
      <c r="G247" s="1128">
        <f ca="1">IF(F247&lt;&gt;"",COUNTIF($F$11:F247,"&gt;0"),"")</f>
        <v>237</v>
      </c>
      <c r="H247" s="1129">
        <v>2.6518091792928092E-2</v>
      </c>
      <c r="I247" s="1073"/>
      <c r="J247" s="1130">
        <f t="shared" ca="1" si="60"/>
        <v>472643601.99628991</v>
      </c>
      <c r="K247" s="1131">
        <f t="shared" ca="1" si="61"/>
        <v>12533606.423077786</v>
      </c>
      <c r="L247" s="1130">
        <f t="shared" ca="1" si="62"/>
        <v>0</v>
      </c>
      <c r="M247" s="1130">
        <f t="shared" ca="1" si="63"/>
        <v>0</v>
      </c>
      <c r="N247" s="1130">
        <f t="shared" ca="1" si="72"/>
        <v>460109995.57321215</v>
      </c>
      <c r="O247" s="1073"/>
      <c r="P247" s="1130">
        <f t="shared" ca="1" si="64"/>
        <v>12533606.423077762</v>
      </c>
      <c r="Q247" s="1130">
        <f t="shared" ca="1" si="65"/>
        <v>437104495.79455149</v>
      </c>
      <c r="R247" s="1130">
        <f t="shared" ca="1" si="73"/>
        <v>449011421.89647537</v>
      </c>
      <c r="S247" s="1130">
        <f t="shared" ca="1" si="74"/>
        <v>11906926.101923883</v>
      </c>
      <c r="T247" s="1130">
        <f t="shared" ca="1" si="66"/>
        <v>437104495.79455149</v>
      </c>
      <c r="U247" s="1132">
        <f t="shared" ca="1" si="67"/>
        <v>3.802861151640316E-2</v>
      </c>
      <c r="V247" s="1133">
        <f t="shared" ca="1" si="68"/>
        <v>5.0000000000000155E-2</v>
      </c>
      <c r="X247" s="1134">
        <f t="shared" ca="1" si="75"/>
        <v>23632180.099814534</v>
      </c>
      <c r="Y247" s="1134">
        <f t="shared" ca="1" si="69"/>
        <v>626680.32115387917</v>
      </c>
      <c r="Z247" s="1134">
        <f t="shared" ca="1" si="70"/>
        <v>23005499.778660655</v>
      </c>
      <c r="AA247" s="1132">
        <f t="shared" ca="1" si="71"/>
        <v>4.068901532337213E-2</v>
      </c>
      <c r="AB247" s="1105"/>
    </row>
    <row r="248" spans="1:28">
      <c r="A248" s="1144">
        <f>Calendar!J240</f>
        <v>52229</v>
      </c>
      <c r="C248" s="1104"/>
      <c r="D248" s="1125">
        <f t="shared" ca="1" si="57"/>
        <v>53266</v>
      </c>
      <c r="E248" s="1126">
        <f t="shared" ca="1" si="58"/>
        <v>53293</v>
      </c>
      <c r="F248" s="1127">
        <f t="shared" ca="1" si="59"/>
        <v>7244</v>
      </c>
      <c r="G248" s="1128">
        <f ca="1">IF(F248&lt;&gt;"",COUNTIF($F$11:F248,"&gt;0"),"")</f>
        <v>238</v>
      </c>
      <c r="H248" s="1129">
        <v>2.6272445883014722E-2</v>
      </c>
      <c r="I248" s="1073"/>
      <c r="J248" s="1130">
        <f t="shared" ca="1" si="60"/>
        <v>460109995.57321215</v>
      </c>
      <c r="K248" s="1131">
        <f t="shared" ca="1" si="61"/>
        <v>12088214.95893136</v>
      </c>
      <c r="L248" s="1130">
        <f t="shared" ca="1" si="62"/>
        <v>0</v>
      </c>
      <c r="M248" s="1130">
        <f t="shared" ca="1" si="63"/>
        <v>0</v>
      </c>
      <c r="N248" s="1130">
        <f t="shared" ca="1" si="72"/>
        <v>448021780.61428076</v>
      </c>
      <c r="O248" s="1073"/>
      <c r="P248" s="1130">
        <f t="shared" ca="1" si="64"/>
        <v>12088214.958931386</v>
      </c>
      <c r="Q248" s="1130">
        <f t="shared" ca="1" si="65"/>
        <v>425620691.58356673</v>
      </c>
      <c r="R248" s="1130">
        <f t="shared" ca="1" si="73"/>
        <v>437104495.79455149</v>
      </c>
      <c r="S248" s="1130">
        <f t="shared" ca="1" si="74"/>
        <v>11483804.210984766</v>
      </c>
      <c r="T248" s="1130">
        <f t="shared" ca="1" si="66"/>
        <v>425620691.58356673</v>
      </c>
      <c r="U248" s="1132">
        <f t="shared" ca="1" si="67"/>
        <v>3.702016530545358E-2</v>
      </c>
      <c r="V248" s="1133">
        <f t="shared" ca="1" si="68"/>
        <v>5.0000000000000044E-2</v>
      </c>
      <c r="X248" s="1134">
        <f t="shared" ca="1" si="75"/>
        <v>23005499.778660655</v>
      </c>
      <c r="Y248" s="1134">
        <f t="shared" ca="1" si="69"/>
        <v>604410.74794661999</v>
      </c>
      <c r="Z248" s="1134">
        <f t="shared" ca="1" si="70"/>
        <v>22401089.030714035</v>
      </c>
      <c r="AA248" s="1132">
        <f t="shared" ca="1" si="71"/>
        <v>3.9610020280063114E-2</v>
      </c>
      <c r="AB248" s="1105"/>
    </row>
    <row r="249" spans="1:28">
      <c r="A249" s="1144">
        <f>Calendar!J241</f>
        <v>52258</v>
      </c>
      <c r="C249" s="1104"/>
      <c r="D249" s="1125">
        <f t="shared" ca="1" si="57"/>
        <v>53296</v>
      </c>
      <c r="E249" s="1126">
        <f t="shared" ca="1" si="58"/>
        <v>53323</v>
      </c>
      <c r="F249" s="1127">
        <f t="shared" ca="1" si="59"/>
        <v>7274</v>
      </c>
      <c r="G249" s="1128">
        <f ca="1">IF(F249&lt;&gt;"",COUNTIF($F$11:F249,"&gt;0"),"")</f>
        <v>239</v>
      </c>
      <c r="H249" s="1129">
        <v>2.6225528720367274E-2</v>
      </c>
      <c r="I249" s="1073"/>
      <c r="J249" s="1130">
        <f t="shared" ca="1" si="60"/>
        <v>448021780.61428076</v>
      </c>
      <c r="K249" s="1131">
        <f t="shared" ca="1" si="61"/>
        <v>11749608.074849905</v>
      </c>
      <c r="L249" s="1130">
        <f t="shared" ca="1" si="62"/>
        <v>0</v>
      </c>
      <c r="M249" s="1130">
        <f t="shared" ca="1" si="63"/>
        <v>0</v>
      </c>
      <c r="N249" s="1130">
        <f t="shared" ca="1" si="72"/>
        <v>436272172.53943086</v>
      </c>
      <c r="O249" s="1073"/>
      <c r="P249" s="1130">
        <f t="shared" ca="1" si="64"/>
        <v>11749608.074849904</v>
      </c>
      <c r="Q249" s="1130">
        <f t="shared" ca="1" si="65"/>
        <v>414458563.91245931</v>
      </c>
      <c r="R249" s="1130">
        <f t="shared" ca="1" si="73"/>
        <v>425620691.58356673</v>
      </c>
      <c r="S249" s="1130">
        <f t="shared" ca="1" si="74"/>
        <v>11162127.671107411</v>
      </c>
      <c r="T249" s="1130">
        <f t="shared" ca="1" si="66"/>
        <v>414458563.91245931</v>
      </c>
      <c r="U249" s="1132">
        <f t="shared" ca="1" si="67"/>
        <v>3.6047555015885795E-2</v>
      </c>
      <c r="V249" s="1133">
        <f t="shared" ca="1" si="68"/>
        <v>5.0000000000000044E-2</v>
      </c>
      <c r="X249" s="1134">
        <f t="shared" ca="1" si="75"/>
        <v>22401089.030714035</v>
      </c>
      <c r="Y249" s="1134">
        <f t="shared" ca="1" si="69"/>
        <v>587480.4037424922</v>
      </c>
      <c r="Z249" s="1134">
        <f t="shared" ca="1" si="70"/>
        <v>21813608.626971543</v>
      </c>
      <c r="AA249" s="1132">
        <f t="shared" ca="1" si="71"/>
        <v>3.8569368165829947E-2</v>
      </c>
      <c r="AB249" s="1105"/>
    </row>
    <row r="250" spans="1:28">
      <c r="A250" s="1144">
        <f>Calendar!J242</f>
        <v>52289</v>
      </c>
      <c r="C250" s="1104"/>
      <c r="D250" s="1125">
        <f t="shared" ca="1" si="57"/>
        <v>53327</v>
      </c>
      <c r="E250" s="1126">
        <f t="shared" ca="1" si="58"/>
        <v>53356</v>
      </c>
      <c r="F250" s="1127">
        <f t="shared" ca="1" si="59"/>
        <v>7307</v>
      </c>
      <c r="G250" s="1128">
        <f ca="1">IF(F250&lt;&gt;"",COUNTIF($F$11:F250,"&gt;0"),"")</f>
        <v>240</v>
      </c>
      <c r="H250" s="1129">
        <v>2.6526466269356584E-2</v>
      </c>
      <c r="I250" s="1073"/>
      <c r="J250" s="1130">
        <f t="shared" ca="1" si="60"/>
        <v>436272172.53943086</v>
      </c>
      <c r="K250" s="1131">
        <f t="shared" ca="1" si="61"/>
        <v>11572759.069126129</v>
      </c>
      <c r="L250" s="1130">
        <f t="shared" ca="1" si="62"/>
        <v>0</v>
      </c>
      <c r="M250" s="1130">
        <f t="shared" ca="1" si="63"/>
        <v>0</v>
      </c>
      <c r="N250" s="1130">
        <f t="shared" ca="1" si="72"/>
        <v>424699413.47030473</v>
      </c>
      <c r="O250" s="1073"/>
      <c r="P250" s="1130">
        <f t="shared" ca="1" si="64"/>
        <v>11572759.069126129</v>
      </c>
      <c r="Q250" s="1130">
        <f t="shared" ca="1" si="65"/>
        <v>403464442.79678947</v>
      </c>
      <c r="R250" s="1130">
        <f t="shared" ca="1" si="73"/>
        <v>414458563.91245931</v>
      </c>
      <c r="S250" s="1130">
        <f t="shared" ca="1" si="74"/>
        <v>10994121.115669847</v>
      </c>
      <c r="T250" s="1130">
        <f t="shared" ca="1" si="66"/>
        <v>403464442.79678947</v>
      </c>
      <c r="U250" s="1132">
        <f t="shared" ca="1" si="67"/>
        <v>3.5102188826517659E-2</v>
      </c>
      <c r="V250" s="1133">
        <f t="shared" ca="1" si="68"/>
        <v>5.0000000000000044E-2</v>
      </c>
      <c r="X250" s="1134">
        <f t="shared" ca="1" si="75"/>
        <v>21813608.626971543</v>
      </c>
      <c r="Y250" s="1134">
        <f t="shared" ca="1" si="69"/>
        <v>578637.95345628262</v>
      </c>
      <c r="Z250" s="1134">
        <f t="shared" ca="1" si="70"/>
        <v>21234970.67351526</v>
      </c>
      <c r="AA250" s="1132">
        <f t="shared" ca="1" si="71"/>
        <v>3.755786609327056E-2</v>
      </c>
      <c r="AB250" s="1105"/>
    </row>
    <row r="251" spans="1:28">
      <c r="A251" s="1144">
        <f>Calendar!J243</f>
        <v>52317</v>
      </c>
      <c r="C251" s="1104"/>
      <c r="D251" s="1125">
        <f t="shared" ca="1" si="57"/>
        <v>53358</v>
      </c>
      <c r="E251" s="1126">
        <f t="shared" ca="1" si="58"/>
        <v>53385</v>
      </c>
      <c r="F251" s="1127">
        <f t="shared" ca="1" si="59"/>
        <v>7336</v>
      </c>
      <c r="G251" s="1128">
        <f ca="1">IF(F251&lt;&gt;"",COUNTIF($F$11:F251,"&gt;0"),"")</f>
        <v>241</v>
      </c>
      <c r="H251" s="1129">
        <v>2.6776128829043153E-2</v>
      </c>
      <c r="I251" s="1073"/>
      <c r="J251" s="1130">
        <f t="shared" ca="1" si="60"/>
        <v>424699413.47030473</v>
      </c>
      <c r="K251" s="1131">
        <f t="shared" ca="1" si="61"/>
        <v>11371806.208699945</v>
      </c>
      <c r="L251" s="1130">
        <f t="shared" ca="1" si="62"/>
        <v>0</v>
      </c>
      <c r="M251" s="1130">
        <f t="shared" ca="1" si="63"/>
        <v>0</v>
      </c>
      <c r="N251" s="1130">
        <f t="shared" ca="1" si="72"/>
        <v>413327607.26160479</v>
      </c>
      <c r="O251" s="1073"/>
      <c r="P251" s="1130">
        <f t="shared" ca="1" si="64"/>
        <v>11371806.208699942</v>
      </c>
      <c r="Q251" s="1130">
        <f t="shared" ca="1" si="65"/>
        <v>392661226.89852452</v>
      </c>
      <c r="R251" s="1130">
        <f t="shared" ca="1" si="73"/>
        <v>403464442.79678947</v>
      </c>
      <c r="S251" s="1130">
        <f t="shared" ca="1" si="74"/>
        <v>10803215.898264945</v>
      </c>
      <c r="T251" s="1130">
        <f t="shared" ca="1" si="66"/>
        <v>392661226.89852452</v>
      </c>
      <c r="U251" s="1132">
        <f t="shared" ca="1" si="67"/>
        <v>3.4171051798630454E-2</v>
      </c>
      <c r="V251" s="1133">
        <f t="shared" ca="1" si="68"/>
        <v>5.0000000000000044E-2</v>
      </c>
      <c r="X251" s="1134">
        <f t="shared" ca="1" si="75"/>
        <v>21234970.67351526</v>
      </c>
      <c r="Y251" s="1134">
        <f t="shared" ca="1" si="69"/>
        <v>568590.31043499708</v>
      </c>
      <c r="Z251" s="1134">
        <f t="shared" ca="1" si="70"/>
        <v>20666380.363080263</v>
      </c>
      <c r="AA251" s="1132">
        <f t="shared" ca="1" si="71"/>
        <v>3.6561588625198448E-2</v>
      </c>
      <c r="AB251" s="1105"/>
    </row>
    <row r="252" spans="1:28">
      <c r="A252" s="1144">
        <f>Calendar!J244</f>
        <v>52348</v>
      </c>
      <c r="C252" s="1104"/>
      <c r="D252" s="1125">
        <f t="shared" ca="1" si="57"/>
        <v>53386</v>
      </c>
      <c r="E252" s="1126">
        <f t="shared" ca="1" si="58"/>
        <v>53413</v>
      </c>
      <c r="F252" s="1127">
        <f t="shared" ca="1" si="59"/>
        <v>7364</v>
      </c>
      <c r="G252" s="1128">
        <f ca="1">IF(F252&lt;&gt;"",COUNTIF($F$11:F252,"&gt;0"),"")</f>
        <v>242</v>
      </c>
      <c r="H252" s="1129">
        <v>2.7385870047039105E-2</v>
      </c>
      <c r="I252" s="1073"/>
      <c r="J252" s="1130">
        <f t="shared" ca="1" si="60"/>
        <v>413327607.26160479</v>
      </c>
      <c r="K252" s="1131">
        <f t="shared" ca="1" si="61"/>
        <v>11319336.139319925</v>
      </c>
      <c r="L252" s="1130">
        <f t="shared" ca="1" si="62"/>
        <v>0</v>
      </c>
      <c r="M252" s="1130">
        <f t="shared" ca="1" si="63"/>
        <v>0</v>
      </c>
      <c r="N252" s="1130">
        <f t="shared" ca="1" si="72"/>
        <v>402008271.12228489</v>
      </c>
      <c r="O252" s="1073"/>
      <c r="P252" s="1130">
        <f t="shared" ca="1" si="64"/>
        <v>11319336.139319897</v>
      </c>
      <c r="Q252" s="1130">
        <f t="shared" ca="1" si="65"/>
        <v>381907857.56617063</v>
      </c>
      <c r="R252" s="1130">
        <f t="shared" ca="1" si="73"/>
        <v>392661226.89852452</v>
      </c>
      <c r="S252" s="1130">
        <f t="shared" ca="1" si="74"/>
        <v>10753369.33235389</v>
      </c>
      <c r="T252" s="1130">
        <f t="shared" ca="1" si="66"/>
        <v>381907857.56617063</v>
      </c>
      <c r="U252" s="1132">
        <f t="shared" ca="1" si="67"/>
        <v>3.3256083313446413E-2</v>
      </c>
      <c r="V252" s="1133">
        <f t="shared" ca="1" si="68"/>
        <v>5.0000000000000044E-2</v>
      </c>
      <c r="X252" s="1134">
        <f t="shared" ca="1" si="75"/>
        <v>20666380.363080263</v>
      </c>
      <c r="Y252" s="1134">
        <f t="shared" ca="1" si="69"/>
        <v>565966.80696600676</v>
      </c>
      <c r="Z252" s="1134">
        <f t="shared" ca="1" si="70"/>
        <v>20100413.556114256</v>
      </c>
      <c r="AA252" s="1132">
        <f t="shared" ca="1" si="71"/>
        <v>3.558261081797566E-2</v>
      </c>
      <c r="AB252" s="1105"/>
    </row>
    <row r="253" spans="1:28">
      <c r="A253" s="1144">
        <f>Calendar!J245</f>
        <v>52378</v>
      </c>
      <c r="C253" s="1104"/>
      <c r="D253" s="1125">
        <f t="shared" ca="1" si="57"/>
        <v>53417</v>
      </c>
      <c r="E253" s="1126">
        <f t="shared" ca="1" si="58"/>
        <v>53444</v>
      </c>
      <c r="F253" s="1127">
        <f t="shared" ca="1" si="59"/>
        <v>7395</v>
      </c>
      <c r="G253" s="1128">
        <f ca="1">IF(F253&lt;&gt;"",COUNTIF($F$11:F253,"&gt;0"),"")</f>
        <v>243</v>
      </c>
      <c r="H253" s="1129">
        <v>2.801029486688468E-2</v>
      </c>
      <c r="I253" s="1073"/>
      <c r="J253" s="1130">
        <f t="shared" ca="1" si="60"/>
        <v>402008271.12228489</v>
      </c>
      <c r="K253" s="1131">
        <f t="shared" ca="1" si="61"/>
        <v>11260370.213061722</v>
      </c>
      <c r="L253" s="1130">
        <f t="shared" ca="1" si="62"/>
        <v>0</v>
      </c>
      <c r="M253" s="1130">
        <f t="shared" ca="1" si="63"/>
        <v>0</v>
      </c>
      <c r="N253" s="1130">
        <f t="shared" ca="1" si="72"/>
        <v>390747900.90922314</v>
      </c>
      <c r="O253" s="1073"/>
      <c r="P253" s="1130">
        <f t="shared" ca="1" si="64"/>
        <v>11260370.21306175</v>
      </c>
      <c r="Q253" s="1130">
        <f t="shared" ca="1" si="65"/>
        <v>371210505.86376196</v>
      </c>
      <c r="R253" s="1130">
        <f t="shared" ca="1" si="73"/>
        <v>381907857.56617063</v>
      </c>
      <c r="S253" s="1130">
        <f t="shared" ca="1" si="74"/>
        <v>10697351.702408671</v>
      </c>
      <c r="T253" s="1130">
        <f t="shared" ca="1" si="66"/>
        <v>371210505.86376196</v>
      </c>
      <c r="U253" s="1132">
        <f t="shared" ca="1" si="67"/>
        <v>3.2345336537550867E-2</v>
      </c>
      <c r="V253" s="1133">
        <f t="shared" ca="1" si="68"/>
        <v>5.0000000000000044E-2</v>
      </c>
      <c r="X253" s="1134">
        <f t="shared" ca="1" si="75"/>
        <v>20100413.556114256</v>
      </c>
      <c r="Y253" s="1134">
        <f t="shared" ca="1" si="69"/>
        <v>563018.51065307856</v>
      </c>
      <c r="Z253" s="1134">
        <f t="shared" ca="1" si="70"/>
        <v>19537395.045461178</v>
      </c>
      <c r="AA253" s="1132">
        <f t="shared" ca="1" si="71"/>
        <v>3.4608150062180196E-2</v>
      </c>
      <c r="AB253" s="1105"/>
    </row>
    <row r="254" spans="1:28">
      <c r="A254" s="1144">
        <f>Calendar!J246</f>
        <v>52411</v>
      </c>
      <c r="C254" s="1104"/>
      <c r="D254" s="1125">
        <f t="shared" ca="1" si="57"/>
        <v>53447</v>
      </c>
      <c r="E254" s="1126">
        <f t="shared" ca="1" si="58"/>
        <v>53475</v>
      </c>
      <c r="F254" s="1127">
        <f t="shared" ca="1" si="59"/>
        <v>7426</v>
      </c>
      <c r="G254" s="1128">
        <f ca="1">IF(F254&lt;&gt;"",COUNTIF($F$11:F254,"&gt;0"),"")</f>
        <v>244</v>
      </c>
      <c r="H254" s="1129">
        <v>2.8659681468211358E-2</v>
      </c>
      <c r="I254" s="1073"/>
      <c r="J254" s="1130">
        <f t="shared" ca="1" si="60"/>
        <v>390747900.90922314</v>
      </c>
      <c r="K254" s="1131">
        <f t="shared" ca="1" si="61"/>
        <v>11198710.37443055</v>
      </c>
      <c r="L254" s="1130">
        <f t="shared" ca="1" si="62"/>
        <v>0</v>
      </c>
      <c r="M254" s="1130">
        <f t="shared" ca="1" si="63"/>
        <v>0</v>
      </c>
      <c r="N254" s="1130">
        <f t="shared" ca="1" si="72"/>
        <v>379549190.5347926</v>
      </c>
      <c r="O254" s="1073"/>
      <c r="P254" s="1130">
        <f t="shared" ca="1" si="64"/>
        <v>11198710.374430537</v>
      </c>
      <c r="Q254" s="1130">
        <f t="shared" ca="1" si="65"/>
        <v>360571731.00805295</v>
      </c>
      <c r="R254" s="1130">
        <f t="shared" ca="1" si="73"/>
        <v>371210505.86376196</v>
      </c>
      <c r="S254" s="1130">
        <f t="shared" ca="1" si="74"/>
        <v>10638774.855709016</v>
      </c>
      <c r="T254" s="1130">
        <f t="shared" ca="1" si="66"/>
        <v>360571731.00805295</v>
      </c>
      <c r="U254" s="1132">
        <f t="shared" ca="1" si="67"/>
        <v>3.1439334123565449E-2</v>
      </c>
      <c r="V254" s="1133">
        <f t="shared" ca="1" si="68"/>
        <v>5.0000000000000044E-2</v>
      </c>
      <c r="X254" s="1134">
        <f t="shared" ca="1" si="75"/>
        <v>19537395.045461178</v>
      </c>
      <c r="Y254" s="1134">
        <f t="shared" ca="1" si="69"/>
        <v>559935.5187215209</v>
      </c>
      <c r="Z254" s="1134">
        <f t="shared" ca="1" si="70"/>
        <v>18977459.526739657</v>
      </c>
      <c r="AA254" s="1132">
        <f t="shared" ca="1" si="71"/>
        <v>3.3638765574141145E-2</v>
      </c>
      <c r="AB254" s="1105"/>
    </row>
    <row r="255" spans="1:28">
      <c r="A255" s="1144">
        <f>Calendar!J247</f>
        <v>52439</v>
      </c>
      <c r="C255" s="1104"/>
      <c r="D255" s="1125">
        <f t="shared" ca="1" si="57"/>
        <v>53478</v>
      </c>
      <c r="E255" s="1126">
        <f t="shared" ca="1" si="58"/>
        <v>53505</v>
      </c>
      <c r="F255" s="1127">
        <f t="shared" ca="1" si="59"/>
        <v>7456</v>
      </c>
      <c r="G255" s="1128">
        <f ca="1">IF(F255&lt;&gt;"",COUNTIF($F$11:F255,"&gt;0"),"")</f>
        <v>245</v>
      </c>
      <c r="H255" s="1129">
        <v>2.933955360109141E-2</v>
      </c>
      <c r="I255" s="1073"/>
      <c r="J255" s="1130">
        <f t="shared" ca="1" si="60"/>
        <v>379549190.5347926</v>
      </c>
      <c r="K255" s="1131">
        <f t="shared" ca="1" si="61"/>
        <v>11135803.819946405</v>
      </c>
      <c r="L255" s="1130">
        <f t="shared" ca="1" si="62"/>
        <v>0</v>
      </c>
      <c r="M255" s="1130">
        <f t="shared" ca="1" si="63"/>
        <v>0</v>
      </c>
      <c r="N255" s="1130">
        <f t="shared" ca="1" si="72"/>
        <v>368413386.71484619</v>
      </c>
      <c r="O255" s="1073"/>
      <c r="P255" s="1130">
        <f t="shared" ca="1" si="64"/>
        <v>11135803.819946408</v>
      </c>
      <c r="Q255" s="1130">
        <f t="shared" ca="1" si="65"/>
        <v>349992717.37910384</v>
      </c>
      <c r="R255" s="1130">
        <f t="shared" ca="1" si="73"/>
        <v>360571731.00805295</v>
      </c>
      <c r="S255" s="1130">
        <f t="shared" ca="1" si="74"/>
        <v>10579013.628949106</v>
      </c>
      <c r="T255" s="1130">
        <f t="shared" ca="1" si="66"/>
        <v>349992717.37910384</v>
      </c>
      <c r="U255" s="1132">
        <f t="shared" ca="1" si="67"/>
        <v>3.0538292822011395E-2</v>
      </c>
      <c r="V255" s="1133">
        <f t="shared" ca="1" si="68"/>
        <v>5.0000000000000155E-2</v>
      </c>
      <c r="X255" s="1134">
        <f t="shared" ca="1" si="75"/>
        <v>18977459.526739657</v>
      </c>
      <c r="Y255" s="1134">
        <f t="shared" ca="1" si="69"/>
        <v>556790.19099730253</v>
      </c>
      <c r="Z255" s="1134">
        <f t="shared" ca="1" si="70"/>
        <v>18420669.335742354</v>
      </c>
      <c r="AA255" s="1132">
        <f t="shared" ca="1" si="71"/>
        <v>3.267468926780244E-2</v>
      </c>
      <c r="AB255" s="1105"/>
    </row>
    <row r="256" spans="1:28">
      <c r="A256" s="1144">
        <f>Calendar!J248</f>
        <v>52470</v>
      </c>
      <c r="C256" s="1104"/>
      <c r="D256" s="1125">
        <f t="shared" ca="1" si="57"/>
        <v>53508</v>
      </c>
      <c r="E256" s="1126">
        <f t="shared" ca="1" si="58"/>
        <v>53535</v>
      </c>
      <c r="F256" s="1127">
        <f t="shared" ca="1" si="59"/>
        <v>7486</v>
      </c>
      <c r="G256" s="1128">
        <f ca="1">IF(F256&lt;&gt;"",COUNTIF($F$11:F256,"&gt;0"),"")</f>
        <v>246</v>
      </c>
      <c r="H256" s="1129">
        <v>3.0000951199375001E-2</v>
      </c>
      <c r="I256" s="1073"/>
      <c r="J256" s="1130">
        <f t="shared" ca="1" si="60"/>
        <v>368413386.71484619</v>
      </c>
      <c r="K256" s="1131">
        <f t="shared" ca="1" si="61"/>
        <v>11052752.036028571</v>
      </c>
      <c r="L256" s="1130">
        <f t="shared" ca="1" si="62"/>
        <v>0</v>
      </c>
      <c r="M256" s="1130">
        <f t="shared" ca="1" si="63"/>
        <v>0</v>
      </c>
      <c r="N256" s="1130">
        <f t="shared" ca="1" si="72"/>
        <v>357360634.67881763</v>
      </c>
      <c r="O256" s="1073"/>
      <c r="P256" s="1130">
        <f t="shared" ca="1" si="64"/>
        <v>11052752.036028564</v>
      </c>
      <c r="Q256" s="1130">
        <f t="shared" ca="1" si="65"/>
        <v>339492602.94487673</v>
      </c>
      <c r="R256" s="1130">
        <f t="shared" ca="1" si="73"/>
        <v>349992717.37910384</v>
      </c>
      <c r="S256" s="1130">
        <f t="shared" ca="1" si="74"/>
        <v>10500114.434227109</v>
      </c>
      <c r="T256" s="1130">
        <f t="shared" ca="1" si="66"/>
        <v>339492602.94487673</v>
      </c>
      <c r="U256" s="1132">
        <f t="shared" ca="1" si="67"/>
        <v>2.9642312942874165E-2</v>
      </c>
      <c r="V256" s="1133">
        <f t="shared" ca="1" si="68"/>
        <v>5.0000000000000044E-2</v>
      </c>
      <c r="X256" s="1134">
        <f t="shared" ca="1" si="75"/>
        <v>18420669.335742354</v>
      </c>
      <c r="Y256" s="1134">
        <f t="shared" ca="1" si="69"/>
        <v>552637.60180145502</v>
      </c>
      <c r="Z256" s="1134">
        <f t="shared" ca="1" si="70"/>
        <v>17868031.733940899</v>
      </c>
      <c r="AA256" s="1132">
        <f t="shared" ca="1" si="71"/>
        <v>3.1716028470630778E-2</v>
      </c>
      <c r="AB256" s="1105"/>
    </row>
    <row r="257" spans="1:28">
      <c r="A257" s="1144">
        <f>Calendar!J249</f>
        <v>52502</v>
      </c>
      <c r="C257" s="1104"/>
      <c r="D257" s="1125">
        <f t="shared" ca="1" si="57"/>
        <v>53539</v>
      </c>
      <c r="E257" s="1126">
        <f t="shared" ca="1" si="58"/>
        <v>53566</v>
      </c>
      <c r="F257" s="1127">
        <f t="shared" ca="1" si="59"/>
        <v>7517</v>
      </c>
      <c r="G257" s="1128">
        <f ca="1">IF(F257&lt;&gt;"",COUNTIF($F$11:F257,"&gt;0"),"")</f>
        <v>247</v>
      </c>
      <c r="H257" s="1129">
        <v>3.072697221838603E-2</v>
      </c>
      <c r="I257" s="1073"/>
      <c r="J257" s="1130">
        <f t="shared" ca="1" si="60"/>
        <v>357360634.67881763</v>
      </c>
      <c r="K257" s="1131">
        <f t="shared" ca="1" si="61"/>
        <v>10980610.293720828</v>
      </c>
      <c r="L257" s="1130">
        <f t="shared" ca="1" si="62"/>
        <v>0</v>
      </c>
      <c r="M257" s="1130">
        <f t="shared" ca="1" si="63"/>
        <v>0</v>
      </c>
      <c r="N257" s="1130">
        <f t="shared" ca="1" si="72"/>
        <v>346380024.38509679</v>
      </c>
      <c r="O257" s="1073"/>
      <c r="P257" s="1130">
        <f t="shared" ca="1" si="64"/>
        <v>10980610.293720841</v>
      </c>
      <c r="Q257" s="1130">
        <f t="shared" ca="1" si="65"/>
        <v>329061023.16584194</v>
      </c>
      <c r="R257" s="1130">
        <f t="shared" ca="1" si="73"/>
        <v>339492602.94487673</v>
      </c>
      <c r="S257" s="1130">
        <f t="shared" ca="1" si="74"/>
        <v>10431579.779034793</v>
      </c>
      <c r="T257" s="1130">
        <f t="shared" ca="1" si="66"/>
        <v>329061023.16584194</v>
      </c>
      <c r="U257" s="1132">
        <f t="shared" ca="1" si="67"/>
        <v>2.8753015358838396E-2</v>
      </c>
      <c r="V257" s="1133">
        <f t="shared" ca="1" si="68"/>
        <v>5.0000000000000044E-2</v>
      </c>
      <c r="X257" s="1134">
        <f t="shared" ca="1" si="75"/>
        <v>17868031.733940899</v>
      </c>
      <c r="Y257" s="1134">
        <f t="shared" ca="1" si="69"/>
        <v>549030.51468604803</v>
      </c>
      <c r="Z257" s="1134">
        <f t="shared" ca="1" si="70"/>
        <v>17319001.219254851</v>
      </c>
      <c r="AA257" s="1132">
        <f t="shared" ca="1" si="71"/>
        <v>3.0764517448245349E-2</v>
      </c>
      <c r="AB257" s="1105"/>
    </row>
    <row r="258" spans="1:28">
      <c r="A258" s="1144">
        <f>Calendar!J250</f>
        <v>52531</v>
      </c>
      <c r="C258" s="1104"/>
      <c r="D258" s="1125">
        <f t="shared" ca="1" si="57"/>
        <v>53570</v>
      </c>
      <c r="E258" s="1126">
        <f t="shared" ca="1" si="58"/>
        <v>53597</v>
      </c>
      <c r="F258" s="1127">
        <f t="shared" ca="1" si="59"/>
        <v>7548</v>
      </c>
      <c r="G258" s="1128">
        <f ca="1">IF(F258&lt;&gt;"",COUNTIF($F$11:F258,"&gt;0"),"")</f>
        <v>248</v>
      </c>
      <c r="H258" s="1129">
        <v>3.1454103598447816E-2</v>
      </c>
      <c r="I258" s="1073"/>
      <c r="J258" s="1130">
        <f t="shared" ca="1" si="60"/>
        <v>346380024.38509679</v>
      </c>
      <c r="K258" s="1131">
        <f t="shared" ca="1" si="61"/>
        <v>10895073.171441715</v>
      </c>
      <c r="L258" s="1130">
        <f t="shared" ca="1" si="62"/>
        <v>0</v>
      </c>
      <c r="M258" s="1130">
        <f t="shared" ca="1" si="63"/>
        <v>0</v>
      </c>
      <c r="N258" s="1130">
        <f t="shared" ca="1" si="72"/>
        <v>335484951.21365505</v>
      </c>
      <c r="O258" s="1073"/>
      <c r="P258" s="1130">
        <f t="shared" ca="1" si="64"/>
        <v>10895073.171441734</v>
      </c>
      <c r="Q258" s="1130">
        <f t="shared" ca="1" si="65"/>
        <v>318710703.65297228</v>
      </c>
      <c r="R258" s="1130">
        <f t="shared" ca="1" si="73"/>
        <v>329061023.16584194</v>
      </c>
      <c r="S258" s="1130">
        <f t="shared" ca="1" si="74"/>
        <v>10350319.512869656</v>
      </c>
      <c r="T258" s="1130">
        <f t="shared" ca="1" si="66"/>
        <v>318710703.65297228</v>
      </c>
      <c r="U258" s="1132">
        <f t="shared" ca="1" si="67"/>
        <v>2.7869522254712543E-2</v>
      </c>
      <c r="V258" s="1133">
        <f t="shared" ca="1" si="68"/>
        <v>5.0000000000000044E-2</v>
      </c>
      <c r="X258" s="1134">
        <f t="shared" ca="1" si="75"/>
        <v>17319001.219254851</v>
      </c>
      <c r="Y258" s="1134">
        <f t="shared" ca="1" si="69"/>
        <v>544753.65857207775</v>
      </c>
      <c r="Z258" s="1134">
        <f t="shared" ca="1" si="70"/>
        <v>16774247.560682774</v>
      </c>
      <c r="AA258" s="1132">
        <f t="shared" ca="1" si="71"/>
        <v>2.9819216975301054E-2</v>
      </c>
      <c r="AB258" s="1105"/>
    </row>
    <row r="259" spans="1:28">
      <c r="A259" s="1144">
        <f>Calendar!J251</f>
        <v>52562</v>
      </c>
      <c r="C259" s="1104"/>
      <c r="D259" s="1125">
        <f t="shared" ca="1" si="57"/>
        <v>53600</v>
      </c>
      <c r="E259" s="1126">
        <f t="shared" ca="1" si="58"/>
        <v>53629</v>
      </c>
      <c r="F259" s="1127">
        <f t="shared" ca="1" si="59"/>
        <v>7580</v>
      </c>
      <c r="G259" s="1128">
        <f ca="1">IF(F259&lt;&gt;"",COUNTIF($F$11:F259,"&gt;0"),"")</f>
        <v>249</v>
      </c>
      <c r="H259" s="1129">
        <v>3.2332006128677628E-2</v>
      </c>
      <c r="I259" s="1073"/>
      <c r="J259" s="1130">
        <f t="shared" ca="1" si="60"/>
        <v>335484951.21365505</v>
      </c>
      <c r="K259" s="1131">
        <f t="shared" ca="1" si="61"/>
        <v>10846901.498719011</v>
      </c>
      <c r="L259" s="1130">
        <f t="shared" ca="1" si="62"/>
        <v>0</v>
      </c>
      <c r="M259" s="1130">
        <f t="shared" ca="1" si="63"/>
        <v>0</v>
      </c>
      <c r="N259" s="1130">
        <f t="shared" ca="1" si="72"/>
        <v>324638049.71493602</v>
      </c>
      <c r="O259" s="1073"/>
      <c r="P259" s="1130">
        <f t="shared" ca="1" si="64"/>
        <v>10846901.498719037</v>
      </c>
      <c r="Q259" s="1130">
        <f t="shared" ca="1" si="65"/>
        <v>308406147.22918922</v>
      </c>
      <c r="R259" s="1130">
        <f t="shared" ca="1" si="73"/>
        <v>318710703.65297228</v>
      </c>
      <c r="S259" s="1130">
        <f t="shared" ca="1" si="74"/>
        <v>10304556.423783064</v>
      </c>
      <c r="T259" s="1130">
        <f t="shared" ca="1" si="66"/>
        <v>308406147.22918922</v>
      </c>
      <c r="U259" s="1132">
        <f t="shared" ca="1" si="67"/>
        <v>2.6992911414473564E-2</v>
      </c>
      <c r="V259" s="1133">
        <f t="shared" ca="1" si="68"/>
        <v>5.0000000000000044E-2</v>
      </c>
      <c r="X259" s="1134">
        <f t="shared" ca="1" si="75"/>
        <v>16774247.560682774</v>
      </c>
      <c r="Y259" s="1134">
        <f t="shared" ca="1" si="69"/>
        <v>542345.07493597269</v>
      </c>
      <c r="Z259" s="1134">
        <f t="shared" ca="1" si="70"/>
        <v>16231902.485746801</v>
      </c>
      <c r="AA259" s="1132">
        <f t="shared" ca="1" si="71"/>
        <v>2.8881280235335354E-2</v>
      </c>
      <c r="AB259" s="1105"/>
    </row>
    <row r="260" spans="1:28">
      <c r="A260" s="1144">
        <f>Calendar!J252</f>
        <v>52593</v>
      </c>
      <c r="C260" s="1104"/>
      <c r="D260" s="1125">
        <f t="shared" ca="1" si="57"/>
        <v>53631</v>
      </c>
      <c r="E260" s="1126">
        <f t="shared" ca="1" si="58"/>
        <v>53658</v>
      </c>
      <c r="F260" s="1127">
        <f t="shared" ca="1" si="59"/>
        <v>7609</v>
      </c>
      <c r="G260" s="1128">
        <f ca="1">IF(F260&lt;&gt;"",COUNTIF($F$11:F260,"&gt;0"),"")</f>
        <v>250</v>
      </c>
      <c r="H260" s="1129">
        <v>3.3097341124325198E-2</v>
      </c>
      <c r="I260" s="1073"/>
      <c r="J260" s="1130">
        <f t="shared" ca="1" si="60"/>
        <v>324638049.71493602</v>
      </c>
      <c r="K260" s="1131">
        <f t="shared" ca="1" si="61"/>
        <v>10744656.27335088</v>
      </c>
      <c r="L260" s="1130">
        <f t="shared" ca="1" si="62"/>
        <v>0</v>
      </c>
      <c r="M260" s="1130">
        <f t="shared" ca="1" si="63"/>
        <v>0</v>
      </c>
      <c r="N260" s="1130">
        <f t="shared" ca="1" si="72"/>
        <v>313893393.44158512</v>
      </c>
      <c r="O260" s="1073"/>
      <c r="P260" s="1130">
        <f t="shared" ca="1" si="64"/>
        <v>10744656.273350894</v>
      </c>
      <c r="Q260" s="1130">
        <f t="shared" ca="1" si="65"/>
        <v>298198723.76950586</v>
      </c>
      <c r="R260" s="1130">
        <f t="shared" ca="1" si="73"/>
        <v>308406147.22918922</v>
      </c>
      <c r="S260" s="1130">
        <f t="shared" ca="1" si="74"/>
        <v>10207423.459683359</v>
      </c>
      <c r="T260" s="1130">
        <f t="shared" ca="1" si="66"/>
        <v>298198723.76950586</v>
      </c>
      <c r="U260" s="1132">
        <f t="shared" ca="1" si="67"/>
        <v>2.6120176437189953E-2</v>
      </c>
      <c r="V260" s="1133">
        <f t="shared" ca="1" si="68"/>
        <v>5.0000000000000044E-2</v>
      </c>
      <c r="X260" s="1134">
        <f t="shared" ca="1" si="75"/>
        <v>16231902.485746801</v>
      </c>
      <c r="Y260" s="1134">
        <f t="shared" ca="1" si="69"/>
        <v>537232.81366753578</v>
      </c>
      <c r="Z260" s="1134">
        <f t="shared" ca="1" si="70"/>
        <v>15694669.672079265</v>
      </c>
      <c r="AA260" s="1132">
        <f t="shared" ca="1" si="71"/>
        <v>2.7947490505762399E-2</v>
      </c>
      <c r="AB260" s="1105"/>
    </row>
    <row r="261" spans="1:28">
      <c r="A261" s="1144">
        <f>Calendar!J253</f>
        <v>52623</v>
      </c>
      <c r="C261" s="1104"/>
      <c r="D261" s="1125">
        <f t="shared" ca="1" si="57"/>
        <v>53661</v>
      </c>
      <c r="E261" s="1126">
        <f t="shared" ca="1" si="58"/>
        <v>53688</v>
      </c>
      <c r="F261" s="1127">
        <f t="shared" ca="1" si="59"/>
        <v>7639</v>
      </c>
      <c r="G261" s="1128">
        <f ca="1">IF(F261&lt;&gt;"",COUNTIF($F$11:F261,"&gt;0"),"")</f>
        <v>251</v>
      </c>
      <c r="H261" s="1129">
        <v>3.3942781075839305E-2</v>
      </c>
      <c r="I261" s="1073"/>
      <c r="J261" s="1130">
        <f t="shared" ca="1" si="60"/>
        <v>313893393.44158512</v>
      </c>
      <c r="K261" s="1131">
        <f t="shared" ca="1" si="61"/>
        <v>10654414.734740017</v>
      </c>
      <c r="L261" s="1130">
        <f t="shared" ca="1" si="62"/>
        <v>0</v>
      </c>
      <c r="M261" s="1130">
        <f t="shared" ca="1" si="63"/>
        <v>0</v>
      </c>
      <c r="N261" s="1130">
        <f t="shared" ca="1" si="72"/>
        <v>303238978.7068451</v>
      </c>
      <c r="O261" s="1073"/>
      <c r="P261" s="1130">
        <f t="shared" ca="1" si="64"/>
        <v>10654414.734740019</v>
      </c>
      <c r="Q261" s="1130">
        <f t="shared" ca="1" si="65"/>
        <v>288077029.77150285</v>
      </c>
      <c r="R261" s="1130">
        <f t="shared" ca="1" si="73"/>
        <v>298198723.76950586</v>
      </c>
      <c r="S261" s="1130">
        <f t="shared" ca="1" si="74"/>
        <v>10121693.998003006</v>
      </c>
      <c r="T261" s="1130">
        <f t="shared" ca="1" si="66"/>
        <v>288077029.77150285</v>
      </c>
      <c r="U261" s="1132">
        <f t="shared" ca="1" si="67"/>
        <v>2.5255668047420715E-2</v>
      </c>
      <c r="V261" s="1133">
        <f t="shared" ca="1" si="68"/>
        <v>5.0000000000000044E-2</v>
      </c>
      <c r="X261" s="1134">
        <f t="shared" ca="1" si="75"/>
        <v>15694669.672079265</v>
      </c>
      <c r="Y261" s="1134">
        <f t="shared" ca="1" si="69"/>
        <v>532720.73673701286</v>
      </c>
      <c r="Z261" s="1134">
        <f t="shared" ca="1" si="70"/>
        <v>15161948.935342252</v>
      </c>
      <c r="AA261" s="1132">
        <f t="shared" ca="1" si="71"/>
        <v>2.7022502878924354E-2</v>
      </c>
      <c r="AB261" s="1105"/>
    </row>
    <row r="262" spans="1:28">
      <c r="A262" s="1144">
        <f>Calendar!J254</f>
        <v>52656</v>
      </c>
      <c r="C262" s="1104"/>
      <c r="D262" s="1125">
        <f t="shared" ca="1" si="57"/>
        <v>53692</v>
      </c>
      <c r="E262" s="1126">
        <f t="shared" ca="1" si="58"/>
        <v>53720</v>
      </c>
      <c r="F262" s="1127">
        <f t="shared" ca="1" si="59"/>
        <v>7671</v>
      </c>
      <c r="G262" s="1128">
        <f ca="1">IF(F262&lt;&gt;"",COUNTIF($F$11:F262,"&gt;0"),"")</f>
        <v>252</v>
      </c>
      <c r="H262" s="1129">
        <v>3.4898352762308835E-2</v>
      </c>
      <c r="I262" s="1073"/>
      <c r="J262" s="1130">
        <f t="shared" ca="1" si="60"/>
        <v>303238978.7068451</v>
      </c>
      <c r="K262" s="1131">
        <f t="shared" ca="1" si="61"/>
        <v>10582540.850193737</v>
      </c>
      <c r="L262" s="1130">
        <f t="shared" ca="1" si="62"/>
        <v>0</v>
      </c>
      <c r="M262" s="1130">
        <f t="shared" ca="1" si="63"/>
        <v>0</v>
      </c>
      <c r="N262" s="1130">
        <f t="shared" ca="1" si="72"/>
        <v>292656437.85665137</v>
      </c>
      <c r="O262" s="1073"/>
      <c r="P262" s="1130">
        <f t="shared" ca="1" si="64"/>
        <v>10582540.850193739</v>
      </c>
      <c r="Q262" s="1130">
        <f t="shared" ca="1" si="65"/>
        <v>278023615.96381879</v>
      </c>
      <c r="R262" s="1130">
        <f t="shared" ca="1" si="73"/>
        <v>288077029.77150285</v>
      </c>
      <c r="S262" s="1130">
        <f t="shared" ca="1" si="74"/>
        <v>10053413.807684064</v>
      </c>
      <c r="T262" s="1130">
        <f t="shared" ca="1" si="66"/>
        <v>278023615.96381879</v>
      </c>
      <c r="U262" s="1132">
        <f t="shared" ca="1" si="67"/>
        <v>2.4398420435963044E-2</v>
      </c>
      <c r="V262" s="1133">
        <f t="shared" ca="1" si="68"/>
        <v>5.0000000000000044E-2</v>
      </c>
      <c r="X262" s="1134">
        <f t="shared" ca="1" si="75"/>
        <v>15161948.935342252</v>
      </c>
      <c r="Y262" s="1134">
        <f t="shared" ca="1" si="69"/>
        <v>529127.04250967503</v>
      </c>
      <c r="Z262" s="1134">
        <f t="shared" ca="1" si="70"/>
        <v>14632821.892832577</v>
      </c>
      <c r="AA262" s="1132">
        <f t="shared" ca="1" si="71"/>
        <v>2.6105283979583768E-2</v>
      </c>
      <c r="AB262" s="1105"/>
    </row>
    <row r="263" spans="1:28">
      <c r="A263" s="1144">
        <f>Calendar!J255</f>
        <v>52684</v>
      </c>
      <c r="C263" s="1104"/>
      <c r="D263" s="1125">
        <f t="shared" ca="1" si="57"/>
        <v>53723</v>
      </c>
      <c r="E263" s="1126">
        <f t="shared" ca="1" si="58"/>
        <v>53750</v>
      </c>
      <c r="F263" s="1127">
        <f t="shared" ca="1" si="59"/>
        <v>7701</v>
      </c>
      <c r="G263" s="1128">
        <f ca="1">IF(F263&lt;&gt;"",COUNTIF($F$11:F263,"&gt;0"),"")</f>
        <v>253</v>
      </c>
      <c r="H263" s="1129">
        <v>3.5822025539704504E-2</v>
      </c>
      <c r="I263" s="1073"/>
      <c r="J263" s="1130">
        <f t="shared" ca="1" si="60"/>
        <v>292656437.85665137</v>
      </c>
      <c r="K263" s="1131">
        <f t="shared" ca="1" si="61"/>
        <v>10483546.391259909</v>
      </c>
      <c r="L263" s="1130">
        <f t="shared" ca="1" si="62"/>
        <v>0</v>
      </c>
      <c r="M263" s="1130">
        <f t="shared" ca="1" si="63"/>
        <v>0</v>
      </c>
      <c r="N263" s="1130">
        <f t="shared" ca="1" si="72"/>
        <v>282172891.46539146</v>
      </c>
      <c r="O263" s="1073"/>
      <c r="P263" s="1130">
        <f t="shared" ca="1" si="64"/>
        <v>10483546.391259909</v>
      </c>
      <c r="Q263" s="1130">
        <f t="shared" ca="1" si="65"/>
        <v>268064246.89212188</v>
      </c>
      <c r="R263" s="1130">
        <f t="shared" ca="1" si="73"/>
        <v>278023615.96381879</v>
      </c>
      <c r="S263" s="1130">
        <f t="shared" ca="1" si="74"/>
        <v>9959369.0716969073</v>
      </c>
      <c r="T263" s="1130">
        <f t="shared" ca="1" si="66"/>
        <v>268064246.89212188</v>
      </c>
      <c r="U263" s="1132">
        <f t="shared" ca="1" si="67"/>
        <v>2.354695575274568E-2</v>
      </c>
      <c r="V263" s="1133">
        <f t="shared" ca="1" si="68"/>
        <v>5.0000000000000044E-2</v>
      </c>
      <c r="X263" s="1134">
        <f t="shared" ca="1" si="75"/>
        <v>14632821.892832577</v>
      </c>
      <c r="Y263" s="1134">
        <f t="shared" ca="1" si="69"/>
        <v>524177.31956300139</v>
      </c>
      <c r="Z263" s="1134">
        <f t="shared" ca="1" si="70"/>
        <v>14108644.573269576</v>
      </c>
      <c r="AA263" s="1132">
        <f t="shared" ca="1" si="71"/>
        <v>2.5194252570304023E-2</v>
      </c>
      <c r="AB263" s="1105"/>
    </row>
    <row r="264" spans="1:28">
      <c r="A264" s="1144">
        <f>Calendar!J256</f>
        <v>52714</v>
      </c>
      <c r="C264" s="1104"/>
      <c r="D264" s="1125">
        <f t="shared" ca="1" si="57"/>
        <v>53751</v>
      </c>
      <c r="E264" s="1126">
        <f t="shared" ca="1" si="58"/>
        <v>53778</v>
      </c>
      <c r="F264" s="1127">
        <f t="shared" ca="1" si="59"/>
        <v>7729</v>
      </c>
      <c r="G264" s="1128">
        <f ca="1">IF(F264&lt;&gt;"",COUNTIF($F$11:F264,"&gt;0"),"")</f>
        <v>254</v>
      </c>
      <c r="H264" s="1129">
        <v>3.6756342797182935E-2</v>
      </c>
      <c r="I264" s="1073"/>
      <c r="J264" s="1130">
        <f t="shared" ca="1" si="60"/>
        <v>282172891.46539146</v>
      </c>
      <c r="K264" s="1131">
        <f t="shared" ca="1" si="61"/>
        <v>10371643.526774224</v>
      </c>
      <c r="L264" s="1130">
        <f t="shared" ca="1" si="62"/>
        <v>0</v>
      </c>
      <c r="M264" s="1130">
        <f t="shared" ca="1" si="63"/>
        <v>0</v>
      </c>
      <c r="N264" s="1130">
        <f t="shared" ca="1" si="72"/>
        <v>271801247.93861723</v>
      </c>
      <c r="O264" s="1073"/>
      <c r="P264" s="1130">
        <f t="shared" ca="1" si="64"/>
        <v>10371643.526774228</v>
      </c>
      <c r="Q264" s="1130">
        <f t="shared" ca="1" si="65"/>
        <v>258211185.54168636</v>
      </c>
      <c r="R264" s="1130">
        <f t="shared" ca="1" si="73"/>
        <v>268064246.89212188</v>
      </c>
      <c r="S264" s="1130">
        <f t="shared" ca="1" si="74"/>
        <v>9853061.3504355252</v>
      </c>
      <c r="T264" s="1130">
        <f t="shared" ca="1" si="66"/>
        <v>258211185.54168636</v>
      </c>
      <c r="U264" s="1132">
        <f t="shared" ca="1" si="67"/>
        <v>2.2703456102388532E-2</v>
      </c>
      <c r="V264" s="1133">
        <f t="shared" ca="1" si="68"/>
        <v>5.0000000000000044E-2</v>
      </c>
      <c r="X264" s="1134">
        <f t="shared" ca="1" si="75"/>
        <v>14108644.573269576</v>
      </c>
      <c r="Y264" s="1134">
        <f t="shared" ca="1" si="69"/>
        <v>518582.17633870244</v>
      </c>
      <c r="Z264" s="1134">
        <f t="shared" ca="1" si="70"/>
        <v>13590062.396930873</v>
      </c>
      <c r="AA264" s="1132">
        <f t="shared" ca="1" si="71"/>
        <v>2.4291743411276819E-2</v>
      </c>
      <c r="AB264" s="1105"/>
    </row>
    <row r="265" spans="1:28">
      <c r="A265" s="1144">
        <f>Calendar!J257</f>
        <v>52744</v>
      </c>
      <c r="C265" s="1104"/>
      <c r="D265" s="1125">
        <f t="shared" ca="1" si="57"/>
        <v>53782</v>
      </c>
      <c r="E265" s="1126">
        <f t="shared" ca="1" si="58"/>
        <v>53811</v>
      </c>
      <c r="F265" s="1127">
        <f t="shared" ca="1" si="59"/>
        <v>7762</v>
      </c>
      <c r="G265" s="1128">
        <f ca="1">IF(F265&lt;&gt;"",COUNTIF($F$11:F265,"&gt;0"),"")</f>
        <v>255</v>
      </c>
      <c r="H265" s="1129">
        <v>3.7649027021381273E-2</v>
      </c>
      <c r="I265" s="1073"/>
      <c r="J265" s="1130">
        <f t="shared" ca="1" si="60"/>
        <v>271801247.93861723</v>
      </c>
      <c r="K265" s="1131">
        <f t="shared" ca="1" si="61"/>
        <v>10233052.528086152</v>
      </c>
      <c r="L265" s="1130">
        <f t="shared" ca="1" si="62"/>
        <v>0</v>
      </c>
      <c r="M265" s="1130">
        <f t="shared" ca="1" si="63"/>
        <v>0</v>
      </c>
      <c r="N265" s="1130">
        <f t="shared" ca="1" si="72"/>
        <v>261568195.41053107</v>
      </c>
      <c r="O265" s="1073"/>
      <c r="P265" s="1130">
        <f t="shared" ca="1" si="64"/>
        <v>10233052.528086156</v>
      </c>
      <c r="Q265" s="1130">
        <f t="shared" ca="1" si="65"/>
        <v>248489785.64000452</v>
      </c>
      <c r="R265" s="1130">
        <f t="shared" ca="1" si="73"/>
        <v>258211185.54168636</v>
      </c>
      <c r="S265" s="1130">
        <f t="shared" ca="1" si="74"/>
        <v>9721399.9016818404</v>
      </c>
      <c r="T265" s="1130">
        <f t="shared" ca="1" si="66"/>
        <v>248489785.64000452</v>
      </c>
      <c r="U265" s="1132">
        <f t="shared" ca="1" si="67"/>
        <v>2.1868960087208345E-2</v>
      </c>
      <c r="V265" s="1133">
        <f t="shared" ca="1" si="68"/>
        <v>5.0000000000000044E-2</v>
      </c>
      <c r="X265" s="1134">
        <f t="shared" ca="1" si="75"/>
        <v>13590062.396930873</v>
      </c>
      <c r="Y265" s="1134">
        <f t="shared" ca="1" si="69"/>
        <v>511652.62640431523</v>
      </c>
      <c r="Z265" s="1134">
        <f t="shared" ca="1" si="70"/>
        <v>13078409.770526558</v>
      </c>
      <c r="AA265" s="1132">
        <f t="shared" ca="1" si="71"/>
        <v>2.3398867763310731E-2</v>
      </c>
      <c r="AB265" s="1105"/>
    </row>
    <row r="266" spans="1:28">
      <c r="A266" s="1144">
        <f>Calendar!J258</f>
        <v>52775</v>
      </c>
      <c r="C266" s="1104"/>
      <c r="D266" s="1125">
        <f t="shared" ca="1" si="57"/>
        <v>53812</v>
      </c>
      <c r="E266" s="1126">
        <f t="shared" ca="1" si="58"/>
        <v>53839</v>
      </c>
      <c r="F266" s="1127">
        <f t="shared" ca="1" si="59"/>
        <v>7790</v>
      </c>
      <c r="G266" s="1128">
        <f ca="1">IF(F266&lt;&gt;"",COUNTIF($F$11:F266,"&gt;0"),"")</f>
        <v>256</v>
      </c>
      <c r="H266" s="1129">
        <v>3.8734567306949054E-2</v>
      </c>
      <c r="I266" s="1073"/>
      <c r="J266" s="1130">
        <f t="shared" ca="1" si="60"/>
        <v>261568195.41053107</v>
      </c>
      <c r="K266" s="1131">
        <f t="shared" ca="1" si="61"/>
        <v>10131730.870486418</v>
      </c>
      <c r="L266" s="1130">
        <f t="shared" ca="1" si="62"/>
        <v>0</v>
      </c>
      <c r="M266" s="1130">
        <f t="shared" ca="1" si="63"/>
        <v>0</v>
      </c>
      <c r="N266" s="1130">
        <f t="shared" ca="1" si="72"/>
        <v>251436464.54004467</v>
      </c>
      <c r="O266" s="1073"/>
      <c r="P266" s="1130">
        <f t="shared" ca="1" si="64"/>
        <v>10131730.870486408</v>
      </c>
      <c r="Q266" s="1130">
        <f t="shared" ca="1" si="65"/>
        <v>238864641.31304243</v>
      </c>
      <c r="R266" s="1130">
        <f t="shared" ca="1" si="73"/>
        <v>248489785.64000452</v>
      </c>
      <c r="S266" s="1130">
        <f t="shared" ca="1" si="74"/>
        <v>9625144.3269620836</v>
      </c>
      <c r="T266" s="1130">
        <f t="shared" ca="1" si="66"/>
        <v>238864641.31304243</v>
      </c>
      <c r="U266" s="1132">
        <f t="shared" ca="1" si="67"/>
        <v>2.104561501795553E-2</v>
      </c>
      <c r="V266" s="1133">
        <f t="shared" ca="1" si="68"/>
        <v>5.0000000000000044E-2</v>
      </c>
      <c r="X266" s="1134">
        <f t="shared" ca="1" si="75"/>
        <v>13078409.770526558</v>
      </c>
      <c r="Y266" s="1134">
        <f t="shared" ca="1" si="69"/>
        <v>506586.54352432489</v>
      </c>
      <c r="Z266" s="1134">
        <f t="shared" ca="1" si="70"/>
        <v>12571823.227002233</v>
      </c>
      <c r="AA266" s="1132">
        <f t="shared" ca="1" si="71"/>
        <v>2.2517923158620105E-2</v>
      </c>
      <c r="AB266" s="1105"/>
    </row>
    <row r="267" spans="1:28">
      <c r="A267" s="1144">
        <f>Calendar!J259</f>
        <v>52805</v>
      </c>
      <c r="C267" s="1104"/>
      <c r="D267" s="1125">
        <f t="shared" ca="1" si="57"/>
        <v>53843</v>
      </c>
      <c r="E267" s="1126">
        <f t="shared" ca="1" si="58"/>
        <v>53870</v>
      </c>
      <c r="F267" s="1127">
        <f t="shared" ca="1" si="59"/>
        <v>7821</v>
      </c>
      <c r="G267" s="1128">
        <f ca="1">IF(F267&lt;&gt;"",COUNTIF($F$11:F267,"&gt;0"),"")</f>
        <v>257</v>
      </c>
      <c r="H267" s="1129">
        <v>3.9883850534009946E-2</v>
      </c>
      <c r="I267" s="1073"/>
      <c r="J267" s="1130">
        <f t="shared" ca="1" si="60"/>
        <v>251436464.54004467</v>
      </c>
      <c r="K267" s="1131">
        <f t="shared" ca="1" si="61"/>
        <v>10028254.370515034</v>
      </c>
      <c r="L267" s="1130">
        <f t="shared" ca="1" si="62"/>
        <v>0</v>
      </c>
      <c r="M267" s="1130">
        <f t="shared" ca="1" si="63"/>
        <v>0</v>
      </c>
      <c r="N267" s="1130">
        <f t="shared" ca="1" si="72"/>
        <v>241408210.16952962</v>
      </c>
      <c r="O267" s="1073"/>
      <c r="P267" s="1130">
        <f t="shared" ca="1" si="64"/>
        <v>10028254.370515049</v>
      </c>
      <c r="Q267" s="1130">
        <f t="shared" ca="1" si="65"/>
        <v>229337799.66105312</v>
      </c>
      <c r="R267" s="1130">
        <f t="shared" ca="1" si="73"/>
        <v>238864641.31304243</v>
      </c>
      <c r="S267" s="1130">
        <f t="shared" ca="1" si="74"/>
        <v>9526841.651989311</v>
      </c>
      <c r="T267" s="1130">
        <f t="shared" ca="1" si="66"/>
        <v>229337799.66105312</v>
      </c>
      <c r="U267" s="1132">
        <f t="shared" ca="1" si="67"/>
        <v>2.0230422226526393E-2</v>
      </c>
      <c r="V267" s="1133">
        <f t="shared" ca="1" si="68"/>
        <v>5.0000000000000044E-2</v>
      </c>
      <c r="X267" s="1134">
        <f t="shared" ca="1" si="75"/>
        <v>12571823.227002233</v>
      </c>
      <c r="Y267" s="1134">
        <f t="shared" ca="1" si="69"/>
        <v>501412.71852573752</v>
      </c>
      <c r="Z267" s="1134">
        <f t="shared" ca="1" si="70"/>
        <v>12070410.508476496</v>
      </c>
      <c r="AA267" s="1132">
        <f t="shared" ca="1" si="71"/>
        <v>2.1645701148419821E-2</v>
      </c>
      <c r="AB267" s="1105"/>
    </row>
    <row r="268" spans="1:28">
      <c r="A268" s="1144">
        <f>Calendar!J260</f>
        <v>52838</v>
      </c>
      <c r="C268" s="1104"/>
      <c r="D268" s="1125">
        <f t="shared" ref="D268:D331" ca="1" si="76">IF(E268&lt;&gt;"",EOMONTH(E268,-1),"")</f>
        <v>53873</v>
      </c>
      <c r="E268" s="1126">
        <f t="shared" ref="E268:E331" ca="1" si="77">IF(INDIRECT("A"&amp;(IFERROR(MATCH(E267,A:A),999)+1))&gt;0,INDIRECT("A"&amp;(IFERROR(MATCH(E267,A:A),999)+1)),"")</f>
        <v>53902</v>
      </c>
      <c r="F268" s="1127">
        <f t="shared" ref="F268:F331" ca="1" si="78">IF(E268&lt;&gt;"",E268-$A$31,"")</f>
        <v>7853</v>
      </c>
      <c r="G268" s="1128">
        <f ca="1">IF(F268&lt;&gt;"",COUNTIF($F$11:F268,"&gt;0"),"")</f>
        <v>258</v>
      </c>
      <c r="H268" s="1129">
        <v>4.1168608999543173E-2</v>
      </c>
      <c r="I268" s="1073"/>
      <c r="J268" s="1130">
        <f t="shared" ref="J268:J331" ca="1" si="79">IF(G268=1,$A$7,N267)</f>
        <v>241408210.16952962</v>
      </c>
      <c r="K268" s="1131">
        <f t="shared" ref="K268:K331" ca="1" si="80">H268*J268</f>
        <v>9938440.2137489058</v>
      </c>
      <c r="L268" s="1130">
        <f t="shared" ref="L268:L331" ca="1" si="81">IF(E268&lt;&gt;"",(1-(1-$A$25)^(1/12))*(J268-K268),"")</f>
        <v>0</v>
      </c>
      <c r="M268" s="1130">
        <f t="shared" ref="M268:M331" ca="1" si="82">IF(J268-K268-L268&lt;$A$27*$A$5,J268-K268-L268,0)</f>
        <v>0</v>
      </c>
      <c r="N268" s="1130">
        <f t="shared" ca="1" si="72"/>
        <v>231469769.95578071</v>
      </c>
      <c r="O268" s="1073"/>
      <c r="P268" s="1130">
        <f t="shared" ref="P268:P331" ca="1" si="83">IF(G268&lt;&gt; "", R268+X268-N268, "")</f>
        <v>9938440.2137489021</v>
      </c>
      <c r="Q268" s="1130">
        <f t="shared" ref="Q268:Q331" ca="1" si="84">IF(E268&lt;&gt;"", N268*(1-$A$15), "")</f>
        <v>219896281.45799166</v>
      </c>
      <c r="R268" s="1130">
        <f t="shared" ca="1" si="73"/>
        <v>229337799.66105312</v>
      </c>
      <c r="S268" s="1130">
        <f t="shared" ca="1" si="74"/>
        <v>9441518.2030614614</v>
      </c>
      <c r="T268" s="1130">
        <f t="shared" ref="T268:T331" ca="1" si="85">IF(E268&lt;&gt;"", R268-S268, "")</f>
        <v>219896281.45799166</v>
      </c>
      <c r="U268" s="1132">
        <f t="shared" ref="U268:U331" ca="1" si="86">IF(E268&lt;&gt;"", R268/$A$11, "")</f>
        <v>1.9423555090203701E-2</v>
      </c>
      <c r="V268" s="1133">
        <f t="shared" ref="V268:V331" ca="1" si="87">IF(E268&lt;&gt;"", IFERROR(1-T268/N268, "n.a."), "")</f>
        <v>5.0000000000000044E-2</v>
      </c>
      <c r="X268" s="1134">
        <f t="shared" ca="1" si="75"/>
        <v>12070410.508476496</v>
      </c>
      <c r="Y268" s="1134">
        <f t="shared" ref="Y268:Y331" ca="1" si="88">IF(E268&lt;&gt;"", P268-S268, "")</f>
        <v>496922.01068744063</v>
      </c>
      <c r="Z268" s="1134">
        <f t="shared" ref="Z268:Z331" ca="1" si="89">IF(E268&lt;&gt;"", X268-Y268, "")</f>
        <v>11573488.497789055</v>
      </c>
      <c r="AA268" s="1132">
        <f t="shared" ref="AA268:AA331" ca="1" si="90">IF(E268&lt;&gt;"", X268/$A$19, "")</f>
        <v>2.0782387239112424E-2</v>
      </c>
      <c r="AB268" s="1105"/>
    </row>
    <row r="269" spans="1:28">
      <c r="A269" s="1144">
        <f>Calendar!J261</f>
        <v>52867</v>
      </c>
      <c r="C269" s="1104"/>
      <c r="D269" s="1125">
        <f t="shared" ca="1" si="76"/>
        <v>53904</v>
      </c>
      <c r="E269" s="1126">
        <f t="shared" ca="1" si="77"/>
        <v>53931</v>
      </c>
      <c r="F269" s="1127">
        <f t="shared" ca="1" si="78"/>
        <v>7882</v>
      </c>
      <c r="G269" s="1128">
        <f ca="1">IF(F269&lt;&gt;"",COUNTIF($F$11:F269,"&gt;0"),"")</f>
        <v>259</v>
      </c>
      <c r="H269" s="1129">
        <v>4.2380601478297121E-2</v>
      </c>
      <c r="I269" s="1073"/>
      <c r="J269" s="1130">
        <f t="shared" ca="1" si="79"/>
        <v>231469769.95578071</v>
      </c>
      <c r="K269" s="1131">
        <f t="shared" ca="1" si="80"/>
        <v>9809828.0747690555</v>
      </c>
      <c r="L269" s="1130">
        <f t="shared" ca="1" si="81"/>
        <v>0</v>
      </c>
      <c r="M269" s="1130">
        <f t="shared" ca="1" si="82"/>
        <v>0</v>
      </c>
      <c r="N269" s="1130">
        <f t="shared" ref="N269:N332" ca="1" si="91">IF(E269&lt;&gt;"",J269-K269-L269-M269,"")</f>
        <v>221659941.88101166</v>
      </c>
      <c r="O269" s="1073"/>
      <c r="P269" s="1130">
        <f t="shared" ca="1" si="83"/>
        <v>9809828.0747690499</v>
      </c>
      <c r="Q269" s="1130">
        <f t="shared" ca="1" si="84"/>
        <v>210576944.78696108</v>
      </c>
      <c r="R269" s="1130">
        <f t="shared" ref="R269:R332" ca="1" si="92">IF(E269&lt;&gt;"", T268, "")</f>
        <v>219896281.45799166</v>
      </c>
      <c r="S269" s="1130">
        <f t="shared" ref="S269:S332" ca="1" si="93">IF(E269&lt;&gt;"", MIN(P269,MAX(R269-Q269,0)), "")</f>
        <v>9319336.671030581</v>
      </c>
      <c r="T269" s="1130">
        <f t="shared" ca="1" si="85"/>
        <v>210576944.78696108</v>
      </c>
      <c r="U269" s="1132">
        <f t="shared" ca="1" si="86"/>
        <v>1.8623914345314015E-2</v>
      </c>
      <c r="V269" s="1133">
        <f t="shared" ca="1" si="87"/>
        <v>5.0000000000000044E-2</v>
      </c>
      <c r="X269" s="1134">
        <f t="shared" ref="X269:X332" ca="1" si="94">IF(E269&lt;&gt;"", Z268, "")</f>
        <v>11573488.497789055</v>
      </c>
      <c r="Y269" s="1134">
        <f t="shared" ca="1" si="88"/>
        <v>490491.40373846889</v>
      </c>
      <c r="Z269" s="1134">
        <f t="shared" ca="1" si="89"/>
        <v>11082997.094050586</v>
      </c>
      <c r="AA269" s="1132">
        <f t="shared" ca="1" si="90"/>
        <v>1.9926805264788319E-2</v>
      </c>
      <c r="AB269" s="1105"/>
    </row>
    <row r="270" spans="1:28">
      <c r="A270" s="1144">
        <f>Calendar!J262</f>
        <v>52897</v>
      </c>
      <c r="C270" s="1104"/>
      <c r="D270" s="1125">
        <f t="shared" ca="1" si="76"/>
        <v>53935</v>
      </c>
      <c r="E270" s="1126">
        <f t="shared" ca="1" si="77"/>
        <v>53962</v>
      </c>
      <c r="F270" s="1127">
        <f t="shared" ca="1" si="78"/>
        <v>7913</v>
      </c>
      <c r="G270" s="1128">
        <f ca="1">IF(F270&lt;&gt;"",COUNTIF($F$11:F270,"&gt;0"),"")</f>
        <v>260</v>
      </c>
      <c r="H270" s="1129">
        <v>4.3543732442168893E-2</v>
      </c>
      <c r="I270" s="1073"/>
      <c r="J270" s="1130">
        <f t="shared" ca="1" si="79"/>
        <v>221659941.88101166</v>
      </c>
      <c r="K270" s="1131">
        <f t="shared" ca="1" si="80"/>
        <v>9651901.2024134789</v>
      </c>
      <c r="L270" s="1130">
        <f t="shared" ca="1" si="81"/>
        <v>0</v>
      </c>
      <c r="M270" s="1130">
        <f t="shared" ca="1" si="82"/>
        <v>0</v>
      </c>
      <c r="N270" s="1130">
        <f t="shared" ca="1" si="91"/>
        <v>212008040.6785982</v>
      </c>
      <c r="O270" s="1073"/>
      <c r="P270" s="1130">
        <f t="shared" ca="1" si="83"/>
        <v>9651901.2024134696</v>
      </c>
      <c r="Q270" s="1130">
        <f t="shared" ca="1" si="84"/>
        <v>201407638.64466828</v>
      </c>
      <c r="R270" s="1130">
        <f t="shared" ca="1" si="92"/>
        <v>210576944.78696108</v>
      </c>
      <c r="S270" s="1130">
        <f t="shared" ca="1" si="93"/>
        <v>9169306.1422927976</v>
      </c>
      <c r="T270" s="1130">
        <f t="shared" ca="1" si="85"/>
        <v>201407638.64466828</v>
      </c>
      <c r="U270" s="1132">
        <f t="shared" ca="1" si="86"/>
        <v>1.7834621653479325E-2</v>
      </c>
      <c r="V270" s="1133">
        <f t="shared" ca="1" si="87"/>
        <v>5.0000000000000044E-2</v>
      </c>
      <c r="X270" s="1134">
        <f t="shared" ca="1" si="94"/>
        <v>11082997.094050586</v>
      </c>
      <c r="Y270" s="1134">
        <f t="shared" ca="1" si="88"/>
        <v>482595.06012067199</v>
      </c>
      <c r="Z270" s="1134">
        <f t="shared" ca="1" si="89"/>
        <v>10600402.033929914</v>
      </c>
      <c r="AA270" s="1132">
        <f t="shared" ca="1" si="90"/>
        <v>1.9082295272125665E-2</v>
      </c>
      <c r="AB270" s="1105"/>
    </row>
    <row r="271" spans="1:28">
      <c r="A271" s="1144">
        <f>Calendar!J263</f>
        <v>52929</v>
      </c>
      <c r="C271" s="1104"/>
      <c r="D271" s="1125">
        <f t="shared" ca="1" si="76"/>
        <v>53965</v>
      </c>
      <c r="E271" s="1126">
        <f t="shared" ca="1" si="77"/>
        <v>53993</v>
      </c>
      <c r="F271" s="1127">
        <f t="shared" ca="1" si="78"/>
        <v>7944</v>
      </c>
      <c r="G271" s="1128">
        <f ca="1">IF(F271&lt;&gt;"",COUNTIF($F$11:F271,"&gt;0"),"")</f>
        <v>261</v>
      </c>
      <c r="H271" s="1129">
        <v>4.4974028314519694E-2</v>
      </c>
      <c r="I271" s="1073"/>
      <c r="J271" s="1130">
        <f t="shared" ca="1" si="79"/>
        <v>212008040.6785982</v>
      </c>
      <c r="K271" s="1131">
        <f t="shared" ca="1" si="80"/>
        <v>9534855.6243851185</v>
      </c>
      <c r="L271" s="1130">
        <f t="shared" ca="1" si="81"/>
        <v>0</v>
      </c>
      <c r="M271" s="1130">
        <f t="shared" ca="1" si="82"/>
        <v>0</v>
      </c>
      <c r="N271" s="1130">
        <f t="shared" ca="1" si="91"/>
        <v>202473185.05421308</v>
      </c>
      <c r="O271" s="1073"/>
      <c r="P271" s="1130">
        <f t="shared" ca="1" si="83"/>
        <v>9534855.6243851185</v>
      </c>
      <c r="Q271" s="1130">
        <f t="shared" ca="1" si="84"/>
        <v>192349525.80150241</v>
      </c>
      <c r="R271" s="1130">
        <f t="shared" ca="1" si="92"/>
        <v>201407638.64466828</v>
      </c>
      <c r="S271" s="1130">
        <f t="shared" ca="1" si="93"/>
        <v>9058112.8431658745</v>
      </c>
      <c r="T271" s="1130">
        <f t="shared" ca="1" si="85"/>
        <v>192349525.80150241</v>
      </c>
      <c r="U271" s="1132">
        <f t="shared" ca="1" si="86"/>
        <v>1.705803565999291E-2</v>
      </c>
      <c r="V271" s="1133">
        <f t="shared" ca="1" si="87"/>
        <v>5.0000000000000044E-2</v>
      </c>
      <c r="X271" s="1134">
        <f t="shared" ca="1" si="94"/>
        <v>10600402.033929914</v>
      </c>
      <c r="Y271" s="1134">
        <f t="shared" ca="1" si="88"/>
        <v>476742.781219244</v>
      </c>
      <c r="Z271" s="1134">
        <f t="shared" ca="1" si="89"/>
        <v>10123659.25271067</v>
      </c>
      <c r="AA271" s="1132">
        <f t="shared" ca="1" si="90"/>
        <v>1.8251380912413764E-2</v>
      </c>
      <c r="AB271" s="1105"/>
    </row>
    <row r="272" spans="1:28">
      <c r="A272" s="1144">
        <f>Calendar!J264</f>
        <v>52958</v>
      </c>
      <c r="C272" s="1104"/>
      <c r="D272" s="1125">
        <f t="shared" ca="1" si="76"/>
        <v>53996</v>
      </c>
      <c r="E272" s="1126">
        <f t="shared" ca="1" si="77"/>
        <v>54023</v>
      </c>
      <c r="F272" s="1127">
        <f t="shared" ca="1" si="78"/>
        <v>7974</v>
      </c>
      <c r="G272" s="1128">
        <f ca="1">IF(F272&lt;&gt;"",COUNTIF($F$11:F272,"&gt;0"),"")</f>
        <v>262</v>
      </c>
      <c r="H272" s="1129">
        <v>4.6209179495479959E-2</v>
      </c>
      <c r="I272" s="1073"/>
      <c r="J272" s="1130">
        <f t="shared" ca="1" si="79"/>
        <v>202473185.05421308</v>
      </c>
      <c r="K272" s="1131">
        <f t="shared" ca="1" si="80"/>
        <v>9356119.7511916626</v>
      </c>
      <c r="L272" s="1130">
        <f t="shared" ca="1" si="81"/>
        <v>0</v>
      </c>
      <c r="M272" s="1130">
        <f t="shared" ca="1" si="82"/>
        <v>0</v>
      </c>
      <c r="N272" s="1130">
        <f t="shared" ca="1" si="91"/>
        <v>193117065.3030214</v>
      </c>
      <c r="O272" s="1073"/>
      <c r="P272" s="1130">
        <f t="shared" ca="1" si="83"/>
        <v>9356119.7511916757</v>
      </c>
      <c r="Q272" s="1130">
        <f t="shared" ca="1" si="84"/>
        <v>183461212.03787032</v>
      </c>
      <c r="R272" s="1130">
        <f t="shared" ca="1" si="92"/>
        <v>192349525.80150241</v>
      </c>
      <c r="S272" s="1130">
        <f t="shared" ca="1" si="93"/>
        <v>8888313.7636320889</v>
      </c>
      <c r="T272" s="1130">
        <f t="shared" ca="1" si="85"/>
        <v>183461212.03787032</v>
      </c>
      <c r="U272" s="1132">
        <f t="shared" ca="1" si="86"/>
        <v>1.6290867081230301E-2</v>
      </c>
      <c r="V272" s="1133">
        <f t="shared" ca="1" si="87"/>
        <v>5.0000000000000044E-2</v>
      </c>
      <c r="X272" s="1134">
        <f t="shared" ca="1" si="94"/>
        <v>10123659.25271067</v>
      </c>
      <c r="Y272" s="1134">
        <f t="shared" ca="1" si="88"/>
        <v>467805.98755958676</v>
      </c>
      <c r="Z272" s="1134">
        <f t="shared" ca="1" si="89"/>
        <v>9655853.2651510835</v>
      </c>
      <c r="AA272" s="1132">
        <f t="shared" ca="1" si="90"/>
        <v>1.7430542790479803E-2</v>
      </c>
      <c r="AB272" s="1105"/>
    </row>
    <row r="273" spans="1:28">
      <c r="A273" s="1144">
        <f>Calendar!J265</f>
        <v>52989</v>
      </c>
      <c r="C273" s="1104"/>
      <c r="D273" s="1125">
        <f t="shared" ca="1" si="76"/>
        <v>54026</v>
      </c>
      <c r="E273" s="1126">
        <f t="shared" ca="1" si="77"/>
        <v>54053</v>
      </c>
      <c r="F273" s="1127">
        <f t="shared" ca="1" si="78"/>
        <v>8004</v>
      </c>
      <c r="G273" s="1128">
        <f ca="1">IF(F273&lt;&gt;"",COUNTIF($F$11:F273,"&gt;0"),"")</f>
        <v>263</v>
      </c>
      <c r="H273" s="1129">
        <v>4.7297366431884647E-2</v>
      </c>
      <c r="I273" s="1073"/>
      <c r="J273" s="1130">
        <f t="shared" ca="1" si="79"/>
        <v>193117065.3030214</v>
      </c>
      <c r="K273" s="1131">
        <f t="shared" ca="1" si="80"/>
        <v>9133928.6018872</v>
      </c>
      <c r="L273" s="1130">
        <f t="shared" ca="1" si="81"/>
        <v>0</v>
      </c>
      <c r="M273" s="1130">
        <f t="shared" ca="1" si="82"/>
        <v>0</v>
      </c>
      <c r="N273" s="1130">
        <f t="shared" ca="1" si="91"/>
        <v>183983136.7011342</v>
      </c>
      <c r="O273" s="1073"/>
      <c r="P273" s="1130">
        <f t="shared" ca="1" si="83"/>
        <v>9133928.6018871963</v>
      </c>
      <c r="Q273" s="1130">
        <f t="shared" ca="1" si="84"/>
        <v>174783979.86607748</v>
      </c>
      <c r="R273" s="1130">
        <f t="shared" ca="1" si="92"/>
        <v>183461212.03787032</v>
      </c>
      <c r="S273" s="1130">
        <f t="shared" ca="1" si="93"/>
        <v>8677232.171792835</v>
      </c>
      <c r="T273" s="1130">
        <f t="shared" ca="1" si="85"/>
        <v>174783979.86607748</v>
      </c>
      <c r="U273" s="1132">
        <f t="shared" ca="1" si="86"/>
        <v>1.5538079480136724E-2</v>
      </c>
      <c r="V273" s="1133">
        <f t="shared" ca="1" si="87"/>
        <v>5.0000000000000044E-2</v>
      </c>
      <c r="X273" s="1134">
        <f t="shared" ca="1" si="94"/>
        <v>9655853.2651510835</v>
      </c>
      <c r="Y273" s="1134">
        <f t="shared" ca="1" si="88"/>
        <v>456696.43009436131</v>
      </c>
      <c r="Z273" s="1134">
        <f t="shared" ca="1" si="89"/>
        <v>9199156.8350567222</v>
      </c>
      <c r="AA273" s="1132">
        <f t="shared" ca="1" si="90"/>
        <v>1.6625091709970875E-2</v>
      </c>
      <c r="AB273" s="1105"/>
    </row>
    <row r="274" spans="1:28">
      <c r="A274" s="1144">
        <f>Calendar!J266</f>
        <v>53020</v>
      </c>
      <c r="C274" s="1104"/>
      <c r="D274" s="1125">
        <f t="shared" ca="1" si="76"/>
        <v>54057</v>
      </c>
      <c r="E274" s="1126">
        <f t="shared" ca="1" si="77"/>
        <v>54084</v>
      </c>
      <c r="F274" s="1127">
        <f t="shared" ca="1" si="78"/>
        <v>8035</v>
      </c>
      <c r="G274" s="1128">
        <f ca="1">IF(F274&lt;&gt;"",COUNTIF($F$11:F274,"&gt;0"),"")</f>
        <v>264</v>
      </c>
      <c r="H274" s="1129">
        <v>4.8715388676511213E-2</v>
      </c>
      <c r="I274" s="1073"/>
      <c r="J274" s="1130">
        <f t="shared" ca="1" si="79"/>
        <v>183983136.7011342</v>
      </c>
      <c r="K274" s="1131">
        <f t="shared" ca="1" si="80"/>
        <v>8962810.0143194478</v>
      </c>
      <c r="L274" s="1130">
        <f t="shared" ca="1" si="81"/>
        <v>0</v>
      </c>
      <c r="M274" s="1130">
        <f t="shared" ca="1" si="82"/>
        <v>0</v>
      </c>
      <c r="N274" s="1130">
        <f t="shared" ca="1" si="91"/>
        <v>175020326.68681476</v>
      </c>
      <c r="O274" s="1073"/>
      <c r="P274" s="1130">
        <f t="shared" ca="1" si="83"/>
        <v>8962810.0143194497</v>
      </c>
      <c r="Q274" s="1130">
        <f t="shared" ca="1" si="84"/>
        <v>166269310.352474</v>
      </c>
      <c r="R274" s="1130">
        <f t="shared" ca="1" si="92"/>
        <v>174783979.86607748</v>
      </c>
      <c r="S274" s="1130">
        <f t="shared" ca="1" si="93"/>
        <v>8514669.5136034787</v>
      </c>
      <c r="T274" s="1130">
        <f t="shared" ca="1" si="85"/>
        <v>166269310.352474</v>
      </c>
      <c r="U274" s="1132">
        <f t="shared" ca="1" si="86"/>
        <v>1.4803169241316949E-2</v>
      </c>
      <c r="V274" s="1133">
        <f t="shared" ca="1" si="87"/>
        <v>5.0000000000000044E-2</v>
      </c>
      <c r="X274" s="1134">
        <f t="shared" ca="1" si="94"/>
        <v>9199156.8350567222</v>
      </c>
      <c r="Y274" s="1134">
        <f t="shared" ca="1" si="88"/>
        <v>448140.50071597099</v>
      </c>
      <c r="Z274" s="1134">
        <f t="shared" ca="1" si="89"/>
        <v>8751016.3343407512</v>
      </c>
      <c r="AA274" s="1132">
        <f t="shared" ca="1" si="90"/>
        <v>1.5838768655400692E-2</v>
      </c>
      <c r="AB274" s="1105"/>
    </row>
    <row r="275" spans="1:28">
      <c r="A275" s="1144">
        <f>Calendar!J267</f>
        <v>53048</v>
      </c>
      <c r="C275" s="1104"/>
      <c r="D275" s="1125">
        <f t="shared" ca="1" si="76"/>
        <v>54088</v>
      </c>
      <c r="E275" s="1126">
        <f t="shared" ca="1" si="77"/>
        <v>54115</v>
      </c>
      <c r="F275" s="1127">
        <f t="shared" ca="1" si="78"/>
        <v>8066</v>
      </c>
      <c r="G275" s="1128">
        <f ca="1">IF(F275&lt;&gt;"",COUNTIF($F$11:F275,"&gt;0"),"")</f>
        <v>265</v>
      </c>
      <c r="H275" s="1129">
        <v>5.0165108466581725E-2</v>
      </c>
      <c r="I275" s="1073"/>
      <c r="J275" s="1130">
        <f t="shared" ca="1" si="79"/>
        <v>175020326.68681476</v>
      </c>
      <c r="K275" s="1131">
        <f t="shared" ca="1" si="80"/>
        <v>8779913.6721006297</v>
      </c>
      <c r="L275" s="1130">
        <f t="shared" ca="1" si="81"/>
        <v>0</v>
      </c>
      <c r="M275" s="1130">
        <f t="shared" ca="1" si="82"/>
        <v>0</v>
      </c>
      <c r="N275" s="1130">
        <f t="shared" ca="1" si="91"/>
        <v>166240413.01471412</v>
      </c>
      <c r="O275" s="1073"/>
      <c r="P275" s="1130">
        <f t="shared" ca="1" si="83"/>
        <v>8779913.6721006334</v>
      </c>
      <c r="Q275" s="1130">
        <f t="shared" ca="1" si="84"/>
        <v>157928392.36397842</v>
      </c>
      <c r="R275" s="1130">
        <f t="shared" ca="1" si="92"/>
        <v>166269310.352474</v>
      </c>
      <c r="S275" s="1130">
        <f t="shared" ca="1" si="93"/>
        <v>8340917.9884955883</v>
      </c>
      <c r="T275" s="1130">
        <f t="shared" ca="1" si="85"/>
        <v>157928392.36397842</v>
      </c>
      <c r="U275" s="1132">
        <f t="shared" ca="1" si="86"/>
        <v>1.4082027098082019E-2</v>
      </c>
      <c r="V275" s="1133">
        <f t="shared" ca="1" si="87"/>
        <v>5.0000000000000044E-2</v>
      </c>
      <c r="X275" s="1134">
        <f t="shared" ca="1" si="94"/>
        <v>8751016.3343407512</v>
      </c>
      <c r="Y275" s="1134">
        <f t="shared" ca="1" si="88"/>
        <v>438995.68360504508</v>
      </c>
      <c r="Z275" s="1134">
        <f t="shared" ca="1" si="89"/>
        <v>8312020.6507357061</v>
      </c>
      <c r="AA275" s="1132">
        <f t="shared" ca="1" si="90"/>
        <v>1.5067176884195508E-2</v>
      </c>
      <c r="AB275" s="1105"/>
    </row>
    <row r="276" spans="1:28">
      <c r="A276" s="1144">
        <f>Calendar!J268</f>
        <v>53079</v>
      </c>
      <c r="C276" s="1104"/>
      <c r="D276" s="1125">
        <f t="shared" ca="1" si="76"/>
        <v>54117</v>
      </c>
      <c r="E276" s="1126">
        <f t="shared" ca="1" si="77"/>
        <v>54144</v>
      </c>
      <c r="F276" s="1127">
        <f t="shared" ca="1" si="78"/>
        <v>8095</v>
      </c>
      <c r="G276" s="1128">
        <f ca="1">IF(F276&lt;&gt;"",COUNTIF($F$11:F276,"&gt;0"),"")</f>
        <v>266</v>
      </c>
      <c r="H276" s="1129">
        <v>5.1883001386825167E-2</v>
      </c>
      <c r="I276" s="1073"/>
      <c r="J276" s="1130">
        <f t="shared" ca="1" si="79"/>
        <v>166240413.01471412</v>
      </c>
      <c r="K276" s="1131">
        <f t="shared" ca="1" si="80"/>
        <v>8625051.5789888017</v>
      </c>
      <c r="L276" s="1130">
        <f t="shared" ca="1" si="81"/>
        <v>0</v>
      </c>
      <c r="M276" s="1130">
        <f t="shared" ca="1" si="82"/>
        <v>0</v>
      </c>
      <c r="N276" s="1130">
        <f t="shared" ca="1" si="91"/>
        <v>157615361.43572533</v>
      </c>
      <c r="O276" s="1073"/>
      <c r="P276" s="1130">
        <f t="shared" ca="1" si="83"/>
        <v>8625051.5789887905</v>
      </c>
      <c r="Q276" s="1130">
        <f t="shared" ca="1" si="84"/>
        <v>149734593.36393905</v>
      </c>
      <c r="R276" s="1130">
        <f t="shared" ca="1" si="92"/>
        <v>157928392.36397842</v>
      </c>
      <c r="S276" s="1130">
        <f t="shared" ca="1" si="93"/>
        <v>8193799.0000393689</v>
      </c>
      <c r="T276" s="1130">
        <f t="shared" ca="1" si="85"/>
        <v>149734593.36393905</v>
      </c>
      <c r="U276" s="1132">
        <f t="shared" ca="1" si="86"/>
        <v>1.3375600681277392E-2</v>
      </c>
      <c r="V276" s="1133">
        <f t="shared" ca="1" si="87"/>
        <v>5.0000000000000155E-2</v>
      </c>
      <c r="X276" s="1134">
        <f t="shared" ca="1" si="94"/>
        <v>8312020.6507357061</v>
      </c>
      <c r="Y276" s="1134">
        <f t="shared" ca="1" si="88"/>
        <v>431252.57894942164</v>
      </c>
      <c r="Z276" s="1134">
        <f t="shared" ca="1" si="89"/>
        <v>7880768.0717862844</v>
      </c>
      <c r="AA276" s="1132">
        <f t="shared" ca="1" si="90"/>
        <v>1.4311330321514645E-2</v>
      </c>
      <c r="AB276" s="1105"/>
    </row>
    <row r="277" spans="1:28">
      <c r="A277" s="1144">
        <f>Calendar!J269</f>
        <v>53111</v>
      </c>
      <c r="C277" s="1104"/>
      <c r="D277" s="1125">
        <f t="shared" ca="1" si="76"/>
        <v>54148</v>
      </c>
      <c r="E277" s="1126">
        <f t="shared" ca="1" si="77"/>
        <v>54175</v>
      </c>
      <c r="F277" s="1127">
        <f t="shared" ca="1" si="78"/>
        <v>8126</v>
      </c>
      <c r="G277" s="1128">
        <f ca="1">IF(F277&lt;&gt;"",COUNTIF($F$11:F277,"&gt;0"),"")</f>
        <v>267</v>
      </c>
      <c r="H277" s="1129">
        <v>5.3713176463733601E-2</v>
      </c>
      <c r="I277" s="1073"/>
      <c r="J277" s="1130">
        <f t="shared" ca="1" si="79"/>
        <v>157615361.43572533</v>
      </c>
      <c r="K277" s="1131">
        <f t="shared" ca="1" si="80"/>
        <v>8466021.722192267</v>
      </c>
      <c r="L277" s="1130">
        <f t="shared" ca="1" si="81"/>
        <v>0</v>
      </c>
      <c r="M277" s="1130">
        <f t="shared" ca="1" si="82"/>
        <v>0</v>
      </c>
      <c r="N277" s="1130">
        <f t="shared" ca="1" si="91"/>
        <v>149149339.71353307</v>
      </c>
      <c r="O277" s="1073"/>
      <c r="P277" s="1130">
        <f t="shared" ca="1" si="83"/>
        <v>8466021.7221922576</v>
      </c>
      <c r="Q277" s="1130">
        <f t="shared" ca="1" si="84"/>
        <v>141691872.72785643</v>
      </c>
      <c r="R277" s="1130">
        <f t="shared" ca="1" si="92"/>
        <v>149734593.36393905</v>
      </c>
      <c r="S277" s="1130">
        <f t="shared" ca="1" si="93"/>
        <v>8042720.6360826194</v>
      </c>
      <c r="T277" s="1130">
        <f t="shared" ca="1" si="85"/>
        <v>141691872.72785643</v>
      </c>
      <c r="U277" s="1132">
        <f t="shared" ca="1" si="86"/>
        <v>1.2681634372581057E-2</v>
      </c>
      <c r="V277" s="1133">
        <f t="shared" ca="1" si="87"/>
        <v>4.9999999999999933E-2</v>
      </c>
      <c r="X277" s="1134">
        <f t="shared" ca="1" si="94"/>
        <v>7880768.0717862844</v>
      </c>
      <c r="Y277" s="1134">
        <f t="shared" ca="1" si="88"/>
        <v>423301.08610963821</v>
      </c>
      <c r="Z277" s="1134">
        <f t="shared" ca="1" si="89"/>
        <v>7457466.9856766462</v>
      </c>
      <c r="AA277" s="1132">
        <f t="shared" ca="1" si="90"/>
        <v>1.3568815550596219E-2</v>
      </c>
      <c r="AB277" s="1105"/>
    </row>
    <row r="278" spans="1:28">
      <c r="A278" s="1144">
        <f>Calendar!J270</f>
        <v>53140</v>
      </c>
      <c r="C278" s="1104"/>
      <c r="D278" s="1125">
        <f t="shared" ca="1" si="76"/>
        <v>54178</v>
      </c>
      <c r="E278" s="1126">
        <f t="shared" ca="1" si="77"/>
        <v>54205</v>
      </c>
      <c r="F278" s="1127">
        <f t="shared" ca="1" si="78"/>
        <v>8156</v>
      </c>
      <c r="G278" s="1128">
        <f ca="1">IF(F278&lt;&gt;"",COUNTIF($F$11:F278,"&gt;0"),"")</f>
        <v>268</v>
      </c>
      <c r="H278" s="1129">
        <v>5.5394495085137607E-2</v>
      </c>
      <c r="I278" s="1073"/>
      <c r="J278" s="1130">
        <f t="shared" ca="1" si="79"/>
        <v>149149339.71353307</v>
      </c>
      <c r="K278" s="1131">
        <f t="shared" ca="1" si="80"/>
        <v>8262052.3657128271</v>
      </c>
      <c r="L278" s="1130">
        <f t="shared" ca="1" si="81"/>
        <v>0</v>
      </c>
      <c r="M278" s="1130">
        <f t="shared" ca="1" si="82"/>
        <v>0</v>
      </c>
      <c r="N278" s="1130">
        <f t="shared" ca="1" si="91"/>
        <v>140887287.34782025</v>
      </c>
      <c r="O278" s="1073"/>
      <c r="P278" s="1130">
        <f t="shared" ca="1" si="83"/>
        <v>8262052.3657128215</v>
      </c>
      <c r="Q278" s="1130">
        <f t="shared" ca="1" si="84"/>
        <v>133842922.98042923</v>
      </c>
      <c r="R278" s="1130">
        <f t="shared" ca="1" si="92"/>
        <v>141691872.72785643</v>
      </c>
      <c r="S278" s="1130">
        <f t="shared" ca="1" si="93"/>
        <v>7848949.7474271953</v>
      </c>
      <c r="T278" s="1130">
        <f t="shared" ca="1" si="85"/>
        <v>133842922.98042923</v>
      </c>
      <c r="U278" s="1132">
        <f t="shared" ca="1" si="86"/>
        <v>1.2000463507678064E-2</v>
      </c>
      <c r="V278" s="1133">
        <f t="shared" ca="1" si="87"/>
        <v>5.0000000000000044E-2</v>
      </c>
      <c r="X278" s="1134">
        <f t="shared" ca="1" si="94"/>
        <v>7457466.9856766462</v>
      </c>
      <c r="Y278" s="1134">
        <f t="shared" ca="1" si="88"/>
        <v>413102.61828562617</v>
      </c>
      <c r="Z278" s="1134">
        <f t="shared" ca="1" si="89"/>
        <v>7044364.3673910201</v>
      </c>
      <c r="AA278" s="1132">
        <f t="shared" ca="1" si="90"/>
        <v>1.2839991366523151E-2</v>
      </c>
      <c r="AB278" s="1105"/>
    </row>
    <row r="279" spans="1:28">
      <c r="A279" s="1144">
        <f>Calendar!J271</f>
        <v>53170</v>
      </c>
      <c r="C279" s="1104"/>
      <c r="D279" s="1125">
        <f t="shared" ca="1" si="76"/>
        <v>54209</v>
      </c>
      <c r="E279" s="1126">
        <f t="shared" ca="1" si="77"/>
        <v>54238</v>
      </c>
      <c r="F279" s="1127">
        <f t="shared" ca="1" si="78"/>
        <v>8189</v>
      </c>
      <c r="G279" s="1128">
        <f ca="1">IF(F279&lt;&gt;"",COUNTIF($F$11:F279,"&gt;0"),"")</f>
        <v>269</v>
      </c>
      <c r="H279" s="1129">
        <v>5.7138442985255958E-2</v>
      </c>
      <c r="I279" s="1073"/>
      <c r="J279" s="1130">
        <f t="shared" ca="1" si="79"/>
        <v>140887287.34782025</v>
      </c>
      <c r="K279" s="1131">
        <f t="shared" ca="1" si="80"/>
        <v>8050080.2354708007</v>
      </c>
      <c r="L279" s="1130">
        <f t="shared" ca="1" si="81"/>
        <v>0</v>
      </c>
      <c r="M279" s="1130">
        <f t="shared" ca="1" si="82"/>
        <v>0</v>
      </c>
      <c r="N279" s="1130">
        <f t="shared" ca="1" si="91"/>
        <v>132837207.11234945</v>
      </c>
      <c r="O279" s="1073"/>
      <c r="P279" s="1130">
        <f t="shared" ca="1" si="83"/>
        <v>8050080.2354708016</v>
      </c>
      <c r="Q279" s="1130">
        <f t="shared" ca="1" si="84"/>
        <v>126195346.75673197</v>
      </c>
      <c r="R279" s="1130">
        <f t="shared" ca="1" si="92"/>
        <v>133842922.98042923</v>
      </c>
      <c r="S279" s="1130">
        <f t="shared" ca="1" si="93"/>
        <v>7647576.22369726</v>
      </c>
      <c r="T279" s="1130">
        <f t="shared" ca="1" si="85"/>
        <v>126195346.75673197</v>
      </c>
      <c r="U279" s="1132">
        <f t="shared" ca="1" si="86"/>
        <v>1.1335703890882617E-2</v>
      </c>
      <c r="V279" s="1133">
        <f t="shared" ca="1" si="87"/>
        <v>5.0000000000000044E-2</v>
      </c>
      <c r="X279" s="1134">
        <f t="shared" ca="1" si="94"/>
        <v>7044364.3673910201</v>
      </c>
      <c r="Y279" s="1134">
        <f t="shared" ca="1" si="88"/>
        <v>402504.01177354157</v>
      </c>
      <c r="Z279" s="1134">
        <f t="shared" ca="1" si="89"/>
        <v>6641860.3556174785</v>
      </c>
      <c r="AA279" s="1132">
        <f t="shared" ca="1" si="90"/>
        <v>1.2128726527877101E-2</v>
      </c>
      <c r="AB279" s="1105"/>
    </row>
    <row r="280" spans="1:28">
      <c r="A280" s="1144">
        <f>Calendar!J272</f>
        <v>53202</v>
      </c>
      <c r="C280" s="1104"/>
      <c r="D280" s="1125">
        <f t="shared" ca="1" si="76"/>
        <v>54239</v>
      </c>
      <c r="E280" s="1126">
        <f t="shared" ca="1" si="77"/>
        <v>54266</v>
      </c>
      <c r="F280" s="1127">
        <f t="shared" ca="1" si="78"/>
        <v>8217</v>
      </c>
      <c r="G280" s="1128">
        <f ca="1">IF(F280&lt;&gt;"",COUNTIF($F$11:F280,"&gt;0"),"")</f>
        <v>270</v>
      </c>
      <c r="H280" s="1129">
        <v>5.8612212766243177E-2</v>
      </c>
      <c r="I280" s="1073"/>
      <c r="J280" s="1130">
        <f t="shared" ca="1" si="79"/>
        <v>132837207.11234945</v>
      </c>
      <c r="K280" s="1131">
        <f t="shared" ca="1" si="80"/>
        <v>7785882.646542537</v>
      </c>
      <c r="L280" s="1130">
        <f t="shared" ca="1" si="81"/>
        <v>0</v>
      </c>
      <c r="M280" s="1130">
        <f t="shared" ca="1" si="82"/>
        <v>0</v>
      </c>
      <c r="N280" s="1130">
        <f t="shared" ca="1" si="91"/>
        <v>125051324.46580692</v>
      </c>
      <c r="O280" s="1073"/>
      <c r="P280" s="1130">
        <f t="shared" ca="1" si="83"/>
        <v>7785882.6465425342</v>
      </c>
      <c r="Q280" s="1130">
        <f t="shared" ca="1" si="84"/>
        <v>118798758.24251656</v>
      </c>
      <c r="R280" s="1130">
        <f t="shared" ca="1" si="92"/>
        <v>126195346.75673197</v>
      </c>
      <c r="S280" s="1130">
        <f t="shared" ca="1" si="93"/>
        <v>7396588.5142154098</v>
      </c>
      <c r="T280" s="1130">
        <f t="shared" ca="1" si="85"/>
        <v>118798758.24251656</v>
      </c>
      <c r="U280" s="1132">
        <f t="shared" ca="1" si="86"/>
        <v>1.0687999420415676E-2</v>
      </c>
      <c r="V280" s="1133">
        <f t="shared" ca="1" si="87"/>
        <v>5.0000000000000044E-2</v>
      </c>
      <c r="X280" s="1134">
        <f t="shared" ca="1" si="94"/>
        <v>6641860.3556174785</v>
      </c>
      <c r="Y280" s="1134">
        <f t="shared" ca="1" si="88"/>
        <v>389294.13232712448</v>
      </c>
      <c r="Z280" s="1134">
        <f t="shared" ca="1" si="89"/>
        <v>6252566.223290354</v>
      </c>
      <c r="AA280" s="1132">
        <f t="shared" ca="1" si="90"/>
        <v>1.1435709978680231E-2</v>
      </c>
      <c r="AB280" s="1105"/>
    </row>
    <row r="281" spans="1:28">
      <c r="A281" s="1144">
        <f>Calendar!J273</f>
        <v>53232</v>
      </c>
      <c r="C281" s="1104"/>
      <c r="D281" s="1125">
        <f t="shared" ca="1" si="76"/>
        <v>54270</v>
      </c>
      <c r="E281" s="1126">
        <f t="shared" ca="1" si="77"/>
        <v>54297</v>
      </c>
      <c r="F281" s="1127">
        <f t="shared" ca="1" si="78"/>
        <v>8248</v>
      </c>
      <c r="G281" s="1128">
        <f ca="1">IF(F281&lt;&gt;"",COUNTIF($F$11:F281,"&gt;0"),"")</f>
        <v>271</v>
      </c>
      <c r="H281" s="1129">
        <v>6.0041942100627681E-2</v>
      </c>
      <c r="I281" s="1073"/>
      <c r="J281" s="1130">
        <f t="shared" ca="1" si="79"/>
        <v>125051324.46580692</v>
      </c>
      <c r="K281" s="1131">
        <f t="shared" ca="1" si="80"/>
        <v>7508324.3831827845</v>
      </c>
      <c r="L281" s="1130">
        <f t="shared" ca="1" si="81"/>
        <v>0</v>
      </c>
      <c r="M281" s="1130">
        <f t="shared" ca="1" si="82"/>
        <v>0</v>
      </c>
      <c r="N281" s="1130">
        <f t="shared" ca="1" si="91"/>
        <v>117543000.08262414</v>
      </c>
      <c r="O281" s="1073"/>
      <c r="P281" s="1130">
        <f t="shared" ca="1" si="83"/>
        <v>7508324.383182779</v>
      </c>
      <c r="Q281" s="1130">
        <f t="shared" ca="1" si="84"/>
        <v>111665850.07849292</v>
      </c>
      <c r="R281" s="1130">
        <f t="shared" ca="1" si="92"/>
        <v>118798758.24251656</v>
      </c>
      <c r="S281" s="1130">
        <f t="shared" ca="1" si="93"/>
        <v>7132908.1640236378</v>
      </c>
      <c r="T281" s="1130">
        <f t="shared" ca="1" si="85"/>
        <v>111665850.07849292</v>
      </c>
      <c r="U281" s="1132">
        <f t="shared" ca="1" si="86"/>
        <v>1.0061552124340789E-2</v>
      </c>
      <c r="V281" s="1133">
        <f t="shared" ca="1" si="87"/>
        <v>5.0000000000000044E-2</v>
      </c>
      <c r="X281" s="1134">
        <f t="shared" ca="1" si="94"/>
        <v>6252566.223290354</v>
      </c>
      <c r="Y281" s="1134">
        <f t="shared" ca="1" si="88"/>
        <v>375416.21915914118</v>
      </c>
      <c r="Z281" s="1134">
        <f t="shared" ca="1" si="89"/>
        <v>5877150.0041312128</v>
      </c>
      <c r="AA281" s="1132">
        <f t="shared" ca="1" si="90"/>
        <v>1.076543771227678E-2</v>
      </c>
      <c r="AB281" s="1105"/>
    </row>
    <row r="282" spans="1:28">
      <c r="A282" s="1144">
        <f>Calendar!J274</f>
        <v>53262</v>
      </c>
      <c r="C282" s="1104"/>
      <c r="D282" s="1125">
        <f t="shared" ca="1" si="76"/>
        <v>54301</v>
      </c>
      <c r="E282" s="1126">
        <f t="shared" ca="1" si="77"/>
        <v>54329</v>
      </c>
      <c r="F282" s="1127">
        <f t="shared" ca="1" si="78"/>
        <v>8280</v>
      </c>
      <c r="G282" s="1128">
        <f ca="1">IF(F282&lt;&gt;"",COUNTIF($F$11:F282,"&gt;0"),"")</f>
        <v>272</v>
      </c>
      <c r="H282" s="1129">
        <v>6.0426766966292837E-2</v>
      </c>
      <c r="I282" s="1073"/>
      <c r="J282" s="1130">
        <f t="shared" ca="1" si="79"/>
        <v>117543000.08262414</v>
      </c>
      <c r="K282" s="1131">
        <f t="shared" ca="1" si="80"/>
        <v>7102743.4745116681</v>
      </c>
      <c r="L282" s="1130">
        <f t="shared" ca="1" si="81"/>
        <v>0</v>
      </c>
      <c r="M282" s="1130">
        <f t="shared" ca="1" si="82"/>
        <v>0</v>
      </c>
      <c r="N282" s="1130">
        <f t="shared" ca="1" si="91"/>
        <v>110440256.60811247</v>
      </c>
      <c r="O282" s="1073"/>
      <c r="P282" s="1130">
        <f t="shared" ca="1" si="83"/>
        <v>7102743.4745116681</v>
      </c>
      <c r="Q282" s="1130">
        <f t="shared" ca="1" si="84"/>
        <v>104918243.77770685</v>
      </c>
      <c r="R282" s="1130">
        <f t="shared" ca="1" si="92"/>
        <v>111665850.07849292</v>
      </c>
      <c r="S282" s="1130">
        <f t="shared" ca="1" si="93"/>
        <v>6747606.300786078</v>
      </c>
      <c r="T282" s="1130">
        <f t="shared" ca="1" si="85"/>
        <v>104918243.77770685</v>
      </c>
      <c r="U282" s="1132">
        <f t="shared" ca="1" si="86"/>
        <v>9.4574369942486726E-3</v>
      </c>
      <c r="V282" s="1133">
        <f t="shared" ca="1" si="87"/>
        <v>5.0000000000000044E-2</v>
      </c>
      <c r="X282" s="1134">
        <f t="shared" ca="1" si="94"/>
        <v>5877150.0041312128</v>
      </c>
      <c r="Y282" s="1134">
        <f t="shared" ca="1" si="88"/>
        <v>355137.17372559011</v>
      </c>
      <c r="Z282" s="1134">
        <f t="shared" ca="1" si="89"/>
        <v>5522012.8304056227</v>
      </c>
      <c r="AA282" s="1132">
        <f t="shared" ca="1" si="90"/>
        <v>1.0119059924468342E-2</v>
      </c>
      <c r="AB282" s="1105"/>
    </row>
    <row r="283" spans="1:28">
      <c r="A283" s="1144">
        <f>Calendar!J275</f>
        <v>53293</v>
      </c>
      <c r="C283" s="1104"/>
      <c r="D283" s="1125">
        <f t="shared" ca="1" si="76"/>
        <v>54331</v>
      </c>
      <c r="E283" s="1126">
        <f t="shared" ca="1" si="77"/>
        <v>54358</v>
      </c>
      <c r="F283" s="1127">
        <f t="shared" ca="1" si="78"/>
        <v>8309</v>
      </c>
      <c r="G283" s="1128">
        <f ca="1">IF(F283&lt;&gt;"",COUNTIF($F$11:F283,"&gt;0"),"")</f>
        <v>273</v>
      </c>
      <c r="H283" s="1129">
        <v>6.1780428959803547E-2</v>
      </c>
      <c r="I283" s="1073"/>
      <c r="J283" s="1130">
        <f t="shared" ca="1" si="79"/>
        <v>110440256.60811247</v>
      </c>
      <c r="K283" s="1131">
        <f t="shared" ca="1" si="80"/>
        <v>6823046.4276799671</v>
      </c>
      <c r="L283" s="1130">
        <f t="shared" ca="1" si="81"/>
        <v>0</v>
      </c>
      <c r="M283" s="1130">
        <f t="shared" ca="1" si="82"/>
        <v>0</v>
      </c>
      <c r="N283" s="1130">
        <f t="shared" ca="1" si="91"/>
        <v>103617210.1804325</v>
      </c>
      <c r="O283" s="1073"/>
      <c r="P283" s="1130">
        <f t="shared" ca="1" si="83"/>
        <v>6823046.4276799709</v>
      </c>
      <c r="Q283" s="1130">
        <f t="shared" ca="1" si="84"/>
        <v>98436349.671410874</v>
      </c>
      <c r="R283" s="1130">
        <f t="shared" ca="1" si="92"/>
        <v>104918243.77770685</v>
      </c>
      <c r="S283" s="1130">
        <f t="shared" ca="1" si="93"/>
        <v>6481894.1062959731</v>
      </c>
      <c r="T283" s="1130">
        <f t="shared" ca="1" si="85"/>
        <v>98436349.671410874</v>
      </c>
      <c r="U283" s="1132">
        <f t="shared" ca="1" si="86"/>
        <v>8.8859546528988111E-3</v>
      </c>
      <c r="V283" s="1133">
        <f t="shared" ca="1" si="87"/>
        <v>5.0000000000000044E-2</v>
      </c>
      <c r="X283" s="1134">
        <f t="shared" ca="1" si="94"/>
        <v>5522012.8304056227</v>
      </c>
      <c r="Y283" s="1134">
        <f t="shared" ca="1" si="88"/>
        <v>341152.3213839978</v>
      </c>
      <c r="Z283" s="1134">
        <f t="shared" ca="1" si="89"/>
        <v>5180860.5090216249</v>
      </c>
      <c r="AA283" s="1132">
        <f t="shared" ca="1" si="90"/>
        <v>9.5075978484945294E-3</v>
      </c>
      <c r="AB283" s="1105"/>
    </row>
    <row r="284" spans="1:28">
      <c r="A284" s="1144">
        <f>Calendar!J276</f>
        <v>53323</v>
      </c>
      <c r="C284" s="1104"/>
      <c r="D284" s="1125">
        <f t="shared" ca="1" si="76"/>
        <v>54362</v>
      </c>
      <c r="E284" s="1126">
        <f t="shared" ca="1" si="77"/>
        <v>54389</v>
      </c>
      <c r="F284" s="1127">
        <f t="shared" ca="1" si="78"/>
        <v>8340</v>
      </c>
      <c r="G284" s="1128">
        <f ca="1">IF(F284&lt;&gt;"",COUNTIF($F$11:F284,"&gt;0"),"")</f>
        <v>274</v>
      </c>
      <c r="H284" s="1129">
        <v>6.2921312690656164E-2</v>
      </c>
      <c r="I284" s="1073"/>
      <c r="J284" s="1130">
        <f t="shared" ca="1" si="79"/>
        <v>103617210.1804325</v>
      </c>
      <c r="K284" s="1131">
        <f t="shared" ca="1" si="80"/>
        <v>6519730.8818964344</v>
      </c>
      <c r="L284" s="1130">
        <f t="shared" ca="1" si="81"/>
        <v>0</v>
      </c>
      <c r="M284" s="1130">
        <f t="shared" ca="1" si="82"/>
        <v>0</v>
      </c>
      <c r="N284" s="1130">
        <f t="shared" ca="1" si="91"/>
        <v>97097479.298536062</v>
      </c>
      <c r="O284" s="1073"/>
      <c r="P284" s="1130">
        <f t="shared" ca="1" si="83"/>
        <v>6519730.8818964362</v>
      </c>
      <c r="Q284" s="1130">
        <f t="shared" ca="1" si="84"/>
        <v>92242605.333609253</v>
      </c>
      <c r="R284" s="1130">
        <f t="shared" ca="1" si="92"/>
        <v>98436349.671410874</v>
      </c>
      <c r="S284" s="1130">
        <f t="shared" ca="1" si="93"/>
        <v>6193744.3378016204</v>
      </c>
      <c r="T284" s="1130">
        <f t="shared" ca="1" si="85"/>
        <v>92242605.333609253</v>
      </c>
      <c r="U284" s="1132">
        <f t="shared" ca="1" si="86"/>
        <v>8.3369765627253605E-3</v>
      </c>
      <c r="V284" s="1133">
        <f t="shared" ca="1" si="87"/>
        <v>5.0000000000000044E-2</v>
      </c>
      <c r="X284" s="1134">
        <f t="shared" ca="1" si="94"/>
        <v>5180860.5090216249</v>
      </c>
      <c r="Y284" s="1134">
        <f t="shared" ca="1" si="88"/>
        <v>325986.54409481585</v>
      </c>
      <c r="Z284" s="1134">
        <f t="shared" ca="1" si="89"/>
        <v>4854873.9649268091</v>
      </c>
      <c r="AA284" s="1132">
        <f t="shared" ca="1" si="90"/>
        <v>8.9202143750372331E-3</v>
      </c>
      <c r="AB284" s="1105"/>
    </row>
    <row r="285" spans="1:28">
      <c r="A285" s="1144">
        <f>Calendar!J277</f>
        <v>53356</v>
      </c>
      <c r="C285" s="1104"/>
      <c r="D285" s="1125">
        <f t="shared" ca="1" si="76"/>
        <v>54392</v>
      </c>
      <c r="E285" s="1126">
        <f t="shared" ca="1" si="77"/>
        <v>54420</v>
      </c>
      <c r="F285" s="1127">
        <f t="shared" ca="1" si="78"/>
        <v>8371</v>
      </c>
      <c r="G285" s="1128">
        <f ca="1">IF(F285&lt;&gt;"",COUNTIF($F$11:F285,"&gt;0"),"")</f>
        <v>275</v>
      </c>
      <c r="H285" s="1129">
        <v>6.3961417409715671E-2</v>
      </c>
      <c r="I285" s="1073"/>
      <c r="J285" s="1130">
        <f t="shared" ca="1" si="79"/>
        <v>97097479.298536062</v>
      </c>
      <c r="K285" s="1131">
        <f t="shared" ca="1" si="80"/>
        <v>6210492.4028448919</v>
      </c>
      <c r="L285" s="1130">
        <f t="shared" ca="1" si="81"/>
        <v>0</v>
      </c>
      <c r="M285" s="1130">
        <f t="shared" ca="1" si="82"/>
        <v>0</v>
      </c>
      <c r="N285" s="1130">
        <f t="shared" ca="1" si="91"/>
        <v>90886986.895691171</v>
      </c>
      <c r="O285" s="1073"/>
      <c r="P285" s="1130">
        <f t="shared" ca="1" si="83"/>
        <v>6210492.402844891</v>
      </c>
      <c r="Q285" s="1130">
        <f t="shared" ca="1" si="84"/>
        <v>86342637.550906613</v>
      </c>
      <c r="R285" s="1130">
        <f t="shared" ca="1" si="92"/>
        <v>92242605.333609253</v>
      </c>
      <c r="S285" s="1130">
        <f t="shared" ca="1" si="93"/>
        <v>5899967.7827026397</v>
      </c>
      <c r="T285" s="1130">
        <f t="shared" ca="1" si="85"/>
        <v>86342637.550906613</v>
      </c>
      <c r="U285" s="1132">
        <f t="shared" ca="1" si="86"/>
        <v>7.8124030535274454E-3</v>
      </c>
      <c r="V285" s="1133">
        <f t="shared" ca="1" si="87"/>
        <v>5.0000000000000044E-2</v>
      </c>
      <c r="X285" s="1134">
        <f t="shared" ca="1" si="94"/>
        <v>4854873.9649268091</v>
      </c>
      <c r="Y285" s="1134">
        <f t="shared" ca="1" si="88"/>
        <v>310524.62014225125</v>
      </c>
      <c r="Z285" s="1134">
        <f t="shared" ca="1" si="89"/>
        <v>4544349.3447845578</v>
      </c>
      <c r="AA285" s="1132">
        <f t="shared" ca="1" si="90"/>
        <v>8.358942777077839E-3</v>
      </c>
      <c r="AB285" s="1105"/>
    </row>
    <row r="286" spans="1:28">
      <c r="A286" s="1144">
        <f>Calendar!J278</f>
        <v>53385</v>
      </c>
      <c r="C286" s="1104"/>
      <c r="D286" s="1125">
        <f t="shared" ca="1" si="76"/>
        <v>54423</v>
      </c>
      <c r="E286" s="1126">
        <f t="shared" ca="1" si="77"/>
        <v>54450</v>
      </c>
      <c r="F286" s="1127">
        <f t="shared" ca="1" si="78"/>
        <v>8401</v>
      </c>
      <c r="G286" s="1128">
        <f ca="1">IF(F286&lt;&gt;"",COUNTIF($F$11:F286,"&gt;0"),"")</f>
        <v>276</v>
      </c>
      <c r="H286" s="1129">
        <v>6.5734373171687552E-2</v>
      </c>
      <c r="I286" s="1073"/>
      <c r="J286" s="1130">
        <f t="shared" ca="1" si="79"/>
        <v>90886986.895691171</v>
      </c>
      <c r="K286" s="1131">
        <f t="shared" ca="1" si="80"/>
        <v>5974399.1130516399</v>
      </c>
      <c r="L286" s="1130">
        <f t="shared" ca="1" si="81"/>
        <v>0</v>
      </c>
      <c r="M286" s="1130">
        <f t="shared" ca="1" si="82"/>
        <v>0</v>
      </c>
      <c r="N286" s="1130">
        <f t="shared" ca="1" si="91"/>
        <v>84912587.782639533</v>
      </c>
      <c r="O286" s="1073"/>
      <c r="P286" s="1130">
        <f t="shared" ca="1" si="83"/>
        <v>5974399.113051638</v>
      </c>
      <c r="Q286" s="1130">
        <f t="shared" ca="1" si="84"/>
        <v>80666958.393507555</v>
      </c>
      <c r="R286" s="1130">
        <f t="shared" ca="1" si="92"/>
        <v>86342637.550906613</v>
      </c>
      <c r="S286" s="1130">
        <f t="shared" ca="1" si="93"/>
        <v>5675679.1573990583</v>
      </c>
      <c r="T286" s="1130">
        <f t="shared" ca="1" si="85"/>
        <v>80666958.393507555</v>
      </c>
      <c r="U286" s="1132">
        <f t="shared" ca="1" si="86"/>
        <v>7.31271068084784E-3</v>
      </c>
      <c r="V286" s="1133">
        <f t="shared" ca="1" si="87"/>
        <v>5.0000000000000044E-2</v>
      </c>
      <c r="X286" s="1134">
        <f t="shared" ca="1" si="94"/>
        <v>4544349.3447845578</v>
      </c>
      <c r="Y286" s="1134">
        <f t="shared" ca="1" si="88"/>
        <v>298719.95565257967</v>
      </c>
      <c r="Z286" s="1134">
        <f t="shared" ca="1" si="89"/>
        <v>4245629.3891319782</v>
      </c>
      <c r="AA286" s="1132">
        <f t="shared" ca="1" si="90"/>
        <v>7.8242929490092254E-3</v>
      </c>
      <c r="AB286" s="1105"/>
    </row>
    <row r="287" spans="1:28">
      <c r="A287" s="1144">
        <f>Calendar!J279</f>
        <v>53413</v>
      </c>
      <c r="C287" s="1104"/>
      <c r="D287" s="1125">
        <f t="shared" ca="1" si="76"/>
        <v>54454</v>
      </c>
      <c r="E287" s="1126">
        <f t="shared" ca="1" si="77"/>
        <v>54480</v>
      </c>
      <c r="F287" s="1127">
        <f t="shared" ca="1" si="78"/>
        <v>8431</v>
      </c>
      <c r="G287" s="1128">
        <f ca="1">IF(F287&lt;&gt;"",COUNTIF($F$11:F287,"&gt;0"),"")</f>
        <v>277</v>
      </c>
      <c r="H287" s="1129">
        <v>6.770040803534462E-2</v>
      </c>
      <c r="I287" s="1073"/>
      <c r="J287" s="1130">
        <f t="shared" ca="1" si="79"/>
        <v>84912587.782639533</v>
      </c>
      <c r="K287" s="1131">
        <f t="shared" ca="1" si="80"/>
        <v>5748616.8402217152</v>
      </c>
      <c r="L287" s="1130">
        <f t="shared" ca="1" si="81"/>
        <v>0</v>
      </c>
      <c r="M287" s="1130">
        <f t="shared" ca="1" si="82"/>
        <v>0</v>
      </c>
      <c r="N287" s="1130">
        <f t="shared" ca="1" si="91"/>
        <v>79163970.942417815</v>
      </c>
      <c r="O287" s="1073"/>
      <c r="P287" s="1130">
        <f t="shared" ca="1" si="83"/>
        <v>5748616.840221718</v>
      </c>
      <c r="Q287" s="1130">
        <f t="shared" ca="1" si="84"/>
        <v>75205772.395296916</v>
      </c>
      <c r="R287" s="1130">
        <f t="shared" ca="1" si="92"/>
        <v>80666958.393507555</v>
      </c>
      <c r="S287" s="1130">
        <f t="shared" ca="1" si="93"/>
        <v>5461185.9982106388</v>
      </c>
      <c r="T287" s="1130">
        <f t="shared" ca="1" si="85"/>
        <v>75205772.395296916</v>
      </c>
      <c r="U287" s="1132">
        <f t="shared" ca="1" si="86"/>
        <v>6.8320142280564027E-3</v>
      </c>
      <c r="V287" s="1133">
        <f t="shared" ca="1" si="87"/>
        <v>5.0000000000000155E-2</v>
      </c>
      <c r="X287" s="1134">
        <f t="shared" ca="1" si="94"/>
        <v>4245629.3891319782</v>
      </c>
      <c r="Y287" s="1134">
        <f t="shared" ca="1" si="88"/>
        <v>287430.84201107919</v>
      </c>
      <c r="Z287" s="1134">
        <f t="shared" ca="1" si="89"/>
        <v>3958198.547120899</v>
      </c>
      <c r="AA287" s="1132">
        <f t="shared" ca="1" si="90"/>
        <v>7.3099679564944528E-3</v>
      </c>
      <c r="AB287" s="1105"/>
    </row>
    <row r="288" spans="1:28">
      <c r="A288" s="1144">
        <f>Calendar!J280</f>
        <v>53444</v>
      </c>
      <c r="C288" s="1104"/>
      <c r="D288" s="1125">
        <f t="shared" ca="1" si="76"/>
        <v>54482</v>
      </c>
      <c r="E288" s="1126">
        <f t="shared" ca="1" si="77"/>
        <v>54511</v>
      </c>
      <c r="F288" s="1127">
        <f t="shared" ca="1" si="78"/>
        <v>8462</v>
      </c>
      <c r="G288" s="1128">
        <f ca="1">IF(F288&lt;&gt;"",COUNTIF($F$11:F288,"&gt;0"),"")</f>
        <v>278</v>
      </c>
      <c r="H288" s="1129">
        <v>7.0054698578079694E-2</v>
      </c>
      <c r="I288" s="1073"/>
      <c r="J288" s="1130">
        <f t="shared" ca="1" si="79"/>
        <v>79163970.942417815</v>
      </c>
      <c r="K288" s="1131">
        <f t="shared" ca="1" si="80"/>
        <v>5545808.1226149397</v>
      </c>
      <c r="L288" s="1130">
        <f t="shared" ca="1" si="81"/>
        <v>0</v>
      </c>
      <c r="M288" s="1130">
        <f t="shared" ca="1" si="82"/>
        <v>0</v>
      </c>
      <c r="N288" s="1130">
        <f t="shared" ca="1" si="91"/>
        <v>73618162.81980288</v>
      </c>
      <c r="O288" s="1073"/>
      <c r="P288" s="1130">
        <f t="shared" ca="1" si="83"/>
        <v>5545808.122614935</v>
      </c>
      <c r="Q288" s="1130">
        <f t="shared" ca="1" si="84"/>
        <v>69937254.678812727</v>
      </c>
      <c r="R288" s="1130">
        <f t="shared" ca="1" si="92"/>
        <v>75205772.395296916</v>
      </c>
      <c r="S288" s="1130">
        <f t="shared" ca="1" si="93"/>
        <v>5268517.716484189</v>
      </c>
      <c r="T288" s="1130">
        <f t="shared" ca="1" si="85"/>
        <v>69937254.678812727</v>
      </c>
      <c r="U288" s="1132">
        <f t="shared" ca="1" si="86"/>
        <v>6.3694840771137034E-3</v>
      </c>
      <c r="V288" s="1133">
        <f t="shared" ca="1" si="87"/>
        <v>5.0000000000000155E-2</v>
      </c>
      <c r="X288" s="1134">
        <f t="shared" ca="1" si="94"/>
        <v>3958198.547120899</v>
      </c>
      <c r="Y288" s="1134">
        <f t="shared" ca="1" si="88"/>
        <v>277290.40613074601</v>
      </c>
      <c r="Z288" s="1134">
        <f t="shared" ca="1" si="89"/>
        <v>3680908.140990153</v>
      </c>
      <c r="AA288" s="1132">
        <f t="shared" ca="1" si="90"/>
        <v>6.8150801431144954E-3</v>
      </c>
      <c r="AB288" s="1105"/>
    </row>
    <row r="289" spans="1:28">
      <c r="A289" s="1144">
        <f>Calendar!J281</f>
        <v>53475</v>
      </c>
      <c r="C289" s="1104"/>
      <c r="D289" s="1125">
        <f t="shared" ca="1" si="76"/>
        <v>54513</v>
      </c>
      <c r="E289" s="1126">
        <f t="shared" ca="1" si="77"/>
        <v>54540</v>
      </c>
      <c r="F289" s="1127">
        <f t="shared" ca="1" si="78"/>
        <v>8491</v>
      </c>
      <c r="G289" s="1128">
        <f ca="1">IF(F289&lt;&gt;"",COUNTIF($F$11:F289,"&gt;0"),"")</f>
        <v>279</v>
      </c>
      <c r="H289" s="1129">
        <v>7.3041728114179263E-2</v>
      </c>
      <c r="I289" s="1073"/>
      <c r="J289" s="1130">
        <f t="shared" ca="1" si="79"/>
        <v>73618162.81980288</v>
      </c>
      <c r="K289" s="1131">
        <f t="shared" ca="1" si="80"/>
        <v>5377197.8329494223</v>
      </c>
      <c r="L289" s="1130">
        <f t="shared" ca="1" si="81"/>
        <v>0</v>
      </c>
      <c r="M289" s="1130">
        <f t="shared" ca="1" si="82"/>
        <v>0</v>
      </c>
      <c r="N289" s="1130">
        <f t="shared" ca="1" si="91"/>
        <v>68240964.986853451</v>
      </c>
      <c r="O289" s="1073"/>
      <c r="P289" s="1130">
        <f t="shared" ca="1" si="83"/>
        <v>5377197.8329494298</v>
      </c>
      <c r="Q289" s="1130">
        <f t="shared" ca="1" si="84"/>
        <v>64828916.737510778</v>
      </c>
      <c r="R289" s="1130">
        <f t="shared" ca="1" si="92"/>
        <v>69937254.678812727</v>
      </c>
      <c r="S289" s="1130">
        <f t="shared" ca="1" si="93"/>
        <v>5108337.9413019493</v>
      </c>
      <c r="T289" s="1130">
        <f t="shared" ca="1" si="85"/>
        <v>64828916.737510778</v>
      </c>
      <c r="U289" s="1132">
        <f t="shared" ca="1" si="86"/>
        <v>5.9232717899936251E-3</v>
      </c>
      <c r="V289" s="1133">
        <f t="shared" ca="1" si="87"/>
        <v>5.0000000000000044E-2</v>
      </c>
      <c r="X289" s="1134">
        <f t="shared" ca="1" si="94"/>
        <v>3680908.140990153</v>
      </c>
      <c r="Y289" s="1134">
        <f t="shared" ca="1" si="88"/>
        <v>268859.89164748043</v>
      </c>
      <c r="Z289" s="1134">
        <f t="shared" ca="1" si="89"/>
        <v>3412048.2493426725</v>
      </c>
      <c r="AA289" s="1132">
        <f t="shared" ca="1" si="90"/>
        <v>6.3376517579031557E-3</v>
      </c>
      <c r="AB289" s="1105"/>
    </row>
    <row r="290" spans="1:28">
      <c r="A290" s="1144">
        <f>Calendar!J282</f>
        <v>53505</v>
      </c>
      <c r="C290" s="1104"/>
      <c r="D290" s="1125">
        <f t="shared" ca="1" si="76"/>
        <v>54543</v>
      </c>
      <c r="E290" s="1126">
        <f t="shared" ca="1" si="77"/>
        <v>54570</v>
      </c>
      <c r="F290" s="1127">
        <f t="shared" ca="1" si="78"/>
        <v>8521</v>
      </c>
      <c r="G290" s="1128">
        <f ca="1">IF(F290&lt;&gt;"",COUNTIF($F$11:F290,"&gt;0"),"")</f>
        <v>280</v>
      </c>
      <c r="H290" s="1129">
        <v>7.7181389946413451E-2</v>
      </c>
      <c r="I290" s="1073"/>
      <c r="J290" s="1130">
        <f t="shared" ca="1" si="79"/>
        <v>68240964.986853451</v>
      </c>
      <c r="K290" s="1131">
        <f t="shared" ca="1" si="80"/>
        <v>5266932.528969883</v>
      </c>
      <c r="L290" s="1130">
        <f t="shared" ca="1" si="81"/>
        <v>0</v>
      </c>
      <c r="M290" s="1130">
        <f t="shared" ca="1" si="82"/>
        <v>0</v>
      </c>
      <c r="N290" s="1130">
        <f t="shared" ca="1" si="91"/>
        <v>62974032.457883567</v>
      </c>
      <c r="O290" s="1073"/>
      <c r="P290" s="1130">
        <f t="shared" ca="1" si="83"/>
        <v>5266932.5289698839</v>
      </c>
      <c r="Q290" s="1130">
        <f t="shared" ca="1" si="84"/>
        <v>59825330.834989384</v>
      </c>
      <c r="R290" s="1130">
        <f t="shared" ca="1" si="92"/>
        <v>64828916.737510778</v>
      </c>
      <c r="S290" s="1130">
        <f t="shared" ca="1" si="93"/>
        <v>5003585.9025213942</v>
      </c>
      <c r="T290" s="1130">
        <f t="shared" ca="1" si="85"/>
        <v>59825330.834989384</v>
      </c>
      <c r="U290" s="1132">
        <f t="shared" ca="1" si="86"/>
        <v>5.4906257823625227E-3</v>
      </c>
      <c r="V290" s="1133">
        <f t="shared" ca="1" si="87"/>
        <v>5.0000000000000044E-2</v>
      </c>
      <c r="X290" s="1134">
        <f t="shared" ca="1" si="94"/>
        <v>3412048.2493426725</v>
      </c>
      <c r="Y290" s="1134">
        <f t="shared" ca="1" si="88"/>
        <v>263346.62644848973</v>
      </c>
      <c r="Z290" s="1134">
        <f t="shared" ca="1" si="89"/>
        <v>3148701.6228941828</v>
      </c>
      <c r="AA290" s="1132">
        <f t="shared" ca="1" si="90"/>
        <v>5.8747387213200289E-3</v>
      </c>
      <c r="AB290" s="1105"/>
    </row>
    <row r="291" spans="1:28">
      <c r="A291" s="1144">
        <f>Calendar!J283</f>
        <v>53535</v>
      </c>
      <c r="C291" s="1104"/>
      <c r="D291" s="1125">
        <f t="shared" ca="1" si="76"/>
        <v>54574</v>
      </c>
      <c r="E291" s="1126">
        <f t="shared" ca="1" si="77"/>
        <v>54602</v>
      </c>
      <c r="F291" s="1127">
        <f t="shared" ca="1" si="78"/>
        <v>8553</v>
      </c>
      <c r="G291" s="1128">
        <f ca="1">IF(F291&lt;&gt;"",COUNTIF($F$11:F291,"&gt;0"),"")</f>
        <v>281</v>
      </c>
      <c r="H291" s="1129">
        <v>8.2215919503936141E-2</v>
      </c>
      <c r="I291" s="1073"/>
      <c r="J291" s="1130">
        <f t="shared" ca="1" si="79"/>
        <v>62974032.457883567</v>
      </c>
      <c r="K291" s="1131">
        <f t="shared" ca="1" si="80"/>
        <v>5177467.9833956175</v>
      </c>
      <c r="L291" s="1130">
        <f t="shared" ca="1" si="81"/>
        <v>0</v>
      </c>
      <c r="M291" s="1130">
        <f t="shared" ca="1" si="82"/>
        <v>0</v>
      </c>
      <c r="N291" s="1130">
        <f t="shared" ca="1" si="91"/>
        <v>57796564.474487945</v>
      </c>
      <c r="O291" s="1073"/>
      <c r="P291" s="1130">
        <f t="shared" ca="1" si="83"/>
        <v>5177467.9833956212</v>
      </c>
      <c r="Q291" s="1130">
        <f t="shared" ca="1" si="84"/>
        <v>54906736.250763543</v>
      </c>
      <c r="R291" s="1130">
        <f t="shared" ca="1" si="92"/>
        <v>59825330.834989384</v>
      </c>
      <c r="S291" s="1130">
        <f t="shared" ca="1" si="93"/>
        <v>4918594.5842258409</v>
      </c>
      <c r="T291" s="1130">
        <f t="shared" ca="1" si="85"/>
        <v>54906736.250763543</v>
      </c>
      <c r="U291" s="1132">
        <f t="shared" ca="1" si="86"/>
        <v>5.066851652804169E-3</v>
      </c>
      <c r="V291" s="1133">
        <f t="shared" ca="1" si="87"/>
        <v>5.0000000000000044E-2</v>
      </c>
      <c r="X291" s="1134">
        <f t="shared" ca="1" si="94"/>
        <v>3148701.6228941828</v>
      </c>
      <c r="Y291" s="1134">
        <f t="shared" ca="1" si="88"/>
        <v>258873.39916978031</v>
      </c>
      <c r="Z291" s="1134">
        <f t="shared" ca="1" si="89"/>
        <v>2889828.2237244025</v>
      </c>
      <c r="AA291" s="1132">
        <f t="shared" ca="1" si="90"/>
        <v>5.4213182212365409E-3</v>
      </c>
      <c r="AB291" s="1105"/>
    </row>
    <row r="292" spans="1:28">
      <c r="A292" s="1144">
        <f>Calendar!J284</f>
        <v>53566</v>
      </c>
      <c r="C292" s="1104"/>
      <c r="D292" s="1125">
        <f t="shared" ca="1" si="76"/>
        <v>54604</v>
      </c>
      <c r="E292" s="1126">
        <f t="shared" ca="1" si="77"/>
        <v>54631</v>
      </c>
      <c r="F292" s="1127">
        <f t="shared" ca="1" si="78"/>
        <v>8582</v>
      </c>
      <c r="G292" s="1128">
        <f ca="1">IF(F292&lt;&gt;"",COUNTIF($F$11:F292,"&gt;0"),"")</f>
        <v>282</v>
      </c>
      <c r="H292" s="1129">
        <v>8.6858023880932014E-2</v>
      </c>
      <c r="I292" s="1073"/>
      <c r="J292" s="1130">
        <f t="shared" ca="1" si="79"/>
        <v>57796564.474487945</v>
      </c>
      <c r="K292" s="1131">
        <f t="shared" ca="1" si="80"/>
        <v>5020095.3773609009</v>
      </c>
      <c r="L292" s="1130">
        <f t="shared" ca="1" si="81"/>
        <v>0</v>
      </c>
      <c r="M292" s="1130">
        <f t="shared" ca="1" si="82"/>
        <v>0</v>
      </c>
      <c r="N292" s="1130">
        <f t="shared" ca="1" si="91"/>
        <v>52776469.097127043</v>
      </c>
      <c r="O292" s="1073"/>
      <c r="P292" s="1130">
        <f t="shared" ca="1" si="83"/>
        <v>5020095.3773609027</v>
      </c>
      <c r="Q292" s="1130">
        <f t="shared" ca="1" si="84"/>
        <v>50137645.642270692</v>
      </c>
      <c r="R292" s="1130">
        <f t="shared" ca="1" si="92"/>
        <v>54906736.250763543</v>
      </c>
      <c r="S292" s="1130">
        <f t="shared" ca="1" si="93"/>
        <v>4769090.6084928513</v>
      </c>
      <c r="T292" s="1130">
        <f t="shared" ca="1" si="85"/>
        <v>50137645.642270692</v>
      </c>
      <c r="U292" s="1132">
        <f t="shared" ca="1" si="86"/>
        <v>4.6502757851788349E-3</v>
      </c>
      <c r="V292" s="1133">
        <f t="shared" ca="1" si="87"/>
        <v>4.9999999999999933E-2</v>
      </c>
      <c r="X292" s="1134">
        <f t="shared" ca="1" si="94"/>
        <v>2889828.2237244025</v>
      </c>
      <c r="Y292" s="1134">
        <f t="shared" ca="1" si="88"/>
        <v>251004.76886805147</v>
      </c>
      <c r="Z292" s="1134">
        <f t="shared" ca="1" si="89"/>
        <v>2638823.454856351</v>
      </c>
      <c r="AA292" s="1132">
        <f t="shared" ca="1" si="90"/>
        <v>4.9755995587541365E-3</v>
      </c>
      <c r="AB292" s="1105"/>
    </row>
    <row r="293" spans="1:28">
      <c r="A293" s="1144">
        <f>Calendar!J285</f>
        <v>53597</v>
      </c>
      <c r="C293" s="1104"/>
      <c r="D293" s="1125">
        <f t="shared" ca="1" si="76"/>
        <v>54635</v>
      </c>
      <c r="E293" s="1126">
        <f t="shared" ca="1" si="77"/>
        <v>54662</v>
      </c>
      <c r="F293" s="1127">
        <f t="shared" ca="1" si="78"/>
        <v>8613</v>
      </c>
      <c r="G293" s="1128">
        <f ca="1">IF(F293&lt;&gt;"",COUNTIF($F$11:F293,"&gt;0"),"")</f>
        <v>283</v>
      </c>
      <c r="H293" s="1129">
        <v>9.168346749475724E-2</v>
      </c>
      <c r="I293" s="1073"/>
      <c r="J293" s="1130">
        <f t="shared" ca="1" si="79"/>
        <v>52776469.097127043</v>
      </c>
      <c r="K293" s="1131">
        <f t="shared" ca="1" si="80"/>
        <v>4838729.688954507</v>
      </c>
      <c r="L293" s="1130">
        <f t="shared" ca="1" si="81"/>
        <v>0</v>
      </c>
      <c r="M293" s="1130">
        <f t="shared" ca="1" si="82"/>
        <v>0</v>
      </c>
      <c r="N293" s="1130">
        <f t="shared" ca="1" si="91"/>
        <v>47937739.408172533</v>
      </c>
      <c r="O293" s="1073"/>
      <c r="P293" s="1130">
        <f t="shared" ca="1" si="83"/>
        <v>4838729.6889545098</v>
      </c>
      <c r="Q293" s="1130">
        <f t="shared" ca="1" si="84"/>
        <v>45540852.437763907</v>
      </c>
      <c r="R293" s="1130">
        <f t="shared" ca="1" si="92"/>
        <v>50137645.642270692</v>
      </c>
      <c r="S293" s="1130">
        <f t="shared" ca="1" si="93"/>
        <v>4596793.2045067847</v>
      </c>
      <c r="T293" s="1130">
        <f t="shared" ca="1" si="85"/>
        <v>45540852.437763907</v>
      </c>
      <c r="U293" s="1132">
        <f t="shared" ca="1" si="86"/>
        <v>4.2463620199768527E-3</v>
      </c>
      <c r="V293" s="1133">
        <f t="shared" ca="1" si="87"/>
        <v>4.9999999999999933E-2</v>
      </c>
      <c r="X293" s="1134">
        <f t="shared" ca="1" si="94"/>
        <v>2638823.454856351</v>
      </c>
      <c r="Y293" s="1134">
        <f t="shared" ca="1" si="88"/>
        <v>241936.48444772512</v>
      </c>
      <c r="Z293" s="1134">
        <f t="shared" ca="1" si="89"/>
        <v>2396886.9704086259</v>
      </c>
      <c r="AA293" s="1132">
        <f t="shared" ca="1" si="90"/>
        <v>4.5434288134579047E-3</v>
      </c>
      <c r="AB293" s="1105"/>
    </row>
    <row r="294" spans="1:28">
      <c r="A294" s="1144">
        <f>Calendar!J286</f>
        <v>53629</v>
      </c>
      <c r="C294" s="1104"/>
      <c r="D294" s="1125">
        <f t="shared" ca="1" si="76"/>
        <v>54666</v>
      </c>
      <c r="E294" s="1126">
        <f t="shared" ca="1" si="77"/>
        <v>54693</v>
      </c>
      <c r="F294" s="1127">
        <f t="shared" ca="1" si="78"/>
        <v>8644</v>
      </c>
      <c r="G294" s="1128">
        <f ca="1">IF(F294&lt;&gt;"",COUNTIF($F$11:F294,"&gt;0"),"")</f>
        <v>284</v>
      </c>
      <c r="H294" s="1129">
        <v>9.7741681610913456E-2</v>
      </c>
      <c r="I294" s="1073"/>
      <c r="J294" s="1130">
        <f t="shared" ca="1" si="79"/>
        <v>47937739.408172533</v>
      </c>
      <c r="K294" s="1131">
        <f t="shared" ca="1" si="80"/>
        <v>4685515.2623805385</v>
      </c>
      <c r="L294" s="1130">
        <f t="shared" ca="1" si="81"/>
        <v>0</v>
      </c>
      <c r="M294" s="1130">
        <f t="shared" ca="1" si="82"/>
        <v>0</v>
      </c>
      <c r="N294" s="1130">
        <f t="shared" ca="1" si="91"/>
        <v>43252224.145791993</v>
      </c>
      <c r="O294" s="1073"/>
      <c r="P294" s="1130">
        <f t="shared" ca="1" si="83"/>
        <v>4685515.2623805404</v>
      </c>
      <c r="Q294" s="1130">
        <f t="shared" ca="1" si="84"/>
        <v>41089612.938502394</v>
      </c>
      <c r="R294" s="1130">
        <f t="shared" ca="1" si="92"/>
        <v>45540852.437763907</v>
      </c>
      <c r="S294" s="1130">
        <f t="shared" ca="1" si="93"/>
        <v>4451239.4992615134</v>
      </c>
      <c r="T294" s="1130">
        <f t="shared" ca="1" si="85"/>
        <v>41089612.938502394</v>
      </c>
      <c r="U294" s="1132">
        <f t="shared" ca="1" si="86"/>
        <v>3.8570408257473329E-3</v>
      </c>
      <c r="V294" s="1133">
        <f t="shared" ca="1" si="87"/>
        <v>4.9999999999999933E-2</v>
      </c>
      <c r="X294" s="1134">
        <f t="shared" ca="1" si="94"/>
        <v>2396886.9704086259</v>
      </c>
      <c r="Y294" s="1134">
        <f t="shared" ca="1" si="88"/>
        <v>234275.76311902702</v>
      </c>
      <c r="Z294" s="1134">
        <f t="shared" ca="1" si="89"/>
        <v>2162611.2072895989</v>
      </c>
      <c r="AA294" s="1132">
        <f t="shared" ca="1" si="90"/>
        <v>4.1268715055244936E-3</v>
      </c>
      <c r="AB294" s="1105"/>
    </row>
    <row r="295" spans="1:28">
      <c r="A295" s="1144">
        <f>Calendar!J287</f>
        <v>53658</v>
      </c>
      <c r="C295" s="1104"/>
      <c r="D295" s="1125">
        <f t="shared" ca="1" si="76"/>
        <v>54696</v>
      </c>
      <c r="E295" s="1126">
        <f t="shared" ca="1" si="77"/>
        <v>54723</v>
      </c>
      <c r="F295" s="1127">
        <f t="shared" ca="1" si="78"/>
        <v>8674</v>
      </c>
      <c r="G295" s="1128">
        <f ca="1">IF(F295&lt;&gt;"",COUNTIF($F$11:F295,"&gt;0"),"")</f>
        <v>285</v>
      </c>
      <c r="H295" s="1129">
        <v>0.10470054955174993</v>
      </c>
      <c r="I295" s="1073"/>
      <c r="J295" s="1130">
        <f t="shared" ca="1" si="79"/>
        <v>43252224.145791993</v>
      </c>
      <c r="K295" s="1131">
        <f t="shared" ca="1" si="80"/>
        <v>4528531.6373998895</v>
      </c>
      <c r="L295" s="1130">
        <f t="shared" ca="1" si="81"/>
        <v>0</v>
      </c>
      <c r="M295" s="1130">
        <f t="shared" ca="1" si="82"/>
        <v>0</v>
      </c>
      <c r="N295" s="1130">
        <f t="shared" ca="1" si="91"/>
        <v>38723692.508392103</v>
      </c>
      <c r="O295" s="1073"/>
      <c r="P295" s="1130">
        <f t="shared" ca="1" si="83"/>
        <v>4528531.6373998895</v>
      </c>
      <c r="Q295" s="1130">
        <f t="shared" ca="1" si="84"/>
        <v>36787507.882972494</v>
      </c>
      <c r="R295" s="1130">
        <f t="shared" ca="1" si="92"/>
        <v>41089612.938502394</v>
      </c>
      <c r="S295" s="1130">
        <f t="shared" ca="1" si="93"/>
        <v>4302105.0555298999</v>
      </c>
      <c r="T295" s="1130">
        <f t="shared" ca="1" si="85"/>
        <v>36787507.882972494</v>
      </c>
      <c r="U295" s="1132">
        <f t="shared" ca="1" si="86"/>
        <v>3.480047169396842E-3</v>
      </c>
      <c r="V295" s="1133">
        <f t="shared" ca="1" si="87"/>
        <v>5.0000000000000155E-2</v>
      </c>
      <c r="X295" s="1134">
        <f t="shared" ca="1" si="94"/>
        <v>2162611.2072895989</v>
      </c>
      <c r="Y295" s="1134">
        <f t="shared" ca="1" si="88"/>
        <v>226426.58186998963</v>
      </c>
      <c r="Z295" s="1134">
        <f t="shared" ca="1" si="89"/>
        <v>1936184.6254196092</v>
      </c>
      <c r="AA295" s="1132">
        <f t="shared" ca="1" si="90"/>
        <v>3.7235041447823674E-3</v>
      </c>
      <c r="AB295" s="1105"/>
    </row>
    <row r="296" spans="1:28">
      <c r="A296" s="1144">
        <f>Calendar!J288</f>
        <v>53688</v>
      </c>
      <c r="C296" s="1104"/>
      <c r="D296" s="1125">
        <f t="shared" ca="1" si="76"/>
        <v>54727</v>
      </c>
      <c r="E296" s="1126">
        <f t="shared" ca="1" si="77"/>
        <v>54756</v>
      </c>
      <c r="F296" s="1127">
        <f t="shared" ca="1" si="78"/>
        <v>8707</v>
      </c>
      <c r="G296" s="1128">
        <f ca="1">IF(F296&lt;&gt;"",COUNTIF($F$11:F296,"&gt;0"),"")</f>
        <v>286</v>
      </c>
      <c r="H296" s="1129">
        <v>0.11061768586956627</v>
      </c>
      <c r="I296" s="1073"/>
      <c r="J296" s="1130">
        <f t="shared" ca="1" si="79"/>
        <v>38723692.508392103</v>
      </c>
      <c r="K296" s="1131">
        <f t="shared" ca="1" si="80"/>
        <v>4283525.2536029946</v>
      </c>
      <c r="L296" s="1130">
        <f t="shared" ca="1" si="81"/>
        <v>0</v>
      </c>
      <c r="M296" s="1130">
        <f t="shared" ca="1" si="82"/>
        <v>0</v>
      </c>
      <c r="N296" s="1130">
        <f t="shared" ca="1" si="91"/>
        <v>34440167.254789107</v>
      </c>
      <c r="O296" s="1073"/>
      <c r="P296" s="1130">
        <f t="shared" ca="1" si="83"/>
        <v>4283525.2536029965</v>
      </c>
      <c r="Q296" s="1130">
        <f t="shared" ca="1" si="84"/>
        <v>32718158.892049648</v>
      </c>
      <c r="R296" s="1130">
        <f t="shared" ca="1" si="92"/>
        <v>36787507.882972494</v>
      </c>
      <c r="S296" s="1130">
        <f t="shared" ca="1" si="93"/>
        <v>4069348.9909228459</v>
      </c>
      <c r="T296" s="1130">
        <f t="shared" ca="1" si="85"/>
        <v>32718158.892049648</v>
      </c>
      <c r="U296" s="1132">
        <f t="shared" ca="1" si="86"/>
        <v>3.1156843182949803E-3</v>
      </c>
      <c r="V296" s="1133">
        <f t="shared" ca="1" si="87"/>
        <v>5.0000000000000044E-2</v>
      </c>
      <c r="X296" s="1134">
        <f t="shared" ca="1" si="94"/>
        <v>1936184.6254196092</v>
      </c>
      <c r="Y296" s="1134">
        <f t="shared" ca="1" si="88"/>
        <v>214176.26268015057</v>
      </c>
      <c r="Z296" s="1134">
        <f t="shared" ca="1" si="89"/>
        <v>1722008.3627394587</v>
      </c>
      <c r="AA296" s="1132">
        <f t="shared" ca="1" si="90"/>
        <v>3.3336512145654431E-3</v>
      </c>
      <c r="AB296" s="1105"/>
    </row>
    <row r="297" spans="1:28">
      <c r="A297" s="1144">
        <f>Calendar!J289</f>
        <v>53720</v>
      </c>
      <c r="C297" s="1104"/>
      <c r="D297" s="1125">
        <f t="shared" ca="1" si="76"/>
        <v>54757</v>
      </c>
      <c r="E297" s="1126">
        <f t="shared" ca="1" si="77"/>
        <v>54784</v>
      </c>
      <c r="F297" s="1127">
        <f t="shared" ca="1" si="78"/>
        <v>8735</v>
      </c>
      <c r="G297" s="1128">
        <f ca="1">IF(F297&lt;&gt;"",COUNTIF($F$11:F297,"&gt;0"),"")</f>
        <v>287</v>
      </c>
      <c r="H297" s="1129">
        <v>0.11732030969490148</v>
      </c>
      <c r="I297" s="1073"/>
      <c r="J297" s="1130">
        <f t="shared" ca="1" si="79"/>
        <v>34440167.254789107</v>
      </c>
      <c r="K297" s="1131">
        <f t="shared" ca="1" si="80"/>
        <v>4040531.0882760631</v>
      </c>
      <c r="L297" s="1130">
        <f t="shared" ca="1" si="81"/>
        <v>0</v>
      </c>
      <c r="M297" s="1130">
        <f t="shared" ca="1" si="82"/>
        <v>0</v>
      </c>
      <c r="N297" s="1130">
        <f t="shared" ca="1" si="91"/>
        <v>30399636.166513044</v>
      </c>
      <c r="O297" s="1073"/>
      <c r="P297" s="1130">
        <f t="shared" ca="1" si="83"/>
        <v>4040531.0882760622</v>
      </c>
      <c r="Q297" s="1130">
        <f t="shared" ca="1" si="84"/>
        <v>28879654.358187392</v>
      </c>
      <c r="R297" s="1130">
        <f t="shared" ca="1" si="92"/>
        <v>32718158.892049648</v>
      </c>
      <c r="S297" s="1130">
        <f t="shared" ca="1" si="93"/>
        <v>3838504.5338622555</v>
      </c>
      <c r="T297" s="1130">
        <f t="shared" ca="1" si="85"/>
        <v>28879654.358187392</v>
      </c>
      <c r="U297" s="1132">
        <f t="shared" ca="1" si="86"/>
        <v>2.7710345291050925E-3</v>
      </c>
      <c r="V297" s="1133">
        <f t="shared" ca="1" si="87"/>
        <v>5.0000000000000044E-2</v>
      </c>
      <c r="X297" s="1134">
        <f t="shared" ca="1" si="94"/>
        <v>1722008.3627394587</v>
      </c>
      <c r="Y297" s="1134">
        <f t="shared" ca="1" si="88"/>
        <v>202026.55441380665</v>
      </c>
      <c r="Z297" s="1134">
        <f t="shared" ca="1" si="89"/>
        <v>1519981.808325652</v>
      </c>
      <c r="AA297" s="1132">
        <f t="shared" ca="1" si="90"/>
        <v>2.9648904317139441E-3</v>
      </c>
      <c r="AB297" s="1105"/>
    </row>
    <row r="298" spans="1:28">
      <c r="A298" s="1144">
        <f>Calendar!J290</f>
        <v>53750</v>
      </c>
      <c r="C298" s="1104"/>
      <c r="D298" s="1125">
        <f t="shared" ca="1" si="76"/>
        <v>54788</v>
      </c>
      <c r="E298" s="1126">
        <f t="shared" ca="1" si="77"/>
        <v>54815</v>
      </c>
      <c r="F298" s="1127">
        <f t="shared" ca="1" si="78"/>
        <v>8766</v>
      </c>
      <c r="G298" s="1128">
        <f ca="1">IF(F298&lt;&gt;"",COUNTIF($F$11:F298,"&gt;0"),"")</f>
        <v>288</v>
      </c>
      <c r="H298" s="1129">
        <v>0.12633784130682557</v>
      </c>
      <c r="I298" s="1073"/>
      <c r="J298" s="1130">
        <f t="shared" ca="1" si="79"/>
        <v>30399636.166513044</v>
      </c>
      <c r="K298" s="1131">
        <f t="shared" ca="1" si="80"/>
        <v>3840624.4097901601</v>
      </c>
      <c r="L298" s="1130">
        <f t="shared" ca="1" si="81"/>
        <v>0</v>
      </c>
      <c r="M298" s="1130">
        <f t="shared" ca="1" si="82"/>
        <v>0</v>
      </c>
      <c r="N298" s="1130">
        <f t="shared" ca="1" si="91"/>
        <v>26559011.756722882</v>
      </c>
      <c r="O298" s="1073"/>
      <c r="P298" s="1130">
        <f t="shared" ca="1" si="83"/>
        <v>3840624.409790162</v>
      </c>
      <c r="Q298" s="1130">
        <f t="shared" ca="1" si="84"/>
        <v>25231061.168886736</v>
      </c>
      <c r="R298" s="1130">
        <f t="shared" ca="1" si="92"/>
        <v>28879654.358187392</v>
      </c>
      <c r="S298" s="1130">
        <f t="shared" ca="1" si="93"/>
        <v>3648593.1893006563</v>
      </c>
      <c r="T298" s="1130">
        <f t="shared" ca="1" si="85"/>
        <v>25231061.168886736</v>
      </c>
      <c r="U298" s="1132">
        <f t="shared" ca="1" si="86"/>
        <v>2.4459358999752178E-3</v>
      </c>
      <c r="V298" s="1133">
        <f t="shared" ca="1" si="87"/>
        <v>5.0000000000000044E-2</v>
      </c>
      <c r="X298" s="1134">
        <f t="shared" ca="1" si="94"/>
        <v>1519981.808325652</v>
      </c>
      <c r="Y298" s="1134">
        <f t="shared" ca="1" si="88"/>
        <v>192031.22048950568</v>
      </c>
      <c r="Z298" s="1134">
        <f t="shared" ca="1" si="89"/>
        <v>1327950.5878361464</v>
      </c>
      <c r="AA298" s="1132">
        <f t="shared" ca="1" si="90"/>
        <v>2.6170485680538087E-3</v>
      </c>
      <c r="AB298" s="1105"/>
    </row>
    <row r="299" spans="1:28">
      <c r="A299" s="1144">
        <f>Calendar!J291</f>
        <v>53778</v>
      </c>
      <c r="C299" s="1104"/>
      <c r="D299" s="1125">
        <f t="shared" ca="1" si="76"/>
        <v>54819</v>
      </c>
      <c r="E299" s="1126">
        <f t="shared" ca="1" si="77"/>
        <v>54847</v>
      </c>
      <c r="F299" s="1127">
        <f t="shared" ca="1" si="78"/>
        <v>8798</v>
      </c>
      <c r="G299" s="1128">
        <f ca="1">IF(F299&lt;&gt;"",COUNTIF($F$11:F299,"&gt;0"),"")</f>
        <v>289</v>
      </c>
      <c r="H299" s="1129">
        <v>0.13615492669384663</v>
      </c>
      <c r="I299" s="1073"/>
      <c r="J299" s="1130">
        <f t="shared" ca="1" si="79"/>
        <v>26559011.756722882</v>
      </c>
      <c r="K299" s="1131">
        <f t="shared" ca="1" si="80"/>
        <v>3616140.2987976149</v>
      </c>
      <c r="L299" s="1130">
        <f t="shared" ca="1" si="81"/>
        <v>0</v>
      </c>
      <c r="M299" s="1130">
        <f t="shared" ca="1" si="82"/>
        <v>0</v>
      </c>
      <c r="N299" s="1130">
        <f t="shared" ca="1" si="91"/>
        <v>22942871.457925268</v>
      </c>
      <c r="O299" s="1073"/>
      <c r="P299" s="1130">
        <f t="shared" ca="1" si="83"/>
        <v>3616140.2987976149</v>
      </c>
      <c r="Q299" s="1130">
        <f t="shared" ca="1" si="84"/>
        <v>21795727.885029003</v>
      </c>
      <c r="R299" s="1130">
        <f t="shared" ca="1" si="92"/>
        <v>25231061.168886736</v>
      </c>
      <c r="S299" s="1130">
        <f t="shared" ca="1" si="93"/>
        <v>3435333.283857733</v>
      </c>
      <c r="T299" s="1130">
        <f t="shared" ca="1" si="85"/>
        <v>21795727.885029003</v>
      </c>
      <c r="U299" s="1132">
        <f t="shared" ca="1" si="86"/>
        <v>2.1369216383974807E-3</v>
      </c>
      <c r="V299" s="1133">
        <f t="shared" ca="1" si="87"/>
        <v>5.0000000000000044E-2</v>
      </c>
      <c r="X299" s="1134">
        <f t="shared" ca="1" si="94"/>
        <v>1327950.5878361464</v>
      </c>
      <c r="Y299" s="1134">
        <f t="shared" ca="1" si="88"/>
        <v>180807.01493988186</v>
      </c>
      <c r="Z299" s="1134">
        <f t="shared" ca="1" si="89"/>
        <v>1147143.5728962645</v>
      </c>
      <c r="AA299" s="1132">
        <f t="shared" ca="1" si="90"/>
        <v>2.2864163013707754E-3</v>
      </c>
      <c r="AB299" s="1105"/>
    </row>
    <row r="300" spans="1:28">
      <c r="A300" s="1144">
        <f>Calendar!J292</f>
        <v>53811</v>
      </c>
      <c r="C300" s="1104"/>
      <c r="D300" s="1125">
        <f t="shared" ca="1" si="76"/>
        <v>54847</v>
      </c>
      <c r="E300" s="1126">
        <f t="shared" ca="1" si="77"/>
        <v>54875</v>
      </c>
      <c r="F300" s="1127">
        <f t="shared" ca="1" si="78"/>
        <v>8826</v>
      </c>
      <c r="G300" s="1128">
        <f ca="1">IF(F300&lt;&gt;"",COUNTIF($F$11:F300,"&gt;0"),"")</f>
        <v>290</v>
      </c>
      <c r="H300" s="1129">
        <v>0.1491211442456824</v>
      </c>
      <c r="I300" s="1073"/>
      <c r="J300" s="1130">
        <f t="shared" ca="1" si="79"/>
        <v>22942871.457925268</v>
      </c>
      <c r="K300" s="1131">
        <f t="shared" ca="1" si="80"/>
        <v>3421267.2440874237</v>
      </c>
      <c r="L300" s="1130">
        <f t="shared" ca="1" si="81"/>
        <v>0</v>
      </c>
      <c r="M300" s="1130">
        <f t="shared" ca="1" si="82"/>
        <v>0</v>
      </c>
      <c r="N300" s="1130">
        <f t="shared" ca="1" si="91"/>
        <v>19521604.213837843</v>
      </c>
      <c r="O300" s="1073"/>
      <c r="P300" s="1130">
        <f t="shared" ca="1" si="83"/>
        <v>3421267.2440874241</v>
      </c>
      <c r="Q300" s="1130">
        <f t="shared" ca="1" si="84"/>
        <v>18545524.003145952</v>
      </c>
      <c r="R300" s="1130">
        <f t="shared" ca="1" si="92"/>
        <v>21795727.885029003</v>
      </c>
      <c r="S300" s="1130">
        <f t="shared" ca="1" si="93"/>
        <v>3250203.8818830512</v>
      </c>
      <c r="T300" s="1130">
        <f t="shared" ca="1" si="85"/>
        <v>18545524.003145952</v>
      </c>
      <c r="U300" s="1132">
        <f t="shared" ca="1" si="86"/>
        <v>1.8459692293709773E-3</v>
      </c>
      <c r="V300" s="1133">
        <f t="shared" ca="1" si="87"/>
        <v>4.9999999999999933E-2</v>
      </c>
      <c r="X300" s="1134">
        <f t="shared" ca="1" si="94"/>
        <v>1147143.5728962645</v>
      </c>
      <c r="Y300" s="1134">
        <f t="shared" ca="1" si="88"/>
        <v>171063.36220437288</v>
      </c>
      <c r="Z300" s="1134">
        <f t="shared" ca="1" si="89"/>
        <v>976080.21069189161</v>
      </c>
      <c r="AA300" s="1132">
        <f t="shared" ca="1" si="90"/>
        <v>1.97510945746602E-3</v>
      </c>
      <c r="AB300" s="1105"/>
    </row>
    <row r="301" spans="1:28">
      <c r="A301" s="1144">
        <f>Calendar!J293</f>
        <v>53839</v>
      </c>
      <c r="C301" s="1104"/>
      <c r="D301" s="1125">
        <f t="shared" ca="1" si="76"/>
        <v>54878</v>
      </c>
      <c r="E301" s="1126">
        <f t="shared" ca="1" si="77"/>
        <v>54905</v>
      </c>
      <c r="F301" s="1127">
        <f t="shared" ca="1" si="78"/>
        <v>8856</v>
      </c>
      <c r="G301" s="1128">
        <f ca="1">IF(F301&lt;&gt;"",COUNTIF($F$11:F301,"&gt;0"),"")</f>
        <v>291</v>
      </c>
      <c r="H301" s="1129">
        <v>0.16896561620355724</v>
      </c>
      <c r="I301" s="1073"/>
      <c r="J301" s="1130">
        <f t="shared" ca="1" si="79"/>
        <v>19521604.213837843</v>
      </c>
      <c r="K301" s="1131">
        <f t="shared" ca="1" si="80"/>
        <v>3298479.885273071</v>
      </c>
      <c r="L301" s="1130">
        <f t="shared" ca="1" si="81"/>
        <v>0</v>
      </c>
      <c r="M301" s="1130">
        <f t="shared" ca="1" si="82"/>
        <v>0</v>
      </c>
      <c r="N301" s="1130">
        <f t="shared" ca="1" si="91"/>
        <v>16223124.328564772</v>
      </c>
      <c r="O301" s="1073"/>
      <c r="P301" s="1130">
        <f t="shared" ca="1" si="83"/>
        <v>3298479.885273071</v>
      </c>
      <c r="Q301" s="1130">
        <f t="shared" ca="1" si="84"/>
        <v>15411968.112136533</v>
      </c>
      <c r="R301" s="1130">
        <f t="shared" ca="1" si="92"/>
        <v>18545524.003145952</v>
      </c>
      <c r="S301" s="1130">
        <f t="shared" ca="1" si="93"/>
        <v>3133555.8910094183</v>
      </c>
      <c r="T301" s="1130">
        <f t="shared" ca="1" si="85"/>
        <v>15411968.112136533</v>
      </c>
      <c r="U301" s="1132">
        <f t="shared" ca="1" si="86"/>
        <v>1.5706961856448566E-3</v>
      </c>
      <c r="V301" s="1133">
        <f t="shared" ca="1" si="87"/>
        <v>5.0000000000000044E-2</v>
      </c>
      <c r="X301" s="1134">
        <f t="shared" ca="1" si="94"/>
        <v>976080.21069189161</v>
      </c>
      <c r="Y301" s="1134">
        <f t="shared" ca="1" si="88"/>
        <v>164923.99426365271</v>
      </c>
      <c r="Z301" s="1134">
        <f t="shared" ca="1" si="89"/>
        <v>811156.2164282389</v>
      </c>
      <c r="AA301" s="1132">
        <f t="shared" ca="1" si="90"/>
        <v>1.6805788751582155E-3</v>
      </c>
      <c r="AB301" s="1105"/>
    </row>
    <row r="302" spans="1:28">
      <c r="A302" s="1144">
        <f>Calendar!J294</f>
        <v>53870</v>
      </c>
      <c r="C302" s="1104"/>
      <c r="D302" s="1125">
        <f t="shared" ca="1" si="76"/>
        <v>54908</v>
      </c>
      <c r="E302" s="1126">
        <f t="shared" ca="1" si="77"/>
        <v>54935</v>
      </c>
      <c r="F302" s="1127">
        <f t="shared" ca="1" si="78"/>
        <v>8886</v>
      </c>
      <c r="G302" s="1128">
        <f ca="1">IF(F302&lt;&gt;"",COUNTIF($F$11:F302,"&gt;0"),"")</f>
        <v>292</v>
      </c>
      <c r="H302" s="1129">
        <v>0.19188374195617591</v>
      </c>
      <c r="I302" s="1073"/>
      <c r="J302" s="1130">
        <f t="shared" ca="1" si="79"/>
        <v>16223124.328564772</v>
      </c>
      <c r="K302" s="1131">
        <f t="shared" ca="1" si="80"/>
        <v>3112953.8023852822</v>
      </c>
      <c r="L302" s="1130">
        <f t="shared" ca="1" si="81"/>
        <v>0</v>
      </c>
      <c r="M302" s="1130">
        <f t="shared" ca="1" si="82"/>
        <v>0</v>
      </c>
      <c r="N302" s="1130">
        <f t="shared" ca="1" si="91"/>
        <v>13110170.526179491</v>
      </c>
      <c r="O302" s="1073"/>
      <c r="P302" s="1130">
        <f t="shared" ca="1" si="83"/>
        <v>3112953.8023852818</v>
      </c>
      <c r="Q302" s="1130">
        <f t="shared" ca="1" si="84"/>
        <v>12454661.999870516</v>
      </c>
      <c r="R302" s="1130">
        <f t="shared" ca="1" si="92"/>
        <v>15411968.112136533</v>
      </c>
      <c r="S302" s="1130">
        <f t="shared" ca="1" si="93"/>
        <v>2957306.1122660171</v>
      </c>
      <c r="T302" s="1130">
        <f t="shared" ca="1" si="85"/>
        <v>12454661.999870516</v>
      </c>
      <c r="U302" s="1132">
        <f t="shared" ca="1" si="86"/>
        <v>1.3053025367687964E-3</v>
      </c>
      <c r="V302" s="1133">
        <f t="shared" ca="1" si="87"/>
        <v>4.9999999999999933E-2</v>
      </c>
      <c r="X302" s="1134">
        <f t="shared" ca="1" si="94"/>
        <v>811156.2164282389</v>
      </c>
      <c r="Y302" s="1134">
        <f t="shared" ca="1" si="88"/>
        <v>155647.69011926465</v>
      </c>
      <c r="Z302" s="1134">
        <f t="shared" ca="1" si="89"/>
        <v>655508.52630897425</v>
      </c>
      <c r="AA302" s="1132">
        <f t="shared" ca="1" si="90"/>
        <v>1.396618829938428E-3</v>
      </c>
      <c r="AB302" s="1105"/>
    </row>
    <row r="303" spans="1:28">
      <c r="A303" s="1144">
        <f>Calendar!J295</f>
        <v>53902</v>
      </c>
      <c r="C303" s="1104"/>
      <c r="D303" s="1125">
        <f t="shared" ca="1" si="76"/>
        <v>54939</v>
      </c>
      <c r="E303" s="1126">
        <f t="shared" ca="1" si="77"/>
        <v>54966</v>
      </c>
      <c r="F303" s="1127">
        <f t="shared" ca="1" si="78"/>
        <v>8917</v>
      </c>
      <c r="G303" s="1128">
        <f ca="1">IF(F303&lt;&gt;"",COUNTIF($F$11:F303,"&gt;0"),"")</f>
        <v>293</v>
      </c>
      <c r="H303" s="1129">
        <v>0.22220824467743641</v>
      </c>
      <c r="I303" s="1073"/>
      <c r="J303" s="1130">
        <f t="shared" ca="1" si="79"/>
        <v>13110170.526179491</v>
      </c>
      <c r="K303" s="1131">
        <f t="shared" ca="1" si="80"/>
        <v>2913187.9800442075</v>
      </c>
      <c r="L303" s="1130">
        <f t="shared" ca="1" si="81"/>
        <v>0</v>
      </c>
      <c r="M303" s="1130">
        <f t="shared" ca="1" si="82"/>
        <v>0</v>
      </c>
      <c r="N303" s="1130">
        <f t="shared" ca="1" si="91"/>
        <v>10196982.546135284</v>
      </c>
      <c r="O303" s="1073"/>
      <c r="P303" s="1130">
        <f t="shared" ca="1" si="83"/>
        <v>2913187.9800442066</v>
      </c>
      <c r="Q303" s="1130">
        <f t="shared" ca="1" si="84"/>
        <v>9687133.4188285191</v>
      </c>
      <c r="R303" s="1130">
        <f t="shared" ca="1" si="92"/>
        <v>12454661.999870516</v>
      </c>
      <c r="S303" s="1130">
        <f t="shared" ca="1" si="93"/>
        <v>2767528.5810419973</v>
      </c>
      <c r="T303" s="1130">
        <f t="shared" ca="1" si="85"/>
        <v>9687133.4188285191</v>
      </c>
      <c r="U303" s="1132">
        <f t="shared" ca="1" si="86"/>
        <v>1.0548362016287111E-3</v>
      </c>
      <c r="V303" s="1133">
        <f t="shared" ca="1" si="87"/>
        <v>5.0000000000000044E-2</v>
      </c>
      <c r="X303" s="1134">
        <f t="shared" ca="1" si="94"/>
        <v>655508.52630897425</v>
      </c>
      <c r="Y303" s="1134">
        <f t="shared" ca="1" si="88"/>
        <v>145659.39900220931</v>
      </c>
      <c r="Z303" s="1134">
        <f t="shared" ca="1" si="89"/>
        <v>509849.12730676495</v>
      </c>
      <c r="AA303" s="1132">
        <f t="shared" ca="1" si="90"/>
        <v>1.1286303827633855E-3</v>
      </c>
      <c r="AB303" s="1105"/>
    </row>
    <row r="304" spans="1:28">
      <c r="A304" s="1144">
        <f>Calendar!J296</f>
        <v>53931</v>
      </c>
      <c r="C304" s="1104"/>
      <c r="D304" s="1125">
        <f t="shared" ca="1" si="76"/>
        <v>54969</v>
      </c>
      <c r="E304" s="1126">
        <f t="shared" ca="1" si="77"/>
        <v>54996</v>
      </c>
      <c r="F304" s="1127">
        <f t="shared" ca="1" si="78"/>
        <v>8947</v>
      </c>
      <c r="G304" s="1128">
        <f ca="1">IF(F304&lt;&gt;"",COUNTIF($F$11:F304,"&gt;0"),"")</f>
        <v>294</v>
      </c>
      <c r="H304" s="1129">
        <v>0.2626909689630772</v>
      </c>
      <c r="I304" s="1073"/>
      <c r="J304" s="1130">
        <f t="shared" ca="1" si="79"/>
        <v>10196982.546135284</v>
      </c>
      <c r="K304" s="1131">
        <f t="shared" ca="1" si="80"/>
        <v>2678655.2255438636</v>
      </c>
      <c r="L304" s="1130">
        <f t="shared" ca="1" si="81"/>
        <v>0</v>
      </c>
      <c r="M304" s="1130">
        <f t="shared" ca="1" si="82"/>
        <v>0</v>
      </c>
      <c r="N304" s="1130">
        <f t="shared" ca="1" si="91"/>
        <v>7518327.3205914199</v>
      </c>
      <c r="O304" s="1073"/>
      <c r="P304" s="1130">
        <f t="shared" ca="1" si="83"/>
        <v>2678655.2255438641</v>
      </c>
      <c r="Q304" s="1130">
        <f t="shared" ca="1" si="84"/>
        <v>7142410.9545618482</v>
      </c>
      <c r="R304" s="1130">
        <f t="shared" ca="1" si="92"/>
        <v>9687133.4188285191</v>
      </c>
      <c r="S304" s="1130">
        <f t="shared" ca="1" si="93"/>
        <v>2544722.4642666709</v>
      </c>
      <c r="T304" s="1130">
        <f t="shared" ca="1" si="85"/>
        <v>7142410.9545618482</v>
      </c>
      <c r="U304" s="1132">
        <f t="shared" ca="1" si="86"/>
        <v>8.2044290084258076E-4</v>
      </c>
      <c r="V304" s="1133">
        <f t="shared" ca="1" si="87"/>
        <v>5.0000000000000044E-2</v>
      </c>
      <c r="X304" s="1134">
        <f t="shared" ca="1" si="94"/>
        <v>509849.12730676495</v>
      </c>
      <c r="Y304" s="1134">
        <f t="shared" ca="1" si="88"/>
        <v>133932.7612771932</v>
      </c>
      <c r="Z304" s="1134">
        <f t="shared" ca="1" si="89"/>
        <v>375916.36602957174</v>
      </c>
      <c r="AA304" s="1132">
        <f t="shared" ca="1" si="90"/>
        <v>8.7783940651991208E-4</v>
      </c>
      <c r="AB304" s="1105"/>
    </row>
    <row r="305" spans="1:28">
      <c r="A305" s="1144">
        <f>Calendar!J297</f>
        <v>53962</v>
      </c>
      <c r="C305" s="1104"/>
      <c r="D305" s="1125">
        <f t="shared" ca="1" si="76"/>
        <v>55000</v>
      </c>
      <c r="E305" s="1126">
        <f t="shared" ca="1" si="77"/>
        <v>55029</v>
      </c>
      <c r="F305" s="1127">
        <f t="shared" ca="1" si="78"/>
        <v>8980</v>
      </c>
      <c r="G305" s="1128">
        <f ca="1">IF(F305&lt;&gt;"",COUNTIF($F$11:F305,"&gt;0"),"")</f>
        <v>295</v>
      </c>
      <c r="H305" s="1129">
        <v>0.30906128739427524</v>
      </c>
      <c r="I305" s="1073"/>
      <c r="J305" s="1130">
        <f t="shared" ca="1" si="79"/>
        <v>7518327.3205914199</v>
      </c>
      <c r="K305" s="1131">
        <f t="shared" ca="1" si="80"/>
        <v>2323623.9207535363</v>
      </c>
      <c r="L305" s="1130">
        <f t="shared" ca="1" si="81"/>
        <v>0</v>
      </c>
      <c r="M305" s="1130">
        <f t="shared" ca="1" si="82"/>
        <v>0</v>
      </c>
      <c r="N305" s="1130">
        <f t="shared" ca="1" si="91"/>
        <v>5194703.3998378832</v>
      </c>
      <c r="O305" s="1073"/>
      <c r="P305" s="1130">
        <f t="shared" ca="1" si="83"/>
        <v>2323623.9207535367</v>
      </c>
      <c r="Q305" s="1130">
        <f t="shared" ca="1" si="84"/>
        <v>4934968.2298459886</v>
      </c>
      <c r="R305" s="1130">
        <f t="shared" ca="1" si="92"/>
        <v>7142410.9545618482</v>
      </c>
      <c r="S305" s="1130">
        <f t="shared" ca="1" si="93"/>
        <v>2207442.7247158596</v>
      </c>
      <c r="T305" s="1130">
        <f t="shared" ca="1" si="85"/>
        <v>4934968.2298459886</v>
      </c>
      <c r="U305" s="1132">
        <f t="shared" ca="1" si="86"/>
        <v>6.0491996024136525E-4</v>
      </c>
      <c r="V305" s="1133">
        <f t="shared" ca="1" si="87"/>
        <v>5.0000000000000044E-2</v>
      </c>
      <c r="X305" s="1134">
        <f t="shared" ca="1" si="94"/>
        <v>375916.36602957174</v>
      </c>
      <c r="Y305" s="1134">
        <f t="shared" ca="1" si="88"/>
        <v>116181.19603767712</v>
      </c>
      <c r="Z305" s="1134">
        <f t="shared" ca="1" si="89"/>
        <v>259735.16999189463</v>
      </c>
      <c r="AA305" s="1132">
        <f t="shared" ca="1" si="90"/>
        <v>6.4723892222722412E-4</v>
      </c>
      <c r="AB305" s="1105"/>
    </row>
    <row r="306" spans="1:28">
      <c r="A306" s="1144">
        <f>Calendar!J298</f>
        <v>53993</v>
      </c>
      <c r="C306" s="1104"/>
      <c r="D306" s="1125">
        <f t="shared" ca="1" si="76"/>
        <v>55031</v>
      </c>
      <c r="E306" s="1126">
        <f t="shared" ca="1" si="77"/>
        <v>55058</v>
      </c>
      <c r="F306" s="1127">
        <f t="shared" ca="1" si="78"/>
        <v>9009</v>
      </c>
      <c r="G306" s="1128">
        <f ca="1">IF(F306&lt;&gt;"",COUNTIF($F$11:F306,"&gt;0"),"")</f>
        <v>296</v>
      </c>
      <c r="H306" s="1129">
        <v>0.35483122856910354</v>
      </c>
      <c r="I306" s="1073"/>
      <c r="J306" s="1130">
        <f t="shared" ca="1" si="79"/>
        <v>5194703.3998378832</v>
      </c>
      <c r="K306" s="1131">
        <f t="shared" ca="1" si="80"/>
        <v>1843242.9894165753</v>
      </c>
      <c r="L306" s="1130">
        <f t="shared" ca="1" si="81"/>
        <v>0</v>
      </c>
      <c r="M306" s="1130">
        <f t="shared" ca="1" si="82"/>
        <v>0</v>
      </c>
      <c r="N306" s="1130">
        <f t="shared" ca="1" si="91"/>
        <v>3351460.4104213081</v>
      </c>
      <c r="O306" s="1073"/>
      <c r="P306" s="1130">
        <f t="shared" ca="1" si="83"/>
        <v>1843242.9894165751</v>
      </c>
      <c r="Q306" s="1130">
        <f t="shared" ca="1" si="84"/>
        <v>3183887.3899002424</v>
      </c>
      <c r="R306" s="1130">
        <f t="shared" ca="1" si="92"/>
        <v>4934968.2298459886</v>
      </c>
      <c r="S306" s="1130">
        <f t="shared" ca="1" si="93"/>
        <v>1751080.8399457461</v>
      </c>
      <c r="T306" s="1130">
        <f t="shared" ca="1" si="85"/>
        <v>3183887.3899002424</v>
      </c>
      <c r="U306" s="1132">
        <f t="shared" ca="1" si="86"/>
        <v>4.1796261855867511E-4</v>
      </c>
      <c r="V306" s="1133">
        <f t="shared" ca="1" si="87"/>
        <v>5.0000000000000044E-2</v>
      </c>
      <c r="X306" s="1134">
        <f t="shared" ca="1" si="94"/>
        <v>259735.16999189463</v>
      </c>
      <c r="Y306" s="1134">
        <f t="shared" ca="1" si="88"/>
        <v>92162.149470828939</v>
      </c>
      <c r="Z306" s="1134">
        <f t="shared" ca="1" si="89"/>
        <v>167573.02052106569</v>
      </c>
      <c r="AA306" s="1132">
        <f t="shared" ca="1" si="90"/>
        <v>4.4720242767199488E-4</v>
      </c>
      <c r="AB306" s="1105"/>
    </row>
    <row r="307" spans="1:28">
      <c r="A307" s="1144">
        <f>Calendar!J299</f>
        <v>54023</v>
      </c>
      <c r="C307" s="1104"/>
      <c r="D307" s="1125">
        <f t="shared" ca="1" si="76"/>
        <v>55061</v>
      </c>
      <c r="E307" s="1126">
        <f t="shared" ca="1" si="77"/>
        <v>55088</v>
      </c>
      <c r="F307" s="1127">
        <f t="shared" ca="1" si="78"/>
        <v>9039</v>
      </c>
      <c r="G307" s="1128">
        <f ca="1">IF(F307&lt;&gt;"",COUNTIF($F$11:F307,"&gt;0"),"")</f>
        <v>297</v>
      </c>
      <c r="H307" s="1129">
        <v>0.43581685693038397</v>
      </c>
      <c r="I307" s="1073"/>
      <c r="J307" s="1130">
        <f t="shared" ca="1" si="79"/>
        <v>3351460.4104213081</v>
      </c>
      <c r="K307" s="1131">
        <f t="shared" ca="1" si="80"/>
        <v>1460622.9421964292</v>
      </c>
      <c r="L307" s="1130">
        <f t="shared" ca="1" si="81"/>
        <v>0</v>
      </c>
      <c r="M307" s="1130">
        <f t="shared" ca="1" si="82"/>
        <v>0</v>
      </c>
      <c r="N307" s="1130">
        <f t="shared" ca="1" si="91"/>
        <v>1890837.4682248789</v>
      </c>
      <c r="O307" s="1073"/>
      <c r="P307" s="1130">
        <f t="shared" ca="1" si="83"/>
        <v>1460622.9421964292</v>
      </c>
      <c r="Q307" s="1130">
        <f t="shared" ca="1" si="84"/>
        <v>1796295.5948136349</v>
      </c>
      <c r="R307" s="1130">
        <f t="shared" ca="1" si="92"/>
        <v>3183887.3899002424</v>
      </c>
      <c r="S307" s="1130">
        <f t="shared" ca="1" si="93"/>
        <v>1387591.7950866076</v>
      </c>
      <c r="T307" s="1130">
        <f t="shared" ca="1" si="85"/>
        <v>1796295.5948136349</v>
      </c>
      <c r="U307" s="1132">
        <f t="shared" ca="1" si="86"/>
        <v>2.6965642911954085E-4</v>
      </c>
      <c r="V307" s="1133">
        <f t="shared" ca="1" si="87"/>
        <v>5.0000000000000044E-2</v>
      </c>
      <c r="X307" s="1134">
        <f t="shared" ca="1" si="94"/>
        <v>167573.02052106569</v>
      </c>
      <c r="Y307" s="1134">
        <f t="shared" ca="1" si="88"/>
        <v>73031.147109821672</v>
      </c>
      <c r="Z307" s="1134">
        <f t="shared" ca="1" si="89"/>
        <v>94541.873411244014</v>
      </c>
      <c r="AA307" s="1132">
        <f t="shared" ca="1" si="90"/>
        <v>2.8852104084205524E-4</v>
      </c>
      <c r="AB307" s="1105"/>
    </row>
    <row r="308" spans="1:28">
      <c r="A308" s="1144">
        <f>Calendar!J300</f>
        <v>54053</v>
      </c>
      <c r="C308" s="1104"/>
      <c r="D308" s="1125">
        <f t="shared" ca="1" si="76"/>
        <v>55092</v>
      </c>
      <c r="E308" s="1126">
        <f t="shared" ca="1" si="77"/>
        <v>55120</v>
      </c>
      <c r="F308" s="1127">
        <f t="shared" ca="1" si="78"/>
        <v>9071</v>
      </c>
      <c r="G308" s="1128">
        <f ca="1">IF(F308&lt;&gt;"",COUNTIF($F$11:F308,"&gt;0"),"")</f>
        <v>298</v>
      </c>
      <c r="H308" s="1129">
        <v>0.52711635309741389</v>
      </c>
      <c r="I308" s="1073"/>
      <c r="J308" s="1130">
        <f t="shared" ca="1" si="79"/>
        <v>1890837.4682248789</v>
      </c>
      <c r="K308" s="1131">
        <f t="shared" ca="1" si="80"/>
        <v>996691.35055064538</v>
      </c>
      <c r="L308" s="1130">
        <f t="shared" ca="1" si="81"/>
        <v>0</v>
      </c>
      <c r="M308" s="1130">
        <f t="shared" ca="1" si="82"/>
        <v>0</v>
      </c>
      <c r="N308" s="1130">
        <f t="shared" ca="1" si="91"/>
        <v>894146.11767423351</v>
      </c>
      <c r="O308" s="1073"/>
      <c r="P308" s="1130">
        <f t="shared" ca="1" si="83"/>
        <v>996691.35055064538</v>
      </c>
      <c r="Q308" s="1130">
        <f t="shared" ca="1" si="84"/>
        <v>849438.81179052184</v>
      </c>
      <c r="R308" s="1130">
        <f t="shared" ca="1" si="92"/>
        <v>1796295.5948136349</v>
      </c>
      <c r="S308" s="1130">
        <f t="shared" ca="1" si="93"/>
        <v>946856.78302311304</v>
      </c>
      <c r="T308" s="1130">
        <f t="shared" ca="1" si="85"/>
        <v>849438.81179052184</v>
      </c>
      <c r="U308" s="1132">
        <f t="shared" ca="1" si="86"/>
        <v>1.5213561172959167E-4</v>
      </c>
      <c r="V308" s="1133">
        <f t="shared" ca="1" si="87"/>
        <v>5.0000000000000044E-2</v>
      </c>
      <c r="X308" s="1134">
        <f t="shared" ca="1" si="94"/>
        <v>94541.873411244014</v>
      </c>
      <c r="Y308" s="1134">
        <f t="shared" ca="1" si="88"/>
        <v>49834.567527532345</v>
      </c>
      <c r="Z308" s="1134">
        <f t="shared" ca="1" si="89"/>
        <v>44707.30588371167</v>
      </c>
      <c r="AA308" s="1132">
        <f t="shared" ca="1" si="90"/>
        <v>1.6277870766398764E-4</v>
      </c>
      <c r="AB308" s="1105"/>
    </row>
    <row r="309" spans="1:28">
      <c r="A309" s="1144">
        <f>Calendar!J301</f>
        <v>54084</v>
      </c>
      <c r="C309" s="1104"/>
      <c r="D309" s="1125">
        <f t="shared" ca="1" si="76"/>
        <v>55122</v>
      </c>
      <c r="E309" s="1126">
        <f t="shared" ca="1" si="77"/>
        <v>55149</v>
      </c>
      <c r="F309" s="1127">
        <f t="shared" ca="1" si="78"/>
        <v>9100</v>
      </c>
      <c r="G309" s="1128">
        <f ca="1">IF(F309&lt;&gt;"",COUNTIF($F$11:F309,"&gt;0"),"")</f>
        <v>299</v>
      </c>
      <c r="H309" s="1129">
        <v>0.6388135512071933</v>
      </c>
      <c r="I309" s="1073"/>
      <c r="J309" s="1130">
        <f t="shared" ca="1" si="79"/>
        <v>894146.11767423351</v>
      </c>
      <c r="K309" s="1131">
        <f t="shared" ca="1" si="80"/>
        <v>571192.65672960202</v>
      </c>
      <c r="L309" s="1130">
        <f t="shared" ca="1" si="81"/>
        <v>0</v>
      </c>
      <c r="M309" s="1130">
        <f t="shared" ca="1" si="82"/>
        <v>0</v>
      </c>
      <c r="N309" s="1130">
        <f t="shared" ca="1" si="91"/>
        <v>322953.46094463149</v>
      </c>
      <c r="O309" s="1073"/>
      <c r="P309" s="1130">
        <f t="shared" ca="1" si="83"/>
        <v>571192.65672960202</v>
      </c>
      <c r="Q309" s="1130">
        <f t="shared" ca="1" si="84"/>
        <v>306805.78789739992</v>
      </c>
      <c r="R309" s="1130">
        <f t="shared" ca="1" si="92"/>
        <v>849438.81179052184</v>
      </c>
      <c r="S309" s="1130">
        <f t="shared" ca="1" si="93"/>
        <v>542633.02389312186</v>
      </c>
      <c r="T309" s="1130">
        <f t="shared" ca="1" si="85"/>
        <v>306805.78789739998</v>
      </c>
      <c r="U309" s="1132">
        <f t="shared" ca="1" si="86"/>
        <v>7.194244289844517E-5</v>
      </c>
      <c r="V309" s="1133">
        <f t="shared" ca="1" si="87"/>
        <v>4.9999999999999822E-2</v>
      </c>
      <c r="X309" s="1134">
        <f t="shared" ca="1" si="94"/>
        <v>44707.30588371167</v>
      </c>
      <c r="Y309" s="1134">
        <f t="shared" ca="1" si="88"/>
        <v>28559.632836480159</v>
      </c>
      <c r="Z309" s="1134">
        <f t="shared" ca="1" si="89"/>
        <v>16147.67304723151</v>
      </c>
      <c r="AA309" s="1132">
        <f t="shared" ca="1" si="90"/>
        <v>7.6975388918236348E-5</v>
      </c>
      <c r="AB309" s="1105"/>
    </row>
    <row r="310" spans="1:28">
      <c r="A310" s="1144">
        <f>Calendar!J302</f>
        <v>54115</v>
      </c>
      <c r="C310" s="1104"/>
      <c r="D310" s="1125">
        <f t="shared" ca="1" si="76"/>
        <v>55153</v>
      </c>
      <c r="E310" s="1126">
        <f t="shared" ca="1" si="77"/>
        <v>55180</v>
      </c>
      <c r="F310" s="1127">
        <f t="shared" ca="1" si="78"/>
        <v>9131</v>
      </c>
      <c r="G310" s="1128">
        <f ca="1">IF(F310&lt;&gt;"",COUNTIF($F$11:F310,"&gt;0"),"")</f>
        <v>300</v>
      </c>
      <c r="H310" s="1129">
        <v>0.84135005812035624</v>
      </c>
      <c r="I310" s="1073"/>
      <c r="J310" s="1130">
        <f t="shared" ca="1" si="79"/>
        <v>322953.46094463149</v>
      </c>
      <c r="K310" s="1131">
        <f t="shared" ca="1" si="80"/>
        <v>271716.9131359359</v>
      </c>
      <c r="L310" s="1130">
        <f t="shared" ca="1" si="81"/>
        <v>0</v>
      </c>
      <c r="M310" s="1130">
        <f t="shared" ca="1" si="82"/>
        <v>0</v>
      </c>
      <c r="N310" s="1130">
        <f t="shared" ca="1" si="91"/>
        <v>51236.547808695585</v>
      </c>
      <c r="O310" s="1073"/>
      <c r="P310" s="1130">
        <f t="shared" ca="1" si="83"/>
        <v>271716.9131359359</v>
      </c>
      <c r="Q310" s="1130">
        <f t="shared" ca="1" si="84"/>
        <v>48674.720418260804</v>
      </c>
      <c r="R310" s="1130">
        <f t="shared" ca="1" si="92"/>
        <v>306805.78789739998</v>
      </c>
      <c r="S310" s="1130">
        <f t="shared" ca="1" si="93"/>
        <v>258131.06747913916</v>
      </c>
      <c r="T310" s="1130">
        <f t="shared" ca="1" si="85"/>
        <v>48674.720418260811</v>
      </c>
      <c r="U310" s="1132">
        <f t="shared" ca="1" si="86"/>
        <v>2.5984635467968696E-5</v>
      </c>
      <c r="V310" s="1133">
        <f t="shared" ca="1" si="87"/>
        <v>4.9999999999999933E-2</v>
      </c>
      <c r="X310" s="1134">
        <f t="shared" ca="1" si="94"/>
        <v>16147.67304723151</v>
      </c>
      <c r="Y310" s="1134">
        <f t="shared" ca="1" si="88"/>
        <v>13585.845656796737</v>
      </c>
      <c r="Z310" s="1134">
        <f t="shared" ca="1" si="89"/>
        <v>2561.8273904347734</v>
      </c>
      <c r="AA310" s="1132">
        <f t="shared" ca="1" si="90"/>
        <v>2.7802467367822848E-5</v>
      </c>
      <c r="AB310" s="1105"/>
    </row>
    <row r="311" spans="1:28">
      <c r="A311" s="1144">
        <f>Calendar!J303</f>
        <v>54144</v>
      </c>
      <c r="C311" s="1104"/>
      <c r="D311" s="1125">
        <f t="shared" ca="1" si="76"/>
        <v>55184</v>
      </c>
      <c r="E311" s="1126">
        <f t="shared" ca="1" si="77"/>
        <v>55211</v>
      </c>
      <c r="F311" s="1127">
        <f t="shared" ca="1" si="78"/>
        <v>9162</v>
      </c>
      <c r="G311" s="1128">
        <f ca="1">IF(F311&lt;&gt;"",COUNTIF($F$11:F311,"&gt;0"),"")</f>
        <v>301</v>
      </c>
      <c r="H311" s="1129">
        <v>0.10319946675900421</v>
      </c>
      <c r="I311" s="1073"/>
      <c r="J311" s="1130">
        <f t="shared" ca="1" si="79"/>
        <v>51236.547808695585</v>
      </c>
      <c r="K311" s="1131">
        <f t="shared" ca="1" si="80"/>
        <v>5287.58441242961</v>
      </c>
      <c r="L311" s="1130">
        <f t="shared" ca="1" si="81"/>
        <v>0</v>
      </c>
      <c r="M311" s="1130">
        <f t="shared" ca="1" si="82"/>
        <v>0</v>
      </c>
      <c r="N311" s="1130">
        <f t="shared" ca="1" si="91"/>
        <v>45948.963396265972</v>
      </c>
      <c r="O311" s="1073"/>
      <c r="P311" s="1130">
        <f t="shared" ca="1" si="83"/>
        <v>5287.5844124296127</v>
      </c>
      <c r="Q311" s="1130">
        <f t="shared" ca="1" si="84"/>
        <v>43651.51522645267</v>
      </c>
      <c r="R311" s="1130">
        <f t="shared" ca="1" si="92"/>
        <v>48674.720418260811</v>
      </c>
      <c r="S311" s="1130">
        <f t="shared" ca="1" si="93"/>
        <v>5023.2051918081415</v>
      </c>
      <c r="T311" s="1130">
        <f t="shared" ca="1" si="85"/>
        <v>43651.51522645267</v>
      </c>
      <c r="U311" s="1132">
        <f t="shared" ca="1" si="86"/>
        <v>4.122460906756963E-6</v>
      </c>
      <c r="V311" s="1133">
        <f t="shared" ca="1" si="87"/>
        <v>5.0000000000000044E-2</v>
      </c>
      <c r="X311" s="1134">
        <f t="shared" ca="1" si="94"/>
        <v>2561.8273904347734</v>
      </c>
      <c r="Y311" s="1134">
        <f t="shared" ca="1" si="88"/>
        <v>264.37922062147118</v>
      </c>
      <c r="Z311" s="1134">
        <f t="shared" ca="1" si="89"/>
        <v>2297.4481698133022</v>
      </c>
      <c r="AA311" s="1132">
        <f t="shared" ca="1" si="90"/>
        <v>4.4108598320157942E-6</v>
      </c>
      <c r="AB311" s="1105"/>
    </row>
    <row r="312" spans="1:28">
      <c r="A312" s="1144">
        <f>Calendar!J304</f>
        <v>54175</v>
      </c>
      <c r="C312" s="1104"/>
      <c r="D312" s="1125">
        <f t="shared" ca="1" si="76"/>
        <v>55212</v>
      </c>
      <c r="E312" s="1126">
        <f t="shared" ca="1" si="77"/>
        <v>55239</v>
      </c>
      <c r="F312" s="1127">
        <f t="shared" ca="1" si="78"/>
        <v>9190</v>
      </c>
      <c r="G312" s="1128">
        <f ca="1">IF(F312&lt;&gt;"",COUNTIF($F$11:F312,"&gt;0"),"")</f>
        <v>302</v>
      </c>
      <c r="H312" s="1129">
        <v>0.11523252725615012</v>
      </c>
      <c r="I312" s="1073"/>
      <c r="J312" s="1130">
        <f t="shared" ca="1" si="79"/>
        <v>45948.963396265972</v>
      </c>
      <c r="K312" s="1131">
        <f t="shared" ca="1" si="80"/>
        <v>5294.8151769520628</v>
      </c>
      <c r="L312" s="1130">
        <f t="shared" ca="1" si="81"/>
        <v>0</v>
      </c>
      <c r="M312" s="1130">
        <f t="shared" ca="1" si="82"/>
        <v>0</v>
      </c>
      <c r="N312" s="1130">
        <f t="shared" ca="1" si="91"/>
        <v>40654.148219313909</v>
      </c>
      <c r="O312" s="1073"/>
      <c r="P312" s="1130">
        <f t="shared" ca="1" si="83"/>
        <v>5294.8151769520628</v>
      </c>
      <c r="Q312" s="1130">
        <f t="shared" ca="1" si="84"/>
        <v>38621.440808348212</v>
      </c>
      <c r="R312" s="1130">
        <f t="shared" ca="1" si="92"/>
        <v>43651.51522645267</v>
      </c>
      <c r="S312" s="1130">
        <f t="shared" ca="1" si="93"/>
        <v>5030.0744181044574</v>
      </c>
      <c r="T312" s="1130">
        <f t="shared" ca="1" si="85"/>
        <v>38621.440808348212</v>
      </c>
      <c r="U312" s="1132">
        <f t="shared" ca="1" si="86"/>
        <v>3.6970251394448022E-6</v>
      </c>
      <c r="V312" s="1133">
        <f t="shared" ca="1" si="87"/>
        <v>5.0000000000000044E-2</v>
      </c>
      <c r="X312" s="1134">
        <f t="shared" ca="1" si="94"/>
        <v>2297.4481698133022</v>
      </c>
      <c r="Y312" s="1134">
        <f t="shared" ca="1" si="88"/>
        <v>264.74075884760532</v>
      </c>
      <c r="Z312" s="1134">
        <f t="shared" ca="1" si="89"/>
        <v>2032.7074109656969</v>
      </c>
      <c r="AA312" s="1132">
        <f t="shared" ca="1" si="90"/>
        <v>3.9556614494030686E-6</v>
      </c>
      <c r="AB312" s="1105"/>
    </row>
    <row r="313" spans="1:28">
      <c r="A313" s="1144">
        <f>Calendar!J305</f>
        <v>54205</v>
      </c>
      <c r="C313" s="1104"/>
      <c r="D313" s="1125">
        <f t="shared" ca="1" si="76"/>
        <v>55243</v>
      </c>
      <c r="E313" s="1126">
        <f t="shared" ca="1" si="77"/>
        <v>55270</v>
      </c>
      <c r="F313" s="1127">
        <f t="shared" ca="1" si="78"/>
        <v>9221</v>
      </c>
      <c r="G313" s="1128">
        <f ca="1">IF(F313&lt;&gt;"",COUNTIF($F$11:F313,"&gt;0"),"")</f>
        <v>303</v>
      </c>
      <c r="H313" s="1129">
        <v>0.13041858759430011</v>
      </c>
      <c r="I313" s="1073"/>
      <c r="J313" s="1130">
        <f t="shared" ca="1" si="79"/>
        <v>40654.148219313909</v>
      </c>
      <c r="K313" s="1131">
        <f t="shared" ca="1" si="80"/>
        <v>5302.0565906122511</v>
      </c>
      <c r="L313" s="1130">
        <f t="shared" ca="1" si="81"/>
        <v>0</v>
      </c>
      <c r="M313" s="1130">
        <f t="shared" ca="1" si="82"/>
        <v>0</v>
      </c>
      <c r="N313" s="1130">
        <f t="shared" ca="1" si="91"/>
        <v>35352.091628701659</v>
      </c>
      <c r="O313" s="1073"/>
      <c r="P313" s="1130">
        <f t="shared" ca="1" si="83"/>
        <v>5302.0565906122501</v>
      </c>
      <c r="Q313" s="1130">
        <f t="shared" ca="1" si="84"/>
        <v>33584.487047266572</v>
      </c>
      <c r="R313" s="1130">
        <f t="shared" ca="1" si="92"/>
        <v>38621.440808348212</v>
      </c>
      <c r="S313" s="1130">
        <f t="shared" ca="1" si="93"/>
        <v>5036.9537610816406</v>
      </c>
      <c r="T313" s="1130">
        <f t="shared" ca="1" si="85"/>
        <v>33584.487047266572</v>
      </c>
      <c r="U313" s="1132">
        <f t="shared" ca="1" si="86"/>
        <v>3.271007589297057E-6</v>
      </c>
      <c r="V313" s="1133">
        <f t="shared" ca="1" si="87"/>
        <v>5.0000000000000155E-2</v>
      </c>
      <c r="X313" s="1134">
        <f t="shared" ca="1" si="94"/>
        <v>2032.7074109656969</v>
      </c>
      <c r="Y313" s="1134">
        <f t="shared" ca="1" si="88"/>
        <v>265.1028295306096</v>
      </c>
      <c r="Z313" s="1134">
        <f t="shared" ca="1" si="89"/>
        <v>1767.6045814350873</v>
      </c>
      <c r="AA313" s="1132">
        <f t="shared" ca="1" si="90"/>
        <v>3.499840583618624E-6</v>
      </c>
      <c r="AB313" s="1105"/>
    </row>
    <row r="314" spans="1:28">
      <c r="A314" s="1144">
        <f>Calendar!J306</f>
        <v>54238</v>
      </c>
      <c r="C314" s="1104"/>
      <c r="D314" s="1125">
        <f t="shared" ca="1" si="76"/>
        <v>55273</v>
      </c>
      <c r="E314" s="1126">
        <f t="shared" ca="1" si="77"/>
        <v>55302</v>
      </c>
      <c r="F314" s="1127">
        <f t="shared" ca="1" si="78"/>
        <v>9253</v>
      </c>
      <c r="G314" s="1128">
        <f ca="1">IF(F314&lt;&gt;"",COUNTIF($F$11:F314,"&gt;0"),"")</f>
        <v>304</v>
      </c>
      <c r="H314" s="1129">
        <v>0.15018372064581467</v>
      </c>
      <c r="I314" s="1073"/>
      <c r="J314" s="1130">
        <f t="shared" ca="1" si="79"/>
        <v>35352.091628701659</v>
      </c>
      <c r="K314" s="1131">
        <f t="shared" ca="1" si="80"/>
        <v>5309.3086534101731</v>
      </c>
      <c r="L314" s="1130">
        <f t="shared" ca="1" si="81"/>
        <v>0</v>
      </c>
      <c r="M314" s="1130">
        <f t="shared" ca="1" si="82"/>
        <v>0</v>
      </c>
      <c r="N314" s="1130">
        <f t="shared" ca="1" si="91"/>
        <v>30042.782975291484</v>
      </c>
      <c r="O314" s="1073"/>
      <c r="P314" s="1130">
        <f t="shared" ca="1" si="83"/>
        <v>5309.3086534101749</v>
      </c>
      <c r="Q314" s="1130">
        <f t="shared" ca="1" si="84"/>
        <v>28540.64382652691</v>
      </c>
      <c r="R314" s="1130">
        <f t="shared" ca="1" si="92"/>
        <v>33584.487047266572</v>
      </c>
      <c r="S314" s="1130">
        <f t="shared" ca="1" si="93"/>
        <v>5043.8432207396618</v>
      </c>
      <c r="T314" s="1130">
        <f t="shared" ca="1" si="85"/>
        <v>28540.64382652691</v>
      </c>
      <c r="U314" s="1132">
        <f t="shared" ca="1" si="86"/>
        <v>2.8444073994906981E-6</v>
      </c>
      <c r="V314" s="1133">
        <f t="shared" ca="1" si="87"/>
        <v>5.0000000000000044E-2</v>
      </c>
      <c r="X314" s="1134">
        <f t="shared" ca="1" si="94"/>
        <v>1767.6045814350873</v>
      </c>
      <c r="Y314" s="1134">
        <f t="shared" ca="1" si="88"/>
        <v>265.46543267051311</v>
      </c>
      <c r="Z314" s="1134">
        <f t="shared" ca="1" si="89"/>
        <v>1502.1391487645742</v>
      </c>
      <c r="AA314" s="1132">
        <f t="shared" ca="1" si="90"/>
        <v>3.0433963178978774E-6</v>
      </c>
      <c r="AB314" s="1105"/>
    </row>
    <row r="315" spans="1:28">
      <c r="A315" s="1144">
        <f>Calendar!J307</f>
        <v>54266</v>
      </c>
      <c r="C315" s="1104"/>
      <c r="D315" s="1125">
        <f t="shared" ca="1" si="76"/>
        <v>55304</v>
      </c>
      <c r="E315" s="1126">
        <f t="shared" ca="1" si="77"/>
        <v>55331</v>
      </c>
      <c r="F315" s="1127">
        <f t="shared" ca="1" si="78"/>
        <v>9282</v>
      </c>
      <c r="G315" s="1128">
        <f ca="1">IF(F315&lt;&gt;"",COUNTIF($F$11:F315,"&gt;0"),"")</f>
        <v>305</v>
      </c>
      <c r="H315" s="1129">
        <v>0.17696738241573376</v>
      </c>
      <c r="I315" s="1073"/>
      <c r="J315" s="1130">
        <f t="shared" ca="1" si="79"/>
        <v>30042.782975291484</v>
      </c>
      <c r="K315" s="1131">
        <f t="shared" ca="1" si="80"/>
        <v>5316.5926636213035</v>
      </c>
      <c r="L315" s="1130">
        <f t="shared" ca="1" si="81"/>
        <v>0</v>
      </c>
      <c r="M315" s="1130">
        <f t="shared" ca="1" si="82"/>
        <v>0</v>
      </c>
      <c r="N315" s="1130">
        <f t="shared" ca="1" si="91"/>
        <v>24726.19031167018</v>
      </c>
      <c r="O315" s="1073"/>
      <c r="P315" s="1130">
        <f t="shared" ca="1" si="83"/>
        <v>5316.5926636213044</v>
      </c>
      <c r="Q315" s="1130">
        <f t="shared" ca="1" si="84"/>
        <v>23489.880796086669</v>
      </c>
      <c r="R315" s="1130">
        <f t="shared" ca="1" si="92"/>
        <v>28540.64382652691</v>
      </c>
      <c r="S315" s="1130">
        <f t="shared" ca="1" si="93"/>
        <v>5050.763030440241</v>
      </c>
      <c r="T315" s="1130">
        <f t="shared" ca="1" si="85"/>
        <v>23489.880796086669</v>
      </c>
      <c r="U315" s="1132">
        <f t="shared" ca="1" si="86"/>
        <v>2.4172237132026991E-6</v>
      </c>
      <c r="V315" s="1133">
        <f t="shared" ca="1" si="87"/>
        <v>5.0000000000000044E-2</v>
      </c>
      <c r="X315" s="1134">
        <f t="shared" ca="1" si="94"/>
        <v>1502.1391487645742</v>
      </c>
      <c r="Y315" s="1134">
        <f t="shared" ca="1" si="88"/>
        <v>265.8296331810634</v>
      </c>
      <c r="Z315" s="1134">
        <f t="shared" ca="1" si="89"/>
        <v>1236.3095155835108</v>
      </c>
      <c r="AA315" s="1132">
        <f t="shared" ca="1" si="90"/>
        <v>2.5863277354761952E-6</v>
      </c>
      <c r="AB315" s="1105"/>
    </row>
    <row r="316" spans="1:28">
      <c r="A316" s="1144">
        <f>Calendar!J308</f>
        <v>54297</v>
      </c>
      <c r="C316" s="1104"/>
      <c r="D316" s="1125">
        <f t="shared" ca="1" si="76"/>
        <v>55334</v>
      </c>
      <c r="E316" s="1126">
        <f t="shared" ca="1" si="77"/>
        <v>55361</v>
      </c>
      <c r="F316" s="1127">
        <f t="shared" ca="1" si="78"/>
        <v>9312</v>
      </c>
      <c r="G316" s="1128">
        <f ca="1">IF(F316&lt;&gt;"",COUNTIF($F$11:F316,"&gt;0"),"")</f>
        <v>306</v>
      </c>
      <c r="H316" s="1129">
        <v>0.21531239986631612</v>
      </c>
      <c r="I316" s="1073"/>
      <c r="J316" s="1130">
        <f t="shared" ca="1" si="79"/>
        <v>24726.19031167018</v>
      </c>
      <c r="K316" s="1131">
        <f t="shared" ca="1" si="80"/>
        <v>5323.855375556961</v>
      </c>
      <c r="L316" s="1130">
        <f t="shared" ca="1" si="81"/>
        <v>0</v>
      </c>
      <c r="M316" s="1130">
        <f t="shared" ca="1" si="82"/>
        <v>0</v>
      </c>
      <c r="N316" s="1130">
        <f t="shared" ca="1" si="91"/>
        <v>19402.33493611322</v>
      </c>
      <c r="O316" s="1073"/>
      <c r="P316" s="1130">
        <f t="shared" ca="1" si="83"/>
        <v>5323.8553755569592</v>
      </c>
      <c r="Q316" s="1130">
        <f t="shared" ca="1" si="84"/>
        <v>18432.218189307558</v>
      </c>
      <c r="R316" s="1130">
        <f t="shared" ca="1" si="92"/>
        <v>23489.880796086669</v>
      </c>
      <c r="S316" s="1130">
        <f t="shared" ca="1" si="93"/>
        <v>5057.6626067791112</v>
      </c>
      <c r="T316" s="1130">
        <f t="shared" ca="1" si="85"/>
        <v>18432.218189307558</v>
      </c>
      <c r="U316" s="1132">
        <f t="shared" ca="1" si="86"/>
        <v>1.989453959963977E-6</v>
      </c>
      <c r="V316" s="1133">
        <f t="shared" ca="1" si="87"/>
        <v>5.0000000000000044E-2</v>
      </c>
      <c r="X316" s="1134">
        <f t="shared" ca="1" si="94"/>
        <v>1236.3095155835108</v>
      </c>
      <c r="Y316" s="1134">
        <f t="shared" ca="1" si="88"/>
        <v>266.19276877784796</v>
      </c>
      <c r="Z316" s="1134">
        <f t="shared" ca="1" si="89"/>
        <v>970.11674680566284</v>
      </c>
      <c r="AA316" s="1132">
        <f t="shared" ca="1" si="90"/>
        <v>2.1286320860597636E-6</v>
      </c>
      <c r="AB316" s="1105"/>
    </row>
    <row r="317" spans="1:28">
      <c r="A317" s="1144">
        <f>Calendar!J309</f>
        <v>54329</v>
      </c>
      <c r="C317" s="1104"/>
      <c r="D317" s="1125">
        <f t="shared" ca="1" si="76"/>
        <v>55365</v>
      </c>
      <c r="E317" s="1126">
        <f t="shared" ca="1" si="77"/>
        <v>55393</v>
      </c>
      <c r="F317" s="1127">
        <f t="shared" ca="1" si="78"/>
        <v>9344</v>
      </c>
      <c r="G317" s="1128">
        <f ca="1">IF(F317&lt;&gt;"",COUNTIF($F$11:F317,"&gt;0"),"")</f>
        <v>307</v>
      </c>
      <c r="H317" s="1129">
        <v>0.27470645671728788</v>
      </c>
      <c r="I317" s="1073"/>
      <c r="J317" s="1130">
        <f t="shared" ca="1" si="79"/>
        <v>19402.33493611322</v>
      </c>
      <c r="K317" s="1131">
        <f t="shared" ca="1" si="80"/>
        <v>5329.9466823417088</v>
      </c>
      <c r="L317" s="1130">
        <f t="shared" ca="1" si="81"/>
        <v>0</v>
      </c>
      <c r="M317" s="1130">
        <f t="shared" ca="1" si="82"/>
        <v>0</v>
      </c>
      <c r="N317" s="1130">
        <f t="shared" ca="1" si="91"/>
        <v>14072.388253771511</v>
      </c>
      <c r="O317" s="1073"/>
      <c r="P317" s="1130">
        <f t="shared" ca="1" si="83"/>
        <v>5329.9466823417097</v>
      </c>
      <c r="Q317" s="1130">
        <f t="shared" ca="1" si="84"/>
        <v>13368.768841082934</v>
      </c>
      <c r="R317" s="1130">
        <f t="shared" ca="1" si="92"/>
        <v>18432.218189307558</v>
      </c>
      <c r="S317" s="1130">
        <f t="shared" ca="1" si="93"/>
        <v>5063.4493482246235</v>
      </c>
      <c r="T317" s="1130">
        <f t="shared" ca="1" si="85"/>
        <v>13368.768841082934</v>
      </c>
      <c r="U317" s="1132">
        <f t="shared" ca="1" si="86"/>
        <v>1.5610998534205872E-6</v>
      </c>
      <c r="V317" s="1133">
        <f t="shared" ca="1" si="87"/>
        <v>5.0000000000000044E-2</v>
      </c>
      <c r="X317" s="1134">
        <f t="shared" ca="1" si="94"/>
        <v>970.11674680566284</v>
      </c>
      <c r="Y317" s="1134">
        <f t="shared" ca="1" si="88"/>
        <v>266.49733411708621</v>
      </c>
      <c r="Z317" s="1134">
        <f t="shared" ca="1" si="89"/>
        <v>703.61941268857663</v>
      </c>
      <c r="AA317" s="1132">
        <f t="shared" ca="1" si="90"/>
        <v>1.6703112031777941E-6</v>
      </c>
      <c r="AB317" s="1105"/>
    </row>
    <row r="318" spans="1:28">
      <c r="A318" s="1144">
        <f>Calendar!J310</f>
        <v>54358</v>
      </c>
      <c r="C318" s="1104"/>
      <c r="D318" s="1125">
        <f t="shared" ca="1" si="76"/>
        <v>55396</v>
      </c>
      <c r="E318" s="1126">
        <f t="shared" ca="1" si="77"/>
        <v>55423</v>
      </c>
      <c r="F318" s="1127">
        <f t="shared" ca="1" si="78"/>
        <v>9374</v>
      </c>
      <c r="G318" s="1128">
        <f ca="1">IF(F318&lt;&gt;"",COUNTIF($F$11:F318,"&gt;0"),"")</f>
        <v>308</v>
      </c>
      <c r="H318" s="1129">
        <v>0.32151381277346691</v>
      </c>
      <c r="I318" s="1073"/>
      <c r="J318" s="1130">
        <f t="shared" ca="1" si="79"/>
        <v>14072.388253771511</v>
      </c>
      <c r="K318" s="1131">
        <f t="shared" ca="1" si="80"/>
        <v>4524.4672022986288</v>
      </c>
      <c r="L318" s="1130">
        <f t="shared" ca="1" si="81"/>
        <v>0</v>
      </c>
      <c r="M318" s="1130">
        <f t="shared" ca="1" si="82"/>
        <v>0</v>
      </c>
      <c r="N318" s="1130">
        <f t="shared" ca="1" si="91"/>
        <v>9547.921051472882</v>
      </c>
      <c r="O318" s="1073"/>
      <c r="P318" s="1130">
        <f t="shared" ca="1" si="83"/>
        <v>4524.4672022986288</v>
      </c>
      <c r="Q318" s="1130">
        <f t="shared" ca="1" si="84"/>
        <v>9070.5249988992382</v>
      </c>
      <c r="R318" s="1130">
        <f t="shared" ca="1" si="92"/>
        <v>13368.768841082934</v>
      </c>
      <c r="S318" s="1130">
        <f t="shared" ca="1" si="93"/>
        <v>4298.243842183696</v>
      </c>
      <c r="T318" s="1130">
        <f t="shared" ca="1" si="85"/>
        <v>9070.5249988992382</v>
      </c>
      <c r="U318" s="1132">
        <f t="shared" ca="1" si="86"/>
        <v>1.1322556441055403E-6</v>
      </c>
      <c r="V318" s="1133">
        <f t="shared" ca="1" si="87"/>
        <v>4.9999999999999933E-2</v>
      </c>
      <c r="X318" s="1134">
        <f t="shared" ca="1" si="94"/>
        <v>703.61941268857663</v>
      </c>
      <c r="Y318" s="1134">
        <f t="shared" ca="1" si="88"/>
        <v>226.2233601149328</v>
      </c>
      <c r="Z318" s="1134">
        <f t="shared" ca="1" si="89"/>
        <v>477.39605257364383</v>
      </c>
      <c r="AA318" s="1132">
        <f t="shared" ca="1" si="90"/>
        <v>1.2114659309376318E-6</v>
      </c>
      <c r="AB318" s="1105"/>
    </row>
    <row r="319" spans="1:28">
      <c r="A319" s="1144">
        <f>Calendar!J311</f>
        <v>54389</v>
      </c>
      <c r="C319" s="1104"/>
      <c r="D319" s="1125">
        <f t="shared" ca="1" si="76"/>
        <v>55426</v>
      </c>
      <c r="E319" s="1126">
        <f t="shared" ca="1" si="77"/>
        <v>55453</v>
      </c>
      <c r="F319" s="1127">
        <f t="shared" ca="1" si="78"/>
        <v>9404</v>
      </c>
      <c r="G319" s="1128">
        <f ca="1">IF(F319&lt;&gt;"",COUNTIF($F$11:F319,"&gt;0"),"")</f>
        <v>309</v>
      </c>
      <c r="H319" s="1129">
        <v>0.31524518983572219</v>
      </c>
      <c r="I319" s="1073"/>
      <c r="J319" s="1130">
        <f t="shared" ca="1" si="79"/>
        <v>9547.921051472882</v>
      </c>
      <c r="K319" s="1131">
        <f t="shared" ca="1" si="80"/>
        <v>3009.9361844080568</v>
      </c>
      <c r="L319" s="1130">
        <f t="shared" ca="1" si="81"/>
        <v>0</v>
      </c>
      <c r="M319" s="1130">
        <f t="shared" ca="1" si="82"/>
        <v>0</v>
      </c>
      <c r="N319" s="1130">
        <f t="shared" ca="1" si="91"/>
        <v>6537.9848670648253</v>
      </c>
      <c r="O319" s="1073"/>
      <c r="P319" s="1130">
        <f t="shared" ca="1" si="83"/>
        <v>3009.9361844080568</v>
      </c>
      <c r="Q319" s="1130">
        <f t="shared" ca="1" si="84"/>
        <v>6211.085623711584</v>
      </c>
      <c r="R319" s="1130">
        <f t="shared" ca="1" si="92"/>
        <v>9070.5249988992382</v>
      </c>
      <c r="S319" s="1130">
        <f t="shared" ca="1" si="93"/>
        <v>2859.4393751876542</v>
      </c>
      <c r="T319" s="1130">
        <f t="shared" ca="1" si="85"/>
        <v>6211.085623711584</v>
      </c>
      <c r="U319" s="1132">
        <f t="shared" ca="1" si="86"/>
        <v>7.6821981493489037E-7</v>
      </c>
      <c r="V319" s="1133">
        <f t="shared" ca="1" si="87"/>
        <v>5.0000000000000044E-2</v>
      </c>
      <c r="X319" s="1134">
        <f t="shared" ca="1" si="94"/>
        <v>477.39605257364383</v>
      </c>
      <c r="Y319" s="1134">
        <f t="shared" ca="1" si="88"/>
        <v>150.49680922040261</v>
      </c>
      <c r="Z319" s="1134">
        <f t="shared" ca="1" si="89"/>
        <v>326.89924335324122</v>
      </c>
      <c r="AA319" s="1132">
        <f t="shared" ca="1" si="90"/>
        <v>8.2196290043671454E-7</v>
      </c>
      <c r="AB319" s="1105"/>
    </row>
    <row r="320" spans="1:28">
      <c r="A320" s="1144">
        <f>Calendar!J312</f>
        <v>54420</v>
      </c>
      <c r="C320" s="1104"/>
      <c r="D320" s="1125">
        <f t="shared" ca="1" si="76"/>
        <v>55457</v>
      </c>
      <c r="E320" s="1126">
        <f t="shared" ca="1" si="77"/>
        <v>55484</v>
      </c>
      <c r="F320" s="1127">
        <f t="shared" ca="1" si="78"/>
        <v>9435</v>
      </c>
      <c r="G320" s="1128">
        <f ca="1">IF(F320&lt;&gt;"",COUNTIF($F$11:F320,"&gt;0"),"")</f>
        <v>310</v>
      </c>
      <c r="H320" s="1129">
        <v>0.33987246414581107</v>
      </c>
      <c r="I320" s="1073"/>
      <c r="J320" s="1130">
        <f t="shared" ca="1" si="79"/>
        <v>6537.9848670648253</v>
      </c>
      <c r="K320" s="1131">
        <f t="shared" ca="1" si="80"/>
        <v>2222.0810273173452</v>
      </c>
      <c r="L320" s="1130">
        <f t="shared" ca="1" si="81"/>
        <v>0</v>
      </c>
      <c r="M320" s="1130">
        <f t="shared" ca="1" si="82"/>
        <v>0</v>
      </c>
      <c r="N320" s="1130">
        <f t="shared" ca="1" si="91"/>
        <v>4315.9038397474797</v>
      </c>
      <c r="O320" s="1073"/>
      <c r="P320" s="1130">
        <f t="shared" ca="1" si="83"/>
        <v>2222.0810273173456</v>
      </c>
      <c r="Q320" s="1130">
        <f t="shared" ca="1" si="84"/>
        <v>4100.1086477601057</v>
      </c>
      <c r="R320" s="1130">
        <f t="shared" ca="1" si="92"/>
        <v>6211.085623711584</v>
      </c>
      <c r="S320" s="1130">
        <f t="shared" ca="1" si="93"/>
        <v>2110.9769759514784</v>
      </c>
      <c r="T320" s="1130">
        <f t="shared" ca="1" si="85"/>
        <v>4100.1086477601057</v>
      </c>
      <c r="U320" s="1132">
        <f t="shared" ca="1" si="86"/>
        <v>5.2604221354017753E-7</v>
      </c>
      <c r="V320" s="1133">
        <f t="shared" ca="1" si="87"/>
        <v>5.0000000000000044E-2</v>
      </c>
      <c r="X320" s="1134">
        <f t="shared" ca="1" si="94"/>
        <v>326.89924335324122</v>
      </c>
      <c r="Y320" s="1134">
        <f t="shared" ca="1" si="88"/>
        <v>111.10405136586724</v>
      </c>
      <c r="Z320" s="1134">
        <f t="shared" ca="1" si="89"/>
        <v>215.79519198737398</v>
      </c>
      <c r="AA320" s="1132">
        <f t="shared" ca="1" si="90"/>
        <v>5.6284304985062196E-7</v>
      </c>
      <c r="AB320" s="1105"/>
    </row>
    <row r="321" spans="1:28">
      <c r="A321" s="1144">
        <f>Calendar!J313</f>
        <v>54450</v>
      </c>
      <c r="C321" s="1104"/>
      <c r="D321" s="1125">
        <f t="shared" ca="1" si="76"/>
        <v>55487</v>
      </c>
      <c r="E321" s="1126">
        <f t="shared" ca="1" si="77"/>
        <v>55514</v>
      </c>
      <c r="F321" s="1127">
        <f t="shared" ca="1" si="78"/>
        <v>9465</v>
      </c>
      <c r="G321" s="1128">
        <f ca="1">IF(F321&lt;&gt;"",COUNTIF($F$11:F321,"&gt;0"),"")</f>
        <v>311</v>
      </c>
      <c r="H321" s="1129">
        <v>0.24921166002931291</v>
      </c>
      <c r="I321" s="1073"/>
      <c r="J321" s="1130">
        <f t="shared" ca="1" si="79"/>
        <v>4315.9038397474797</v>
      </c>
      <c r="K321" s="1131">
        <f t="shared" ca="1" si="80"/>
        <v>1075.5735604303552</v>
      </c>
      <c r="L321" s="1130">
        <f t="shared" ca="1" si="81"/>
        <v>0</v>
      </c>
      <c r="M321" s="1130">
        <f t="shared" ca="1" si="82"/>
        <v>0</v>
      </c>
      <c r="N321" s="1130">
        <f t="shared" ca="1" si="91"/>
        <v>3240.3302793171242</v>
      </c>
      <c r="O321" s="1073"/>
      <c r="P321" s="1130">
        <f t="shared" ca="1" si="83"/>
        <v>1075.5735604303554</v>
      </c>
      <c r="Q321" s="1130">
        <f t="shared" ca="1" si="84"/>
        <v>3078.3137653512676</v>
      </c>
      <c r="R321" s="1130">
        <f t="shared" ca="1" si="92"/>
        <v>4100.1086477601057</v>
      </c>
      <c r="S321" s="1130">
        <f t="shared" ca="1" si="93"/>
        <v>1021.794882408838</v>
      </c>
      <c r="T321" s="1130">
        <f t="shared" ca="1" si="85"/>
        <v>3078.3137653512676</v>
      </c>
      <c r="U321" s="1132">
        <f t="shared" ca="1" si="86"/>
        <v>3.472549501795604E-7</v>
      </c>
      <c r="V321" s="1133">
        <f t="shared" ca="1" si="87"/>
        <v>5.0000000000000155E-2</v>
      </c>
      <c r="X321" s="1134">
        <f t="shared" ca="1" si="94"/>
        <v>215.79519198737398</v>
      </c>
      <c r="Y321" s="1134">
        <f t="shared" ca="1" si="88"/>
        <v>53.778678021517408</v>
      </c>
      <c r="Z321" s="1134">
        <f t="shared" ca="1" si="89"/>
        <v>162.01651396585657</v>
      </c>
      <c r="AA321" s="1132">
        <f t="shared" ca="1" si="90"/>
        <v>3.715481955705475E-7</v>
      </c>
      <c r="AB321" s="1105"/>
    </row>
    <row r="322" spans="1:28">
      <c r="A322" s="1144">
        <f>Calendar!J314</f>
        <v>54480</v>
      </c>
      <c r="C322" s="1104"/>
      <c r="D322" s="1125">
        <f t="shared" ca="1" si="76"/>
        <v>55518</v>
      </c>
      <c r="E322" s="1126">
        <f t="shared" ca="1" si="77"/>
        <v>55547</v>
      </c>
      <c r="F322" s="1127">
        <f t="shared" ca="1" si="78"/>
        <v>9498</v>
      </c>
      <c r="G322" s="1128">
        <f ca="1">IF(F322&lt;&gt;"",COUNTIF($F$11:F322,"&gt;0"),"")</f>
        <v>312</v>
      </c>
      <c r="H322" s="1129">
        <v>0.33266618684702626</v>
      </c>
      <c r="I322" s="1073"/>
      <c r="J322" s="1130">
        <f t="shared" ca="1" si="79"/>
        <v>3240.3302793171242</v>
      </c>
      <c r="K322" s="1131">
        <f t="shared" ca="1" si="80"/>
        <v>1077.9483181453872</v>
      </c>
      <c r="L322" s="1130">
        <f t="shared" ca="1" si="81"/>
        <v>0</v>
      </c>
      <c r="M322" s="1130">
        <f t="shared" ca="1" si="82"/>
        <v>0</v>
      </c>
      <c r="N322" s="1130">
        <f t="shared" ca="1" si="91"/>
        <v>2162.3819611717372</v>
      </c>
      <c r="O322" s="1073"/>
      <c r="P322" s="1130">
        <f t="shared" ca="1" si="83"/>
        <v>1077.948318145387</v>
      </c>
      <c r="Q322" s="1130">
        <f t="shared" ca="1" si="84"/>
        <v>2054.2628631131502</v>
      </c>
      <c r="R322" s="1130">
        <f t="shared" ca="1" si="92"/>
        <v>3078.3137653512676</v>
      </c>
      <c r="S322" s="1130">
        <f t="shared" ca="1" si="93"/>
        <v>1024.0509022381175</v>
      </c>
      <c r="T322" s="1130">
        <f t="shared" ca="1" si="85"/>
        <v>2054.2628631131502</v>
      </c>
      <c r="U322" s="1132">
        <f t="shared" ca="1" si="86"/>
        <v>2.6071496759191576E-7</v>
      </c>
      <c r="V322" s="1133">
        <f t="shared" ca="1" si="87"/>
        <v>5.0000000000000044E-2</v>
      </c>
      <c r="X322" s="1134">
        <f t="shared" ca="1" si="94"/>
        <v>162.01651396585657</v>
      </c>
      <c r="Y322" s="1134">
        <f t="shared" ca="1" si="88"/>
        <v>53.897415907269533</v>
      </c>
      <c r="Z322" s="1134">
        <f t="shared" ca="1" si="89"/>
        <v>108.11909805858704</v>
      </c>
      <c r="AA322" s="1132">
        <f t="shared" ca="1" si="90"/>
        <v>2.7895405297151617E-7</v>
      </c>
      <c r="AB322" s="1105"/>
    </row>
    <row r="323" spans="1:28">
      <c r="A323" s="1144">
        <f>Calendar!J315</f>
        <v>54511</v>
      </c>
      <c r="C323" s="1104"/>
      <c r="D323" s="1125">
        <f t="shared" ca="1" si="76"/>
        <v>55549</v>
      </c>
      <c r="E323" s="1126">
        <f t="shared" ca="1" si="77"/>
        <v>55576</v>
      </c>
      <c r="F323" s="1127">
        <f t="shared" ca="1" si="78"/>
        <v>9527</v>
      </c>
      <c r="G323" s="1128">
        <f ca="1">IF(F323&lt;&gt;"",COUNTIF($F$11:F323,"&gt;0"),"")</f>
        <v>313</v>
      </c>
      <c r="H323" s="1129">
        <v>0.49960355959164171</v>
      </c>
      <c r="I323" s="1073"/>
      <c r="J323" s="1130">
        <f t="shared" ca="1" si="79"/>
        <v>2162.3819611717372</v>
      </c>
      <c r="K323" s="1131">
        <f t="shared" ca="1" si="80"/>
        <v>1080.333724998155</v>
      </c>
      <c r="L323" s="1130">
        <f t="shared" ca="1" si="81"/>
        <v>0</v>
      </c>
      <c r="M323" s="1130">
        <f t="shared" ca="1" si="82"/>
        <v>0</v>
      </c>
      <c r="N323" s="1130">
        <f t="shared" ca="1" si="91"/>
        <v>1082.0482361735822</v>
      </c>
      <c r="O323" s="1073"/>
      <c r="P323" s="1130">
        <f t="shared" ca="1" si="83"/>
        <v>1080.333724998155</v>
      </c>
      <c r="Q323" s="1130">
        <f t="shared" ca="1" si="84"/>
        <v>1027.945824364903</v>
      </c>
      <c r="R323" s="1130">
        <f t="shared" ca="1" si="92"/>
        <v>2054.2628631131502</v>
      </c>
      <c r="S323" s="1130">
        <f t="shared" ca="1" si="93"/>
        <v>1026.3170387482471</v>
      </c>
      <c r="T323" s="1130">
        <f t="shared" ca="1" si="85"/>
        <v>1027.945824364903</v>
      </c>
      <c r="U323" s="1132">
        <f t="shared" ca="1" si="86"/>
        <v>1.7398391346916714E-7</v>
      </c>
      <c r="V323" s="1133">
        <f t="shared" ca="1" si="87"/>
        <v>5.0000000000000044E-2</v>
      </c>
      <c r="X323" s="1134">
        <f t="shared" ca="1" si="94"/>
        <v>108.11909805858704</v>
      </c>
      <c r="Y323" s="1134">
        <f t="shared" ca="1" si="88"/>
        <v>54.016686249907934</v>
      </c>
      <c r="Z323" s="1134">
        <f t="shared" ca="1" si="89"/>
        <v>54.102411808679108</v>
      </c>
      <c r="AA323" s="1132">
        <f t="shared" ca="1" si="90"/>
        <v>1.8615547186395842E-7</v>
      </c>
      <c r="AB323" s="1105"/>
    </row>
    <row r="324" spans="1:28">
      <c r="A324" s="1144">
        <f>Calendar!J316</f>
        <v>54540</v>
      </c>
      <c r="C324" s="1104"/>
      <c r="D324" s="1125">
        <f t="shared" ca="1" si="76"/>
        <v>55578</v>
      </c>
      <c r="E324" s="1126">
        <f t="shared" ca="1" si="77"/>
        <v>55605</v>
      </c>
      <c r="F324" s="1127">
        <f t="shared" ca="1" si="78"/>
        <v>9556</v>
      </c>
      <c r="G324" s="1128">
        <f ca="1">IF(F324&lt;&gt;"",COUNTIF($F$11:F324,"&gt;0"),"")</f>
        <v>314</v>
      </c>
      <c r="H324" s="1129">
        <v>1</v>
      </c>
      <c r="I324" s="1073"/>
      <c r="J324" s="1130">
        <f t="shared" ca="1" si="79"/>
        <v>1082.0482361735822</v>
      </c>
      <c r="K324" s="1131">
        <f t="shared" ca="1" si="80"/>
        <v>1082.0482361735822</v>
      </c>
      <c r="L324" s="1130">
        <f t="shared" ca="1" si="81"/>
        <v>0</v>
      </c>
      <c r="M324" s="1130">
        <f t="shared" ca="1" si="82"/>
        <v>0</v>
      </c>
      <c r="N324" s="1130">
        <f t="shared" ca="1" si="91"/>
        <v>0</v>
      </c>
      <c r="O324" s="1073"/>
      <c r="P324" s="1130">
        <f t="shared" ca="1" si="83"/>
        <v>1082.0482361735822</v>
      </c>
      <c r="Q324" s="1130">
        <f t="shared" ca="1" si="84"/>
        <v>0</v>
      </c>
      <c r="R324" s="1130">
        <f t="shared" ca="1" si="92"/>
        <v>1027.945824364903</v>
      </c>
      <c r="S324" s="1130">
        <f t="shared" ca="1" si="93"/>
        <v>1027.945824364903</v>
      </c>
      <c r="T324" s="1130">
        <f t="shared" ca="1" si="85"/>
        <v>0</v>
      </c>
      <c r="U324" s="1132">
        <f t="shared" ca="1" si="86"/>
        <v>8.7060930988287072E-8</v>
      </c>
      <c r="V324" s="1133" t="str">
        <f t="shared" ca="1" si="87"/>
        <v>n.a.</v>
      </c>
      <c r="X324" s="1134">
        <f t="shared" ca="1" si="94"/>
        <v>54.102411808679108</v>
      </c>
      <c r="Y324" s="1134">
        <f t="shared" ca="1" si="88"/>
        <v>54.102411808679108</v>
      </c>
      <c r="Z324" s="1134">
        <f t="shared" ca="1" si="89"/>
        <v>0</v>
      </c>
      <c r="AA324" s="1132">
        <f t="shared" ca="1" si="90"/>
        <v>9.3151535483262928E-8</v>
      </c>
      <c r="AB324" s="1105"/>
    </row>
    <row r="325" spans="1:28">
      <c r="A325" s="1144">
        <f>Calendar!J317</f>
        <v>54570</v>
      </c>
      <c r="C325" s="1104"/>
      <c r="D325" s="1125">
        <f t="shared" ca="1" si="76"/>
        <v>55609</v>
      </c>
      <c r="E325" s="1126">
        <f t="shared" ca="1" si="77"/>
        <v>55638</v>
      </c>
      <c r="F325" s="1127">
        <f t="shared" ca="1" si="78"/>
        <v>9589</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55639</v>
      </c>
      <c r="E326" s="1126">
        <f t="shared" ca="1" si="77"/>
        <v>55666</v>
      </c>
      <c r="F326" s="1127">
        <f t="shared" ca="1" si="78"/>
        <v>9617</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55670</v>
      </c>
      <c r="E327" s="1126">
        <f t="shared" ca="1" si="77"/>
        <v>55697</v>
      </c>
      <c r="F327" s="1127">
        <f t="shared" ca="1" si="78"/>
        <v>9648</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55700</v>
      </c>
      <c r="E328" s="1126">
        <f t="shared" ca="1" si="77"/>
        <v>55729</v>
      </c>
      <c r="F328" s="1127">
        <f t="shared" ca="1" si="78"/>
        <v>9680</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55731</v>
      </c>
      <c r="E329" s="1126">
        <f t="shared" ca="1" si="77"/>
        <v>55758</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55762</v>
      </c>
      <c r="E330" s="1126">
        <f t="shared" ca="1" si="77"/>
        <v>55789</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55792</v>
      </c>
      <c r="E331" s="1126">
        <f t="shared" ca="1" si="77"/>
        <v>55820</v>
      </c>
      <c r="F331" s="1127">
        <f t="shared" ca="1" si="78"/>
        <v>9771</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55823</v>
      </c>
      <c r="E332" s="1126">
        <f t="shared" ref="E332:E361" ca="1" si="96">IF(INDIRECT("A"&amp;(IFERROR(MATCH(E331,A:A),999)+1))&gt;0,INDIRECT("A"&amp;(IFERROR(MATCH(E331,A:A),999)+1)),"")</f>
        <v>55850</v>
      </c>
      <c r="F332" s="1127">
        <f ca="1">IF(E332&lt;&gt;"",E332-$A$31,"")</f>
        <v>9801</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55853</v>
      </c>
      <c r="E333" s="1126">
        <f t="shared" ca="1" si="96"/>
        <v>55880</v>
      </c>
      <c r="F333" s="1127">
        <f t="shared" ref="F333:F361" ca="1" si="97">IF(E333&lt;&gt;"",E333-$A$31,"")</f>
        <v>9831</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55884</v>
      </c>
      <c r="E334" s="1126">
        <f t="shared" ca="1" si="96"/>
        <v>55911</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55915</v>
      </c>
      <c r="E335" s="1126">
        <f t="shared" ca="1" si="96"/>
        <v>55942</v>
      </c>
      <c r="F335" s="1127">
        <f t="shared" ca="1" si="97"/>
        <v>9893</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55943</v>
      </c>
      <c r="E336" s="1126">
        <f t="shared" ca="1" si="96"/>
        <v>55970</v>
      </c>
      <c r="F336" s="1127">
        <f t="shared" ca="1" si="97"/>
        <v>9921</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55974</v>
      </c>
      <c r="E337" s="1126">
        <f t="shared" ca="1" si="96"/>
        <v>56002</v>
      </c>
      <c r="F337" s="1127">
        <f t="shared" ca="1" si="97"/>
        <v>9953</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56004</v>
      </c>
      <c r="E338" s="1126">
        <f t="shared" ca="1" si="96"/>
        <v>56031</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56035</v>
      </c>
      <c r="E339" s="1126">
        <f t="shared" ca="1" si="96"/>
        <v>56062</v>
      </c>
      <c r="F339" s="1127">
        <f t="shared" ca="1" si="97"/>
        <v>10013</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56065</v>
      </c>
      <c r="E340" s="1126">
        <f t="shared" ca="1" si="96"/>
        <v>56093</v>
      </c>
      <c r="F340" s="1127">
        <f t="shared" ca="1" si="97"/>
        <v>10044</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56096</v>
      </c>
      <c r="E341" s="1126">
        <f t="shared" ca="1" si="96"/>
        <v>56123</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56127</v>
      </c>
      <c r="E342" s="1126">
        <f t="shared" ca="1" si="96"/>
        <v>56156</v>
      </c>
      <c r="F342" s="1127">
        <f t="shared" ca="1" si="97"/>
        <v>10107</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56157</v>
      </c>
      <c r="E343" s="1126">
        <f t="shared" ca="1" si="96"/>
        <v>56184</v>
      </c>
      <c r="F343" s="1127">
        <f t="shared" ca="1" si="97"/>
        <v>10135</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56188</v>
      </c>
      <c r="E344" s="1126">
        <f t="shared" ca="1" si="96"/>
        <v>56215</v>
      </c>
      <c r="F344" s="1127">
        <f t="shared" ca="1" si="97"/>
        <v>10166</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56218</v>
      </c>
      <c r="E345" s="1126">
        <f t="shared" ca="1" si="96"/>
        <v>56247</v>
      </c>
      <c r="F345" s="1127">
        <f t="shared" ca="1" si="97"/>
        <v>10198</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56249</v>
      </c>
      <c r="E346" s="1126">
        <f t="shared" ca="1" si="96"/>
        <v>56276</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56280</v>
      </c>
      <c r="E347" s="1126">
        <f t="shared" ca="1" si="96"/>
        <v>56307</v>
      </c>
      <c r="F347" s="1127">
        <f t="shared" ca="1" si="97"/>
        <v>10258</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56308</v>
      </c>
      <c r="E348" s="1126">
        <f t="shared" ca="1" si="96"/>
        <v>56335</v>
      </c>
      <c r="F348" s="1127">
        <f t="shared" ca="1" si="97"/>
        <v>10286</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56339</v>
      </c>
      <c r="E349" s="1126">
        <f t="shared" ca="1" si="96"/>
        <v>56366</v>
      </c>
      <c r="F349" s="1127">
        <f t="shared" ca="1" si="97"/>
        <v>10317</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56369</v>
      </c>
      <c r="E350" s="1126">
        <f t="shared" ca="1" si="96"/>
        <v>56396</v>
      </c>
      <c r="F350" s="1127">
        <f t="shared" ca="1" si="97"/>
        <v>10347</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56400</v>
      </c>
      <c r="E351" s="1126">
        <f t="shared" ca="1" si="96"/>
        <v>56429</v>
      </c>
      <c r="F351" s="1127">
        <f t="shared" ca="1" si="97"/>
        <v>10380</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56430</v>
      </c>
      <c r="E352" s="1126">
        <f t="shared" ca="1" si="96"/>
        <v>56457</v>
      </c>
      <c r="F352" s="1127">
        <f t="shared" ca="1" si="97"/>
        <v>10408</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56461</v>
      </c>
      <c r="E353" s="1126">
        <f t="shared" ca="1" si="96"/>
        <v>56488</v>
      </c>
      <c r="F353" s="1127">
        <f t="shared" ca="1" si="97"/>
        <v>10439</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56492</v>
      </c>
      <c r="E354" s="1126">
        <f t="shared" ca="1" si="96"/>
        <v>56520</v>
      </c>
      <c r="F354" s="1127">
        <f t="shared" ca="1" si="97"/>
        <v>10471</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56522</v>
      </c>
      <c r="E355" s="1126">
        <f t="shared" ca="1" si="96"/>
        <v>56549</v>
      </c>
      <c r="F355" s="1127">
        <f t="shared" ca="1" si="97"/>
        <v>10500</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56553</v>
      </c>
      <c r="E356" s="1126">
        <f t="shared" ca="1" si="96"/>
        <v>56580</v>
      </c>
      <c r="F356" s="1127">
        <f t="shared" ca="1" si="97"/>
        <v>10531</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56583</v>
      </c>
      <c r="E357" s="1126">
        <f t="shared" ca="1" si="96"/>
        <v>56611</v>
      </c>
      <c r="F357" s="1127">
        <f t="shared" ca="1" si="97"/>
        <v>10562</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56614</v>
      </c>
      <c r="E358" s="1126">
        <f t="shared" ca="1" si="96"/>
        <v>56641</v>
      </c>
      <c r="F358" s="1127">
        <f t="shared" ca="1" si="97"/>
        <v>10592</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56645</v>
      </c>
      <c r="E359" s="1126">
        <f t="shared" ca="1" si="96"/>
        <v>56671</v>
      </c>
      <c r="F359" s="1127">
        <f t="shared" ca="1" si="97"/>
        <v>10622</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56673</v>
      </c>
      <c r="E360" s="1126">
        <f t="shared" ca="1" si="96"/>
        <v>56702</v>
      </c>
      <c r="F360" s="1127">
        <f t="shared" ca="1" si="97"/>
        <v>10653</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56704</v>
      </c>
      <c r="E361" s="1126">
        <f t="shared" ca="1" si="96"/>
        <v>56731</v>
      </c>
      <c r="F361" s="1127">
        <f t="shared" ca="1" si="97"/>
        <v>10682</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56734</v>
      </c>
      <c r="E362" s="1126">
        <f t="shared" ref="E362:E383" ca="1" si="114">IF(INDIRECT("A"&amp;(IFERROR(MATCH(E361,A:A),999)+1))&gt;0,INDIRECT("A"&amp;(IFERROR(MATCH(E361,A:A),999)+1)),"")</f>
        <v>56761</v>
      </c>
      <c r="F362" s="1127">
        <f t="shared" ref="F362:F383" ca="1" si="115">IF(E362&lt;&gt;"",E362-$A$31,"")</f>
        <v>10712</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56765</v>
      </c>
      <c r="E363" s="1126">
        <f t="shared" ca="1" si="114"/>
        <v>56793</v>
      </c>
      <c r="F363" s="1127">
        <f t="shared" ca="1" si="115"/>
        <v>10744</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56795</v>
      </c>
      <c r="E364" s="1126">
        <f t="shared" ca="1" si="114"/>
        <v>56822</v>
      </c>
      <c r="F364" s="1127">
        <f t="shared" ca="1" si="115"/>
        <v>10773</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56826</v>
      </c>
      <c r="E365" s="1126">
        <f t="shared" ca="1" si="114"/>
        <v>56853</v>
      </c>
      <c r="F365" s="1127">
        <f t="shared" ca="1" si="115"/>
        <v>10804</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56857</v>
      </c>
      <c r="E366" s="1126">
        <f t="shared" ca="1" si="114"/>
        <v>56884</v>
      </c>
      <c r="F366" s="1127">
        <f t="shared" ca="1" si="115"/>
        <v>10835</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56887</v>
      </c>
      <c r="E367" s="1126">
        <f t="shared" ca="1" si="114"/>
        <v>56914</v>
      </c>
      <c r="F367" s="1127">
        <f t="shared" ca="1" si="115"/>
        <v>10865</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56918</v>
      </c>
      <c r="E368" s="1126">
        <f t="shared" ca="1" si="114"/>
        <v>56947</v>
      </c>
      <c r="F368" s="1127">
        <f t="shared" ca="1" si="115"/>
        <v>10898</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56948</v>
      </c>
      <c r="E369" s="1126">
        <f t="shared" ca="1" si="114"/>
        <v>56975</v>
      </c>
      <c r="F369" s="1127">
        <f t="shared" ca="1" si="115"/>
        <v>10926</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56979</v>
      </c>
      <c r="E370" s="1126">
        <f t="shared" ca="1" si="114"/>
        <v>57006</v>
      </c>
      <c r="F370" s="1127">
        <f t="shared" ca="1" si="115"/>
        <v>10957</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57010</v>
      </c>
      <c r="E371" s="1126">
        <f t="shared" ca="1" si="114"/>
        <v>57038</v>
      </c>
      <c r="F371" s="1127">
        <f t="shared" ca="1" si="115"/>
        <v>10989</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57039</v>
      </c>
      <c r="E372" s="1126">
        <f t="shared" ca="1" si="114"/>
        <v>57066</v>
      </c>
      <c r="F372" s="1127">
        <f t="shared" ca="1" si="115"/>
        <v>11017</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57070</v>
      </c>
      <c r="E373" s="1126">
        <f t="shared" ca="1" si="114"/>
        <v>57097</v>
      </c>
      <c r="F373" s="1127">
        <f t="shared" ca="1" si="115"/>
        <v>11048</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57100</v>
      </c>
      <c r="E374" s="1126">
        <f t="shared" ca="1" si="114"/>
        <v>57129</v>
      </c>
      <c r="F374" s="1127">
        <f t="shared" ca="1" si="115"/>
        <v>11080</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57131</v>
      </c>
      <c r="E375" s="1126">
        <f t="shared" ca="1" si="114"/>
        <v>57158</v>
      </c>
      <c r="F375" s="1127">
        <f t="shared" ca="1" si="115"/>
        <v>11109</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57161</v>
      </c>
      <c r="E376" s="1126">
        <f t="shared" ca="1" si="114"/>
        <v>57188</v>
      </c>
      <c r="F376" s="1127">
        <f t="shared" ca="1" si="115"/>
        <v>11139</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57192</v>
      </c>
      <c r="E377" s="1126">
        <f t="shared" ca="1" si="114"/>
        <v>57220</v>
      </c>
      <c r="F377" s="1127">
        <f t="shared" ca="1" si="115"/>
        <v>11171</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57223</v>
      </c>
      <c r="E378" s="1126">
        <f t="shared" ca="1" si="114"/>
        <v>57250</v>
      </c>
      <c r="F378" s="1127">
        <f t="shared" ca="1" si="115"/>
        <v>11201</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57253</v>
      </c>
      <c r="E379" s="1126">
        <f t="shared" ca="1" si="114"/>
        <v>57280</v>
      </c>
      <c r="F379" s="1127">
        <f t="shared" ca="1" si="115"/>
        <v>11231</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57284</v>
      </c>
      <c r="E380" s="1126">
        <f t="shared" ca="1" si="114"/>
        <v>57311</v>
      </c>
      <c r="F380" s="1127">
        <f t="shared" ca="1" si="115"/>
        <v>11262</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57314</v>
      </c>
      <c r="E381" s="1126">
        <f t="shared" ca="1" si="114"/>
        <v>57341</v>
      </c>
      <c r="F381" s="1127">
        <f t="shared" ca="1" si="115"/>
        <v>11292</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57345</v>
      </c>
      <c r="E382" s="1126">
        <f t="shared" ca="1" si="114"/>
        <v>57374</v>
      </c>
      <c r="F382" s="1127">
        <f t="shared" ca="1" si="115"/>
        <v>11325</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57376</v>
      </c>
      <c r="E383" s="1126">
        <f t="shared" ca="1" si="114"/>
        <v>57403</v>
      </c>
      <c r="F383" s="1127">
        <f t="shared" ca="1" si="115"/>
        <v>11354</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57404</v>
      </c>
      <c r="E384" s="1126">
        <f t="shared" ref="E384:E447" ca="1" si="132">IF(INDIRECT("A"&amp;(IFERROR(MATCH(E383,A:A),999)+1))&gt;0,INDIRECT("A"&amp;(IFERROR(MATCH(E383,A:A),999)+1)),"")</f>
        <v>57431</v>
      </c>
      <c r="F384" s="1127">
        <f t="shared" ref="F384:F447" ca="1" si="133">IF(E384&lt;&gt;"",E384-$A$31,"")</f>
        <v>11382</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57435</v>
      </c>
      <c r="E385" s="1126">
        <f t="shared" ca="1" si="132"/>
        <v>57462</v>
      </c>
      <c r="F385" s="1127">
        <f t="shared" ca="1" si="133"/>
        <v>11413</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57465</v>
      </c>
      <c r="E386" s="1126">
        <f t="shared" ca="1" si="132"/>
        <v>57493</v>
      </c>
      <c r="F386" s="1127">
        <f t="shared" ca="1" si="133"/>
        <v>11444</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57496</v>
      </c>
      <c r="E387" s="1126">
        <f t="shared" ca="1" si="132"/>
        <v>57523</v>
      </c>
      <c r="F387" s="1127">
        <f t="shared" ca="1" si="133"/>
        <v>11474</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57526</v>
      </c>
      <c r="E388" s="1126">
        <f t="shared" ca="1" si="132"/>
        <v>57553</v>
      </c>
      <c r="F388" s="1127">
        <f t="shared" ca="1" si="133"/>
        <v>11504</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57557</v>
      </c>
      <c r="E389" s="1126">
        <f t="shared" ca="1" si="132"/>
        <v>57584</v>
      </c>
      <c r="F389" s="1127">
        <f t="shared" ca="1" si="133"/>
        <v>11535</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57588</v>
      </c>
      <c r="E390" s="1126">
        <f t="shared" ca="1" si="132"/>
        <v>57615</v>
      </c>
      <c r="F390" s="1127">
        <f t="shared" ca="1" si="133"/>
        <v>11566</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57618</v>
      </c>
      <c r="E391" s="1126">
        <f t="shared" ca="1" si="132"/>
        <v>57647</v>
      </c>
      <c r="F391" s="1127">
        <f t="shared" ca="1" si="133"/>
        <v>11598</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57649</v>
      </c>
      <c r="E392" s="1126">
        <f t="shared" ca="1" si="132"/>
        <v>57676</v>
      </c>
      <c r="F392" s="1127">
        <f t="shared" ca="1" si="133"/>
        <v>11627</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57679</v>
      </c>
      <c r="E393" s="1126">
        <f t="shared" ca="1" si="132"/>
        <v>57706</v>
      </c>
      <c r="F393" s="1127">
        <f t="shared" ca="1" si="133"/>
        <v>11657</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57710</v>
      </c>
      <c r="E394" s="1126">
        <f t="shared" ca="1" si="132"/>
        <v>57738</v>
      </c>
      <c r="F394" s="1127">
        <f t="shared" ca="1" si="133"/>
        <v>11689</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57741</v>
      </c>
      <c r="E395" s="1126">
        <f t="shared" ca="1" si="132"/>
        <v>57768</v>
      </c>
      <c r="F395" s="1127">
        <f t="shared" ca="1" si="133"/>
        <v>11719</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57769</v>
      </c>
      <c r="E396" s="1126">
        <f t="shared" ca="1" si="132"/>
        <v>57796</v>
      </c>
      <c r="F396" s="1127">
        <f t="shared" ca="1" si="133"/>
        <v>11747</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57800</v>
      </c>
      <c r="E397" s="1126">
        <f t="shared" ca="1" si="132"/>
        <v>57829</v>
      </c>
      <c r="F397" s="1127">
        <f t="shared" ca="1" si="133"/>
        <v>11780</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57830</v>
      </c>
      <c r="E398" s="1126">
        <f t="shared" ca="1" si="132"/>
        <v>57857</v>
      </c>
      <c r="F398" s="1127">
        <f t="shared" ca="1" si="133"/>
        <v>11808</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57861</v>
      </c>
      <c r="E399" s="1126">
        <f t="shared" ca="1" si="132"/>
        <v>57888</v>
      </c>
      <c r="F399" s="1127">
        <f t="shared" ca="1" si="133"/>
        <v>11839</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57891</v>
      </c>
      <c r="E400" s="1126">
        <f t="shared" ca="1" si="132"/>
        <v>57920</v>
      </c>
      <c r="F400" s="1127">
        <f t="shared" ca="1" si="133"/>
        <v>11871</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57922</v>
      </c>
      <c r="E401" s="1126">
        <f t="shared" ca="1" si="132"/>
        <v>57949</v>
      </c>
      <c r="F401" s="1127">
        <f t="shared" ca="1" si="133"/>
        <v>11900</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57953</v>
      </c>
      <c r="E402" s="1126">
        <f t="shared" ca="1" si="132"/>
        <v>57980</v>
      </c>
      <c r="F402" s="1127">
        <f t="shared" ca="1" si="133"/>
        <v>11931</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57983</v>
      </c>
      <c r="E403" s="1126">
        <f t="shared" ca="1" si="132"/>
        <v>58011</v>
      </c>
      <c r="F403" s="1127">
        <f t="shared" ca="1" si="133"/>
        <v>11962</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58014</v>
      </c>
      <c r="E404" s="1126">
        <f t="shared" ca="1" si="132"/>
        <v>58041</v>
      </c>
      <c r="F404" s="1127">
        <f t="shared" ca="1" si="133"/>
        <v>11992</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58044</v>
      </c>
      <c r="E405" s="1126">
        <f t="shared" ca="1" si="132"/>
        <v>58071</v>
      </c>
      <c r="F405" s="1127">
        <f t="shared" ca="1" si="133"/>
        <v>12022</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58075</v>
      </c>
      <c r="E406" s="1126">
        <f t="shared" ca="1" si="132"/>
        <v>58102</v>
      </c>
      <c r="F406" s="1127">
        <f t="shared" ca="1" si="133"/>
        <v>12053</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58106</v>
      </c>
      <c r="E407" s="1126">
        <f t="shared" ca="1" si="132"/>
        <v>58133</v>
      </c>
      <c r="F407" s="1127">
        <f t="shared" ca="1" si="133"/>
        <v>12084</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58134</v>
      </c>
      <c r="E408" s="1126">
        <f t="shared" ca="1" si="132"/>
        <v>58161</v>
      </c>
      <c r="F408" s="1127">
        <f t="shared" ca="1" si="133"/>
        <v>12112</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58165</v>
      </c>
      <c r="E409" s="1126">
        <f t="shared" ca="1" si="132"/>
        <v>58193</v>
      </c>
      <c r="F409" s="1127">
        <f t="shared" ca="1" si="133"/>
        <v>12144</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58195</v>
      </c>
      <c r="E410" s="1126">
        <f t="shared" ca="1" si="132"/>
        <v>58222</v>
      </c>
      <c r="F410" s="1127">
        <f t="shared" ca="1" si="133"/>
        <v>12173</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58226</v>
      </c>
      <c r="E411" s="1126">
        <f t="shared" ca="1" si="132"/>
        <v>58253</v>
      </c>
      <c r="F411" s="1127">
        <f t="shared" ca="1" si="133"/>
        <v>12204</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58256</v>
      </c>
      <c r="E412" s="1126">
        <f t="shared" ca="1" si="132"/>
        <v>58284</v>
      </c>
      <c r="F412" s="1127">
        <f t="shared" ca="1" si="133"/>
        <v>12235</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58287</v>
      </c>
      <c r="E413" s="1126">
        <f t="shared" ca="1" si="132"/>
        <v>58314</v>
      </c>
      <c r="F413" s="1127">
        <f t="shared" ca="1" si="133"/>
        <v>12265</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58318</v>
      </c>
      <c r="E414" s="1126">
        <f t="shared" ca="1" si="132"/>
        <v>58347</v>
      </c>
      <c r="F414" s="1127">
        <f t="shared" ca="1" si="133"/>
        <v>12298</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58348</v>
      </c>
      <c r="E415" s="1126">
        <f t="shared" ca="1" si="132"/>
        <v>58375</v>
      </c>
      <c r="F415" s="1127">
        <f t="shared" ca="1" si="133"/>
        <v>12326</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58379</v>
      </c>
      <c r="E416" s="1126">
        <f t="shared" ca="1" si="132"/>
        <v>58406</v>
      </c>
      <c r="F416" s="1127">
        <f t="shared" ca="1" si="133"/>
        <v>12357</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58409</v>
      </c>
      <c r="E417" s="1126">
        <f t="shared" ca="1" si="132"/>
        <v>58438</v>
      </c>
      <c r="F417" s="1127">
        <f t="shared" ca="1" si="133"/>
        <v>12389</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58440</v>
      </c>
      <c r="E418" s="1126">
        <f t="shared" ca="1" si="132"/>
        <v>58467</v>
      </c>
      <c r="F418" s="1127">
        <f t="shared" ca="1" si="133"/>
        <v>12418</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58471</v>
      </c>
      <c r="E419" s="1126">
        <f t="shared" ca="1" si="132"/>
        <v>58498</v>
      </c>
      <c r="F419" s="1127">
        <f t="shared" ca="1" si="133"/>
        <v>12449</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58500</v>
      </c>
      <c r="E420" s="1126">
        <f t="shared" ca="1" si="132"/>
        <v>58529</v>
      </c>
      <c r="F420" s="1127">
        <f t="shared" ca="1" si="133"/>
        <v>12480</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58531</v>
      </c>
      <c r="E421" s="1126">
        <f t="shared" ca="1" si="132"/>
        <v>58558</v>
      </c>
      <c r="F421" s="1127">
        <f t="shared" ca="1" si="133"/>
        <v>12509</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58561</v>
      </c>
      <c r="E422" s="1126">
        <f t="shared" ca="1" si="132"/>
        <v>58588</v>
      </c>
      <c r="F422" s="1127">
        <f t="shared" ca="1" si="133"/>
        <v>12539</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58592</v>
      </c>
      <c r="E423" s="1126">
        <f t="shared" ca="1" si="132"/>
        <v>58620</v>
      </c>
      <c r="F423" s="1127">
        <f t="shared" ca="1" si="133"/>
        <v>12571</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58622</v>
      </c>
      <c r="E424" s="1126">
        <f t="shared" ca="1" si="132"/>
        <v>58649</v>
      </c>
      <c r="F424" s="1127">
        <f t="shared" ca="1" si="133"/>
        <v>12600</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58653</v>
      </c>
      <c r="E425" s="1126">
        <f t="shared" ca="1" si="132"/>
        <v>58680</v>
      </c>
      <c r="F425" s="1127">
        <f t="shared" ca="1" si="133"/>
        <v>12631</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58684</v>
      </c>
      <c r="E426" s="1126">
        <f t="shared" ca="1" si="132"/>
        <v>58711</v>
      </c>
      <c r="F426" s="1127">
        <f t="shared" ca="1" si="133"/>
        <v>12662</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58714</v>
      </c>
      <c r="E427" s="1126">
        <f t="shared" ca="1" si="132"/>
        <v>58741</v>
      </c>
      <c r="F427" s="1127">
        <f t="shared" ca="1" si="133"/>
        <v>12692</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58745</v>
      </c>
      <c r="E428" s="1126">
        <f t="shared" ca="1" si="132"/>
        <v>58774</v>
      </c>
      <c r="F428" s="1127">
        <f t="shared" ca="1" si="133"/>
        <v>12725</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58775</v>
      </c>
      <c r="E429" s="1126">
        <f t="shared" ca="1" si="132"/>
        <v>58802</v>
      </c>
      <c r="F429" s="1127">
        <f t="shared" ca="1" si="133"/>
        <v>12753</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58806</v>
      </c>
      <c r="E430" s="1126">
        <f t="shared" ca="1" si="132"/>
        <v>58833</v>
      </c>
      <c r="F430" s="1127">
        <f t="shared" ca="1" si="133"/>
        <v>12784</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58837</v>
      </c>
      <c r="E431" s="1126">
        <f t="shared" ca="1" si="132"/>
        <v>58865</v>
      </c>
      <c r="F431" s="1127">
        <f t="shared" ca="1" si="133"/>
        <v>12816</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58865</v>
      </c>
      <c r="E432" s="1126">
        <f t="shared" ca="1" si="132"/>
        <v>58893</v>
      </c>
      <c r="F432" s="1127">
        <f t="shared" ca="1" si="133"/>
        <v>12844</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58896</v>
      </c>
      <c r="E433" s="1126">
        <f t="shared" ca="1" si="132"/>
        <v>58923</v>
      </c>
      <c r="F433" s="1127">
        <f t="shared" ca="1" si="133"/>
        <v>12874</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58926</v>
      </c>
      <c r="E434" s="1126">
        <f t="shared" ca="1" si="132"/>
        <v>58953</v>
      </c>
      <c r="F434" s="1127">
        <f t="shared" ca="1" si="133"/>
        <v>12904</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58957</v>
      </c>
      <c r="E435" s="1126">
        <f t="shared" ca="1" si="132"/>
        <v>58984</v>
      </c>
      <c r="F435" s="1127">
        <f t="shared" ca="1" si="133"/>
        <v>12935</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58987</v>
      </c>
      <c r="E436" s="1126">
        <f t="shared" ca="1" si="132"/>
        <v>59014</v>
      </c>
      <c r="F436" s="1127">
        <f t="shared" ca="1" si="133"/>
        <v>12965</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59018</v>
      </c>
      <c r="E437" s="1126">
        <f t="shared" ca="1" si="132"/>
        <v>59047</v>
      </c>
      <c r="F437" s="1127">
        <f t="shared" ca="1" si="133"/>
        <v>12998</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59049</v>
      </c>
      <c r="E438" s="1126">
        <f t="shared" ca="1" si="132"/>
        <v>59076</v>
      </c>
      <c r="F438" s="1127">
        <f t="shared" ca="1" si="133"/>
        <v>13027</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59079</v>
      </c>
      <c r="E439" s="1126">
        <f t="shared" ca="1" si="132"/>
        <v>59106</v>
      </c>
      <c r="F439" s="1127">
        <f t="shared" ca="1" si="133"/>
        <v>13057</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59110</v>
      </c>
      <c r="E440" s="1126">
        <f t="shared" ca="1" si="132"/>
        <v>59138</v>
      </c>
      <c r="F440" s="1127">
        <f t="shared" ca="1" si="133"/>
        <v>13089</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59140</v>
      </c>
      <c r="E441" s="1126">
        <f t="shared" ca="1" si="132"/>
        <v>59167</v>
      </c>
      <c r="F441" s="1127">
        <f t="shared" ca="1" si="133"/>
        <v>13118</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f t="shared" ca="1" si="150"/>
        <v>59171</v>
      </c>
      <c r="E442" s="1126">
        <f t="shared" ca="1" si="132"/>
        <v>59198</v>
      </c>
      <c r="F442" s="1127">
        <f t="shared" ca="1" si="133"/>
        <v>13149</v>
      </c>
      <c r="G442" s="1128">
        <f ca="1">IF(F442&lt;&gt;"",COUNTIF($F$11:F442,"&gt;0"),"")</f>
        <v>432</v>
      </c>
      <c r="H442" s="1129"/>
      <c r="I442" s="1073"/>
      <c r="J442" s="1130">
        <f t="shared" ca="1" si="134"/>
        <v>0</v>
      </c>
      <c r="K442" s="1131">
        <f t="shared" ca="1" si="135"/>
        <v>0</v>
      </c>
      <c r="L442" s="1130">
        <f t="shared" ca="1" si="136"/>
        <v>0</v>
      </c>
      <c r="M442" s="1130">
        <f t="shared" ca="1" si="137"/>
        <v>0</v>
      </c>
      <c r="N442" s="1130">
        <f t="shared" ca="1" si="138"/>
        <v>0</v>
      </c>
      <c r="O442" s="1073"/>
      <c r="P442" s="1130">
        <f t="shared" ca="1" si="139"/>
        <v>0</v>
      </c>
      <c r="Q442" s="1130">
        <f t="shared" ca="1" si="140"/>
        <v>0</v>
      </c>
      <c r="R442" s="1130">
        <f t="shared" ca="1" si="141"/>
        <v>0</v>
      </c>
      <c r="S442" s="1130">
        <f t="shared" ca="1" si="142"/>
        <v>0</v>
      </c>
      <c r="T442" s="1130">
        <f t="shared" ca="1" si="143"/>
        <v>0</v>
      </c>
      <c r="U442" s="1132">
        <f t="shared" ca="1" si="144"/>
        <v>0</v>
      </c>
      <c r="V442" s="1133" t="str">
        <f t="shared" ca="1" si="145"/>
        <v>n.a.</v>
      </c>
      <c r="X442" s="1134">
        <f t="shared" ca="1" si="146"/>
        <v>0</v>
      </c>
      <c r="Y442" s="1134">
        <f t="shared" ca="1" si="147"/>
        <v>0</v>
      </c>
      <c r="Z442" s="1134">
        <f t="shared" ca="1" si="148"/>
        <v>0</v>
      </c>
      <c r="AA442" s="1132">
        <f t="shared" ca="1" si="149"/>
        <v>0</v>
      </c>
      <c r="AB442" s="1105"/>
    </row>
    <row r="443" spans="1:28">
      <c r="A443" s="1144">
        <f>Calendar!J435</f>
        <v>58161</v>
      </c>
      <c r="C443" s="1104"/>
      <c r="D443" s="1125">
        <f t="shared" ca="1" si="150"/>
        <v>59202</v>
      </c>
      <c r="E443" s="1126">
        <f t="shared" ca="1" si="132"/>
        <v>59229</v>
      </c>
      <c r="F443" s="1127">
        <f t="shared" ca="1" si="133"/>
        <v>13180</v>
      </c>
      <c r="G443" s="1128">
        <f ca="1">IF(F443&lt;&gt;"",COUNTIF($F$11:F443,"&gt;0"),"")</f>
        <v>433</v>
      </c>
      <c r="H443" s="1129"/>
      <c r="I443" s="1073"/>
      <c r="J443" s="1130">
        <f t="shared" ca="1" si="134"/>
        <v>0</v>
      </c>
      <c r="K443" s="1131">
        <f t="shared" ca="1" si="135"/>
        <v>0</v>
      </c>
      <c r="L443" s="1130">
        <f t="shared" ca="1" si="136"/>
        <v>0</v>
      </c>
      <c r="M443" s="1130">
        <f t="shared" ca="1" si="137"/>
        <v>0</v>
      </c>
      <c r="N443" s="1130">
        <f t="shared" ca="1" si="138"/>
        <v>0</v>
      </c>
      <c r="O443" s="1073"/>
      <c r="P443" s="1130">
        <f t="shared" ca="1" si="139"/>
        <v>0</v>
      </c>
      <c r="Q443" s="1130">
        <f t="shared" ca="1" si="140"/>
        <v>0</v>
      </c>
      <c r="R443" s="1130">
        <f t="shared" ca="1" si="141"/>
        <v>0</v>
      </c>
      <c r="S443" s="1130">
        <f t="shared" ca="1" si="142"/>
        <v>0</v>
      </c>
      <c r="T443" s="1130">
        <f t="shared" ca="1" si="143"/>
        <v>0</v>
      </c>
      <c r="U443" s="1132">
        <f t="shared" ca="1" si="144"/>
        <v>0</v>
      </c>
      <c r="V443" s="1133" t="str">
        <f t="shared" ca="1" si="145"/>
        <v>n.a.</v>
      </c>
      <c r="X443" s="1134">
        <f t="shared" ca="1" si="146"/>
        <v>0</v>
      </c>
      <c r="Y443" s="1134">
        <f t="shared" ca="1" si="147"/>
        <v>0</v>
      </c>
      <c r="Z443" s="1134">
        <f t="shared" ca="1" si="148"/>
        <v>0</v>
      </c>
      <c r="AA443" s="1132">
        <f t="shared" ca="1" si="149"/>
        <v>0</v>
      </c>
      <c r="AB443" s="1105"/>
    </row>
    <row r="444" spans="1:28">
      <c r="A444" s="1144">
        <f>Calendar!J436</f>
        <v>58193</v>
      </c>
      <c r="C444" s="1104"/>
      <c r="D444" s="1125">
        <f t="shared" ca="1" si="150"/>
        <v>59230</v>
      </c>
      <c r="E444" s="1126">
        <f t="shared" ca="1" si="132"/>
        <v>59257</v>
      </c>
      <c r="F444" s="1127">
        <f t="shared" ca="1" si="133"/>
        <v>13208</v>
      </c>
      <c r="G444" s="1128">
        <f ca="1">IF(F444&lt;&gt;"",COUNTIF($F$11:F444,"&gt;0"),"")</f>
        <v>434</v>
      </c>
      <c r="H444" s="1129"/>
      <c r="I444" s="1073"/>
      <c r="J444" s="1130">
        <f t="shared" ca="1" si="134"/>
        <v>0</v>
      </c>
      <c r="K444" s="1131">
        <f t="shared" ca="1" si="135"/>
        <v>0</v>
      </c>
      <c r="L444" s="1130">
        <f t="shared" ca="1" si="136"/>
        <v>0</v>
      </c>
      <c r="M444" s="1130">
        <f t="shared" ca="1" si="137"/>
        <v>0</v>
      </c>
      <c r="N444" s="1130">
        <f t="shared" ca="1" si="138"/>
        <v>0</v>
      </c>
      <c r="O444" s="1073"/>
      <c r="P444" s="1130">
        <f t="shared" ca="1" si="139"/>
        <v>0</v>
      </c>
      <c r="Q444" s="1130">
        <f t="shared" ca="1" si="140"/>
        <v>0</v>
      </c>
      <c r="R444" s="1130">
        <f t="shared" ca="1" si="141"/>
        <v>0</v>
      </c>
      <c r="S444" s="1130">
        <f t="shared" ca="1" si="142"/>
        <v>0</v>
      </c>
      <c r="T444" s="1130">
        <f t="shared" ca="1" si="143"/>
        <v>0</v>
      </c>
      <c r="U444" s="1132">
        <f t="shared" ca="1" si="144"/>
        <v>0</v>
      </c>
      <c r="V444" s="1133" t="str">
        <f t="shared" ca="1" si="145"/>
        <v>n.a.</v>
      </c>
      <c r="X444" s="1134">
        <f t="shared" ca="1" si="146"/>
        <v>0</v>
      </c>
      <c r="Y444" s="1134">
        <f t="shared" ca="1" si="147"/>
        <v>0</v>
      </c>
      <c r="Z444" s="1134">
        <f t="shared" ca="1" si="148"/>
        <v>0</v>
      </c>
      <c r="AA444" s="1132">
        <f t="shared" ca="1" si="149"/>
        <v>0</v>
      </c>
      <c r="AB444" s="1105"/>
    </row>
    <row r="445" spans="1:28">
      <c r="A445" s="1144">
        <f>Calendar!J437</f>
        <v>58222</v>
      </c>
      <c r="C445" s="1104"/>
      <c r="D445" s="1125">
        <f t="shared" ca="1" si="150"/>
        <v>59261</v>
      </c>
      <c r="E445" s="1126">
        <f t="shared" ca="1" si="132"/>
        <v>59288</v>
      </c>
      <c r="F445" s="1127">
        <f t="shared" ca="1" si="133"/>
        <v>13239</v>
      </c>
      <c r="G445" s="1128">
        <f ca="1">IF(F445&lt;&gt;"",COUNTIF($F$11:F445,"&gt;0"),"")</f>
        <v>435</v>
      </c>
      <c r="H445" s="1129"/>
      <c r="I445" s="1073"/>
      <c r="J445" s="1130">
        <f t="shared" ca="1" si="134"/>
        <v>0</v>
      </c>
      <c r="K445" s="1131">
        <f t="shared" ca="1" si="135"/>
        <v>0</v>
      </c>
      <c r="L445" s="1130">
        <f t="shared" ca="1" si="136"/>
        <v>0</v>
      </c>
      <c r="M445" s="1130">
        <f t="shared" ca="1" si="137"/>
        <v>0</v>
      </c>
      <c r="N445" s="1130">
        <f t="shared" ca="1" si="138"/>
        <v>0</v>
      </c>
      <c r="O445" s="1073"/>
      <c r="P445" s="1130">
        <f t="shared" ca="1" si="139"/>
        <v>0</v>
      </c>
      <c r="Q445" s="1130">
        <f t="shared" ca="1" si="140"/>
        <v>0</v>
      </c>
      <c r="R445" s="1130">
        <f t="shared" ca="1" si="141"/>
        <v>0</v>
      </c>
      <c r="S445" s="1130">
        <f t="shared" ca="1" si="142"/>
        <v>0</v>
      </c>
      <c r="T445" s="1130">
        <f t="shared" ca="1" si="143"/>
        <v>0</v>
      </c>
      <c r="U445" s="1132">
        <f t="shared" ca="1" si="144"/>
        <v>0</v>
      </c>
      <c r="V445" s="1133" t="str">
        <f t="shared" ca="1" si="145"/>
        <v>n.a.</v>
      </c>
      <c r="X445" s="1134">
        <f t="shared" ca="1" si="146"/>
        <v>0</v>
      </c>
      <c r="Y445" s="1134">
        <f t="shared" ca="1" si="147"/>
        <v>0</v>
      </c>
      <c r="Z445" s="1134">
        <f t="shared" ca="1" si="148"/>
        <v>0</v>
      </c>
      <c r="AA445" s="1132">
        <f t="shared" ca="1" si="149"/>
        <v>0</v>
      </c>
      <c r="AB445" s="1105"/>
    </row>
    <row r="446" spans="1:28">
      <c r="A446" s="1144">
        <f>Calendar!J438</f>
        <v>58253</v>
      </c>
      <c r="C446" s="1104"/>
      <c r="D446" s="1125">
        <f t="shared" ca="1" si="150"/>
        <v>59291</v>
      </c>
      <c r="E446" s="1126">
        <f t="shared" ca="1" si="132"/>
        <v>59320</v>
      </c>
      <c r="F446" s="1127">
        <f t="shared" ca="1" si="133"/>
        <v>13271</v>
      </c>
      <c r="G446" s="1128">
        <f ca="1">IF(F446&lt;&gt;"",COUNTIF($F$11:F446,"&gt;0"),"")</f>
        <v>436</v>
      </c>
      <c r="H446" s="1129"/>
      <c r="I446" s="1073"/>
      <c r="J446" s="1130">
        <f t="shared" ca="1" si="134"/>
        <v>0</v>
      </c>
      <c r="K446" s="1131">
        <f t="shared" ca="1" si="135"/>
        <v>0</v>
      </c>
      <c r="L446" s="1130">
        <f t="shared" ca="1" si="136"/>
        <v>0</v>
      </c>
      <c r="M446" s="1130">
        <f t="shared" ca="1" si="137"/>
        <v>0</v>
      </c>
      <c r="N446" s="1130">
        <f t="shared" ca="1" si="138"/>
        <v>0</v>
      </c>
      <c r="O446" s="1073"/>
      <c r="P446" s="1130">
        <f t="shared" ca="1" si="139"/>
        <v>0</v>
      </c>
      <c r="Q446" s="1130">
        <f t="shared" ca="1" si="140"/>
        <v>0</v>
      </c>
      <c r="R446" s="1130">
        <f t="shared" ca="1" si="141"/>
        <v>0</v>
      </c>
      <c r="S446" s="1130">
        <f t="shared" ca="1" si="142"/>
        <v>0</v>
      </c>
      <c r="T446" s="1130">
        <f t="shared" ca="1" si="143"/>
        <v>0</v>
      </c>
      <c r="U446" s="1132">
        <f t="shared" ca="1" si="144"/>
        <v>0</v>
      </c>
      <c r="V446" s="1133" t="str">
        <f t="shared" ca="1" si="145"/>
        <v>n.a.</v>
      </c>
      <c r="X446" s="1134">
        <f t="shared" ca="1" si="146"/>
        <v>0</v>
      </c>
      <c r="Y446" s="1134">
        <f t="shared" ca="1" si="147"/>
        <v>0</v>
      </c>
      <c r="Z446" s="1134">
        <f t="shared" ca="1" si="148"/>
        <v>0</v>
      </c>
      <c r="AA446" s="1132">
        <f t="shared" ca="1" si="149"/>
        <v>0</v>
      </c>
      <c r="AB446" s="1105"/>
    </row>
    <row r="447" spans="1:28">
      <c r="A447" s="1144">
        <f>Calendar!J439</f>
        <v>58284</v>
      </c>
      <c r="C447" s="1104"/>
      <c r="D447" s="1125" t="str">
        <f t="shared" ca="1" si="150"/>
        <v/>
      </c>
      <c r="E447" s="1126" t="str">
        <f t="shared" ca="1" si="132"/>
        <v/>
      </c>
      <c r="F447" s="1127" t="str">
        <f t="shared" ca="1" si="133"/>
        <v/>
      </c>
      <c r="G447" s="1128" t="str">
        <f ca="1">IF(F447&lt;&gt;"",COUNTIF($F$11:F447,"&gt;0"),"")</f>
        <v/>
      </c>
      <c r="H447" s="1129"/>
      <c r="I447" s="1073"/>
      <c r="J447" s="1130">
        <f t="shared" ca="1" si="134"/>
        <v>0</v>
      </c>
      <c r="K447" s="1131">
        <f t="shared" ca="1" si="135"/>
        <v>0</v>
      </c>
      <c r="L447" s="1130" t="str">
        <f t="shared" ca="1" si="136"/>
        <v/>
      </c>
      <c r="M447" s="1130" t="e">
        <f t="shared" ca="1" si="137"/>
        <v>#VALUE!</v>
      </c>
      <c r="N447" s="1130" t="str">
        <f t="shared" ca="1" si="138"/>
        <v/>
      </c>
      <c r="O447" s="1073"/>
      <c r="P447" s="1130" t="str">
        <f t="shared" ca="1" si="139"/>
        <v/>
      </c>
      <c r="Q447" s="1130" t="str">
        <f t="shared" ca="1" si="140"/>
        <v/>
      </c>
      <c r="R447" s="1130" t="str">
        <f t="shared" ca="1" si="141"/>
        <v/>
      </c>
      <c r="S447" s="1130" t="str">
        <f t="shared" ca="1" si="142"/>
        <v/>
      </c>
      <c r="T447" s="1130" t="str">
        <f t="shared" ca="1" si="143"/>
        <v/>
      </c>
      <c r="U447" s="1132" t="str">
        <f t="shared" ca="1" si="144"/>
        <v/>
      </c>
      <c r="V447" s="1133" t="str">
        <f t="shared" ca="1" si="145"/>
        <v/>
      </c>
      <c r="X447" s="1134" t="str">
        <f t="shared" ca="1" si="146"/>
        <v/>
      </c>
      <c r="Y447" s="1134" t="str">
        <f t="shared" ca="1" si="147"/>
        <v/>
      </c>
      <c r="Z447" s="1134" t="str">
        <f t="shared" ca="1" si="148"/>
        <v/>
      </c>
      <c r="AA447" s="1132" t="str">
        <f t="shared" ca="1" si="149"/>
        <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t="str">
        <f t="shared" ref="J448:J465" ca="1" si="153">IF(G448=1,$A$7,N447)</f>
        <v/>
      </c>
      <c r="K448" s="1131" t="e">
        <f t="shared" ref="K448:K465" ca="1" si="154">H448*J448</f>
        <v>#VALUE!</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7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heetViews>
  <sheetFormatPr defaultColWidth="9.140625" defaultRowHeight="15"/>
  <cols>
    <col min="1" max="1" width="59.85546875" style="1072" customWidth="1"/>
    <col min="2" max="2" width="2.7109375" style="1073" customWidth="1"/>
    <col min="3" max="3" width="1.28515625" style="1073" customWidth="1"/>
    <col min="4" max="4" width="16.42578125" style="1074" bestFit="1" customWidth="1"/>
    <col min="5" max="5" width="13.5703125" style="1074" bestFit="1" customWidth="1"/>
    <col min="6" max="6" width="15.28515625" style="1075" bestFit="1" customWidth="1"/>
    <col min="7" max="7" width="8.42578125" style="1076" bestFit="1" customWidth="1"/>
    <col min="8" max="8" width="22.140625" style="1077" bestFit="1" customWidth="1"/>
    <col min="9" max="9" width="2.7109375" style="1074" customWidth="1"/>
    <col min="10" max="10" width="17.5703125" style="1074" bestFit="1" customWidth="1"/>
    <col min="11" max="11" width="14.85546875" style="1078" bestFit="1" customWidth="1"/>
    <col min="12" max="12" width="14.85546875" style="1074" bestFit="1" customWidth="1"/>
    <col min="13" max="13" width="15.42578125" style="1074" bestFit="1" customWidth="1"/>
    <col min="14" max="14" width="16.42578125" style="1074" bestFit="1" customWidth="1"/>
    <col min="15" max="15" width="2.42578125" style="1074" customWidth="1"/>
    <col min="16" max="17" width="29.5703125" style="1074" customWidth="1"/>
    <col min="18" max="18" width="16.42578125" style="1074" bestFit="1" customWidth="1"/>
    <col min="19" max="19" width="20.42578125" style="1074" bestFit="1" customWidth="1"/>
    <col min="20" max="20" width="16.42578125" style="1074" bestFit="1" customWidth="1"/>
    <col min="21" max="21" width="8.5703125" style="1074" bestFit="1" customWidth="1"/>
    <col min="22" max="22" width="7.7109375" style="1079" bestFit="1" customWidth="1"/>
    <col min="23" max="23" width="4.28515625" style="1074" customWidth="1"/>
    <col min="24" max="24" width="15.42578125" style="1074" bestFit="1" customWidth="1"/>
    <col min="25" max="25" width="20.42578125" style="1074" bestFit="1" customWidth="1"/>
    <col min="26" max="26" width="15.42578125" style="1074" bestFit="1" customWidth="1"/>
    <col min="27" max="27" width="11.85546875" style="1074" bestFit="1" customWidth="1"/>
    <col min="28" max="28" width="4.28515625" style="1074" customWidth="1"/>
    <col min="29" max="16384" width="9.140625" style="1074"/>
  </cols>
  <sheetData>
    <row r="1" spans="1:28" ht="15" customHeight="1" thickBot="1"/>
    <row r="2" spans="1:28" s="1093" customFormat="1" ht="39.950000000000003"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75">
      <c r="A3" s="1094" t="s">
        <v>606</v>
      </c>
      <c r="B3" s="1081"/>
      <c r="C3" s="1095"/>
      <c r="F3" s="1096"/>
      <c r="G3" s="1097"/>
      <c r="H3" s="1098"/>
      <c r="K3" s="1099"/>
      <c r="V3" s="1100"/>
      <c r="Y3" s="1101"/>
      <c r="Z3" s="540"/>
      <c r="AA3" s="621"/>
      <c r="AB3" s="1102"/>
    </row>
    <row r="4" spans="1:28" s="1093" customFormat="1">
      <c r="A4" s="1103" t="s">
        <v>607</v>
      </c>
      <c r="B4" s="1081"/>
      <c r="C4" s="1095"/>
      <c r="D4" s="2148"/>
      <c r="E4" s="2148"/>
      <c r="F4" s="2148"/>
      <c r="G4" s="1097"/>
      <c r="H4" s="2149" t="s">
        <v>632</v>
      </c>
      <c r="I4" s="2149"/>
      <c r="J4" s="2149"/>
      <c r="K4" s="2149"/>
      <c r="L4" s="2149"/>
      <c r="M4" s="2149"/>
      <c r="N4" s="2149"/>
      <c r="O4" s="2149"/>
      <c r="P4" s="2149"/>
      <c r="Q4" s="2149"/>
      <c r="R4" s="2149"/>
      <c r="S4" s="2149"/>
      <c r="T4" s="2149"/>
      <c r="U4" s="2149"/>
      <c r="V4" s="2149"/>
      <c r="W4" s="2149"/>
      <c r="X4" s="2149"/>
      <c r="Y4" s="1101"/>
      <c r="Z4" s="540"/>
      <c r="AA4" s="621"/>
      <c r="AB4" s="1102"/>
    </row>
    <row r="5" spans="1:28" s="1093" customFormat="1">
      <c r="A5" s="1197">
        <f>'AMORT. PROFILE 0% CPR'!A5</f>
        <v>8182368484.4700003</v>
      </c>
      <c r="B5" s="1081"/>
      <c r="C5" s="1095"/>
      <c r="D5" s="2148"/>
      <c r="E5" s="2148"/>
      <c r="F5" s="2148"/>
      <c r="G5" s="1097"/>
      <c r="H5" s="2149"/>
      <c r="I5" s="2149"/>
      <c r="J5" s="2149"/>
      <c r="K5" s="2149"/>
      <c r="L5" s="2149"/>
      <c r="M5" s="2149"/>
      <c r="N5" s="2149"/>
      <c r="O5" s="2149"/>
      <c r="P5" s="2149"/>
      <c r="Q5" s="2149"/>
      <c r="R5" s="2149"/>
      <c r="S5" s="2149"/>
      <c r="T5" s="2149"/>
      <c r="U5" s="2149"/>
      <c r="V5" s="2149"/>
      <c r="W5" s="2149"/>
      <c r="X5" s="2149"/>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11314220550.59</v>
      </c>
      <c r="C7" s="1104"/>
      <c r="H7" s="1563" t="s">
        <v>1312</v>
      </c>
      <c r="AB7" s="1105"/>
    </row>
    <row r="8" spans="1:28" s="1106" customFormat="1">
      <c r="B8" s="1107"/>
      <c r="C8" s="1108"/>
      <c r="D8" s="1109"/>
      <c r="E8" s="1109"/>
      <c r="F8" s="1110"/>
      <c r="G8" s="1111"/>
      <c r="H8" s="1562" t="s">
        <v>610</v>
      </c>
      <c r="I8" s="1111"/>
      <c r="J8" s="2150" t="s">
        <v>611</v>
      </c>
      <c r="K8" s="2150"/>
      <c r="L8" s="2150"/>
      <c r="M8" s="2150"/>
      <c r="N8" s="2150"/>
      <c r="O8" s="1111"/>
      <c r="P8" s="2150" t="s">
        <v>118</v>
      </c>
      <c r="Q8" s="2150"/>
      <c r="R8" s="2150"/>
      <c r="S8" s="2150"/>
      <c r="T8" s="2150"/>
      <c r="U8" s="2150"/>
      <c r="V8" s="2150"/>
      <c r="X8" s="2150" t="s">
        <v>119</v>
      </c>
      <c r="Y8" s="2150"/>
      <c r="Z8" s="2150"/>
      <c r="AA8" s="2150"/>
      <c r="AB8" s="1112"/>
    </row>
    <row r="9" spans="1:28" ht="15.7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46022</v>
      </c>
      <c r="E11" s="1737">
        <f>'00 - Cover'!F21</f>
        <v>46080</v>
      </c>
      <c r="F11" s="1127">
        <f>IF(E11&lt;&gt;"",E11-$A$31,"")</f>
        <v>31</v>
      </c>
      <c r="G11" s="1128">
        <f>IF(F11&lt;&gt;"",COUNTIF($F$11:F11,"&gt;0"),"")</f>
        <v>1</v>
      </c>
      <c r="H11" s="1129">
        <v>5.7045189783785418E-3</v>
      </c>
      <c r="I11" s="1128"/>
      <c r="J11" s="1130">
        <f>IF(G11=1,$A$7,N10)</f>
        <v>11314220550.59</v>
      </c>
      <c r="K11" s="1131">
        <f>H11*J11</f>
        <v>64542185.856401168</v>
      </c>
      <c r="L11" s="1130">
        <f>IF(E11&lt;&gt;"",(1-(1-$A$25)^(1/12))*(J11-K11),"")</f>
        <v>77897077.44271715</v>
      </c>
      <c r="M11" s="1130">
        <f>IF(J11-K11-L11&lt;$A$27*$A$5,J11-K11-L11,0)</f>
        <v>0</v>
      </c>
      <c r="N11" s="1130">
        <f>IF(E11&lt;&gt;"",J11-K11-L11-M11,"")</f>
        <v>11171781287.290882</v>
      </c>
      <c r="O11" s="1073"/>
      <c r="P11" s="1130">
        <f>IF(G11&lt;&gt; "", R11+X11-N11, "")</f>
        <v>142439882.46911812</v>
      </c>
      <c r="Q11" s="1130">
        <f>IF(E11&lt;&gt;"", N11*(1-$A$15), "")</f>
        <v>10613192222.926338</v>
      </c>
      <c r="R11" s="1130">
        <f>$A$13</f>
        <v>10748510121.440001</v>
      </c>
      <c r="S11" s="1130">
        <f>IF(E11&lt;&gt;"", MIN(P11,MAX(R11-Q11,0)), "")</f>
        <v>135317898.51366234</v>
      </c>
      <c r="T11" s="1130">
        <f>IF(E11&lt;&gt;"", R11-S11, "")</f>
        <v>10613192222.926338</v>
      </c>
      <c r="U11" s="1132">
        <f>IF(E11&lt;&gt;"", R11/$A$11, "")</f>
        <v>0.91033522947354162</v>
      </c>
      <c r="V11" s="1133">
        <f>IF(E11&lt;&gt;"", IFERROR(1-T11/N11, "n.a."), "")</f>
        <v>4.9999999999999933E-2</v>
      </c>
      <c r="X11" s="1134">
        <f>$A$21</f>
        <v>565711048.32000005</v>
      </c>
      <c r="Y11" s="1134">
        <f>IF(E11&lt;&gt;"", P11-S11, "")</f>
        <v>7121983.95545578</v>
      </c>
      <c r="Z11" s="1134">
        <f>IF(E11&lt;&gt;"", X11-Y11, "")</f>
        <v>558589064.36454427</v>
      </c>
      <c r="AA11" s="1132">
        <f>IF(E11&lt;&gt;"", X11/$A$19, "")</f>
        <v>0.97402040000000012</v>
      </c>
      <c r="AB11" s="1105"/>
    </row>
    <row r="12" spans="1:28">
      <c r="A12" s="1103" t="s">
        <v>609</v>
      </c>
      <c r="B12" s="1135"/>
      <c r="C12" s="1124"/>
      <c r="D12" s="1125">
        <f t="shared" ref="D12:D75" ca="1" si="0">IF(E12&lt;&gt;"",EOMONTH(E12,-1),"")</f>
        <v>46081</v>
      </c>
      <c r="E12" s="1126">
        <f t="shared" ref="E12:E75" ca="1" si="1">IF(INDIRECT("A"&amp;(IFERROR(MATCH(E11,A:A),999)+1))&gt;0,INDIRECT("A"&amp;(IFERROR(MATCH(E11,A:A),999)+1)),"")</f>
        <v>46108</v>
      </c>
      <c r="F12" s="1127">
        <f t="shared" ref="F12:F75" ca="1" si="2">IF(E12&lt;&gt;"",E12-$A$31,"")</f>
        <v>59</v>
      </c>
      <c r="G12" s="1128">
        <f ca="1">IF(F12&lt;&gt;"",COUNTIF($F$11:F12,"&gt;0"),"")</f>
        <v>2</v>
      </c>
      <c r="H12" s="1129">
        <v>5.7662737037847715E-3</v>
      </c>
      <c r="I12" s="1128"/>
      <c r="J12" s="1130">
        <f t="shared" ref="J12:J75" ca="1" si="3">IF(G12=1,$A$7,N11)</f>
        <v>11171781287.290882</v>
      </c>
      <c r="K12" s="1131">
        <f t="shared" ref="K12:K75" ca="1" si="4">H12*J12</f>
        <v>64419548.661340199</v>
      </c>
      <c r="L12" s="1130">
        <f t="shared" ref="L12:L75" ca="1" si="5">IF(E12&lt;&gt;"",(1-(1-$A$25)^(1/12))*(J12-K12),"")</f>
        <v>76911622.669204026</v>
      </c>
      <c r="M12" s="1130">
        <f t="shared" ref="M12:M75" ca="1" si="6">IF(J12-K12-L12&lt;$A$27*$A$5,J12-K12-L12,0)</f>
        <v>0</v>
      </c>
      <c r="N12" s="1130">
        <f ca="1">IF(E12&lt;&gt;"",J12-K12-L12-M12,"")</f>
        <v>11030450115.960337</v>
      </c>
      <c r="O12" s="1073"/>
      <c r="P12" s="1130">
        <f t="shared" ref="P12:P75" ca="1" si="7">IF(G12&lt;&gt; "", R12+X12-N12, "")</f>
        <v>141331171.33054543</v>
      </c>
      <c r="Q12" s="1130">
        <f t="shared" ref="Q12:Q75" ca="1" si="8">IF(E12&lt;&gt;"", N12*(1-$A$15), "")</f>
        <v>10478927610.162319</v>
      </c>
      <c r="R12" s="1130">
        <f ca="1">IF(E12&lt;&gt;"", T11, "")</f>
        <v>10613192222.926338</v>
      </c>
      <c r="S12" s="1130">
        <f ca="1">IF(E12&lt;&gt;"", MIN(P12,MAX(R12-Q12,0)), "")</f>
        <v>134264612.76401901</v>
      </c>
      <c r="T12" s="1130">
        <f t="shared" ref="T12:T75" ca="1" si="9">IF(E12&lt;&gt;"", R12-S12, "")</f>
        <v>10478927610.162319</v>
      </c>
      <c r="U12" s="1132">
        <f t="shared" ref="U12:U75" ca="1" si="10">IF(E12&lt;&gt;"", R12/$A$11, "")</f>
        <v>0.89887460387952589</v>
      </c>
      <c r="V12" s="1133">
        <f t="shared" ref="V12:V75" ca="1" si="11">IF(E12&lt;&gt;"", IFERROR(1-T12/N12, "n.a."), "")</f>
        <v>5.0000000000000044E-2</v>
      </c>
      <c r="X12" s="1134">
        <f ca="1">IF(E12&lt;&gt;"", Z11, "")</f>
        <v>558589064.36454427</v>
      </c>
      <c r="Y12" s="1134">
        <f t="shared" ref="Y12:Y75" ca="1" si="12">IF(E12&lt;&gt;"", P12-S12, "")</f>
        <v>7066558.566526413</v>
      </c>
      <c r="Z12" s="1134">
        <f t="shared" ref="Z12:Z75" ca="1" si="13">IF(E12&lt;&gt;"", X12-Y12, "")</f>
        <v>551522505.79801786</v>
      </c>
      <c r="AA12" s="1132">
        <f t="shared" ref="AA12:AA75" ca="1" si="14">IF(E12&lt;&gt;"", X12/$A$19, "")</f>
        <v>0.96175803093068912</v>
      </c>
      <c r="AB12" s="1105"/>
    </row>
    <row r="13" spans="1:28">
      <c r="A13" s="1197">
        <f>'AMORT. PROFILE 0% CPR'!A13</f>
        <v>10748510121.440001</v>
      </c>
      <c r="B13" s="1136"/>
      <c r="C13" s="1137"/>
      <c r="D13" s="1125">
        <f t="shared" ca="1" si="0"/>
        <v>46112</v>
      </c>
      <c r="E13" s="1126">
        <f t="shared" ca="1" si="1"/>
        <v>46139</v>
      </c>
      <c r="F13" s="1127">
        <f t="shared" ca="1" si="2"/>
        <v>90</v>
      </c>
      <c r="G13" s="1128">
        <f ca="1">IF(F13&lt;&gt;"",COUNTIF($F$11:F13,"&gt;0"),"")</f>
        <v>3</v>
      </c>
      <c r="H13" s="1129">
        <v>5.7983312736019704E-3</v>
      </c>
      <c r="I13" s="1128"/>
      <c r="J13" s="1130">
        <f t="shared" ca="1" si="3"/>
        <v>11030450115.960337</v>
      </c>
      <c r="K13" s="1131">
        <f t="shared" ca="1" si="4"/>
        <v>63958203.869279303</v>
      </c>
      <c r="L13" s="1130">
        <f t="shared" ca="1" si="5"/>
        <v>75936186.089469388</v>
      </c>
      <c r="M13" s="1130">
        <f t="shared" ca="1" si="6"/>
        <v>0</v>
      </c>
      <c r="N13" s="1130">
        <f t="shared" ref="N13:N76" ca="1" si="15">IF(E13&lt;&gt;"",J13-K13-L13-M13,"")</f>
        <v>10890555726.001587</v>
      </c>
      <c r="O13" s="1073"/>
      <c r="P13" s="1130">
        <f t="shared" ca="1" si="7"/>
        <v>139894389.95874977</v>
      </c>
      <c r="Q13" s="1130">
        <f t="shared" ca="1" si="8"/>
        <v>10346027939.701508</v>
      </c>
      <c r="R13" s="1130">
        <f t="shared" ref="R13:R76" ca="1" si="16">IF(E13&lt;&gt;"", T12, "")</f>
        <v>10478927610.162319</v>
      </c>
      <c r="S13" s="1130">
        <f t="shared" ref="S13:S76" ca="1" si="17">IF(E13&lt;&gt;"", MIN(P13,MAX(R13-Q13,0)), "")</f>
        <v>132899670.46081161</v>
      </c>
      <c r="T13" s="1130">
        <f t="shared" ca="1" si="9"/>
        <v>10346027939.701508</v>
      </c>
      <c r="U13" s="1132">
        <f t="shared" ca="1" si="10"/>
        <v>0.88750318535828299</v>
      </c>
      <c r="V13" s="1133">
        <f t="shared" ca="1" si="11"/>
        <v>5.0000000000000044E-2</v>
      </c>
      <c r="X13" s="1134">
        <f t="shared" ref="X13:X76" ca="1" si="18">IF(E13&lt;&gt;"", Z12, "")</f>
        <v>551522505.79801786</v>
      </c>
      <c r="Y13" s="1134">
        <f t="shared" ca="1" si="12"/>
        <v>6994719.4979381561</v>
      </c>
      <c r="Z13" s="1134">
        <f t="shared" ca="1" si="13"/>
        <v>544527786.3000797</v>
      </c>
      <c r="AA13" s="1132">
        <f t="shared" ca="1" si="14"/>
        <v>0.94959109125003072</v>
      </c>
      <c r="AB13" s="1105"/>
    </row>
    <row r="14" spans="1:28">
      <c r="A14" s="1103" t="s">
        <v>625</v>
      </c>
      <c r="B14" s="1138"/>
      <c r="C14" s="1139"/>
      <c r="D14" s="1125">
        <f t="shared" ca="1" si="0"/>
        <v>46142</v>
      </c>
      <c r="E14" s="1126">
        <f t="shared" ca="1" si="1"/>
        <v>46169</v>
      </c>
      <c r="F14" s="1127">
        <f t="shared" ca="1" si="2"/>
        <v>120</v>
      </c>
      <c r="G14" s="1128">
        <f ca="1">IF(F14&lt;&gt;"",COUNTIF($F$11:F14,"&gt;0"),"")</f>
        <v>4</v>
      </c>
      <c r="H14" s="1129">
        <v>5.8450978549635232E-3</v>
      </c>
      <c r="I14" s="1128"/>
      <c r="J14" s="1130">
        <f t="shared" ca="1" si="3"/>
        <v>10890555726.001587</v>
      </c>
      <c r="K14" s="1131">
        <f t="shared" ca="1" si="4"/>
        <v>63656363.913412593</v>
      </c>
      <c r="L14" s="1130">
        <f t="shared" ca="1" si="5"/>
        <v>74969593.861189425</v>
      </c>
      <c r="M14" s="1130">
        <f t="shared" ca="1" si="6"/>
        <v>0</v>
      </c>
      <c r="N14" s="1130">
        <f t="shared" ca="1" si="15"/>
        <v>10751929768.226986</v>
      </c>
      <c r="O14" s="1073"/>
      <c r="P14" s="1130">
        <f t="shared" ca="1" si="7"/>
        <v>138625957.77460098</v>
      </c>
      <c r="Q14" s="1130">
        <f t="shared" ca="1" si="8"/>
        <v>10214333279.815636</v>
      </c>
      <c r="R14" s="1130">
        <f t="shared" ca="1" si="16"/>
        <v>10346027939.701508</v>
      </c>
      <c r="S14" s="1130">
        <f t="shared" ca="1" si="17"/>
        <v>131694659.88587189</v>
      </c>
      <c r="T14" s="1130">
        <f t="shared" ca="1" si="9"/>
        <v>10214333279.815636</v>
      </c>
      <c r="U14" s="1132">
        <f t="shared" ca="1" si="10"/>
        <v>0.87624736937644043</v>
      </c>
      <c r="V14" s="1133">
        <f t="shared" ca="1" si="11"/>
        <v>5.0000000000000044E-2</v>
      </c>
      <c r="X14" s="1134">
        <f t="shared" ca="1" si="18"/>
        <v>544527786.3000797</v>
      </c>
      <c r="Y14" s="1134">
        <f t="shared" ca="1" si="12"/>
        <v>6931297.8887290955</v>
      </c>
      <c r="Z14" s="1134">
        <f t="shared" ca="1" si="13"/>
        <v>537596488.41135061</v>
      </c>
      <c r="AA14" s="1132">
        <f t="shared" ca="1" si="14"/>
        <v>0.93754784142575709</v>
      </c>
      <c r="AB14" s="1105"/>
    </row>
    <row r="15" spans="1:28">
      <c r="A15" s="1198">
        <f>'11bis - Notes Calculation'!N17</f>
        <v>0.05</v>
      </c>
      <c r="B15" s="1136"/>
      <c r="C15" s="1140"/>
      <c r="D15" s="1125">
        <f t="shared" ca="1" si="0"/>
        <v>46173</v>
      </c>
      <c r="E15" s="1126">
        <f t="shared" ca="1" si="1"/>
        <v>46202</v>
      </c>
      <c r="F15" s="1127">
        <f t="shared" ca="1" si="2"/>
        <v>153</v>
      </c>
      <c r="G15" s="1128">
        <f ca="1">IF(F15&lt;&gt;"",COUNTIF($F$11:F15,"&gt;0"),"")</f>
        <v>5</v>
      </c>
      <c r="H15" s="1129">
        <v>5.8812501649786412E-3</v>
      </c>
      <c r="I15" s="1128"/>
      <c r="J15" s="1130">
        <f t="shared" ca="1" si="3"/>
        <v>10751929768.226986</v>
      </c>
      <c r="K15" s="1131">
        <f t="shared" ca="1" si="4"/>
        <v>63234788.723223723</v>
      </c>
      <c r="L15" s="1130">
        <f t="shared" ca="1" si="5"/>
        <v>74012613.835267067</v>
      </c>
      <c r="M15" s="1130">
        <f t="shared" ca="1" si="6"/>
        <v>0</v>
      </c>
      <c r="N15" s="1130">
        <f t="shared" ca="1" si="15"/>
        <v>10614682365.668495</v>
      </c>
      <c r="O15" s="1073"/>
      <c r="P15" s="1130">
        <f t="shared" ca="1" si="7"/>
        <v>137247402.55849075</v>
      </c>
      <c r="Q15" s="1130">
        <f t="shared" ca="1" si="8"/>
        <v>10083948247.385071</v>
      </c>
      <c r="R15" s="1130">
        <f t="shared" ca="1" si="16"/>
        <v>10214333279.815636</v>
      </c>
      <c r="S15" s="1130">
        <f t="shared" ca="1" si="17"/>
        <v>130385032.43056488</v>
      </c>
      <c r="T15" s="1130">
        <f t="shared" ca="1" si="9"/>
        <v>10083948247.385071</v>
      </c>
      <c r="U15" s="1132">
        <f t="shared" ca="1" si="10"/>
        <v>0.8650936106626157</v>
      </c>
      <c r="V15" s="1133">
        <f t="shared" ca="1" si="11"/>
        <v>4.9999999999999933E-2</v>
      </c>
      <c r="X15" s="1134">
        <f t="shared" ca="1" si="18"/>
        <v>537596488.41135061</v>
      </c>
      <c r="Y15" s="1134">
        <f t="shared" ca="1" si="12"/>
        <v>6862370.1279258728</v>
      </c>
      <c r="Z15" s="1134">
        <f t="shared" ca="1" si="13"/>
        <v>530734118.28342474</v>
      </c>
      <c r="AA15" s="1132">
        <f t="shared" ca="1" si="14"/>
        <v>0.92561378858703613</v>
      </c>
      <c r="AB15" s="1105"/>
    </row>
    <row r="16" spans="1:28">
      <c r="C16" s="1139"/>
      <c r="D16" s="1125">
        <f t="shared" ca="1" si="0"/>
        <v>46203</v>
      </c>
      <c r="E16" s="1126">
        <f t="shared" ca="1" si="1"/>
        <v>46230</v>
      </c>
      <c r="F16" s="1127">
        <f t="shared" ca="1" si="2"/>
        <v>181</v>
      </c>
      <c r="G16" s="1128">
        <f ca="1">IF(F16&lt;&gt;"",COUNTIF($F$11:F16,"&gt;0"),"")</f>
        <v>6</v>
      </c>
      <c r="H16" s="1129">
        <v>5.9276766132720128E-3</v>
      </c>
      <c r="I16" s="1128"/>
      <c r="J16" s="1130">
        <f t="shared" ca="1" si="3"/>
        <v>10614682365.668495</v>
      </c>
      <c r="K16" s="1131">
        <f t="shared" ca="1" si="4"/>
        <v>62920404.41628398</v>
      </c>
      <c r="L16" s="1130">
        <f t="shared" ca="1" si="5"/>
        <v>73064437.222445413</v>
      </c>
      <c r="M16" s="1130">
        <f t="shared" ca="1" si="6"/>
        <v>0</v>
      </c>
      <c r="N16" s="1130">
        <f t="shared" ca="1" si="15"/>
        <v>10478697524.029766</v>
      </c>
      <c r="O16" s="1073"/>
      <c r="P16" s="1130">
        <f t="shared" ca="1" si="7"/>
        <v>135984841.6387291</v>
      </c>
      <c r="Q16" s="1130">
        <f t="shared" ca="1" si="8"/>
        <v>9954762647.8282776</v>
      </c>
      <c r="R16" s="1130">
        <f t="shared" ca="1" si="16"/>
        <v>10083948247.385071</v>
      </c>
      <c r="S16" s="1130">
        <f t="shared" ca="1" si="17"/>
        <v>129185599.55679321</v>
      </c>
      <c r="T16" s="1130">
        <f t="shared" ca="1" si="9"/>
        <v>9954762647.8282776</v>
      </c>
      <c r="U16" s="1132">
        <f t="shared" ca="1" si="10"/>
        <v>0.85405076964776327</v>
      </c>
      <c r="V16" s="1133">
        <f t="shared" ca="1" si="11"/>
        <v>5.0000000000000044E-2</v>
      </c>
      <c r="X16" s="1134">
        <f t="shared" ca="1" si="18"/>
        <v>530734118.28342474</v>
      </c>
      <c r="Y16" s="1134">
        <f t="shared" ca="1" si="12"/>
        <v>6799242.0819358826</v>
      </c>
      <c r="Z16" s="1134">
        <f t="shared" ca="1" si="13"/>
        <v>523934876.20148885</v>
      </c>
      <c r="AA16" s="1132">
        <f t="shared" ca="1" si="14"/>
        <v>0.91379841302242548</v>
      </c>
      <c r="AB16" s="1105"/>
    </row>
    <row r="17" spans="1:28" ht="15.75">
      <c r="A17" s="1094" t="s">
        <v>626</v>
      </c>
      <c r="C17" s="1104"/>
      <c r="D17" s="1125">
        <f t="shared" ca="1" si="0"/>
        <v>46234</v>
      </c>
      <c r="E17" s="1126">
        <f t="shared" ca="1" si="1"/>
        <v>46261</v>
      </c>
      <c r="F17" s="1127">
        <f t="shared" ca="1" si="2"/>
        <v>212</v>
      </c>
      <c r="G17" s="1128">
        <f ca="1">IF(F17&lt;&gt;"",COUNTIF($F$11:F17,"&gt;0"),"")</f>
        <v>7</v>
      </c>
      <c r="H17" s="1129">
        <v>5.9647273934845015E-3</v>
      </c>
      <c r="I17" s="1128"/>
      <c r="J17" s="1130">
        <f t="shared" ca="1" si="3"/>
        <v>10478697524.029766</v>
      </c>
      <c r="K17" s="1131">
        <f t="shared" ca="1" si="4"/>
        <v>62502574.169618569</v>
      </c>
      <c r="L17" s="1130">
        <f t="shared" ca="1" si="5"/>
        <v>72125719.363791749</v>
      </c>
      <c r="M17" s="1130">
        <f t="shared" ca="1" si="6"/>
        <v>0</v>
      </c>
      <c r="N17" s="1130">
        <f t="shared" ca="1" si="15"/>
        <v>10344069230.496355</v>
      </c>
      <c r="O17" s="1073"/>
      <c r="P17" s="1130">
        <f t="shared" ca="1" si="7"/>
        <v>134628293.53341103</v>
      </c>
      <c r="Q17" s="1130">
        <f t="shared" ca="1" si="8"/>
        <v>9826865768.9715366</v>
      </c>
      <c r="R17" s="1130">
        <f t="shared" ca="1" si="16"/>
        <v>9954762647.8282776</v>
      </c>
      <c r="S17" s="1130">
        <f t="shared" ca="1" si="17"/>
        <v>127896878.85674095</v>
      </c>
      <c r="T17" s="1130">
        <f t="shared" ca="1" si="9"/>
        <v>9826865768.9715366</v>
      </c>
      <c r="U17" s="1132">
        <f t="shared" ca="1" si="10"/>
        <v>0.84310951350263208</v>
      </c>
      <c r="V17" s="1133">
        <f t="shared" ca="1" si="11"/>
        <v>5.0000000000000044E-2</v>
      </c>
      <c r="X17" s="1134">
        <f t="shared" ca="1" si="18"/>
        <v>523934876.20148885</v>
      </c>
      <c r="Y17" s="1134">
        <f t="shared" ca="1" si="12"/>
        <v>6731414.6766700745</v>
      </c>
      <c r="Z17" s="1134">
        <f t="shared" ca="1" si="13"/>
        <v>517203461.52481878</v>
      </c>
      <c r="AA17" s="1132">
        <f t="shared" ca="1" si="14"/>
        <v>0.90209172899705381</v>
      </c>
      <c r="AB17" s="1105"/>
    </row>
    <row r="18" spans="1:28">
      <c r="A18" s="1103" t="s">
        <v>607</v>
      </c>
      <c r="C18" s="1104"/>
      <c r="D18" s="1125">
        <f t="shared" ca="1" si="0"/>
        <v>46265</v>
      </c>
      <c r="E18" s="1126">
        <f t="shared" ca="1" si="1"/>
        <v>46293</v>
      </c>
      <c r="F18" s="1127">
        <f t="shared" ca="1" si="2"/>
        <v>244</v>
      </c>
      <c r="G18" s="1128">
        <f ca="1">IF(F18&lt;&gt;"",COUNTIF($F$11:F18,"&gt;0"),"")</f>
        <v>8</v>
      </c>
      <c r="H18" s="1129">
        <v>6.0052876992465311E-3</v>
      </c>
      <c r="I18" s="1128"/>
      <c r="J18" s="1130">
        <f t="shared" ca="1" si="3"/>
        <v>10344069230.496355</v>
      </c>
      <c r="K18" s="1131">
        <f t="shared" ca="1" si="4"/>
        <v>62119111.710054293</v>
      </c>
      <c r="L18" s="1130">
        <f t="shared" ca="1" si="5"/>
        <v>71196156.787565008</v>
      </c>
      <c r="M18" s="1130">
        <f t="shared" ca="1" si="6"/>
        <v>0</v>
      </c>
      <c r="N18" s="1130">
        <f t="shared" ca="1" si="15"/>
        <v>10210753961.998735</v>
      </c>
      <c r="O18" s="1073"/>
      <c r="P18" s="1130">
        <f t="shared" ca="1" si="7"/>
        <v>133315268.49761963</v>
      </c>
      <c r="Q18" s="1130">
        <f t="shared" ca="1" si="8"/>
        <v>9700216263.898798</v>
      </c>
      <c r="R18" s="1130">
        <f t="shared" ca="1" si="16"/>
        <v>9826865768.9715366</v>
      </c>
      <c r="S18" s="1130">
        <f t="shared" ca="1" si="17"/>
        <v>126649505.07273865</v>
      </c>
      <c r="T18" s="1130">
        <f t="shared" ca="1" si="9"/>
        <v>9700216263.898798</v>
      </c>
      <c r="U18" s="1132">
        <f t="shared" ca="1" si="10"/>
        <v>0.83227740437796738</v>
      </c>
      <c r="V18" s="1133">
        <f t="shared" ca="1" si="11"/>
        <v>5.0000000000000044E-2</v>
      </c>
      <c r="X18" s="1134">
        <f t="shared" ca="1" si="18"/>
        <v>517203461.52481878</v>
      </c>
      <c r="Y18" s="1134">
        <f t="shared" ca="1" si="12"/>
        <v>6665763.4248809814</v>
      </c>
      <c r="Z18" s="1134">
        <f t="shared" ca="1" si="13"/>
        <v>510537698.0999378</v>
      </c>
      <c r="AA18" s="1132">
        <f t="shared" ca="1" si="14"/>
        <v>0.89050182769424724</v>
      </c>
      <c r="AB18" s="1105"/>
    </row>
    <row r="19" spans="1:28">
      <c r="A19" s="1197">
        <f>'AMORT. PROFILE 0% CPR'!A19</f>
        <v>580800000</v>
      </c>
      <c r="C19" s="1104"/>
      <c r="D19" s="1125">
        <f t="shared" ca="1" si="0"/>
        <v>46295</v>
      </c>
      <c r="E19" s="1126">
        <f t="shared" ca="1" si="1"/>
        <v>46322</v>
      </c>
      <c r="F19" s="1127">
        <f t="shared" ca="1" si="2"/>
        <v>273</v>
      </c>
      <c r="G19" s="1128">
        <f ca="1">IF(F19&lt;&gt;"",COUNTIF($F$11:F19,"&gt;0"),"")</f>
        <v>9</v>
      </c>
      <c r="H19" s="1129">
        <v>6.0525303175296792E-3</v>
      </c>
      <c r="I19" s="1128"/>
      <c r="J19" s="1130">
        <f t="shared" ca="1" si="3"/>
        <v>10210753961.998735</v>
      </c>
      <c r="K19" s="1131">
        <f t="shared" ca="1" si="4"/>
        <v>61800897.919833638</v>
      </c>
      <c r="L19" s="1130">
        <f t="shared" ca="1" si="5"/>
        <v>70275234.29233411</v>
      </c>
      <c r="M19" s="1130">
        <f t="shared" ca="1" si="6"/>
        <v>0</v>
      </c>
      <c r="N19" s="1130">
        <f t="shared" ca="1" si="15"/>
        <v>10078677829.786568</v>
      </c>
      <c r="O19" s="1073"/>
      <c r="P19" s="1130">
        <f t="shared" ca="1" si="7"/>
        <v>132076132.21216774</v>
      </c>
      <c r="Q19" s="1130">
        <f t="shared" ca="1" si="8"/>
        <v>9574743938.2972393</v>
      </c>
      <c r="R19" s="1130">
        <f t="shared" ca="1" si="16"/>
        <v>9700216263.898798</v>
      </c>
      <c r="S19" s="1130">
        <f t="shared" ca="1" si="17"/>
        <v>125472325.60155869</v>
      </c>
      <c r="T19" s="1130">
        <f t="shared" ca="1" si="9"/>
        <v>9574743938.2972393</v>
      </c>
      <c r="U19" s="1132">
        <f t="shared" ca="1" si="10"/>
        <v>0.82155094043454824</v>
      </c>
      <c r="V19" s="1133">
        <f t="shared" ca="1" si="11"/>
        <v>5.0000000000000044E-2</v>
      </c>
      <c r="X19" s="1134">
        <f t="shared" ca="1" si="18"/>
        <v>510537698.0999378</v>
      </c>
      <c r="Y19" s="1134">
        <f t="shared" ca="1" si="12"/>
        <v>6603806.6106090546</v>
      </c>
      <c r="Z19" s="1134">
        <f t="shared" ca="1" si="13"/>
        <v>503933891.48932874</v>
      </c>
      <c r="AA19" s="1132">
        <f t="shared" ca="1" si="14"/>
        <v>0.87902496229328131</v>
      </c>
      <c r="AB19" s="1105"/>
    </row>
    <row r="20" spans="1:28">
      <c r="A20" s="1103" t="s">
        <v>609</v>
      </c>
      <c r="C20" s="1104"/>
      <c r="D20" s="1125">
        <f t="shared" ca="1" si="0"/>
        <v>46326</v>
      </c>
      <c r="E20" s="1126">
        <f t="shared" ca="1" si="1"/>
        <v>46353</v>
      </c>
      <c r="F20" s="1127">
        <f t="shared" ca="1" si="2"/>
        <v>304</v>
      </c>
      <c r="G20" s="1128">
        <f ca="1">IF(F20&lt;&gt;"",COUNTIF($F$11:F20,"&gt;0"),"")</f>
        <v>10</v>
      </c>
      <c r="H20" s="1129">
        <v>6.088585956135875E-3</v>
      </c>
      <c r="I20" s="1128"/>
      <c r="J20" s="1130">
        <f t="shared" ca="1" si="3"/>
        <v>10078677829.786568</v>
      </c>
      <c r="K20" s="1131">
        <f t="shared" ca="1" si="4"/>
        <v>61364896.290856495</v>
      </c>
      <c r="L20" s="1130">
        <f t="shared" ca="1" si="5"/>
        <v>69363707.658936799</v>
      </c>
      <c r="M20" s="1130">
        <f t="shared" ca="1" si="6"/>
        <v>0</v>
      </c>
      <c r="N20" s="1130">
        <f t="shared" ca="1" si="15"/>
        <v>9947949225.8367729</v>
      </c>
      <c r="O20" s="1073"/>
      <c r="P20" s="1130">
        <f t="shared" ca="1" si="7"/>
        <v>130728603.94979477</v>
      </c>
      <c r="Q20" s="1130">
        <f t="shared" ca="1" si="8"/>
        <v>9450551764.5449333</v>
      </c>
      <c r="R20" s="1130">
        <f t="shared" ca="1" si="16"/>
        <v>9574743938.2972393</v>
      </c>
      <c r="S20" s="1130">
        <f t="shared" ca="1" si="17"/>
        <v>124192173.75230598</v>
      </c>
      <c r="T20" s="1130">
        <f t="shared" ca="1" si="9"/>
        <v>9450551764.5449333</v>
      </c>
      <c r="U20" s="1132">
        <f t="shared" ca="1" si="10"/>
        <v>0.8109241766292804</v>
      </c>
      <c r="V20" s="1133">
        <f t="shared" ca="1" si="11"/>
        <v>5.0000000000000044E-2</v>
      </c>
      <c r="X20" s="1134">
        <f t="shared" ca="1" si="18"/>
        <v>503933891.48932874</v>
      </c>
      <c r="Y20" s="1134">
        <f t="shared" ca="1" si="12"/>
        <v>6536430.1974887848</v>
      </c>
      <c r="Z20" s="1134">
        <f t="shared" ca="1" si="13"/>
        <v>497397461.29183996</v>
      </c>
      <c r="AA20" s="1132">
        <f t="shared" ca="1" si="14"/>
        <v>0.86765477184801776</v>
      </c>
      <c r="AB20" s="1105"/>
    </row>
    <row r="21" spans="1:28">
      <c r="A21" s="1197">
        <f>'AMORT. PROFILE 0% CPR'!A21</f>
        <v>565711048.32000005</v>
      </c>
      <c r="C21" s="1104"/>
      <c r="D21" s="1125">
        <f t="shared" ca="1" si="0"/>
        <v>46356</v>
      </c>
      <c r="E21" s="1126">
        <f t="shared" ca="1" si="1"/>
        <v>46384</v>
      </c>
      <c r="F21" s="1127">
        <f t="shared" ca="1" si="2"/>
        <v>335</v>
      </c>
      <c r="G21" s="1128">
        <f ca="1">IF(F21&lt;&gt;"",COUNTIF($F$11:F21,"&gt;0"),"")</f>
        <v>11</v>
      </c>
      <c r="H21" s="1141">
        <v>6.133374550511099E-3</v>
      </c>
      <c r="I21" s="1128"/>
      <c r="J21" s="1130">
        <f t="shared" ca="1" si="3"/>
        <v>9947949225.8367729</v>
      </c>
      <c r="K21" s="1131">
        <f t="shared" ca="1" si="4"/>
        <v>61014498.611523852</v>
      </c>
      <c r="L21" s="1130">
        <f t="shared" ca="1" si="5"/>
        <v>68460919.072328761</v>
      </c>
      <c r="M21" s="1130">
        <f t="shared" ca="1" si="6"/>
        <v>0</v>
      </c>
      <c r="N21" s="1130">
        <f t="shared" ca="1" si="15"/>
        <v>9818473808.1529198</v>
      </c>
      <c r="O21" s="1073"/>
      <c r="P21" s="1130">
        <f t="shared" ca="1" si="7"/>
        <v>129475417.68385315</v>
      </c>
      <c r="Q21" s="1130">
        <f t="shared" ca="1" si="8"/>
        <v>9327550117.7452736</v>
      </c>
      <c r="R21" s="1130">
        <f t="shared" ca="1" si="16"/>
        <v>9450551764.5449333</v>
      </c>
      <c r="S21" s="1130">
        <f t="shared" ca="1" si="17"/>
        <v>123001646.79965973</v>
      </c>
      <c r="T21" s="1130">
        <f t="shared" ca="1" si="9"/>
        <v>9327550117.7452736</v>
      </c>
      <c r="U21" s="1132">
        <f t="shared" ca="1" si="10"/>
        <v>0.80040583411350141</v>
      </c>
      <c r="V21" s="1133">
        <f t="shared" ca="1" si="11"/>
        <v>5.0000000000000044E-2</v>
      </c>
      <c r="X21" s="1134">
        <f t="shared" ca="1" si="18"/>
        <v>497397461.29183996</v>
      </c>
      <c r="Y21" s="1134">
        <f t="shared" ca="1" si="12"/>
        <v>6473770.8841934204</v>
      </c>
      <c r="Z21" s="1134">
        <f t="shared" ca="1" si="13"/>
        <v>490923690.40764654</v>
      </c>
      <c r="AA21" s="1132">
        <f t="shared" ca="1" si="14"/>
        <v>0.85640058762369142</v>
      </c>
      <c r="AB21" s="1105"/>
    </row>
    <row r="22" spans="1:28">
      <c r="A22" s="1142"/>
      <c r="C22" s="1104"/>
      <c r="D22" s="1125">
        <f t="shared" ca="1" si="0"/>
        <v>46387</v>
      </c>
      <c r="E22" s="1126">
        <f t="shared" ca="1" si="1"/>
        <v>46414</v>
      </c>
      <c r="F22" s="1127">
        <f t="shared" ca="1" si="2"/>
        <v>365</v>
      </c>
      <c r="G22" s="1128">
        <f ca="1">IF(F22&lt;&gt;"",COUNTIF($F$11:F22,"&gt;0"),"")</f>
        <v>12</v>
      </c>
      <c r="H22" s="1129">
        <v>6.1692309126794949E-3</v>
      </c>
      <c r="I22" s="1128"/>
      <c r="J22" s="1130">
        <f t="shared" ca="1" si="3"/>
        <v>9818473808.1529198</v>
      </c>
      <c r="K22" s="1131">
        <f t="shared" ca="1" si="4"/>
        <v>60572432.13259095</v>
      </c>
      <c r="L22" s="1130">
        <f t="shared" ca="1" si="5"/>
        <v>67567442.776774168</v>
      </c>
      <c r="M22" s="1130">
        <f t="shared" ca="1" si="6"/>
        <v>0</v>
      </c>
      <c r="N22" s="1130">
        <f t="shared" ca="1" si="15"/>
        <v>9690333933.2435551</v>
      </c>
      <c r="O22" s="1073"/>
      <c r="P22" s="1130">
        <f t="shared" ca="1" si="7"/>
        <v>128139874.9093647</v>
      </c>
      <c r="Q22" s="1130">
        <f t="shared" ca="1" si="8"/>
        <v>9205817236.581377</v>
      </c>
      <c r="R22" s="1130">
        <f t="shared" ca="1" si="16"/>
        <v>9327550117.7452736</v>
      </c>
      <c r="S22" s="1130">
        <f t="shared" ca="1" si="17"/>
        <v>121732881.16389656</v>
      </c>
      <c r="T22" s="1130">
        <f t="shared" ca="1" si="9"/>
        <v>9205817236.581377</v>
      </c>
      <c r="U22" s="1132">
        <f t="shared" ca="1" si="10"/>
        <v>0.78998832218860304</v>
      </c>
      <c r="V22" s="1133">
        <f t="shared" ca="1" si="11"/>
        <v>5.0000000000000044E-2</v>
      </c>
      <c r="X22" s="1134">
        <f t="shared" ca="1" si="18"/>
        <v>490923690.40764654</v>
      </c>
      <c r="Y22" s="1134">
        <f t="shared" ca="1" si="12"/>
        <v>6406993.7454681396</v>
      </c>
      <c r="Z22" s="1134">
        <f t="shared" ca="1" si="13"/>
        <v>484516696.6621784</v>
      </c>
      <c r="AA22" s="1132">
        <f t="shared" ca="1" si="14"/>
        <v>0.84525428789195345</v>
      </c>
      <c r="AB22" s="1105"/>
    </row>
    <row r="23" spans="1:28" ht="15.75">
      <c r="A23" s="1094" t="s">
        <v>627</v>
      </c>
      <c r="C23" s="1104"/>
      <c r="D23" s="1125">
        <f t="shared" ca="1" si="0"/>
        <v>46418</v>
      </c>
      <c r="E23" s="1126">
        <f t="shared" ca="1" si="1"/>
        <v>46444</v>
      </c>
      <c r="F23" s="1127">
        <f t="shared" ca="1" si="2"/>
        <v>395</v>
      </c>
      <c r="G23" s="1128">
        <f ca="1">IF(F23&lt;&gt;"",COUNTIF($F$11:F23,"&gt;0"),"")</f>
        <v>13</v>
      </c>
      <c r="H23" s="1129">
        <v>6.211379484955426E-3</v>
      </c>
      <c r="I23" s="1128"/>
      <c r="J23" s="1130">
        <f t="shared" ca="1" si="3"/>
        <v>9690333933.2435551</v>
      </c>
      <c r="K23" s="1131">
        <f t="shared" ca="1" si="4"/>
        <v>60190341.395316444</v>
      </c>
      <c r="L23" s="1130">
        <f t="shared" ca="1" si="5"/>
        <v>66682798.995422915</v>
      </c>
      <c r="M23" s="1130">
        <f t="shared" ca="1" si="6"/>
        <v>0</v>
      </c>
      <c r="N23" s="1130">
        <f t="shared" ca="1" si="15"/>
        <v>9563460792.8528156</v>
      </c>
      <c r="O23" s="1073"/>
      <c r="P23" s="1130">
        <f t="shared" ca="1" si="7"/>
        <v>126873140.39073944</v>
      </c>
      <c r="Q23" s="1130">
        <f t="shared" ca="1" si="8"/>
        <v>9085287753.2101746</v>
      </c>
      <c r="R23" s="1130">
        <f t="shared" ca="1" si="16"/>
        <v>9205817236.581377</v>
      </c>
      <c r="S23" s="1130">
        <f t="shared" ca="1" si="17"/>
        <v>120529483.37120247</v>
      </c>
      <c r="T23" s="1130">
        <f t="shared" ca="1" si="9"/>
        <v>9085287753.2101746</v>
      </c>
      <c r="U23" s="1132">
        <f t="shared" ca="1" si="10"/>
        <v>0.77967826720826083</v>
      </c>
      <c r="V23" s="1133">
        <f t="shared" ca="1" si="11"/>
        <v>5.0000000000000044E-2</v>
      </c>
      <c r="X23" s="1134">
        <f t="shared" ca="1" si="18"/>
        <v>484516696.6621784</v>
      </c>
      <c r="Y23" s="1134">
        <f t="shared" ca="1" si="12"/>
        <v>6343657.019536972</v>
      </c>
      <c r="Z23" s="1134">
        <f t="shared" ca="1" si="13"/>
        <v>478173039.64264143</v>
      </c>
      <c r="AA23" s="1132">
        <f t="shared" ca="1" si="14"/>
        <v>0.83422296257262119</v>
      </c>
      <c r="AB23" s="1105"/>
    </row>
    <row r="24" spans="1:28">
      <c r="A24" s="1103" t="s">
        <v>259</v>
      </c>
      <c r="C24" s="1104"/>
      <c r="D24" s="1125">
        <f t="shared" ca="1" si="0"/>
        <v>46446</v>
      </c>
      <c r="E24" s="1126">
        <f t="shared" ca="1" si="1"/>
        <v>46476</v>
      </c>
      <c r="F24" s="1127">
        <f t="shared" ca="1" si="2"/>
        <v>427</v>
      </c>
      <c r="G24" s="1128">
        <f ca="1">IF(F24&lt;&gt;"",COUNTIF($F$11:F24,"&gt;0"),"")</f>
        <v>14</v>
      </c>
      <c r="H24" s="1129">
        <v>6.2630015066440572E-3</v>
      </c>
      <c r="I24" s="1128"/>
      <c r="J24" s="1130">
        <f t="shared" ca="1" si="3"/>
        <v>9563460792.8528156</v>
      </c>
      <c r="K24" s="1131">
        <f t="shared" ca="1" si="4"/>
        <v>59895969.354368553</v>
      </c>
      <c r="L24" s="1130">
        <f t="shared" ca="1" si="5"/>
        <v>65806319.170750082</v>
      </c>
      <c r="M24" s="1130">
        <f t="shared" ca="1" si="6"/>
        <v>0</v>
      </c>
      <c r="N24" s="1130">
        <f t="shared" ca="1" si="15"/>
        <v>9437758504.3276978</v>
      </c>
      <c r="O24" s="1073"/>
      <c r="P24" s="1130">
        <f t="shared" ca="1" si="7"/>
        <v>125702288.52511787</v>
      </c>
      <c r="Q24" s="1130">
        <f t="shared" ca="1" si="8"/>
        <v>8965870579.1113129</v>
      </c>
      <c r="R24" s="1130">
        <f t="shared" ca="1" si="16"/>
        <v>9085287753.2101746</v>
      </c>
      <c r="S24" s="1130">
        <f t="shared" ca="1" si="17"/>
        <v>119417174.09886169</v>
      </c>
      <c r="T24" s="1130">
        <f t="shared" ca="1" si="9"/>
        <v>8965870579.1113129</v>
      </c>
      <c r="U24" s="1132">
        <f t="shared" ca="1" si="10"/>
        <v>0.76947013290281985</v>
      </c>
      <c r="V24" s="1133">
        <f t="shared" ca="1" si="11"/>
        <v>5.0000000000000044E-2</v>
      </c>
      <c r="X24" s="1134">
        <f t="shared" ca="1" si="18"/>
        <v>478173039.64264143</v>
      </c>
      <c r="Y24" s="1134">
        <f t="shared" ca="1" si="12"/>
        <v>6285114.4262561798</v>
      </c>
      <c r="Z24" s="1134">
        <f t="shared" ca="1" si="13"/>
        <v>471887925.21638525</v>
      </c>
      <c r="AA24" s="1132">
        <f t="shared" ca="1" si="14"/>
        <v>0.82330068808994739</v>
      </c>
      <c r="AB24" s="1105"/>
    </row>
    <row r="25" spans="1:28">
      <c r="A25" s="1198">
        <v>0.08</v>
      </c>
      <c r="C25" s="1104"/>
      <c r="D25" s="1125">
        <f t="shared" ca="1" si="0"/>
        <v>46477</v>
      </c>
      <c r="E25" s="1126">
        <f t="shared" ca="1" si="1"/>
        <v>46504</v>
      </c>
      <c r="F25" s="1127">
        <f t="shared" ca="1" si="2"/>
        <v>455</v>
      </c>
      <c r="G25" s="1128">
        <f ca="1">IF(F25&lt;&gt;"",COUNTIF($F$11:F25,"&gt;0"),"")</f>
        <v>15</v>
      </c>
      <c r="H25" s="1129">
        <v>6.292677908475707E-3</v>
      </c>
      <c r="I25" s="1128"/>
      <c r="J25" s="1130">
        <f t="shared" ca="1" si="3"/>
        <v>9437758504.3276978</v>
      </c>
      <c r="K25" s="1131">
        <f t="shared" ca="1" si="4"/>
        <v>59388774.445711635</v>
      </c>
      <c r="L25" s="1130">
        <f t="shared" ca="1" si="5"/>
        <v>64939420.439363942</v>
      </c>
      <c r="M25" s="1130">
        <f t="shared" ca="1" si="6"/>
        <v>0</v>
      </c>
      <c r="N25" s="1130">
        <f t="shared" ca="1" si="15"/>
        <v>9313430309.4426231</v>
      </c>
      <c r="O25" s="1073"/>
      <c r="P25" s="1130">
        <f t="shared" ca="1" si="7"/>
        <v>124328194.88507462</v>
      </c>
      <c r="Q25" s="1130">
        <f t="shared" ca="1" si="8"/>
        <v>8847758793.9704914</v>
      </c>
      <c r="R25" s="1130">
        <f t="shared" ca="1" si="16"/>
        <v>8965870579.1113129</v>
      </c>
      <c r="S25" s="1130">
        <f t="shared" ca="1" si="17"/>
        <v>118111785.14082146</v>
      </c>
      <c r="T25" s="1130">
        <f t="shared" ca="1" si="9"/>
        <v>8847758793.9704914</v>
      </c>
      <c r="U25" s="1132">
        <f t="shared" ca="1" si="10"/>
        <v>0.75935620461339803</v>
      </c>
      <c r="V25" s="1133">
        <f t="shared" ca="1" si="11"/>
        <v>5.0000000000000044E-2</v>
      </c>
      <c r="X25" s="1134">
        <f t="shared" ca="1" si="18"/>
        <v>471887925.21638525</v>
      </c>
      <c r="Y25" s="1134">
        <f t="shared" ca="1" si="12"/>
        <v>6216409.7442531586</v>
      </c>
      <c r="Z25" s="1134">
        <f t="shared" ca="1" si="13"/>
        <v>465671515.47213209</v>
      </c>
      <c r="AA25" s="1132">
        <f t="shared" ca="1" si="14"/>
        <v>0.81247921008330792</v>
      </c>
      <c r="AB25" s="1105"/>
    </row>
    <row r="26" spans="1:28">
      <c r="A26" s="1103" t="s">
        <v>628</v>
      </c>
      <c r="C26" s="1104"/>
      <c r="D26" s="1125">
        <f t="shared" ca="1" si="0"/>
        <v>46507</v>
      </c>
      <c r="E26" s="1126">
        <f t="shared" ca="1" si="1"/>
        <v>46534</v>
      </c>
      <c r="F26" s="1127">
        <f t="shared" ca="1" si="2"/>
        <v>485</v>
      </c>
      <c r="G26" s="1128">
        <f ca="1">IF(F26&lt;&gt;"",COUNTIF($F$11:F26,"&gt;0"),"")</f>
        <v>16</v>
      </c>
      <c r="H26" s="1129">
        <v>6.3358665088783829E-3</v>
      </c>
      <c r="I26" s="1128"/>
      <c r="J26" s="1130">
        <f t="shared" ca="1" si="3"/>
        <v>9313430309.4426231</v>
      </c>
      <c r="K26" s="1131">
        <f t="shared" ca="1" si="4"/>
        <v>59008651.180370353</v>
      </c>
      <c r="L26" s="1130">
        <f t="shared" ca="1" si="5"/>
        <v>64081156.565429047</v>
      </c>
      <c r="M26" s="1130">
        <f t="shared" ca="1" si="6"/>
        <v>0</v>
      </c>
      <c r="N26" s="1130">
        <f t="shared" ca="1" si="15"/>
        <v>9190340501.6968231</v>
      </c>
      <c r="O26" s="1073"/>
      <c r="P26" s="1130">
        <f t="shared" ca="1" si="7"/>
        <v>123089807.74580002</v>
      </c>
      <c r="Q26" s="1130">
        <f t="shared" ca="1" si="8"/>
        <v>8730823476.6119823</v>
      </c>
      <c r="R26" s="1130">
        <f t="shared" ca="1" si="16"/>
        <v>8847758793.9704914</v>
      </c>
      <c r="S26" s="1130">
        <f t="shared" ca="1" si="17"/>
        <v>116935317.35850906</v>
      </c>
      <c r="T26" s="1130">
        <f t="shared" ca="1" si="9"/>
        <v>8730823476.6119823</v>
      </c>
      <c r="U26" s="1132">
        <f t="shared" ca="1" si="10"/>
        <v>0.74935283504730088</v>
      </c>
      <c r="V26" s="1133">
        <f t="shared" ca="1" si="11"/>
        <v>4.9999999999999933E-2</v>
      </c>
      <c r="X26" s="1134">
        <f t="shared" ca="1" si="18"/>
        <v>465671515.47213209</v>
      </c>
      <c r="Y26" s="1134">
        <f t="shared" ca="1" si="12"/>
        <v>6154490.3872909546</v>
      </c>
      <c r="Z26" s="1134">
        <f t="shared" ca="1" si="13"/>
        <v>459517025.08484113</v>
      </c>
      <c r="AA26" s="1132">
        <f t="shared" ca="1" si="14"/>
        <v>0.80177602526193537</v>
      </c>
      <c r="AB26" s="1105"/>
    </row>
    <row r="27" spans="1:28">
      <c r="A27" s="1198">
        <v>0.1</v>
      </c>
      <c r="C27" s="1104"/>
      <c r="D27" s="1125">
        <f t="shared" ca="1" si="0"/>
        <v>46538</v>
      </c>
      <c r="E27" s="1126">
        <f t="shared" ca="1" si="1"/>
        <v>46566</v>
      </c>
      <c r="F27" s="1127">
        <f t="shared" ca="1" si="2"/>
        <v>517</v>
      </c>
      <c r="G27" s="1128">
        <f ca="1">IF(F27&lt;&gt;"",COUNTIF($F$11:F27,"&gt;0"),"")</f>
        <v>17</v>
      </c>
      <c r="H27" s="1129">
        <v>6.3739095470263527E-3</v>
      </c>
      <c r="I27" s="1128"/>
      <c r="J27" s="1130">
        <f t="shared" ca="1" si="3"/>
        <v>9190340501.6968231</v>
      </c>
      <c r="K27" s="1131">
        <f t="shared" ca="1" si="4"/>
        <v>58578399.064188339</v>
      </c>
      <c r="L27" s="1130">
        <f t="shared" ca="1" si="5"/>
        <v>63231814.869232394</v>
      </c>
      <c r="M27" s="1130">
        <f t="shared" ca="1" si="6"/>
        <v>0</v>
      </c>
      <c r="N27" s="1130">
        <f t="shared" ca="1" si="15"/>
        <v>9068530287.7634029</v>
      </c>
      <c r="O27" s="1073"/>
      <c r="P27" s="1130">
        <f t="shared" ca="1" si="7"/>
        <v>121810213.93342018</v>
      </c>
      <c r="Q27" s="1130">
        <f t="shared" ca="1" si="8"/>
        <v>8615103773.3752327</v>
      </c>
      <c r="R27" s="1130">
        <f t="shared" ca="1" si="16"/>
        <v>8730823476.6119823</v>
      </c>
      <c r="S27" s="1130">
        <f t="shared" ca="1" si="17"/>
        <v>115719703.23674965</v>
      </c>
      <c r="T27" s="1130">
        <f t="shared" ca="1" si="9"/>
        <v>8615103773.3752327</v>
      </c>
      <c r="U27" s="1132">
        <f t="shared" ca="1" si="10"/>
        <v>0.73944910534351771</v>
      </c>
      <c r="V27" s="1133">
        <f t="shared" ca="1" si="11"/>
        <v>5.0000000000000044E-2</v>
      </c>
      <c r="X27" s="1134">
        <f t="shared" ca="1" si="18"/>
        <v>459517025.08484113</v>
      </c>
      <c r="Y27" s="1134">
        <f t="shared" ca="1" si="12"/>
        <v>6090510.6966705322</v>
      </c>
      <c r="Z27" s="1134">
        <f t="shared" ca="1" si="13"/>
        <v>453426514.3881706</v>
      </c>
      <c r="AA27" s="1132">
        <f t="shared" ca="1" si="14"/>
        <v>0.79117945090365205</v>
      </c>
      <c r="AB27" s="1105"/>
    </row>
    <row r="28" spans="1:28">
      <c r="C28" s="1104"/>
      <c r="D28" s="1125">
        <f t="shared" ca="1" si="0"/>
        <v>46568</v>
      </c>
      <c r="E28" s="1126">
        <f t="shared" ca="1" si="1"/>
        <v>46595</v>
      </c>
      <c r="F28" s="1127">
        <f t="shared" ca="1" si="2"/>
        <v>546</v>
      </c>
      <c r="G28" s="1128">
        <f ca="1">IF(F28&lt;&gt;"",COUNTIF($F$11:F28,"&gt;0"),"")</f>
        <v>18</v>
      </c>
      <c r="H28" s="1129">
        <v>6.4206566612116898E-3</v>
      </c>
      <c r="I28" s="1128"/>
      <c r="J28" s="1130">
        <f t="shared" ca="1" si="3"/>
        <v>9068530287.7634029</v>
      </c>
      <c r="K28" s="1131">
        <f t="shared" ca="1" si="4"/>
        <v>58225919.399528056</v>
      </c>
      <c r="L28" s="1130">
        <f t="shared" ca="1" si="5"/>
        <v>62390795.043989182</v>
      </c>
      <c r="M28" s="1130">
        <f t="shared" ca="1" si="6"/>
        <v>0</v>
      </c>
      <c r="N28" s="1130">
        <f t="shared" ca="1" si="15"/>
        <v>8947913573.3198853</v>
      </c>
      <c r="O28" s="1073"/>
      <c r="P28" s="1130">
        <f t="shared" ca="1" si="7"/>
        <v>120616714.44351768</v>
      </c>
      <c r="Q28" s="1130">
        <f t="shared" ca="1" si="8"/>
        <v>8500517894.6538906</v>
      </c>
      <c r="R28" s="1130">
        <f t="shared" ca="1" si="16"/>
        <v>8615103773.3752327</v>
      </c>
      <c r="S28" s="1130">
        <f t="shared" ca="1" si="17"/>
        <v>114585878.72134209</v>
      </c>
      <c r="T28" s="1130">
        <f t="shared" ca="1" si="9"/>
        <v>8500517894.6538906</v>
      </c>
      <c r="U28" s="1132">
        <f t="shared" ca="1" si="10"/>
        <v>0.72964833096544757</v>
      </c>
      <c r="V28" s="1133">
        <f t="shared" ca="1" si="11"/>
        <v>5.0000000000000044E-2</v>
      </c>
      <c r="X28" s="1134">
        <f t="shared" ca="1" si="18"/>
        <v>453426514.3881706</v>
      </c>
      <c r="Y28" s="1134">
        <f t="shared" ca="1" si="12"/>
        <v>6030835.7221755981</v>
      </c>
      <c r="Z28" s="1134">
        <f t="shared" ca="1" si="13"/>
        <v>447395678.665995</v>
      </c>
      <c r="AA28" s="1132">
        <f t="shared" ca="1" si="14"/>
        <v>0.78069303441489424</v>
      </c>
      <c r="AB28" s="1105"/>
    </row>
    <row r="29" spans="1:28" ht="15.75">
      <c r="A29" s="1094" t="s">
        <v>629</v>
      </c>
      <c r="C29" s="1104"/>
      <c r="D29" s="1125">
        <f t="shared" ca="1" si="0"/>
        <v>46599</v>
      </c>
      <c r="E29" s="1126">
        <f t="shared" ca="1" si="1"/>
        <v>46626</v>
      </c>
      <c r="F29" s="1127">
        <f t="shared" ca="1" si="2"/>
        <v>577</v>
      </c>
      <c r="G29" s="1128">
        <f ca="1">IF(F29&lt;&gt;"",COUNTIF($F$11:F29,"&gt;0"),"")</f>
        <v>19</v>
      </c>
      <c r="H29" s="1129">
        <v>6.457233226186688E-3</v>
      </c>
      <c r="I29" s="1128"/>
      <c r="J29" s="1130">
        <f t="shared" ca="1" si="3"/>
        <v>8947913573.3198853</v>
      </c>
      <c r="K29" s="1131">
        <f t="shared" ca="1" si="4"/>
        <v>57778764.830688022</v>
      </c>
      <c r="L29" s="1130">
        <f t="shared" ca="1" si="5"/>
        <v>61558695.031142578</v>
      </c>
      <c r="M29" s="1130">
        <f t="shared" ca="1" si="6"/>
        <v>0</v>
      </c>
      <c r="N29" s="1130">
        <f t="shared" ca="1" si="15"/>
        <v>8828576113.4580536</v>
      </c>
      <c r="O29" s="1073"/>
      <c r="P29" s="1130">
        <f t="shared" ca="1" si="7"/>
        <v>119337459.86183167</v>
      </c>
      <c r="Q29" s="1130">
        <f t="shared" ca="1" si="8"/>
        <v>8387147307.7851505</v>
      </c>
      <c r="R29" s="1130">
        <f t="shared" ca="1" si="16"/>
        <v>8500517894.6538906</v>
      </c>
      <c r="S29" s="1130">
        <f t="shared" ca="1" si="17"/>
        <v>113370586.86874008</v>
      </c>
      <c r="T29" s="1130">
        <f t="shared" ca="1" si="9"/>
        <v>8387147307.7851505</v>
      </c>
      <c r="U29" s="1132">
        <f t="shared" ca="1" si="10"/>
        <v>0.71994358481722087</v>
      </c>
      <c r="V29" s="1133">
        <f t="shared" ca="1" si="11"/>
        <v>5.0000000000000044E-2</v>
      </c>
      <c r="X29" s="1134">
        <f t="shared" ca="1" si="18"/>
        <v>447395678.665995</v>
      </c>
      <c r="Y29" s="1134">
        <f t="shared" ca="1" si="12"/>
        <v>5966872.9930915833</v>
      </c>
      <c r="Z29" s="1134">
        <f t="shared" ca="1" si="13"/>
        <v>441428805.67290342</v>
      </c>
      <c r="AA29" s="1132">
        <f t="shared" ca="1" si="14"/>
        <v>0.77030936409434403</v>
      </c>
      <c r="AB29" s="1105"/>
    </row>
    <row r="30" spans="1:28">
      <c r="A30" s="1103" t="s">
        <v>630</v>
      </c>
      <c r="C30" s="1104"/>
      <c r="D30" s="1125">
        <f t="shared" ca="1" si="0"/>
        <v>46630</v>
      </c>
      <c r="E30" s="1126">
        <f t="shared" ca="1" si="1"/>
        <v>46657</v>
      </c>
      <c r="F30" s="1127">
        <f t="shared" ca="1" si="2"/>
        <v>608</v>
      </c>
      <c r="G30" s="1128">
        <f ca="1">IF(F30&lt;&gt;"",COUNTIF($F$11:F30,"&gt;0"),"")</f>
        <v>20</v>
      </c>
      <c r="H30" s="1129">
        <v>6.4969380648127462E-3</v>
      </c>
      <c r="I30" s="1128"/>
      <c r="J30" s="1130">
        <f t="shared" ca="1" si="3"/>
        <v>8828576113.4580536</v>
      </c>
      <c r="K30" s="1131">
        <f t="shared" ca="1" si="4"/>
        <v>57358712.209622204</v>
      </c>
      <c r="L30" s="1130">
        <f t="shared" ca="1" si="5"/>
        <v>60735265.402242221</v>
      </c>
      <c r="M30" s="1130">
        <f t="shared" ca="1" si="6"/>
        <v>0</v>
      </c>
      <c r="N30" s="1130">
        <f t="shared" ca="1" si="15"/>
        <v>8710482135.8461895</v>
      </c>
      <c r="O30" s="1073"/>
      <c r="P30" s="1130">
        <f t="shared" ca="1" si="7"/>
        <v>118093977.61186409</v>
      </c>
      <c r="Q30" s="1130">
        <f t="shared" ca="1" si="8"/>
        <v>8274958029.0538797</v>
      </c>
      <c r="R30" s="1130">
        <f t="shared" ca="1" si="16"/>
        <v>8387147307.7851505</v>
      </c>
      <c r="S30" s="1130">
        <f t="shared" ca="1" si="17"/>
        <v>112189278.73127079</v>
      </c>
      <c r="T30" s="1130">
        <f t="shared" ca="1" si="9"/>
        <v>8274958029.0538797</v>
      </c>
      <c r="U30" s="1132">
        <f t="shared" ca="1" si="10"/>
        <v>0.71034176670041593</v>
      </c>
      <c r="V30" s="1133">
        <f t="shared" ca="1" si="11"/>
        <v>5.0000000000000044E-2</v>
      </c>
      <c r="X30" s="1134">
        <f t="shared" ca="1" si="18"/>
        <v>441428805.67290342</v>
      </c>
      <c r="Y30" s="1134">
        <f t="shared" ca="1" si="12"/>
        <v>5904698.8805932999</v>
      </c>
      <c r="Z30" s="1134">
        <f t="shared" ca="1" si="13"/>
        <v>435524106.79231012</v>
      </c>
      <c r="AA30" s="1132">
        <f t="shared" ca="1" si="14"/>
        <v>0.76003582243957202</v>
      </c>
      <c r="AB30" s="1105"/>
    </row>
    <row r="31" spans="1:28">
      <c r="A31" s="1199">
        <f>'AMORT. PROFILE 0% CPR'!A31</f>
        <v>46049</v>
      </c>
      <c r="C31" s="1104"/>
      <c r="D31" s="1125">
        <f t="shared" ca="1" si="0"/>
        <v>46660</v>
      </c>
      <c r="E31" s="1126">
        <f t="shared" ca="1" si="1"/>
        <v>46687</v>
      </c>
      <c r="F31" s="1127">
        <f t="shared" ca="1" si="2"/>
        <v>638</v>
      </c>
      <c r="G31" s="1128">
        <f ca="1">IF(F31&lt;&gt;"",COUNTIF($F$11:F31,"&gt;0"),"")</f>
        <v>21</v>
      </c>
      <c r="H31" s="1129">
        <v>6.5436261874657333E-3</v>
      </c>
      <c r="I31" s="1128"/>
      <c r="J31" s="1130">
        <f t="shared" ca="1" si="3"/>
        <v>8710482135.8461895</v>
      </c>
      <c r="K31" s="1131">
        <f t="shared" ca="1" si="4"/>
        <v>56998139.009575576</v>
      </c>
      <c r="L31" s="1130">
        <f t="shared" ca="1" si="5"/>
        <v>59920034.261962481</v>
      </c>
      <c r="M31" s="1130">
        <f t="shared" ca="1" si="6"/>
        <v>0</v>
      </c>
      <c r="N31" s="1130">
        <f t="shared" ca="1" si="15"/>
        <v>8593563962.5746517</v>
      </c>
      <c r="O31" s="1073"/>
      <c r="P31" s="1130">
        <f t="shared" ca="1" si="7"/>
        <v>116918173.27153778</v>
      </c>
      <c r="Q31" s="1130">
        <f t="shared" ca="1" si="8"/>
        <v>8163885764.445919</v>
      </c>
      <c r="R31" s="1130">
        <f t="shared" ca="1" si="16"/>
        <v>8274958029.0538797</v>
      </c>
      <c r="S31" s="1130">
        <f t="shared" ca="1" si="17"/>
        <v>111072264.6079607</v>
      </c>
      <c r="T31" s="1130">
        <f t="shared" ca="1" si="9"/>
        <v>8163885764.445919</v>
      </c>
      <c r="U31" s="1132">
        <f t="shared" ca="1" si="10"/>
        <v>0.7008399983953757</v>
      </c>
      <c r="V31" s="1133">
        <f t="shared" ca="1" si="11"/>
        <v>5.0000000000000044E-2</v>
      </c>
      <c r="X31" s="1134">
        <f t="shared" ca="1" si="18"/>
        <v>435524106.79231012</v>
      </c>
      <c r="Y31" s="1134">
        <f t="shared" ca="1" si="12"/>
        <v>5845908.6635770798</v>
      </c>
      <c r="Z31" s="1134">
        <f t="shared" ca="1" si="13"/>
        <v>429678198.12873304</v>
      </c>
      <c r="AA31" s="1132">
        <f t="shared" ca="1" si="14"/>
        <v>0.74986932987656696</v>
      </c>
      <c r="AB31" s="1105"/>
    </row>
    <row r="32" spans="1:28">
      <c r="A32" s="1103" t="s">
        <v>631</v>
      </c>
      <c r="C32" s="1104"/>
      <c r="D32" s="1125">
        <f t="shared" ca="1" si="0"/>
        <v>46691</v>
      </c>
      <c r="E32" s="1126">
        <f t="shared" ca="1" si="1"/>
        <v>46720</v>
      </c>
      <c r="F32" s="1127">
        <f t="shared" ca="1" si="2"/>
        <v>671</v>
      </c>
      <c r="G32" s="1128">
        <f ca="1">IF(F32&lt;&gt;"",COUNTIF($F$11:F32,"&gt;0"),"")</f>
        <v>22</v>
      </c>
      <c r="H32" s="1129">
        <v>6.5780392457232386E-3</v>
      </c>
      <c r="I32" s="1128"/>
      <c r="J32" s="1130">
        <f t="shared" ca="1" si="3"/>
        <v>8593563962.5746517</v>
      </c>
      <c r="K32" s="1131">
        <f t="shared" ca="1" si="4"/>
        <v>56528801.006448969</v>
      </c>
      <c r="L32" s="1130">
        <f t="shared" ca="1" si="5"/>
        <v>59113697.969944187</v>
      </c>
      <c r="M32" s="1130">
        <f t="shared" ca="1" si="6"/>
        <v>0</v>
      </c>
      <c r="N32" s="1130">
        <f t="shared" ca="1" si="15"/>
        <v>8477921463.598259</v>
      </c>
      <c r="O32" s="1073"/>
      <c r="P32" s="1130">
        <f t="shared" ca="1" si="7"/>
        <v>115642498.97639275</v>
      </c>
      <c r="Q32" s="1130">
        <f t="shared" ca="1" si="8"/>
        <v>8054025390.4183455</v>
      </c>
      <c r="R32" s="1130">
        <f t="shared" ca="1" si="16"/>
        <v>8163885764.445919</v>
      </c>
      <c r="S32" s="1130">
        <f t="shared" ca="1" si="17"/>
        <v>109860374.02757359</v>
      </c>
      <c r="T32" s="1130">
        <f t="shared" ca="1" si="9"/>
        <v>8054025390.4183455</v>
      </c>
      <c r="U32" s="1132">
        <f t="shared" ca="1" si="10"/>
        <v>0.6914328345794023</v>
      </c>
      <c r="V32" s="1133">
        <f t="shared" ca="1" si="11"/>
        <v>5.0000000000000044E-2</v>
      </c>
      <c r="X32" s="1134">
        <f t="shared" ca="1" si="18"/>
        <v>429678198.12873304</v>
      </c>
      <c r="Y32" s="1134">
        <f t="shared" ca="1" si="12"/>
        <v>5782124.9488191605</v>
      </c>
      <c r="Z32" s="1134">
        <f t="shared" ca="1" si="13"/>
        <v>423896073.17991388</v>
      </c>
      <c r="AA32" s="1132">
        <f t="shared" ca="1" si="14"/>
        <v>0.73980406013900313</v>
      </c>
      <c r="AB32" s="1105"/>
    </row>
    <row r="33" spans="1:28">
      <c r="A33" s="1143">
        <f>A31</f>
        <v>46049</v>
      </c>
      <c r="C33" s="1104"/>
      <c r="D33" s="1125">
        <f t="shared" ca="1" si="0"/>
        <v>46721</v>
      </c>
      <c r="E33" s="1126">
        <f t="shared" ca="1" si="1"/>
        <v>46748</v>
      </c>
      <c r="F33" s="1127">
        <f t="shared" ca="1" si="2"/>
        <v>699</v>
      </c>
      <c r="G33" s="1128">
        <f ca="1">IF(F33&lt;&gt;"",COUNTIF($F$11:F33,"&gt;0"),"")</f>
        <v>23</v>
      </c>
      <c r="H33" s="1129">
        <v>6.6273728883381152E-3</v>
      </c>
      <c r="I33" s="1128"/>
      <c r="J33" s="1130">
        <f t="shared" ca="1" si="3"/>
        <v>8477921463.598259</v>
      </c>
      <c r="K33" s="1131">
        <f t="shared" ca="1" si="4"/>
        <v>56186346.857310891</v>
      </c>
      <c r="L33" s="1130">
        <f t="shared" ca="1" si="5"/>
        <v>58315316.342500202</v>
      </c>
      <c r="M33" s="1130">
        <f t="shared" ca="1" si="6"/>
        <v>0</v>
      </c>
      <c r="N33" s="1130">
        <f t="shared" ca="1" si="15"/>
        <v>8363419800.398448</v>
      </c>
      <c r="O33" s="1073"/>
      <c r="P33" s="1130">
        <f t="shared" ca="1" si="7"/>
        <v>114501663.19981098</v>
      </c>
      <c r="Q33" s="1130">
        <f t="shared" ca="1" si="8"/>
        <v>7945248810.3785248</v>
      </c>
      <c r="R33" s="1130">
        <f t="shared" ca="1" si="16"/>
        <v>8054025390.4183455</v>
      </c>
      <c r="S33" s="1130">
        <f t="shared" ca="1" si="17"/>
        <v>108776580.03982067</v>
      </c>
      <c r="T33" s="1130">
        <f t="shared" ca="1" si="9"/>
        <v>7945248810.3785248</v>
      </c>
      <c r="U33" s="1132">
        <f t="shared" ca="1" si="10"/>
        <v>0.68212831072721269</v>
      </c>
      <c r="V33" s="1133">
        <f t="shared" ca="1" si="11"/>
        <v>5.0000000000000044E-2</v>
      </c>
      <c r="X33" s="1134">
        <f t="shared" ca="1" si="18"/>
        <v>423896073.17991388</v>
      </c>
      <c r="Y33" s="1134">
        <f t="shared" ca="1" si="12"/>
        <v>5725083.1599903107</v>
      </c>
      <c r="Z33" s="1134">
        <f t="shared" ca="1" si="13"/>
        <v>418170990.01992357</v>
      </c>
      <c r="AA33" s="1132">
        <f t="shared" ca="1" si="14"/>
        <v>0.72984861084695918</v>
      </c>
      <c r="AB33" s="1105"/>
    </row>
    <row r="34" spans="1:28">
      <c r="A34" s="1144">
        <f>'AMORT. PROFILE 0% CPR'!A34</f>
        <v>45715</v>
      </c>
      <c r="C34" s="1104"/>
      <c r="D34" s="1125">
        <f t="shared" ca="1" si="0"/>
        <v>46752</v>
      </c>
      <c r="E34" s="1126">
        <f t="shared" ca="1" si="1"/>
        <v>46779</v>
      </c>
      <c r="F34" s="1127">
        <f t="shared" ca="1" si="2"/>
        <v>730</v>
      </c>
      <c r="G34" s="1128">
        <f ca="1">IF(F34&lt;&gt;"",COUNTIF($F$11:F34,"&gt;0"),"")</f>
        <v>24</v>
      </c>
      <c r="H34" s="1129">
        <v>6.6642395070978582E-3</v>
      </c>
      <c r="I34" s="1128"/>
      <c r="J34" s="1130">
        <f t="shared" ca="1" si="3"/>
        <v>8363419800.398448</v>
      </c>
      <c r="K34" s="1131">
        <f t="shared" ca="1" si="4"/>
        <v>55735832.648259819</v>
      </c>
      <c r="L34" s="1130">
        <f t="shared" ca="1" si="5"/>
        <v>57525582.547690995</v>
      </c>
      <c r="M34" s="1130">
        <f t="shared" ca="1" si="6"/>
        <v>0</v>
      </c>
      <c r="N34" s="1130">
        <f t="shared" ca="1" si="15"/>
        <v>8250158385.2024965</v>
      </c>
      <c r="O34" s="1073"/>
      <c r="P34" s="1130">
        <f t="shared" ca="1" si="7"/>
        <v>113261415.19595146</v>
      </c>
      <c r="Q34" s="1130">
        <f t="shared" ca="1" si="8"/>
        <v>7837650465.9423714</v>
      </c>
      <c r="R34" s="1130">
        <f t="shared" ca="1" si="16"/>
        <v>7945248810.3785248</v>
      </c>
      <c r="S34" s="1130">
        <f t="shared" ca="1" si="17"/>
        <v>107598344.43615341</v>
      </c>
      <c r="T34" s="1130">
        <f t="shared" ca="1" si="9"/>
        <v>7837650465.9423714</v>
      </c>
      <c r="U34" s="1132">
        <f t="shared" ca="1" si="10"/>
        <v>0.67291557781510647</v>
      </c>
      <c r="V34" s="1133">
        <f t="shared" ca="1" si="11"/>
        <v>5.0000000000000044E-2</v>
      </c>
      <c r="X34" s="1134">
        <f t="shared" ca="1" si="18"/>
        <v>418170990.01992357</v>
      </c>
      <c r="Y34" s="1134">
        <f t="shared" ca="1" si="12"/>
        <v>5663070.7597980499</v>
      </c>
      <c r="Z34" s="1134">
        <f t="shared" ca="1" si="13"/>
        <v>412507919.26012552</v>
      </c>
      <c r="AA34" s="1132">
        <f t="shared" ca="1" si="14"/>
        <v>0.7199913740012458</v>
      </c>
      <c r="AB34" s="1105"/>
    </row>
    <row r="35" spans="1:28">
      <c r="A35" s="1144">
        <f>'AMORT. PROFILE 0% CPR'!A35</f>
        <v>45743</v>
      </c>
      <c r="C35" s="1104"/>
      <c r="D35" s="1125">
        <f t="shared" ca="1" si="0"/>
        <v>46783</v>
      </c>
      <c r="E35" s="1126">
        <f t="shared" ca="1" si="1"/>
        <v>46811</v>
      </c>
      <c r="F35" s="1127">
        <f t="shared" ca="1" si="2"/>
        <v>762</v>
      </c>
      <c r="G35" s="1128">
        <f ca="1">IF(F35&lt;&gt;"",COUNTIF($F$11:F35,"&gt;0"),"")</f>
        <v>25</v>
      </c>
      <c r="H35" s="1129">
        <v>6.7086781094206106E-3</v>
      </c>
      <c r="I35" s="1128"/>
      <c r="J35" s="1130">
        <f t="shared" ca="1" si="3"/>
        <v>8250158385.2024965</v>
      </c>
      <c r="K35" s="1131">
        <f t="shared" ca="1" si="4"/>
        <v>55347656.958060883</v>
      </c>
      <c r="L35" s="1130">
        <f t="shared" ca="1" si="5"/>
        <v>56744005.04885748</v>
      </c>
      <c r="M35" s="1130">
        <f t="shared" ca="1" si="6"/>
        <v>0</v>
      </c>
      <c r="N35" s="1130">
        <f t="shared" ca="1" si="15"/>
        <v>8138066723.1955776</v>
      </c>
      <c r="O35" s="1073"/>
      <c r="P35" s="1130">
        <f t="shared" ca="1" si="7"/>
        <v>112091662.00691891</v>
      </c>
      <c r="Q35" s="1130">
        <f t="shared" ca="1" si="8"/>
        <v>7731163387.0357981</v>
      </c>
      <c r="R35" s="1130">
        <f t="shared" ca="1" si="16"/>
        <v>7837650465.9423714</v>
      </c>
      <c r="S35" s="1130">
        <f t="shared" ca="1" si="17"/>
        <v>106487078.9065733</v>
      </c>
      <c r="T35" s="1130">
        <f t="shared" ca="1" si="9"/>
        <v>7731163387.0357981</v>
      </c>
      <c r="U35" s="1132">
        <f t="shared" ca="1" si="10"/>
        <v>0.66380263448932608</v>
      </c>
      <c r="V35" s="1133">
        <f t="shared" ca="1" si="11"/>
        <v>5.0000000000000044E-2</v>
      </c>
      <c r="X35" s="1134">
        <f t="shared" ca="1" si="18"/>
        <v>412507919.26012552</v>
      </c>
      <c r="Y35" s="1134">
        <f t="shared" ca="1" si="12"/>
        <v>5604583.1003456116</v>
      </c>
      <c r="Z35" s="1134">
        <f t="shared" ca="1" si="13"/>
        <v>406903336.15977991</v>
      </c>
      <c r="AA35" s="1132">
        <f t="shared" ca="1" si="14"/>
        <v>0.71024090781702054</v>
      </c>
      <c r="AB35" s="1105"/>
    </row>
    <row r="36" spans="1:28">
      <c r="A36" s="1144">
        <f>'AMORT. PROFILE 0% CPR'!A36</f>
        <v>45775</v>
      </c>
      <c r="C36" s="1104"/>
      <c r="D36" s="1125">
        <f t="shared" ca="1" si="0"/>
        <v>46812</v>
      </c>
      <c r="E36" s="1126">
        <f t="shared" ca="1" si="1"/>
        <v>46839</v>
      </c>
      <c r="F36" s="1127">
        <f t="shared" ca="1" si="2"/>
        <v>790</v>
      </c>
      <c r="G36" s="1128">
        <f ca="1">IF(F36&lt;&gt;"",COUNTIF($F$11:F36,"&gt;0"),"")</f>
        <v>26</v>
      </c>
      <c r="H36" s="1129">
        <v>6.757731939292801E-3</v>
      </c>
      <c r="I36" s="1128"/>
      <c r="J36" s="1130">
        <f t="shared" ca="1" si="3"/>
        <v>8138066723.1955776</v>
      </c>
      <c r="K36" s="1131">
        <f t="shared" ca="1" si="4"/>
        <v>54994873.419434659</v>
      </c>
      <c r="L36" s="1130">
        <f t="shared" ca="1" si="5"/>
        <v>55970282.299885981</v>
      </c>
      <c r="M36" s="1130">
        <f t="shared" ca="1" si="6"/>
        <v>0</v>
      </c>
      <c r="N36" s="1130">
        <f t="shared" ca="1" si="15"/>
        <v>8027101567.4762573</v>
      </c>
      <c r="O36" s="1073"/>
      <c r="P36" s="1130">
        <f t="shared" ca="1" si="7"/>
        <v>110965155.7193203</v>
      </c>
      <c r="Q36" s="1130">
        <f t="shared" ca="1" si="8"/>
        <v>7625746489.1024437</v>
      </c>
      <c r="R36" s="1130">
        <f t="shared" ca="1" si="16"/>
        <v>7731163387.0357981</v>
      </c>
      <c r="S36" s="1130">
        <f t="shared" ca="1" si="17"/>
        <v>105416897.93335438</v>
      </c>
      <c r="T36" s="1130">
        <f t="shared" ca="1" si="9"/>
        <v>7625746489.1024437</v>
      </c>
      <c r="U36" s="1132">
        <f t="shared" ca="1" si="10"/>
        <v>0.65478380878072684</v>
      </c>
      <c r="V36" s="1133">
        <f t="shared" ca="1" si="11"/>
        <v>5.0000000000000044E-2</v>
      </c>
      <c r="X36" s="1134">
        <f t="shared" ca="1" si="18"/>
        <v>406903336.15977991</v>
      </c>
      <c r="Y36" s="1134">
        <f t="shared" ca="1" si="12"/>
        <v>5548257.7859659195</v>
      </c>
      <c r="Z36" s="1134">
        <f t="shared" ca="1" si="13"/>
        <v>401355078.37381399</v>
      </c>
      <c r="AA36" s="1132">
        <f t="shared" ca="1" si="14"/>
        <v>0.70059114352579188</v>
      </c>
      <c r="AB36" s="1105"/>
    </row>
    <row r="37" spans="1:28">
      <c r="A37" s="1144">
        <f>'AMORT. PROFILE 0% CPR'!A37</f>
        <v>45804</v>
      </c>
      <c r="C37" s="1104"/>
      <c r="D37" s="1125">
        <f t="shared" ca="1" si="0"/>
        <v>46843</v>
      </c>
      <c r="E37" s="1126">
        <f t="shared" ca="1" si="1"/>
        <v>46870</v>
      </c>
      <c r="F37" s="1127">
        <f t="shared" ca="1" si="2"/>
        <v>821</v>
      </c>
      <c r="G37" s="1128">
        <f ca="1">IF(F37&lt;&gt;"",COUNTIF($F$11:F37,"&gt;0"),"")</f>
        <v>27</v>
      </c>
      <c r="H37" s="1129">
        <v>6.7922906992823944E-3</v>
      </c>
      <c r="I37" s="1128"/>
      <c r="J37" s="1130">
        <f t="shared" ca="1" si="3"/>
        <v>8027101567.4762573</v>
      </c>
      <c r="K37" s="1131">
        <f t="shared" ca="1" si="4"/>
        <v>54522407.318964109</v>
      </c>
      <c r="L37" s="1130">
        <f t="shared" ca="1" si="5"/>
        <v>55205188.639335133</v>
      </c>
      <c r="M37" s="1130">
        <f t="shared" ca="1" si="6"/>
        <v>0</v>
      </c>
      <c r="N37" s="1130">
        <f t="shared" ca="1" si="15"/>
        <v>7917373971.5179586</v>
      </c>
      <c r="O37" s="1073"/>
      <c r="P37" s="1130">
        <f t="shared" ca="1" si="7"/>
        <v>109727595.95829868</v>
      </c>
      <c r="Q37" s="1130">
        <f t="shared" ca="1" si="8"/>
        <v>7521505272.9420605</v>
      </c>
      <c r="R37" s="1130">
        <f t="shared" ca="1" si="16"/>
        <v>7625746489.1024437</v>
      </c>
      <c r="S37" s="1130">
        <f t="shared" ca="1" si="17"/>
        <v>104241216.16038322</v>
      </c>
      <c r="T37" s="1130">
        <f t="shared" ca="1" si="9"/>
        <v>7521505272.9420605</v>
      </c>
      <c r="U37" s="1132">
        <f t="shared" ca="1" si="10"/>
        <v>0.6458556210704014</v>
      </c>
      <c r="V37" s="1133">
        <f t="shared" ca="1" si="11"/>
        <v>5.0000000000000044E-2</v>
      </c>
      <c r="X37" s="1134">
        <f t="shared" ca="1" si="18"/>
        <v>401355078.37381399</v>
      </c>
      <c r="Y37" s="1134">
        <f t="shared" ca="1" si="12"/>
        <v>5486379.7979154587</v>
      </c>
      <c r="Z37" s="1134">
        <f t="shared" ca="1" si="13"/>
        <v>395868698.57589853</v>
      </c>
      <c r="AA37" s="1132">
        <f t="shared" ca="1" si="14"/>
        <v>0.69103835808163561</v>
      </c>
      <c r="AB37" s="1105"/>
    </row>
    <row r="38" spans="1:28">
      <c r="A38" s="1144">
        <f>'AMORT. PROFILE 0% CPR'!A38</f>
        <v>45835</v>
      </c>
      <c r="C38" s="1104"/>
      <c r="D38" s="1125">
        <f t="shared" ca="1" si="0"/>
        <v>46873</v>
      </c>
      <c r="E38" s="1126">
        <f t="shared" ca="1" si="1"/>
        <v>46902</v>
      </c>
      <c r="F38" s="1127">
        <f t="shared" ca="1" si="2"/>
        <v>853</v>
      </c>
      <c r="G38" s="1128">
        <f ca="1">IF(F38&lt;&gt;"",COUNTIF($F$11:F38,"&gt;0"),"")</f>
        <v>28</v>
      </c>
      <c r="H38" s="1129">
        <v>6.8390234381432852E-3</v>
      </c>
      <c r="I38" s="1128"/>
      <c r="J38" s="1130">
        <f t="shared" ca="1" si="3"/>
        <v>7917373971.5179586</v>
      </c>
      <c r="K38" s="1131">
        <f t="shared" ca="1" si="4"/>
        <v>54147106.159756906</v>
      </c>
      <c r="L38" s="1130">
        <f t="shared" ca="1" si="5"/>
        <v>54447991.508863628</v>
      </c>
      <c r="M38" s="1130">
        <f t="shared" ca="1" si="6"/>
        <v>0</v>
      </c>
      <c r="N38" s="1130">
        <f t="shared" ca="1" si="15"/>
        <v>7808778873.8493385</v>
      </c>
      <c r="O38" s="1073"/>
      <c r="P38" s="1130">
        <f t="shared" ca="1" si="7"/>
        <v>108595097.66862011</v>
      </c>
      <c r="Q38" s="1130">
        <f t="shared" ca="1" si="8"/>
        <v>7418339930.1568708</v>
      </c>
      <c r="R38" s="1130">
        <f t="shared" ca="1" si="16"/>
        <v>7521505272.9420605</v>
      </c>
      <c r="S38" s="1130">
        <f t="shared" ca="1" si="17"/>
        <v>103165342.78518963</v>
      </c>
      <c r="T38" s="1130">
        <f t="shared" ca="1" si="9"/>
        <v>7418339930.1568708</v>
      </c>
      <c r="U38" s="1132">
        <f t="shared" ca="1" si="10"/>
        <v>0.63702700665204792</v>
      </c>
      <c r="V38" s="1133">
        <f t="shared" ca="1" si="11"/>
        <v>5.0000000000000044E-2</v>
      </c>
      <c r="X38" s="1134">
        <f t="shared" ca="1" si="18"/>
        <v>395868698.57589853</v>
      </c>
      <c r="Y38" s="1134">
        <f t="shared" ca="1" si="12"/>
        <v>5429754.883430481</v>
      </c>
      <c r="Z38" s="1134">
        <f t="shared" ca="1" si="13"/>
        <v>390438943.69246805</v>
      </c>
      <c r="AA38" s="1132">
        <f t="shared" ca="1" si="14"/>
        <v>0.68159211187310353</v>
      </c>
      <c r="AB38" s="1105"/>
    </row>
    <row r="39" spans="1:28">
      <c r="A39" s="1144">
        <f>'AMORT. PROFILE 0% CPR'!A39</f>
        <v>45866</v>
      </c>
      <c r="C39" s="1104"/>
      <c r="D39" s="1125">
        <f t="shared" ca="1" si="0"/>
        <v>46904</v>
      </c>
      <c r="E39" s="1126">
        <f t="shared" ca="1" si="1"/>
        <v>46931</v>
      </c>
      <c r="F39" s="1127">
        <f t="shared" ca="1" si="2"/>
        <v>882</v>
      </c>
      <c r="G39" s="1128">
        <f ca="1">IF(F39&lt;&gt;"",COUNTIF($F$11:F39,"&gt;0"),"")</f>
        <v>29</v>
      </c>
      <c r="H39" s="1129">
        <v>6.8759064053799078E-3</v>
      </c>
      <c r="I39" s="1128"/>
      <c r="J39" s="1130">
        <f t="shared" ca="1" si="3"/>
        <v>7808778873.8493385</v>
      </c>
      <c r="K39" s="1131">
        <f t="shared" ca="1" si="4"/>
        <v>53692432.676895969</v>
      </c>
      <c r="L39" s="1130">
        <f t="shared" ca="1" si="5"/>
        <v>53699185.834214829</v>
      </c>
      <c r="M39" s="1130">
        <f t="shared" ca="1" si="6"/>
        <v>0</v>
      </c>
      <c r="N39" s="1130">
        <f t="shared" ca="1" si="15"/>
        <v>7701387255.3382273</v>
      </c>
      <c r="O39" s="1073"/>
      <c r="P39" s="1130">
        <f t="shared" ca="1" si="7"/>
        <v>107391618.51111126</v>
      </c>
      <c r="Q39" s="1130">
        <f t="shared" ca="1" si="8"/>
        <v>7316317892.5713158</v>
      </c>
      <c r="R39" s="1130">
        <f t="shared" ca="1" si="16"/>
        <v>7418339930.1568708</v>
      </c>
      <c r="S39" s="1130">
        <f t="shared" ca="1" si="17"/>
        <v>102022037.58555508</v>
      </c>
      <c r="T39" s="1130">
        <f t="shared" ca="1" si="9"/>
        <v>7316317892.5713158</v>
      </c>
      <c r="U39" s="1132">
        <f t="shared" ca="1" si="10"/>
        <v>0.62828951234474484</v>
      </c>
      <c r="V39" s="1133">
        <f t="shared" ca="1" si="11"/>
        <v>5.0000000000000044E-2</v>
      </c>
      <c r="X39" s="1134">
        <f t="shared" ca="1" si="18"/>
        <v>390438943.69246805</v>
      </c>
      <c r="Y39" s="1134">
        <f t="shared" ca="1" si="12"/>
        <v>5369580.9255561829</v>
      </c>
      <c r="Z39" s="1134">
        <f t="shared" ca="1" si="13"/>
        <v>385069362.76691186</v>
      </c>
      <c r="AA39" s="1132">
        <f t="shared" ca="1" si="14"/>
        <v>0.67224336035204557</v>
      </c>
      <c r="AB39" s="1105"/>
    </row>
    <row r="40" spans="1:28">
      <c r="A40" s="1144">
        <f>'AMORT. PROFILE 0% CPR'!A40</f>
        <v>45896</v>
      </c>
      <c r="C40" s="1104"/>
      <c r="D40" s="1125">
        <f t="shared" ca="1" si="0"/>
        <v>46934</v>
      </c>
      <c r="E40" s="1126">
        <f t="shared" ca="1" si="1"/>
        <v>46961</v>
      </c>
      <c r="F40" s="1127">
        <f t="shared" ca="1" si="2"/>
        <v>912</v>
      </c>
      <c r="G40" s="1128">
        <f ca="1">IF(F40&lt;&gt;"",COUNTIF($F$11:F40,"&gt;0"),"")</f>
        <v>30</v>
      </c>
      <c r="H40" s="1129">
        <v>6.9259289520733781E-3</v>
      </c>
      <c r="I40" s="1128"/>
      <c r="J40" s="1130">
        <f t="shared" ca="1" si="3"/>
        <v>7701387255.3382273</v>
      </c>
      <c r="K40" s="1131">
        <f t="shared" ca="1" si="4"/>
        <v>53339260.962875955</v>
      </c>
      <c r="L40" s="1130">
        <f t="shared" ca="1" si="5"/>
        <v>52958010.672652893</v>
      </c>
      <c r="M40" s="1130">
        <f t="shared" ca="1" si="6"/>
        <v>0</v>
      </c>
      <c r="N40" s="1130">
        <f t="shared" ca="1" si="15"/>
        <v>7595089983.7026978</v>
      </c>
      <c r="O40" s="1073"/>
      <c r="P40" s="1130">
        <f t="shared" ca="1" si="7"/>
        <v>106297271.63552952</v>
      </c>
      <c r="Q40" s="1130">
        <f t="shared" ca="1" si="8"/>
        <v>7215335484.5175629</v>
      </c>
      <c r="R40" s="1130">
        <f t="shared" ca="1" si="16"/>
        <v>7316317892.5713158</v>
      </c>
      <c r="S40" s="1130">
        <f t="shared" ca="1" si="17"/>
        <v>100982408.0537529</v>
      </c>
      <c r="T40" s="1130">
        <f t="shared" ca="1" si="9"/>
        <v>7215335484.5175629</v>
      </c>
      <c r="U40" s="1132">
        <f t="shared" ca="1" si="10"/>
        <v>0.61964884922516061</v>
      </c>
      <c r="V40" s="1133">
        <f t="shared" ca="1" si="11"/>
        <v>5.0000000000000044E-2</v>
      </c>
      <c r="X40" s="1134">
        <f t="shared" ca="1" si="18"/>
        <v>385069362.76691186</v>
      </c>
      <c r="Y40" s="1134">
        <f t="shared" ca="1" si="12"/>
        <v>5314863.581776619</v>
      </c>
      <c r="Z40" s="1134">
        <f t="shared" ca="1" si="13"/>
        <v>379754499.18513525</v>
      </c>
      <c r="AA40" s="1132">
        <f t="shared" ca="1" si="14"/>
        <v>0.66299821413035787</v>
      </c>
      <c r="AB40" s="1105"/>
    </row>
    <row r="41" spans="1:28">
      <c r="A41" s="1144">
        <f>'AMORT. PROFILE 0% CPR'!A41</f>
        <v>45929</v>
      </c>
      <c r="C41" s="1104"/>
      <c r="D41" s="1125">
        <f t="shared" ca="1" si="0"/>
        <v>46965</v>
      </c>
      <c r="E41" s="1126">
        <f t="shared" ca="1" si="1"/>
        <v>46993</v>
      </c>
      <c r="F41" s="1127">
        <f t="shared" ca="1" si="2"/>
        <v>944</v>
      </c>
      <c r="G41" s="1128">
        <f ca="1">IF(F41&lt;&gt;"",COUNTIF($F$11:F41,"&gt;0"),"")</f>
        <v>31</v>
      </c>
      <c r="H41" s="1129">
        <v>6.968380032368336E-3</v>
      </c>
      <c r="I41" s="1128"/>
      <c r="J41" s="1130">
        <f t="shared" ca="1" si="3"/>
        <v>7595089983.7026978</v>
      </c>
      <c r="K41" s="1131">
        <f t="shared" ca="1" si="4"/>
        <v>52925473.386474632</v>
      </c>
      <c r="L41" s="1130">
        <f t="shared" ca="1" si="5"/>
        <v>52224832.91501005</v>
      </c>
      <c r="M41" s="1130">
        <f t="shared" ca="1" si="6"/>
        <v>0</v>
      </c>
      <c r="N41" s="1130">
        <f t="shared" ca="1" si="15"/>
        <v>7489939677.4012127</v>
      </c>
      <c r="O41" s="1073"/>
      <c r="P41" s="1130">
        <f t="shared" ca="1" si="7"/>
        <v>105150306.30148506</v>
      </c>
      <c r="Q41" s="1130">
        <f t="shared" ca="1" si="8"/>
        <v>7115442693.5311518</v>
      </c>
      <c r="R41" s="1130">
        <f t="shared" ca="1" si="16"/>
        <v>7215335484.5175629</v>
      </c>
      <c r="S41" s="1130">
        <f t="shared" ca="1" si="17"/>
        <v>99892790.986411095</v>
      </c>
      <c r="T41" s="1130">
        <f t="shared" ca="1" si="9"/>
        <v>7115442693.5311518</v>
      </c>
      <c r="U41" s="1132">
        <f t="shared" ca="1" si="10"/>
        <v>0.61109623657747503</v>
      </c>
      <c r="V41" s="1133">
        <f t="shared" ca="1" si="11"/>
        <v>5.0000000000000044E-2</v>
      </c>
      <c r="X41" s="1134">
        <f t="shared" ca="1" si="18"/>
        <v>379754499.18513525</v>
      </c>
      <c r="Y41" s="1134">
        <f t="shared" ca="1" si="12"/>
        <v>5257515.315073967</v>
      </c>
      <c r="Z41" s="1134">
        <f t="shared" ca="1" si="13"/>
        <v>374496983.87006128</v>
      </c>
      <c r="AA41" s="1132">
        <f t="shared" ca="1" si="14"/>
        <v>0.65384727821132105</v>
      </c>
      <c r="AB41" s="1105"/>
    </row>
    <row r="42" spans="1:28">
      <c r="A42" s="1144">
        <f>'AMORT. PROFILE 0% CPR'!A42</f>
        <v>45957</v>
      </c>
      <c r="C42" s="1104"/>
      <c r="D42" s="1125">
        <f t="shared" ca="1" si="0"/>
        <v>46996</v>
      </c>
      <c r="E42" s="1126">
        <f t="shared" ca="1" si="1"/>
        <v>47023</v>
      </c>
      <c r="F42" s="1127">
        <f t="shared" ca="1" si="2"/>
        <v>974</v>
      </c>
      <c r="G42" s="1128">
        <f ca="1">IF(F42&lt;&gt;"",COUNTIF($F$11:F42,"&gt;0"),"")</f>
        <v>32</v>
      </c>
      <c r="H42" s="1129">
        <v>7.012340494481766E-3</v>
      </c>
      <c r="I42" s="1128"/>
      <c r="J42" s="1130">
        <f t="shared" ca="1" si="3"/>
        <v>7489939677.4012127</v>
      </c>
      <c r="K42" s="1131">
        <f t="shared" ca="1" si="4"/>
        <v>52522007.30106622</v>
      </c>
      <c r="L42" s="1130">
        <f t="shared" ca="1" si="5"/>
        <v>51499525.71424859</v>
      </c>
      <c r="M42" s="1130">
        <f t="shared" ca="1" si="6"/>
        <v>0</v>
      </c>
      <c r="N42" s="1130">
        <f t="shared" ca="1" si="15"/>
        <v>7385918144.3858976</v>
      </c>
      <c r="O42" s="1073"/>
      <c r="P42" s="1130">
        <f t="shared" ca="1" si="7"/>
        <v>104021533.01531506</v>
      </c>
      <c r="Q42" s="1130">
        <f t="shared" ca="1" si="8"/>
        <v>7016622237.1666021</v>
      </c>
      <c r="R42" s="1130">
        <f t="shared" ca="1" si="16"/>
        <v>7115442693.5311518</v>
      </c>
      <c r="S42" s="1130">
        <f t="shared" ca="1" si="17"/>
        <v>98820456.364549637</v>
      </c>
      <c r="T42" s="1130">
        <f t="shared" ca="1" si="9"/>
        <v>7016622237.1666021</v>
      </c>
      <c r="U42" s="1132">
        <f t="shared" ca="1" si="10"/>
        <v>0.60263590805027034</v>
      </c>
      <c r="V42" s="1133">
        <f t="shared" ca="1" si="11"/>
        <v>5.0000000000000044E-2</v>
      </c>
      <c r="X42" s="1134">
        <f t="shared" ca="1" si="18"/>
        <v>374496983.87006128</v>
      </c>
      <c r="Y42" s="1134">
        <f t="shared" ca="1" si="12"/>
        <v>5201076.650765419</v>
      </c>
      <c r="Z42" s="1134">
        <f t="shared" ca="1" si="13"/>
        <v>369295907.21929586</v>
      </c>
      <c r="AA42" s="1132">
        <f t="shared" ca="1" si="14"/>
        <v>0.64479508242090444</v>
      </c>
      <c r="AB42" s="1105"/>
    </row>
    <row r="43" spans="1:28">
      <c r="A43" s="1144">
        <f>'AMORT. PROFILE 0% CPR'!A43</f>
        <v>45988</v>
      </c>
      <c r="C43" s="1104"/>
      <c r="D43" s="1125">
        <f t="shared" ca="1" si="0"/>
        <v>47026</v>
      </c>
      <c r="E43" s="1126">
        <f t="shared" ca="1" si="1"/>
        <v>47053</v>
      </c>
      <c r="F43" s="1127">
        <f t="shared" ca="1" si="2"/>
        <v>1004</v>
      </c>
      <c r="G43" s="1128">
        <f ca="1">IF(F43&lt;&gt;"",COUNTIF($F$11:F43,"&gt;0"),"")</f>
        <v>33</v>
      </c>
      <c r="H43" s="1129">
        <v>7.0620336687723436E-3</v>
      </c>
      <c r="I43" s="1128"/>
      <c r="J43" s="1130">
        <f t="shared" ca="1" si="3"/>
        <v>7385918144.3858976</v>
      </c>
      <c r="K43" s="1131">
        <f t="shared" ca="1" si="4"/>
        <v>52159602.610449761</v>
      </c>
      <c r="L43" s="1130">
        <f t="shared" ca="1" si="5"/>
        <v>50781750.246812388</v>
      </c>
      <c r="M43" s="1130">
        <f t="shared" ca="1" si="6"/>
        <v>0</v>
      </c>
      <c r="N43" s="1130">
        <f t="shared" ca="1" si="15"/>
        <v>7282976791.528635</v>
      </c>
      <c r="O43" s="1073"/>
      <c r="P43" s="1130">
        <f t="shared" ca="1" si="7"/>
        <v>102941352.85726261</v>
      </c>
      <c r="Q43" s="1130">
        <f t="shared" ca="1" si="8"/>
        <v>6918827951.9522028</v>
      </c>
      <c r="R43" s="1130">
        <f t="shared" ca="1" si="16"/>
        <v>7016622237.1666021</v>
      </c>
      <c r="S43" s="1130">
        <f t="shared" ca="1" si="17"/>
        <v>97794285.214399338</v>
      </c>
      <c r="T43" s="1130">
        <f t="shared" ca="1" si="9"/>
        <v>6918827951.9522028</v>
      </c>
      <c r="U43" s="1132">
        <f t="shared" ca="1" si="10"/>
        <v>0.59426639992264063</v>
      </c>
      <c r="V43" s="1133">
        <f t="shared" ca="1" si="11"/>
        <v>5.0000000000000044E-2</v>
      </c>
      <c r="X43" s="1134">
        <f t="shared" ca="1" si="18"/>
        <v>369295907.21929586</v>
      </c>
      <c r="Y43" s="1134">
        <f t="shared" ca="1" si="12"/>
        <v>5147067.6428632736</v>
      </c>
      <c r="Z43" s="1134">
        <f t="shared" ca="1" si="13"/>
        <v>364148839.57643259</v>
      </c>
      <c r="AA43" s="1132">
        <f t="shared" ca="1" si="14"/>
        <v>0.63584006063928356</v>
      </c>
      <c r="AB43" s="1105"/>
    </row>
    <row r="44" spans="1:28">
      <c r="A44" s="1144">
        <f>'AMORT. PROFILE 0% CPR'!A44</f>
        <v>46020</v>
      </c>
      <c r="C44" s="1104"/>
      <c r="D44" s="1125">
        <f t="shared" ca="1" si="0"/>
        <v>47057</v>
      </c>
      <c r="E44" s="1126">
        <f t="shared" ca="1" si="1"/>
        <v>47084</v>
      </c>
      <c r="F44" s="1127">
        <f t="shared" ca="1" si="2"/>
        <v>1035</v>
      </c>
      <c r="G44" s="1128">
        <f ca="1">IF(F44&lt;&gt;"",COUNTIF($F$11:F44,"&gt;0"),"")</f>
        <v>34</v>
      </c>
      <c r="H44" s="1129">
        <v>7.1038307982606843E-3</v>
      </c>
      <c r="I44" s="1128"/>
      <c r="J44" s="1130">
        <f t="shared" ca="1" si="3"/>
        <v>7282976791.528635</v>
      </c>
      <c r="K44" s="1131">
        <f t="shared" ca="1" si="4"/>
        <v>51737034.834678903</v>
      </c>
      <c r="L44" s="1130">
        <f t="shared" ca="1" si="5"/>
        <v>50071870.952319749</v>
      </c>
      <c r="M44" s="1130">
        <f t="shared" ca="1" si="6"/>
        <v>0</v>
      </c>
      <c r="N44" s="1130">
        <f t="shared" ca="1" si="15"/>
        <v>7181167885.7416363</v>
      </c>
      <c r="O44" s="1073"/>
      <c r="P44" s="1130">
        <f t="shared" ca="1" si="7"/>
        <v>101808905.78699875</v>
      </c>
      <c r="Q44" s="1130">
        <f t="shared" ca="1" si="8"/>
        <v>6822109491.4545546</v>
      </c>
      <c r="R44" s="1130">
        <f t="shared" ca="1" si="16"/>
        <v>6918827951.9522028</v>
      </c>
      <c r="S44" s="1130">
        <f t="shared" ca="1" si="17"/>
        <v>96718460.497648239</v>
      </c>
      <c r="T44" s="1130">
        <f t="shared" ca="1" si="9"/>
        <v>6822109491.4545546</v>
      </c>
      <c r="U44" s="1132">
        <f t="shared" ca="1" si="10"/>
        <v>0.58598380242159043</v>
      </c>
      <c r="V44" s="1133">
        <f t="shared" ca="1" si="11"/>
        <v>4.9999999999999933E-2</v>
      </c>
      <c r="X44" s="1134">
        <f t="shared" ca="1" si="18"/>
        <v>364148839.57643259</v>
      </c>
      <c r="Y44" s="1134">
        <f t="shared" ca="1" si="12"/>
        <v>5090445.2893505096</v>
      </c>
      <c r="Z44" s="1134">
        <f t="shared" ca="1" si="13"/>
        <v>359058394.28708208</v>
      </c>
      <c r="AA44" s="1132">
        <f t="shared" ca="1" si="14"/>
        <v>0.6269780295737476</v>
      </c>
      <c r="AB44" s="1105"/>
    </row>
    <row r="45" spans="1:28">
      <c r="A45" s="1144">
        <f>'AMORT. PROFILE 0% CPR'!A45</f>
        <v>46049</v>
      </c>
      <c r="C45" s="1104"/>
      <c r="D45" s="1125">
        <f t="shared" ca="1" si="0"/>
        <v>47087</v>
      </c>
      <c r="E45" s="1126">
        <f t="shared" ca="1" si="1"/>
        <v>47114</v>
      </c>
      <c r="F45" s="1127">
        <f t="shared" ca="1" si="2"/>
        <v>1065</v>
      </c>
      <c r="G45" s="1128">
        <f ca="1">IF(F45&lt;&gt;"",COUNTIF($F$11:F45,"&gt;0"),"")</f>
        <v>35</v>
      </c>
      <c r="H45" s="1129">
        <v>7.1527899564139772E-3</v>
      </c>
      <c r="I45" s="1128"/>
      <c r="J45" s="1130">
        <f t="shared" ca="1" si="3"/>
        <v>7181167885.7416363</v>
      </c>
      <c r="K45" s="1131">
        <f t="shared" ca="1" si="4"/>
        <v>51365385.528455369</v>
      </c>
      <c r="L45" s="1130">
        <f t="shared" ca="1" si="5"/>
        <v>49369480.57568191</v>
      </c>
      <c r="M45" s="1130">
        <f t="shared" ca="1" si="6"/>
        <v>0</v>
      </c>
      <c r="N45" s="1130">
        <f t="shared" ca="1" si="15"/>
        <v>7080433019.6374989</v>
      </c>
      <c r="O45" s="1073"/>
      <c r="P45" s="1130">
        <f t="shared" ca="1" si="7"/>
        <v>100734866.10413742</v>
      </c>
      <c r="Q45" s="1130">
        <f t="shared" ca="1" si="8"/>
        <v>6726411368.6556234</v>
      </c>
      <c r="R45" s="1130">
        <f t="shared" ca="1" si="16"/>
        <v>6822109491.4545546</v>
      </c>
      <c r="S45" s="1130">
        <f t="shared" ca="1" si="17"/>
        <v>95698122.798931122</v>
      </c>
      <c r="T45" s="1130">
        <f t="shared" ca="1" si="9"/>
        <v>6726411368.6556234</v>
      </c>
      <c r="U45" s="1132">
        <f t="shared" ca="1" si="10"/>
        <v>0.57779232091050836</v>
      </c>
      <c r="V45" s="1133">
        <f t="shared" ca="1" si="11"/>
        <v>5.0000000000000044E-2</v>
      </c>
      <c r="X45" s="1134">
        <f t="shared" ca="1" si="18"/>
        <v>359058394.28708208</v>
      </c>
      <c r="Y45" s="1134">
        <f t="shared" ca="1" si="12"/>
        <v>5036743.3052062988</v>
      </c>
      <c r="Z45" s="1134">
        <f t="shared" ca="1" si="13"/>
        <v>354021650.98187578</v>
      </c>
      <c r="AA45" s="1132">
        <f t="shared" ca="1" si="14"/>
        <v>0.61821348878629834</v>
      </c>
      <c r="AB45" s="1105"/>
    </row>
    <row r="46" spans="1:28">
      <c r="A46" s="1144">
        <f>'AMORT. PROFILE 0% CPR'!A46</f>
        <v>46080</v>
      </c>
      <c r="C46" s="1104"/>
      <c r="D46" s="1125">
        <f t="shared" ca="1" si="0"/>
        <v>47118</v>
      </c>
      <c r="E46" s="1126">
        <f t="shared" ca="1" si="1"/>
        <v>47147</v>
      </c>
      <c r="F46" s="1127">
        <f t="shared" ca="1" si="2"/>
        <v>1098</v>
      </c>
      <c r="G46" s="1128">
        <f ca="1">IF(F46&lt;&gt;"",COUNTIF($F$11:F46,"&gt;0"),"")</f>
        <v>36</v>
      </c>
      <c r="H46" s="1129">
        <v>7.1967674030143786E-3</v>
      </c>
      <c r="I46" s="1128"/>
      <c r="J46" s="1130">
        <f t="shared" ca="1" si="3"/>
        <v>7080433019.6374989</v>
      </c>
      <c r="K46" s="1131">
        <f t="shared" ca="1" si="4"/>
        <v>50956229.554953814</v>
      </c>
      <c r="L46" s="1130">
        <f t="shared" ca="1" si="5"/>
        <v>48674786.971281536</v>
      </c>
      <c r="M46" s="1130">
        <f t="shared" ca="1" si="6"/>
        <v>0</v>
      </c>
      <c r="N46" s="1130">
        <f t="shared" ca="1" si="15"/>
        <v>6980802003.1112633</v>
      </c>
      <c r="O46" s="1073"/>
      <c r="P46" s="1130">
        <f t="shared" ca="1" si="7"/>
        <v>99631016.52623558</v>
      </c>
      <c r="Q46" s="1130">
        <f t="shared" ca="1" si="8"/>
        <v>6631761902.9556999</v>
      </c>
      <c r="R46" s="1130">
        <f t="shared" ca="1" si="16"/>
        <v>6726411368.6556234</v>
      </c>
      <c r="S46" s="1130">
        <f t="shared" ca="1" si="17"/>
        <v>94649465.699923515</v>
      </c>
      <c r="T46" s="1130">
        <f t="shared" ca="1" si="9"/>
        <v>6631761902.9556999</v>
      </c>
      <c r="U46" s="1132">
        <f t="shared" ca="1" si="10"/>
        <v>0.56968725596717451</v>
      </c>
      <c r="V46" s="1133">
        <f t="shared" ca="1" si="11"/>
        <v>5.0000000000000044E-2</v>
      </c>
      <c r="X46" s="1134">
        <f t="shared" ca="1" si="18"/>
        <v>354021650.98187578</v>
      </c>
      <c r="Y46" s="1134">
        <f t="shared" ca="1" si="12"/>
        <v>4981550.8263120651</v>
      </c>
      <c r="Z46" s="1134">
        <f t="shared" ca="1" si="13"/>
        <v>349040100.15556371</v>
      </c>
      <c r="AA46" s="1132">
        <f t="shared" ca="1" si="14"/>
        <v>0.6095414100927613</v>
      </c>
      <c r="AB46" s="1105"/>
    </row>
    <row r="47" spans="1:28">
      <c r="A47" s="1144">
        <f>'AMORT. PROFILE 0% CPR'!A47</f>
        <v>46108</v>
      </c>
      <c r="C47" s="1104"/>
      <c r="D47" s="1125">
        <f t="shared" ca="1" si="0"/>
        <v>47149</v>
      </c>
      <c r="E47" s="1126">
        <f t="shared" ca="1" si="1"/>
        <v>47176</v>
      </c>
      <c r="F47" s="1127">
        <f t="shared" ca="1" si="2"/>
        <v>1127</v>
      </c>
      <c r="G47" s="1128">
        <f ca="1">IF(F47&lt;&gt;"",COUNTIF($F$11:F47,"&gt;0"),"")</f>
        <v>37</v>
      </c>
      <c r="H47" s="1129">
        <v>7.241597406579146E-3</v>
      </c>
      <c r="I47" s="1128"/>
      <c r="J47" s="1130">
        <f t="shared" ca="1" si="3"/>
        <v>6980802003.1112633</v>
      </c>
      <c r="K47" s="1131">
        <f t="shared" ca="1" si="4"/>
        <v>50552157.681573033</v>
      </c>
      <c r="L47" s="1130">
        <f t="shared" ca="1" si="5"/>
        <v>47987701.639468081</v>
      </c>
      <c r="M47" s="1130">
        <f t="shared" ca="1" si="6"/>
        <v>0</v>
      </c>
      <c r="N47" s="1130">
        <f t="shared" ca="1" si="15"/>
        <v>6882262143.7902222</v>
      </c>
      <c r="O47" s="1073"/>
      <c r="P47" s="1130">
        <f t="shared" ca="1" si="7"/>
        <v>98539859.321041107</v>
      </c>
      <c r="Q47" s="1130">
        <f t="shared" ca="1" si="8"/>
        <v>6538149036.6007109</v>
      </c>
      <c r="R47" s="1130">
        <f t="shared" ca="1" si="16"/>
        <v>6631761902.9556999</v>
      </c>
      <c r="S47" s="1130">
        <f t="shared" ca="1" si="17"/>
        <v>93612866.354989052</v>
      </c>
      <c r="T47" s="1130">
        <f t="shared" ca="1" si="9"/>
        <v>6538149036.6007109</v>
      </c>
      <c r="U47" s="1132">
        <f t="shared" ca="1" si="10"/>
        <v>0.56167100607728337</v>
      </c>
      <c r="V47" s="1133">
        <f t="shared" ca="1" si="11"/>
        <v>5.0000000000000044E-2</v>
      </c>
      <c r="X47" s="1134">
        <f t="shared" ca="1" si="18"/>
        <v>349040100.15556371</v>
      </c>
      <c r="Y47" s="1134">
        <f t="shared" ca="1" si="12"/>
        <v>4926992.9660520554</v>
      </c>
      <c r="Z47" s="1134">
        <f t="shared" ca="1" si="13"/>
        <v>344113107.18951166</v>
      </c>
      <c r="AA47" s="1132">
        <f t="shared" ca="1" si="14"/>
        <v>0.60096435977197604</v>
      </c>
      <c r="AB47" s="1105"/>
    </row>
    <row r="48" spans="1:28">
      <c r="A48" s="1144">
        <f>'AMORT. PROFILE 0% CPR'!A48</f>
        <v>46139</v>
      </c>
      <c r="C48" s="1104"/>
      <c r="D48" s="1125">
        <f t="shared" ca="1" si="0"/>
        <v>47177</v>
      </c>
      <c r="E48" s="1126">
        <f t="shared" ca="1" si="1"/>
        <v>47204</v>
      </c>
      <c r="F48" s="1127">
        <f t="shared" ca="1" si="2"/>
        <v>1155</v>
      </c>
      <c r="G48" s="1128">
        <f ca="1">IF(F48&lt;&gt;"",COUNTIF($F$11:F48,"&gt;0"),"")</f>
        <v>38</v>
      </c>
      <c r="H48" s="1129">
        <v>7.301176100127843E-3</v>
      </c>
      <c r="I48" s="1128"/>
      <c r="J48" s="1130">
        <f t="shared" ca="1" si="3"/>
        <v>6882262143.7902222</v>
      </c>
      <c r="K48" s="1131">
        <f t="shared" ca="1" si="4"/>
        <v>50248607.879055783</v>
      </c>
      <c r="L48" s="1130">
        <f t="shared" ca="1" si="5"/>
        <v>47307475.844369769</v>
      </c>
      <c r="M48" s="1130">
        <f t="shared" ca="1" si="6"/>
        <v>0</v>
      </c>
      <c r="N48" s="1130">
        <f t="shared" ca="1" si="15"/>
        <v>6784706060.0667963</v>
      </c>
      <c r="O48" s="1073"/>
      <c r="P48" s="1130">
        <f t="shared" ca="1" si="7"/>
        <v>97556083.723425865</v>
      </c>
      <c r="Q48" s="1130">
        <f t="shared" ca="1" si="8"/>
        <v>6445470757.0634565</v>
      </c>
      <c r="R48" s="1130">
        <f t="shared" ca="1" si="16"/>
        <v>6538149036.6007109</v>
      </c>
      <c r="S48" s="1130">
        <f t="shared" ca="1" si="17"/>
        <v>92678279.537254333</v>
      </c>
      <c r="T48" s="1130">
        <f t="shared" ca="1" si="9"/>
        <v>6445470757.0634565</v>
      </c>
      <c r="U48" s="1132">
        <f t="shared" ca="1" si="10"/>
        <v>0.55374255002038675</v>
      </c>
      <c r="V48" s="1133">
        <f t="shared" ca="1" si="11"/>
        <v>5.0000000000000044E-2</v>
      </c>
      <c r="X48" s="1134">
        <f t="shared" ca="1" si="18"/>
        <v>344113107.18951166</v>
      </c>
      <c r="Y48" s="1134">
        <f t="shared" ca="1" si="12"/>
        <v>4877804.1861715317</v>
      </c>
      <c r="Z48" s="1134">
        <f t="shared" ca="1" si="13"/>
        <v>339235303.00334013</v>
      </c>
      <c r="AA48" s="1132">
        <f t="shared" ca="1" si="14"/>
        <v>0.59248124516100487</v>
      </c>
      <c r="AB48" s="1105"/>
    </row>
    <row r="49" spans="1:28">
      <c r="A49" s="1144">
        <f>'AMORT. PROFILE 0% CPR'!A49</f>
        <v>46169</v>
      </c>
      <c r="C49" s="1104"/>
      <c r="D49" s="1125">
        <f t="shared" ca="1" si="0"/>
        <v>47208</v>
      </c>
      <c r="E49" s="1126">
        <f t="shared" ca="1" si="1"/>
        <v>47235</v>
      </c>
      <c r="F49" s="1127">
        <f t="shared" ca="1" si="2"/>
        <v>1186</v>
      </c>
      <c r="G49" s="1128">
        <f ca="1">IF(F49&lt;&gt;"",COUNTIF($F$11:F49,"&gt;0"),"")</f>
        <v>39</v>
      </c>
      <c r="H49" s="1129">
        <v>7.3377156243270942E-3</v>
      </c>
      <c r="I49" s="1128"/>
      <c r="J49" s="1130">
        <f t="shared" ca="1" si="3"/>
        <v>6784706060.0667963</v>
      </c>
      <c r="K49" s="1131">
        <f t="shared" ca="1" si="4"/>
        <v>49784243.663418852</v>
      </c>
      <c r="L49" s="1130">
        <f t="shared" ca="1" si="5"/>
        <v>46635175.628458321</v>
      </c>
      <c r="M49" s="1130">
        <f t="shared" ca="1" si="6"/>
        <v>0</v>
      </c>
      <c r="N49" s="1130">
        <f t="shared" ca="1" si="15"/>
        <v>6688286640.7749195</v>
      </c>
      <c r="O49" s="1073"/>
      <c r="P49" s="1130">
        <f t="shared" ca="1" si="7"/>
        <v>96419419.291876793</v>
      </c>
      <c r="Q49" s="1130">
        <f t="shared" ca="1" si="8"/>
        <v>6353872308.7361736</v>
      </c>
      <c r="R49" s="1130">
        <f t="shared" ca="1" si="16"/>
        <v>6445470757.0634565</v>
      </c>
      <c r="S49" s="1130">
        <f t="shared" ca="1" si="17"/>
        <v>91598448.327282906</v>
      </c>
      <c r="T49" s="1130">
        <f t="shared" ca="1" si="9"/>
        <v>6353872308.7361736</v>
      </c>
      <c r="U49" s="1132">
        <f t="shared" ca="1" si="10"/>
        <v>0.54589324793883875</v>
      </c>
      <c r="V49" s="1133">
        <f t="shared" ca="1" si="11"/>
        <v>4.9999999999999933E-2</v>
      </c>
      <c r="X49" s="1134">
        <f t="shared" ca="1" si="18"/>
        <v>339235303.00334013</v>
      </c>
      <c r="Y49" s="1134">
        <f t="shared" ca="1" si="12"/>
        <v>4820970.9645938873</v>
      </c>
      <c r="Z49" s="1134">
        <f t="shared" ca="1" si="13"/>
        <v>334414332.03874624</v>
      </c>
      <c r="AA49" s="1132">
        <f t="shared" ca="1" si="14"/>
        <v>0.58408282197544792</v>
      </c>
      <c r="AB49" s="1105"/>
    </row>
    <row r="50" spans="1:28">
      <c r="A50" s="1144">
        <f>'AMORT. PROFILE 0% CPR'!A50</f>
        <v>46202</v>
      </c>
      <c r="C50" s="1104"/>
      <c r="D50" s="1125">
        <f t="shared" ca="1" si="0"/>
        <v>47238</v>
      </c>
      <c r="E50" s="1126">
        <f t="shared" ca="1" si="1"/>
        <v>47266</v>
      </c>
      <c r="F50" s="1127">
        <f t="shared" ca="1" si="2"/>
        <v>1217</v>
      </c>
      <c r="G50" s="1128">
        <f ca="1">IF(F50&lt;&gt;"",COUNTIF($F$11:F50,"&gt;0"),"")</f>
        <v>40</v>
      </c>
      <c r="H50" s="1129">
        <v>7.3869780053145723E-3</v>
      </c>
      <c r="I50" s="1128"/>
      <c r="J50" s="1130">
        <f t="shared" ca="1" si="3"/>
        <v>6688286640.7749195</v>
      </c>
      <c r="K50" s="1131">
        <f t="shared" ca="1" si="4"/>
        <v>49406226.308643617</v>
      </c>
      <c r="L50" s="1130">
        <f t="shared" ca="1" si="5"/>
        <v>45970148.213287532</v>
      </c>
      <c r="M50" s="1130">
        <f t="shared" ca="1" si="6"/>
        <v>0</v>
      </c>
      <c r="N50" s="1130">
        <f t="shared" ca="1" si="15"/>
        <v>6592910266.2529888</v>
      </c>
      <c r="O50" s="1073"/>
      <c r="P50" s="1130">
        <f t="shared" ca="1" si="7"/>
        <v>95376374.521930695</v>
      </c>
      <c r="Q50" s="1130">
        <f t="shared" ca="1" si="8"/>
        <v>6263264752.9403391</v>
      </c>
      <c r="R50" s="1130">
        <f t="shared" ca="1" si="16"/>
        <v>6353872308.7361736</v>
      </c>
      <c r="S50" s="1130">
        <f t="shared" ca="1" si="17"/>
        <v>90607555.795834541</v>
      </c>
      <c r="T50" s="1130">
        <f t="shared" ca="1" si="9"/>
        <v>6263264752.9403391</v>
      </c>
      <c r="U50" s="1132">
        <f t="shared" ca="1" si="10"/>
        <v>0.53813540117353598</v>
      </c>
      <c r="V50" s="1133">
        <f t="shared" ca="1" si="11"/>
        <v>5.0000000000000044E-2</v>
      </c>
      <c r="X50" s="1134">
        <f t="shared" ca="1" si="18"/>
        <v>334414332.03874624</v>
      </c>
      <c r="Y50" s="1134">
        <f t="shared" ca="1" si="12"/>
        <v>4768818.7260961533</v>
      </c>
      <c r="Z50" s="1134">
        <f t="shared" ca="1" si="13"/>
        <v>329645513.31265008</v>
      </c>
      <c r="AA50" s="1132">
        <f t="shared" ca="1" si="14"/>
        <v>0.57578225213282752</v>
      </c>
      <c r="AB50" s="1105"/>
    </row>
    <row r="51" spans="1:28">
      <c r="A51" s="1144">
        <f>'AMORT. PROFILE 0% CPR'!A51</f>
        <v>46230</v>
      </c>
      <c r="C51" s="1104"/>
      <c r="D51" s="1125">
        <f t="shared" ca="1" si="0"/>
        <v>47269</v>
      </c>
      <c r="E51" s="1126">
        <f t="shared" ca="1" si="1"/>
        <v>47296</v>
      </c>
      <c r="F51" s="1127">
        <f t="shared" ca="1" si="2"/>
        <v>1247</v>
      </c>
      <c r="G51" s="1128">
        <f ca="1">IF(F51&lt;&gt;"",COUNTIF($F$11:F51,"&gt;0"),"")</f>
        <v>41</v>
      </c>
      <c r="H51" s="1129">
        <v>7.4268595772451918E-3</v>
      </c>
      <c r="I51" s="1128"/>
      <c r="J51" s="1130">
        <f t="shared" ca="1" si="3"/>
        <v>6592910266.2529888</v>
      </c>
      <c r="K51" s="1131">
        <f t="shared" ca="1" si="4"/>
        <v>48964618.752839155</v>
      </c>
      <c r="L51" s="1130">
        <f t="shared" ca="1" si="5"/>
        <v>45312783.562085629</v>
      </c>
      <c r="M51" s="1130">
        <f t="shared" ca="1" si="6"/>
        <v>0</v>
      </c>
      <c r="N51" s="1130">
        <f t="shared" ca="1" si="15"/>
        <v>6498632863.9380646</v>
      </c>
      <c r="O51" s="1073"/>
      <c r="P51" s="1130">
        <f t="shared" ca="1" si="7"/>
        <v>94277402.31492424</v>
      </c>
      <c r="Q51" s="1130">
        <f t="shared" ca="1" si="8"/>
        <v>6173701220.7411613</v>
      </c>
      <c r="R51" s="1130">
        <f t="shared" ca="1" si="16"/>
        <v>6263264752.9403391</v>
      </c>
      <c r="S51" s="1130">
        <f t="shared" ca="1" si="17"/>
        <v>89563532.199177742</v>
      </c>
      <c r="T51" s="1130">
        <f t="shared" ca="1" si="9"/>
        <v>6173701220.7411613</v>
      </c>
      <c r="U51" s="1132">
        <f t="shared" ca="1" si="10"/>
        <v>0.530461477144483</v>
      </c>
      <c r="V51" s="1133">
        <f t="shared" ca="1" si="11"/>
        <v>5.0000000000000044E-2</v>
      </c>
      <c r="X51" s="1134">
        <f t="shared" ca="1" si="18"/>
        <v>329645513.31265008</v>
      </c>
      <c r="Y51" s="1134">
        <f t="shared" ca="1" si="12"/>
        <v>4713870.1157464981</v>
      </c>
      <c r="Z51" s="1134">
        <f t="shared" ca="1" si="13"/>
        <v>324931643.19690359</v>
      </c>
      <c r="AA51" s="1132">
        <f t="shared" ca="1" si="14"/>
        <v>0.56757147608927361</v>
      </c>
      <c r="AB51" s="1105"/>
    </row>
    <row r="52" spans="1:28">
      <c r="A52" s="1144">
        <f>'AMORT. PROFILE 0% CPR'!A52</f>
        <v>46261</v>
      </c>
      <c r="C52" s="1104"/>
      <c r="D52" s="1125">
        <f t="shared" ca="1" si="0"/>
        <v>47299</v>
      </c>
      <c r="E52" s="1126">
        <f t="shared" ca="1" si="1"/>
        <v>47326</v>
      </c>
      <c r="F52" s="1127">
        <f t="shared" ca="1" si="2"/>
        <v>1277</v>
      </c>
      <c r="G52" s="1128">
        <f ca="1">IF(F52&lt;&gt;"",COUNTIF($F$11:F52,"&gt;0"),"")</f>
        <v>42</v>
      </c>
      <c r="H52" s="1129">
        <v>7.4774122960432118E-3</v>
      </c>
      <c r="I52" s="1128"/>
      <c r="J52" s="1130">
        <f t="shared" ca="1" si="3"/>
        <v>6498632863.9380646</v>
      </c>
      <c r="K52" s="1131">
        <f t="shared" ca="1" si="4"/>
        <v>48592957.284280993</v>
      </c>
      <c r="L52" s="1130">
        <f t="shared" ca="1" si="5"/>
        <v>44662544.281471469</v>
      </c>
      <c r="M52" s="1130">
        <f t="shared" ca="1" si="6"/>
        <v>0</v>
      </c>
      <c r="N52" s="1130">
        <f t="shared" ca="1" si="15"/>
        <v>6405377362.3723125</v>
      </c>
      <c r="O52" s="1073"/>
      <c r="P52" s="1130">
        <f t="shared" ca="1" si="7"/>
        <v>93255501.565752029</v>
      </c>
      <c r="Q52" s="1130">
        <f t="shared" ca="1" si="8"/>
        <v>6085108494.2536964</v>
      </c>
      <c r="R52" s="1130">
        <f t="shared" ca="1" si="16"/>
        <v>6173701220.7411613</v>
      </c>
      <c r="S52" s="1130">
        <f t="shared" ca="1" si="17"/>
        <v>88592726.487464905</v>
      </c>
      <c r="T52" s="1130">
        <f t="shared" ca="1" si="9"/>
        <v>6085108494.2536964</v>
      </c>
      <c r="U52" s="1132">
        <f t="shared" ca="1" si="10"/>
        <v>0.52287597573863076</v>
      </c>
      <c r="V52" s="1133">
        <f t="shared" ca="1" si="11"/>
        <v>5.0000000000000044E-2</v>
      </c>
      <c r="X52" s="1134">
        <f t="shared" ca="1" si="18"/>
        <v>324931643.19690359</v>
      </c>
      <c r="Y52" s="1134">
        <f t="shared" ca="1" si="12"/>
        <v>4662775.0782871246</v>
      </c>
      <c r="Z52" s="1134">
        <f t="shared" ca="1" si="13"/>
        <v>320268868.11861646</v>
      </c>
      <c r="AA52" s="1132">
        <f t="shared" ca="1" si="14"/>
        <v>0.55945530853461356</v>
      </c>
      <c r="AB52" s="1105"/>
    </row>
    <row r="53" spans="1:28">
      <c r="A53" s="1144">
        <f>'AMORT. PROFILE 0% CPR'!A53</f>
        <v>46293</v>
      </c>
      <c r="C53" s="1104"/>
      <c r="D53" s="1125">
        <f t="shared" ca="1" si="0"/>
        <v>47330</v>
      </c>
      <c r="E53" s="1126">
        <f t="shared" ca="1" si="1"/>
        <v>47357</v>
      </c>
      <c r="F53" s="1127">
        <f t="shared" ca="1" si="2"/>
        <v>1308</v>
      </c>
      <c r="G53" s="1128">
        <f ca="1">IF(F53&lt;&gt;"",COUNTIF($F$11:F53,"&gt;0"),"")</f>
        <v>43</v>
      </c>
      <c r="H53" s="1129">
        <v>7.5155713887695976E-3</v>
      </c>
      <c r="I53" s="1128"/>
      <c r="J53" s="1130">
        <f t="shared" ca="1" si="3"/>
        <v>6405377362.3723125</v>
      </c>
      <c r="K53" s="1131">
        <f t="shared" ca="1" si="4"/>
        <v>48140070.838917822</v>
      </c>
      <c r="L53" s="1130">
        <f t="shared" ca="1" si="5"/>
        <v>44019943.465471089</v>
      </c>
      <c r="M53" s="1130">
        <f t="shared" ca="1" si="6"/>
        <v>0</v>
      </c>
      <c r="N53" s="1130">
        <f t="shared" ca="1" si="15"/>
        <v>6313217348.0679235</v>
      </c>
      <c r="O53" s="1073"/>
      <c r="P53" s="1130">
        <f t="shared" ca="1" si="7"/>
        <v>92160014.304389</v>
      </c>
      <c r="Q53" s="1130">
        <f t="shared" ca="1" si="8"/>
        <v>5997556480.6645269</v>
      </c>
      <c r="R53" s="1130">
        <f t="shared" ca="1" si="16"/>
        <v>6085108494.2536964</v>
      </c>
      <c r="S53" s="1130">
        <f t="shared" ca="1" si="17"/>
        <v>87552013.589169502</v>
      </c>
      <c r="T53" s="1130">
        <f t="shared" ca="1" si="9"/>
        <v>5997556480.6645269</v>
      </c>
      <c r="U53" s="1132">
        <f t="shared" ca="1" si="10"/>
        <v>0.51537269583421108</v>
      </c>
      <c r="V53" s="1133">
        <f t="shared" ca="1" si="11"/>
        <v>5.0000000000000044E-2</v>
      </c>
      <c r="X53" s="1134">
        <f t="shared" ca="1" si="18"/>
        <v>320268868.11861646</v>
      </c>
      <c r="Y53" s="1134">
        <f t="shared" ca="1" si="12"/>
        <v>4608000.7152194977</v>
      </c>
      <c r="Z53" s="1134">
        <f t="shared" ca="1" si="13"/>
        <v>315660867.40339696</v>
      </c>
      <c r="AA53" s="1132">
        <f t="shared" ca="1" si="14"/>
        <v>0.55142711452929827</v>
      </c>
      <c r="AB53" s="1105"/>
    </row>
    <row r="54" spans="1:28">
      <c r="A54" s="1144">
        <f>'AMORT. PROFILE 0% CPR'!A54</f>
        <v>46322</v>
      </c>
      <c r="C54" s="1104"/>
      <c r="D54" s="1125">
        <f t="shared" ca="1" si="0"/>
        <v>47361</v>
      </c>
      <c r="E54" s="1126">
        <f t="shared" ca="1" si="1"/>
        <v>47388</v>
      </c>
      <c r="F54" s="1127">
        <f t="shared" ca="1" si="2"/>
        <v>1339</v>
      </c>
      <c r="G54" s="1128">
        <f ca="1">IF(F54&lt;&gt;"",COUNTIF($F$11:F54,"&gt;0"),"")</f>
        <v>44</v>
      </c>
      <c r="H54" s="1129">
        <v>7.5564666893313251E-3</v>
      </c>
      <c r="I54" s="1128"/>
      <c r="J54" s="1130">
        <f t="shared" ca="1" si="3"/>
        <v>6313217348.0679235</v>
      </c>
      <c r="K54" s="1131">
        <f t="shared" ca="1" si="4"/>
        <v>47705616.593183912</v>
      </c>
      <c r="L54" s="1130">
        <f t="shared" ca="1" si="5"/>
        <v>43384800.590829909</v>
      </c>
      <c r="M54" s="1130">
        <f t="shared" ca="1" si="6"/>
        <v>0</v>
      </c>
      <c r="N54" s="1130">
        <f t="shared" ca="1" si="15"/>
        <v>6222126930.8839102</v>
      </c>
      <c r="O54" s="1073"/>
      <c r="P54" s="1130">
        <f t="shared" ca="1" si="7"/>
        <v>91090417.184013367</v>
      </c>
      <c r="Q54" s="1130">
        <f t="shared" ca="1" si="8"/>
        <v>5911020584.3397141</v>
      </c>
      <c r="R54" s="1130">
        <f t="shared" ca="1" si="16"/>
        <v>5997556480.6645269</v>
      </c>
      <c r="S54" s="1130">
        <f t="shared" ca="1" si="17"/>
        <v>86535896.324812889</v>
      </c>
      <c r="T54" s="1130">
        <f t="shared" ca="1" si="9"/>
        <v>5911020584.3397141</v>
      </c>
      <c r="U54" s="1132">
        <f t="shared" ca="1" si="10"/>
        <v>0.50795755815642374</v>
      </c>
      <c r="V54" s="1133">
        <f t="shared" ca="1" si="11"/>
        <v>5.0000000000000044E-2</v>
      </c>
      <c r="X54" s="1134">
        <f t="shared" ca="1" si="18"/>
        <v>315660867.40339696</v>
      </c>
      <c r="Y54" s="1134">
        <f t="shared" ca="1" si="12"/>
        <v>4554520.8592004776</v>
      </c>
      <c r="Z54" s="1134">
        <f t="shared" ca="1" si="13"/>
        <v>311106346.54419649</v>
      </c>
      <c r="AA54" s="1132">
        <f t="shared" ca="1" si="14"/>
        <v>0.54349322900033914</v>
      </c>
      <c r="AB54" s="1105"/>
    </row>
    <row r="55" spans="1:28">
      <c r="A55" s="1144">
        <f>'AMORT. PROFILE 0% CPR'!A55</f>
        <v>46353</v>
      </c>
      <c r="C55" s="1104"/>
      <c r="D55" s="1125">
        <f t="shared" ca="1" si="0"/>
        <v>47391</v>
      </c>
      <c r="E55" s="1126">
        <f t="shared" ca="1" si="1"/>
        <v>47420</v>
      </c>
      <c r="F55" s="1127">
        <f t="shared" ca="1" si="2"/>
        <v>1371</v>
      </c>
      <c r="G55" s="1128">
        <f ca="1">IF(F55&lt;&gt;"",COUNTIF($F$11:F55,"&gt;0"),"")</f>
        <v>45</v>
      </c>
      <c r="H55" s="1129">
        <v>7.6021845839023836E-3</v>
      </c>
      <c r="I55" s="1128"/>
      <c r="J55" s="1130">
        <f t="shared" ca="1" si="3"/>
        <v>6222126930.8839102</v>
      </c>
      <c r="K55" s="1131">
        <f t="shared" ca="1" si="4"/>
        <v>47301757.433049515</v>
      </c>
      <c r="L55" s="1130">
        <f t="shared" ca="1" si="5"/>
        <v>42756852.163829088</v>
      </c>
      <c r="M55" s="1130">
        <f t="shared" ca="1" si="6"/>
        <v>0</v>
      </c>
      <c r="N55" s="1130">
        <f t="shared" ca="1" si="15"/>
        <v>6132068321.2870321</v>
      </c>
      <c r="O55" s="1073"/>
      <c r="P55" s="1130">
        <f t="shared" ca="1" si="7"/>
        <v>90058609.596878052</v>
      </c>
      <c r="Q55" s="1130">
        <f t="shared" ca="1" si="8"/>
        <v>5825464905.2226801</v>
      </c>
      <c r="R55" s="1130">
        <f t="shared" ca="1" si="16"/>
        <v>5911020584.3397141</v>
      </c>
      <c r="S55" s="1130">
        <f t="shared" ca="1" si="17"/>
        <v>85555679.117033958</v>
      </c>
      <c r="T55" s="1130">
        <f t="shared" ca="1" si="9"/>
        <v>5825464905.2226801</v>
      </c>
      <c r="U55" s="1132">
        <f t="shared" ca="1" si="10"/>
        <v>0.50062847960055845</v>
      </c>
      <c r="V55" s="1133">
        <f t="shared" ca="1" si="11"/>
        <v>5.0000000000000044E-2</v>
      </c>
      <c r="X55" s="1134">
        <f t="shared" ca="1" si="18"/>
        <v>311106346.54419649</v>
      </c>
      <c r="Y55" s="1134">
        <f t="shared" ca="1" si="12"/>
        <v>4502930.4798440933</v>
      </c>
      <c r="Z55" s="1134">
        <f t="shared" ca="1" si="13"/>
        <v>306603416.06435239</v>
      </c>
      <c r="AA55" s="1132">
        <f t="shared" ca="1" si="14"/>
        <v>0.53565142311328595</v>
      </c>
      <c r="AB55" s="1105"/>
    </row>
    <row r="56" spans="1:28">
      <c r="A56" s="1144">
        <f>'AMORT. PROFILE 0% CPR'!A56</f>
        <v>46384</v>
      </c>
      <c r="C56" s="1104"/>
      <c r="D56" s="1125">
        <f t="shared" ca="1" si="0"/>
        <v>47422</v>
      </c>
      <c r="E56" s="1126">
        <f t="shared" ca="1" si="1"/>
        <v>47449</v>
      </c>
      <c r="F56" s="1127">
        <f t="shared" ca="1" si="2"/>
        <v>1400</v>
      </c>
      <c r="G56" s="1128">
        <f ca="1">IF(F56&lt;&gt;"",COUNTIF($F$11:F56,"&gt;0"),"")</f>
        <v>46</v>
      </c>
      <c r="H56" s="1129">
        <v>7.6384267972855018E-3</v>
      </c>
      <c r="I56" s="1128"/>
      <c r="J56" s="1130">
        <f t="shared" ca="1" si="3"/>
        <v>6132068321.2870321</v>
      </c>
      <c r="K56" s="1131">
        <f t="shared" ca="1" si="4"/>
        <v>46839354.988104388</v>
      </c>
      <c r="L56" s="1130">
        <f t="shared" ca="1" si="5"/>
        <v>42136453.743464723</v>
      </c>
      <c r="M56" s="1130">
        <f t="shared" ca="1" si="6"/>
        <v>0</v>
      </c>
      <c r="N56" s="1130">
        <f t="shared" ca="1" si="15"/>
        <v>6043092512.5554628</v>
      </c>
      <c r="O56" s="1073"/>
      <c r="P56" s="1130">
        <f t="shared" ca="1" si="7"/>
        <v>88975808.73156929</v>
      </c>
      <c r="Q56" s="1130">
        <f t="shared" ca="1" si="8"/>
        <v>5740937886.9276896</v>
      </c>
      <c r="R56" s="1130">
        <f t="shared" ca="1" si="16"/>
        <v>5825464905.2226801</v>
      </c>
      <c r="S56" s="1130">
        <f t="shared" ca="1" si="17"/>
        <v>84527018.29499054</v>
      </c>
      <c r="T56" s="1130">
        <f t="shared" ca="1" si="9"/>
        <v>5740937886.9276896</v>
      </c>
      <c r="U56" s="1132">
        <f t="shared" ca="1" si="10"/>
        <v>0.49338241964417306</v>
      </c>
      <c r="V56" s="1133">
        <f t="shared" ca="1" si="11"/>
        <v>5.0000000000000044E-2</v>
      </c>
      <c r="X56" s="1134">
        <f t="shared" ca="1" si="18"/>
        <v>306603416.06435239</v>
      </c>
      <c r="Y56" s="1134">
        <f t="shared" ca="1" si="12"/>
        <v>4448790.4365787506</v>
      </c>
      <c r="Z56" s="1134">
        <f t="shared" ca="1" si="13"/>
        <v>302154625.62777364</v>
      </c>
      <c r="AA56" s="1132">
        <f t="shared" ca="1" si="14"/>
        <v>0.52789844363697036</v>
      </c>
      <c r="AB56" s="1105"/>
    </row>
    <row r="57" spans="1:28">
      <c r="A57" s="1144">
        <f>'AMORT. PROFILE 0% CPR'!A57</f>
        <v>46414</v>
      </c>
      <c r="C57" s="1104"/>
      <c r="D57" s="1125">
        <f t="shared" ca="1" si="0"/>
        <v>47452</v>
      </c>
      <c r="E57" s="1126">
        <f t="shared" ca="1" si="1"/>
        <v>47479</v>
      </c>
      <c r="F57" s="1127">
        <f t="shared" ca="1" si="2"/>
        <v>1430</v>
      </c>
      <c r="G57" s="1128">
        <f ca="1">IF(F57&lt;&gt;"",COUNTIF($F$11:F57,"&gt;0"),"")</f>
        <v>47</v>
      </c>
      <c r="H57" s="1129">
        <v>7.6781378872437739E-3</v>
      </c>
      <c r="I57" s="1128"/>
      <c r="J57" s="1130">
        <f t="shared" ca="1" si="3"/>
        <v>6043092512.5554628</v>
      </c>
      <c r="K57" s="1131">
        <f t="shared" ca="1" si="4"/>
        <v>46399697.576771274</v>
      </c>
      <c r="L57" s="1130">
        <f t="shared" ca="1" si="5"/>
        <v>41523395.555286393</v>
      </c>
      <c r="M57" s="1130">
        <f t="shared" ca="1" si="6"/>
        <v>0</v>
      </c>
      <c r="N57" s="1130">
        <f t="shared" ca="1" si="15"/>
        <v>5955169419.4234047</v>
      </c>
      <c r="O57" s="1073"/>
      <c r="P57" s="1130">
        <f t="shared" ca="1" si="7"/>
        <v>87923093.132058144</v>
      </c>
      <c r="Q57" s="1130">
        <f t="shared" ca="1" si="8"/>
        <v>5657410948.4522343</v>
      </c>
      <c r="R57" s="1130">
        <f t="shared" ca="1" si="16"/>
        <v>5740937886.9276896</v>
      </c>
      <c r="S57" s="1130">
        <f t="shared" ca="1" si="17"/>
        <v>83526938.475455284</v>
      </c>
      <c r="T57" s="1130">
        <f t="shared" ca="1" si="9"/>
        <v>5657410948.4522343</v>
      </c>
      <c r="U57" s="1132">
        <f t="shared" ca="1" si="10"/>
        <v>0.48622348117485004</v>
      </c>
      <c r="V57" s="1133">
        <f t="shared" ca="1" si="11"/>
        <v>5.0000000000000044E-2</v>
      </c>
      <c r="X57" s="1134">
        <f t="shared" ca="1" si="18"/>
        <v>302154625.62777364</v>
      </c>
      <c r="Y57" s="1134">
        <f t="shared" ca="1" si="12"/>
        <v>4396154.6566028595</v>
      </c>
      <c r="Z57" s="1134">
        <f t="shared" ca="1" si="13"/>
        <v>297758470.97117078</v>
      </c>
      <c r="AA57" s="1132">
        <f t="shared" ca="1" si="14"/>
        <v>0.52023868048859101</v>
      </c>
      <c r="AB57" s="1105"/>
    </row>
    <row r="58" spans="1:28">
      <c r="A58" s="1144">
        <f>'AMORT. PROFILE 0% CPR'!A58</f>
        <v>46444</v>
      </c>
      <c r="C58" s="1104"/>
      <c r="D58" s="1125">
        <f t="shared" ca="1" si="0"/>
        <v>47483</v>
      </c>
      <c r="E58" s="1126">
        <f t="shared" ca="1" si="1"/>
        <v>47511</v>
      </c>
      <c r="F58" s="1127">
        <f t="shared" ca="1" si="2"/>
        <v>1462</v>
      </c>
      <c r="G58" s="1128">
        <f ca="1">IF(F58&lt;&gt;"",COUNTIF($F$11:F58,"&gt;0"),"")</f>
        <v>48</v>
      </c>
      <c r="H58" s="1129">
        <v>7.7188372572796829E-3</v>
      </c>
      <c r="I58" s="1128"/>
      <c r="J58" s="1130">
        <f t="shared" ca="1" si="3"/>
        <v>5955169419.4234047</v>
      </c>
      <c r="K58" s="1131">
        <f t="shared" ca="1" si="4"/>
        <v>45966983.588057995</v>
      </c>
      <c r="L58" s="1130">
        <f t="shared" ca="1" si="5"/>
        <v>40917578.693802886</v>
      </c>
      <c r="M58" s="1130">
        <f t="shared" ca="1" si="6"/>
        <v>0</v>
      </c>
      <c r="N58" s="1130">
        <f t="shared" ca="1" si="15"/>
        <v>5868284857.1415434</v>
      </c>
      <c r="O58" s="1073"/>
      <c r="P58" s="1130">
        <f t="shared" ca="1" si="7"/>
        <v>86884562.281861305</v>
      </c>
      <c r="Q58" s="1130">
        <f t="shared" ca="1" si="8"/>
        <v>5574870614.2844658</v>
      </c>
      <c r="R58" s="1130">
        <f t="shared" ca="1" si="16"/>
        <v>5657410948.4522343</v>
      </c>
      <c r="S58" s="1130">
        <f t="shared" ca="1" si="17"/>
        <v>82540334.167768478</v>
      </c>
      <c r="T58" s="1130">
        <f t="shared" ca="1" si="9"/>
        <v>5574870614.2844658</v>
      </c>
      <c r="U58" s="1132">
        <f t="shared" ca="1" si="10"/>
        <v>0.47914924355073468</v>
      </c>
      <c r="V58" s="1133">
        <f t="shared" ca="1" si="11"/>
        <v>5.0000000000000044E-2</v>
      </c>
      <c r="X58" s="1134">
        <f t="shared" ca="1" si="18"/>
        <v>297758470.97117078</v>
      </c>
      <c r="Y58" s="1134">
        <f t="shared" ca="1" si="12"/>
        <v>4344228.1140928268</v>
      </c>
      <c r="Z58" s="1134">
        <f t="shared" ca="1" si="13"/>
        <v>293414242.85707796</v>
      </c>
      <c r="AA58" s="1132">
        <f t="shared" ca="1" si="14"/>
        <v>0.51266954368314532</v>
      </c>
      <c r="AB58" s="1105"/>
    </row>
    <row r="59" spans="1:28">
      <c r="A59" s="1144">
        <f>'AMORT. PROFILE 0% CPR'!A59</f>
        <v>46476</v>
      </c>
      <c r="C59" s="1104"/>
      <c r="D59" s="1125">
        <f t="shared" ca="1" si="0"/>
        <v>47514</v>
      </c>
      <c r="E59" s="1126">
        <f t="shared" ca="1" si="1"/>
        <v>47541</v>
      </c>
      <c r="F59" s="1127">
        <f t="shared" ca="1" si="2"/>
        <v>1492</v>
      </c>
      <c r="G59" s="1128">
        <f ca="1">IF(F59&lt;&gt;"",COUNTIF($F$11:F59,"&gt;0"),"")</f>
        <v>49</v>
      </c>
      <c r="H59" s="1129">
        <v>7.7639577829733165E-3</v>
      </c>
      <c r="I59" s="1128"/>
      <c r="J59" s="1130">
        <f t="shared" ca="1" si="3"/>
        <v>5868284857.1415434</v>
      </c>
      <c r="K59" s="1131">
        <f t="shared" ca="1" si="4"/>
        <v>45561115.889308542</v>
      </c>
      <c r="L59" s="1130">
        <f t="shared" ca="1" si="5"/>
        <v>40318767.123313576</v>
      </c>
      <c r="M59" s="1130">
        <f t="shared" ca="1" si="6"/>
        <v>0</v>
      </c>
      <c r="N59" s="1130">
        <f t="shared" ca="1" si="15"/>
        <v>5782404974.1289206</v>
      </c>
      <c r="O59" s="1073"/>
      <c r="P59" s="1130">
        <f t="shared" ca="1" si="7"/>
        <v>85879883.012622833</v>
      </c>
      <c r="Q59" s="1130">
        <f t="shared" ca="1" si="8"/>
        <v>5493284725.4224739</v>
      </c>
      <c r="R59" s="1130">
        <f t="shared" ca="1" si="16"/>
        <v>5574870614.2844658</v>
      </c>
      <c r="S59" s="1130">
        <f t="shared" ca="1" si="17"/>
        <v>81585888.861991882</v>
      </c>
      <c r="T59" s="1130">
        <f t="shared" ca="1" si="9"/>
        <v>5493284725.4224739</v>
      </c>
      <c r="U59" s="1132">
        <f t="shared" ca="1" si="10"/>
        <v>0.47215856547568141</v>
      </c>
      <c r="V59" s="1133">
        <f t="shared" ca="1" si="11"/>
        <v>5.0000000000000155E-2</v>
      </c>
      <c r="X59" s="1134">
        <f t="shared" ca="1" si="18"/>
        <v>293414242.85707796</v>
      </c>
      <c r="Y59" s="1134">
        <f t="shared" ca="1" si="12"/>
        <v>4293994.1506309509</v>
      </c>
      <c r="Z59" s="1134">
        <f t="shared" ca="1" si="13"/>
        <v>289120248.70644701</v>
      </c>
      <c r="AA59" s="1132">
        <f t="shared" ca="1" si="14"/>
        <v>0.50518981208174574</v>
      </c>
      <c r="AB59" s="1105"/>
    </row>
    <row r="60" spans="1:28">
      <c r="A60" s="1144">
        <f>'AMORT. PROFILE 0% CPR'!A60</f>
        <v>46504</v>
      </c>
      <c r="C60" s="1104"/>
      <c r="D60" s="1125">
        <f t="shared" ca="1" si="0"/>
        <v>47542</v>
      </c>
      <c r="E60" s="1126">
        <f t="shared" ca="1" si="1"/>
        <v>47569</v>
      </c>
      <c r="F60" s="1127">
        <f t="shared" ca="1" si="2"/>
        <v>1520</v>
      </c>
      <c r="G60" s="1128">
        <f ca="1">IF(F60&lt;&gt;"",COUNTIF($F$11:F60,"&gt;0"),"")</f>
        <v>50</v>
      </c>
      <c r="H60" s="1129">
        <v>7.8246363860947302E-3</v>
      </c>
      <c r="I60" s="1128"/>
      <c r="J60" s="1130">
        <f t="shared" ca="1" si="3"/>
        <v>5782404974.1289206</v>
      </c>
      <c r="K60" s="1131">
        <f t="shared" ca="1" si="4"/>
        <v>45245216.359704308</v>
      </c>
      <c r="L60" s="1130">
        <f t="shared" ca="1" si="5"/>
        <v>39726289.362475663</v>
      </c>
      <c r="M60" s="1130">
        <f t="shared" ca="1" si="6"/>
        <v>0</v>
      </c>
      <c r="N60" s="1130">
        <f t="shared" ca="1" si="15"/>
        <v>5697433468.4067411</v>
      </c>
      <c r="O60" s="1073"/>
      <c r="P60" s="1130">
        <f t="shared" ca="1" si="7"/>
        <v>84971505.722179413</v>
      </c>
      <c r="Q60" s="1130">
        <f t="shared" ca="1" si="8"/>
        <v>5412561794.9864035</v>
      </c>
      <c r="R60" s="1130">
        <f t="shared" ca="1" si="16"/>
        <v>5493284725.4224739</v>
      </c>
      <c r="S60" s="1130">
        <f t="shared" ca="1" si="17"/>
        <v>80722930.436070442</v>
      </c>
      <c r="T60" s="1130">
        <f t="shared" ca="1" si="9"/>
        <v>5412561794.9864035</v>
      </c>
      <c r="U60" s="1132">
        <f t="shared" ca="1" si="10"/>
        <v>0.4652487232724502</v>
      </c>
      <c r="V60" s="1133">
        <f t="shared" ca="1" si="11"/>
        <v>5.0000000000000155E-2</v>
      </c>
      <c r="X60" s="1134">
        <f t="shared" ca="1" si="18"/>
        <v>289120248.70644701</v>
      </c>
      <c r="Y60" s="1134">
        <f t="shared" ca="1" si="12"/>
        <v>4248575.2861089706</v>
      </c>
      <c r="Z60" s="1134">
        <f t="shared" ca="1" si="13"/>
        <v>284871673.42033803</v>
      </c>
      <c r="AA60" s="1132">
        <f t="shared" ca="1" si="14"/>
        <v>0.49779657146426826</v>
      </c>
      <c r="AB60" s="1105"/>
    </row>
    <row r="61" spans="1:28">
      <c r="A61" s="1144">
        <f>'AMORT. PROFILE 0% CPR'!A61</f>
        <v>46534</v>
      </c>
      <c r="C61" s="1104"/>
      <c r="D61" s="1125">
        <f t="shared" ca="1" si="0"/>
        <v>47573</v>
      </c>
      <c r="E61" s="1126">
        <f t="shared" ca="1" si="1"/>
        <v>47602</v>
      </c>
      <c r="F61" s="1127">
        <f t="shared" ca="1" si="2"/>
        <v>1553</v>
      </c>
      <c r="G61" s="1128">
        <f ca="1">IF(F61&lt;&gt;"",COUNTIF($F$11:F61,"&gt;0"),"")</f>
        <v>51</v>
      </c>
      <c r="H61" s="1129">
        <v>7.86624215048249E-3</v>
      </c>
      <c r="I61" s="1128"/>
      <c r="J61" s="1130">
        <f t="shared" ca="1" si="3"/>
        <v>5697433468.4067411</v>
      </c>
      <c r="K61" s="1131">
        <f t="shared" ca="1" si="4"/>
        <v>44817391.298750758</v>
      </c>
      <c r="L61" s="1130">
        <f t="shared" ca="1" si="5"/>
        <v>39140876.568772577</v>
      </c>
      <c r="M61" s="1130">
        <f t="shared" ca="1" si="6"/>
        <v>0</v>
      </c>
      <c r="N61" s="1130">
        <f t="shared" ca="1" si="15"/>
        <v>5613475200.5392179</v>
      </c>
      <c r="O61" s="1073"/>
      <c r="P61" s="1130">
        <f t="shared" ca="1" si="7"/>
        <v>83958267.867523193</v>
      </c>
      <c r="Q61" s="1130">
        <f t="shared" ca="1" si="8"/>
        <v>5332801440.5122566</v>
      </c>
      <c r="R61" s="1130">
        <f t="shared" ca="1" si="16"/>
        <v>5412561794.9864035</v>
      </c>
      <c r="S61" s="1130">
        <f t="shared" ca="1" si="17"/>
        <v>79760354.474146843</v>
      </c>
      <c r="T61" s="1130">
        <f t="shared" ca="1" si="9"/>
        <v>5332801440.5122566</v>
      </c>
      <c r="U61" s="1132">
        <f t="shared" ca="1" si="10"/>
        <v>0.45841196854346528</v>
      </c>
      <c r="V61" s="1133">
        <f t="shared" ca="1" si="11"/>
        <v>5.0000000000000044E-2</v>
      </c>
      <c r="X61" s="1134">
        <f t="shared" ca="1" si="18"/>
        <v>284871673.42033803</v>
      </c>
      <c r="Y61" s="1134">
        <f t="shared" ca="1" si="12"/>
        <v>4197913.3933763504</v>
      </c>
      <c r="Z61" s="1134">
        <f t="shared" ca="1" si="13"/>
        <v>280673760.02696168</v>
      </c>
      <c r="AA61" s="1132">
        <f t="shared" ca="1" si="14"/>
        <v>0.49048153137110545</v>
      </c>
      <c r="AB61" s="1105"/>
    </row>
    <row r="62" spans="1:28">
      <c r="A62" s="1144">
        <f>'AMORT. PROFILE 0% CPR'!A62</f>
        <v>46566</v>
      </c>
      <c r="C62" s="1104"/>
      <c r="D62" s="1125">
        <f t="shared" ca="1" si="0"/>
        <v>47603</v>
      </c>
      <c r="E62" s="1126">
        <f t="shared" ca="1" si="1"/>
        <v>47630</v>
      </c>
      <c r="F62" s="1127">
        <f t="shared" ca="1" si="2"/>
        <v>1581</v>
      </c>
      <c r="G62" s="1128">
        <f ca="1">IF(F62&lt;&gt;"",COUNTIF($F$11:F62,"&gt;0"),"")</f>
        <v>52</v>
      </c>
      <c r="H62" s="1129">
        <v>7.9181245132533048E-3</v>
      </c>
      <c r="I62" s="1128"/>
      <c r="J62" s="1130">
        <f t="shared" ca="1" si="3"/>
        <v>5613475200.5392179</v>
      </c>
      <c r="K62" s="1131">
        <f t="shared" ca="1" si="4"/>
        <v>44448195.589929089</v>
      </c>
      <c r="L62" s="1130">
        <f t="shared" ca="1" si="5"/>
        <v>38562073.849601202</v>
      </c>
      <c r="M62" s="1130">
        <f t="shared" ca="1" si="6"/>
        <v>0</v>
      </c>
      <c r="N62" s="1130">
        <f t="shared" ca="1" si="15"/>
        <v>5530464931.0996885</v>
      </c>
      <c r="O62" s="1073"/>
      <c r="P62" s="1130">
        <f t="shared" ca="1" si="7"/>
        <v>83010269.439529419</v>
      </c>
      <c r="Q62" s="1130">
        <f t="shared" ca="1" si="8"/>
        <v>5253941684.5447035</v>
      </c>
      <c r="R62" s="1130">
        <f t="shared" ca="1" si="16"/>
        <v>5332801440.5122566</v>
      </c>
      <c r="S62" s="1130">
        <f t="shared" ca="1" si="17"/>
        <v>78859755.967553139</v>
      </c>
      <c r="T62" s="1130">
        <f t="shared" ca="1" si="9"/>
        <v>5253941684.5447035</v>
      </c>
      <c r="U62" s="1132">
        <f t="shared" ca="1" si="10"/>
        <v>0.45165673830478492</v>
      </c>
      <c r="V62" s="1133">
        <f t="shared" ca="1" si="11"/>
        <v>5.0000000000000155E-2</v>
      </c>
      <c r="X62" s="1134">
        <f t="shared" ca="1" si="18"/>
        <v>280673760.02696168</v>
      </c>
      <c r="Y62" s="1134">
        <f t="shared" ca="1" si="12"/>
        <v>4150513.4719762802</v>
      </c>
      <c r="Z62" s="1134">
        <f t="shared" ca="1" si="13"/>
        <v>276523246.5549854</v>
      </c>
      <c r="AA62" s="1132">
        <f t="shared" ca="1" si="14"/>
        <v>0.48325371905468611</v>
      </c>
      <c r="AB62" s="1105"/>
    </row>
    <row r="63" spans="1:28">
      <c r="A63" s="1144">
        <f>'AMORT. PROFILE 0% CPR'!A63</f>
        <v>46595</v>
      </c>
      <c r="C63" s="1104"/>
      <c r="D63" s="1125">
        <f t="shared" ca="1" si="0"/>
        <v>47634</v>
      </c>
      <c r="E63" s="1126">
        <f t="shared" ca="1" si="1"/>
        <v>47661</v>
      </c>
      <c r="F63" s="1127">
        <f t="shared" ca="1" si="2"/>
        <v>1612</v>
      </c>
      <c r="G63" s="1128">
        <f ca="1">IF(F63&lt;&gt;"",COUNTIF($F$11:F63,"&gt;0"),"")</f>
        <v>53</v>
      </c>
      <c r="H63" s="1129">
        <v>7.9633707574121373E-3</v>
      </c>
      <c r="I63" s="1128"/>
      <c r="J63" s="1130">
        <f t="shared" ca="1" si="3"/>
        <v>5530464931.0996885</v>
      </c>
      <c r="K63" s="1131">
        <f t="shared" ca="1" si="4"/>
        <v>44041142.70721259</v>
      </c>
      <c r="L63" s="1130">
        <f t="shared" ca="1" si="5"/>
        <v>37990097.571833551</v>
      </c>
      <c r="M63" s="1130">
        <f t="shared" ca="1" si="6"/>
        <v>0</v>
      </c>
      <c r="N63" s="1130">
        <f t="shared" ca="1" si="15"/>
        <v>5448433690.8206425</v>
      </c>
      <c r="O63" s="1073"/>
      <c r="P63" s="1130">
        <f t="shared" ca="1" si="7"/>
        <v>82031240.279046059</v>
      </c>
      <c r="Q63" s="1130">
        <f t="shared" ca="1" si="8"/>
        <v>5176012006.2796097</v>
      </c>
      <c r="R63" s="1130">
        <f t="shared" ca="1" si="16"/>
        <v>5253941684.5447035</v>
      </c>
      <c r="S63" s="1130">
        <f t="shared" ca="1" si="17"/>
        <v>77929678.265093803</v>
      </c>
      <c r="T63" s="1130">
        <f t="shared" ca="1" si="9"/>
        <v>5176012006.2796097</v>
      </c>
      <c r="U63" s="1132">
        <f t="shared" ca="1" si="10"/>
        <v>0.44497778343254146</v>
      </c>
      <c r="V63" s="1133">
        <f t="shared" ca="1" si="11"/>
        <v>5.0000000000000155E-2</v>
      </c>
      <c r="X63" s="1134">
        <f t="shared" ca="1" si="18"/>
        <v>276523246.5549854</v>
      </c>
      <c r="Y63" s="1134">
        <f t="shared" ca="1" si="12"/>
        <v>4101562.0139522552</v>
      </c>
      <c r="Z63" s="1134">
        <f t="shared" ca="1" si="13"/>
        <v>272421684.54103315</v>
      </c>
      <c r="AA63" s="1132">
        <f t="shared" ca="1" si="14"/>
        <v>0.47610751817318425</v>
      </c>
      <c r="AB63" s="1105"/>
    </row>
    <row r="64" spans="1:28">
      <c r="A64" s="1144">
        <f>'AMORT. PROFILE 0% CPR'!A64</f>
        <v>46626</v>
      </c>
      <c r="C64" s="1104"/>
      <c r="D64" s="1125">
        <f t="shared" ca="1" si="0"/>
        <v>47664</v>
      </c>
      <c r="E64" s="1126">
        <f t="shared" ca="1" si="1"/>
        <v>47693</v>
      </c>
      <c r="F64" s="1127">
        <f t="shared" ca="1" si="2"/>
        <v>1644</v>
      </c>
      <c r="G64" s="1128">
        <f ca="1">IF(F64&lt;&gt;"",COUNTIF($F$11:F64,"&gt;0"),"")</f>
        <v>54</v>
      </c>
      <c r="H64" s="1129">
        <v>8.0161210986723595E-3</v>
      </c>
      <c r="I64" s="1128"/>
      <c r="J64" s="1130">
        <f t="shared" ca="1" si="3"/>
        <v>5448433690.8206425</v>
      </c>
      <c r="K64" s="1131">
        <f t="shared" ca="1" si="4"/>
        <v>43675304.263704665</v>
      </c>
      <c r="L64" s="1130">
        <f t="shared" ca="1" si="5"/>
        <v>37424615.08203046</v>
      </c>
      <c r="M64" s="1130">
        <f t="shared" ca="1" si="6"/>
        <v>0</v>
      </c>
      <c r="N64" s="1130">
        <f t="shared" ca="1" si="15"/>
        <v>5367333771.4749079</v>
      </c>
      <c r="O64" s="1073"/>
      <c r="P64" s="1130">
        <f t="shared" ca="1" si="7"/>
        <v>81099919.345734596</v>
      </c>
      <c r="Q64" s="1130">
        <f t="shared" ca="1" si="8"/>
        <v>5098967082.9011621</v>
      </c>
      <c r="R64" s="1130">
        <f t="shared" ca="1" si="16"/>
        <v>5176012006.2796097</v>
      </c>
      <c r="S64" s="1130">
        <f t="shared" ca="1" si="17"/>
        <v>77044923.378447533</v>
      </c>
      <c r="T64" s="1130">
        <f t="shared" ca="1" si="9"/>
        <v>5098967082.9011621</v>
      </c>
      <c r="U64" s="1132">
        <f t="shared" ca="1" si="10"/>
        <v>0.43837760064025422</v>
      </c>
      <c r="V64" s="1133">
        <f t="shared" ca="1" si="11"/>
        <v>5.0000000000000044E-2</v>
      </c>
      <c r="X64" s="1134">
        <f t="shared" ca="1" si="18"/>
        <v>272421684.54103315</v>
      </c>
      <c r="Y64" s="1134">
        <f t="shared" ca="1" si="12"/>
        <v>4054995.9672870636</v>
      </c>
      <c r="Z64" s="1134">
        <f t="shared" ca="1" si="13"/>
        <v>268366688.57374609</v>
      </c>
      <c r="AA64" s="1132">
        <f t="shared" ca="1" si="14"/>
        <v>0.46904560010508461</v>
      </c>
      <c r="AB64" s="1105"/>
    </row>
    <row r="65" spans="1:29">
      <c r="A65" s="1144">
        <f>'AMORT. PROFILE 0% CPR'!A65</f>
        <v>46657</v>
      </c>
      <c r="C65" s="1104"/>
      <c r="D65" s="1125">
        <f t="shared" ca="1" si="0"/>
        <v>47695</v>
      </c>
      <c r="E65" s="1126">
        <f t="shared" ca="1" si="1"/>
        <v>47722</v>
      </c>
      <c r="F65" s="1127">
        <f t="shared" ca="1" si="2"/>
        <v>1673</v>
      </c>
      <c r="G65" s="1128">
        <f ca="1">IF(F65&lt;&gt;"",COUNTIF($F$11:F65,"&gt;0"),"")</f>
        <v>55</v>
      </c>
      <c r="H65" s="1129">
        <v>8.0604177340755125E-3</v>
      </c>
      <c r="I65" s="1128"/>
      <c r="J65" s="1130">
        <f t="shared" ca="1" si="3"/>
        <v>5367333771.4749079</v>
      </c>
      <c r="K65" s="1131">
        <f t="shared" ca="1" si="4"/>
        <v>43262952.316298753</v>
      </c>
      <c r="L65" s="1130">
        <f t="shared" ca="1" si="5"/>
        <v>36865903.492017731</v>
      </c>
      <c r="M65" s="1130">
        <f t="shared" ca="1" si="6"/>
        <v>0</v>
      </c>
      <c r="N65" s="1130">
        <f t="shared" ca="1" si="15"/>
        <v>5287204915.6665916</v>
      </c>
      <c r="O65" s="1073"/>
      <c r="P65" s="1130">
        <f t="shared" ca="1" si="7"/>
        <v>80128855.808316231</v>
      </c>
      <c r="Q65" s="1130">
        <f t="shared" ca="1" si="8"/>
        <v>5022844669.8832617</v>
      </c>
      <c r="R65" s="1130">
        <f t="shared" ca="1" si="16"/>
        <v>5098967082.9011621</v>
      </c>
      <c r="S65" s="1130">
        <f t="shared" ca="1" si="17"/>
        <v>76122413.017900467</v>
      </c>
      <c r="T65" s="1130">
        <f t="shared" ca="1" si="9"/>
        <v>5022844669.8832617</v>
      </c>
      <c r="U65" s="1132">
        <f t="shared" ca="1" si="10"/>
        <v>0.43185235135350991</v>
      </c>
      <c r="V65" s="1133">
        <f t="shared" ca="1" si="11"/>
        <v>5.0000000000000044E-2</v>
      </c>
      <c r="X65" s="1134">
        <f t="shared" ca="1" si="18"/>
        <v>268366688.57374609</v>
      </c>
      <c r="Y65" s="1134">
        <f t="shared" ca="1" si="12"/>
        <v>4006442.7904157639</v>
      </c>
      <c r="Z65" s="1134">
        <f t="shared" ca="1" si="13"/>
        <v>264360245.78333032</v>
      </c>
      <c r="AA65" s="1132">
        <f t="shared" ca="1" si="14"/>
        <v>0.46206385773716613</v>
      </c>
      <c r="AB65" s="1105"/>
    </row>
    <row r="66" spans="1:29">
      <c r="A66" s="1144">
        <f>'AMORT. PROFILE 0% CPR'!A66</f>
        <v>46687</v>
      </c>
      <c r="C66" s="1104"/>
      <c r="D66" s="1125">
        <f t="shared" ca="1" si="0"/>
        <v>47726</v>
      </c>
      <c r="E66" s="1126">
        <f t="shared" ca="1" si="1"/>
        <v>47753</v>
      </c>
      <c r="F66" s="1127">
        <f t="shared" ca="1" si="2"/>
        <v>1704</v>
      </c>
      <c r="G66" s="1128">
        <f ca="1">IF(F66&lt;&gt;"",COUNTIF($F$11:F66,"&gt;0"),"")</f>
        <v>56</v>
      </c>
      <c r="H66" s="1129">
        <v>8.1077891435882166E-3</v>
      </c>
      <c r="I66" s="1128"/>
      <c r="J66" s="1130">
        <f t="shared" ca="1" si="3"/>
        <v>5287204915.6665916</v>
      </c>
      <c r="K66" s="1131">
        <f t="shared" ca="1" si="4"/>
        <v>42867542.615167841</v>
      </c>
      <c r="L66" s="1130">
        <f t="shared" ca="1" si="5"/>
        <v>36313798.602898695</v>
      </c>
      <c r="M66" s="1130">
        <f t="shared" ca="1" si="6"/>
        <v>0</v>
      </c>
      <c r="N66" s="1130">
        <f t="shared" ca="1" si="15"/>
        <v>5208023574.4485254</v>
      </c>
      <c r="O66" s="1073"/>
      <c r="P66" s="1130">
        <f t="shared" ca="1" si="7"/>
        <v>79181341.218066216</v>
      </c>
      <c r="Q66" s="1130">
        <f t="shared" ca="1" si="8"/>
        <v>4947622395.726099</v>
      </c>
      <c r="R66" s="1130">
        <f t="shared" ca="1" si="16"/>
        <v>5022844669.8832617</v>
      </c>
      <c r="S66" s="1130">
        <f t="shared" ca="1" si="17"/>
        <v>75222274.157162666</v>
      </c>
      <c r="T66" s="1130">
        <f t="shared" ca="1" si="9"/>
        <v>4947622395.726099</v>
      </c>
      <c r="U66" s="1132">
        <f t="shared" ca="1" si="10"/>
        <v>0.42540523323762297</v>
      </c>
      <c r="V66" s="1133">
        <f t="shared" ca="1" si="11"/>
        <v>5.0000000000000044E-2</v>
      </c>
      <c r="X66" s="1134">
        <f t="shared" ca="1" si="18"/>
        <v>264360245.78333032</v>
      </c>
      <c r="Y66" s="1134">
        <f t="shared" ca="1" si="12"/>
        <v>3959067.0609035492</v>
      </c>
      <c r="Z66" s="1134">
        <f t="shared" ca="1" si="13"/>
        <v>260401178.72242677</v>
      </c>
      <c r="AA66" s="1132">
        <f t="shared" ca="1" si="14"/>
        <v>0.45516571243686349</v>
      </c>
      <c r="AB66" s="1105"/>
    </row>
    <row r="67" spans="1:29">
      <c r="A67" s="1144">
        <f>'AMORT. PROFILE 0% CPR'!A67</f>
        <v>46720</v>
      </c>
      <c r="C67" s="1104"/>
      <c r="D67" s="1125">
        <f t="shared" ca="1" si="0"/>
        <v>47756</v>
      </c>
      <c r="E67" s="1126">
        <f t="shared" ca="1" si="1"/>
        <v>47784</v>
      </c>
      <c r="F67" s="1127">
        <f t="shared" ca="1" si="2"/>
        <v>1735</v>
      </c>
      <c r="G67" s="1128">
        <f ca="1">IF(F67&lt;&gt;"",COUNTIF($F$11:F67,"&gt;0"),"")</f>
        <v>57</v>
      </c>
      <c r="H67" s="1129">
        <v>8.1599804012892924E-3</v>
      </c>
      <c r="I67" s="1128"/>
      <c r="J67" s="1130">
        <f t="shared" ca="1" si="3"/>
        <v>5208023574.4485254</v>
      </c>
      <c r="K67" s="1131">
        <f t="shared" ca="1" si="4"/>
        <v>42497370.296952575</v>
      </c>
      <c r="L67" s="1130">
        <f t="shared" ca="1" si="5"/>
        <v>35768079.914052591</v>
      </c>
      <c r="M67" s="1130">
        <f t="shared" ca="1" si="6"/>
        <v>0</v>
      </c>
      <c r="N67" s="1130">
        <f t="shared" ca="1" si="15"/>
        <v>5129758124.2375202</v>
      </c>
      <c r="O67" s="1073"/>
      <c r="P67" s="1130">
        <f t="shared" ca="1" si="7"/>
        <v>78265450.211005211</v>
      </c>
      <c r="Q67" s="1130">
        <f t="shared" ca="1" si="8"/>
        <v>4873270218.0256443</v>
      </c>
      <c r="R67" s="1130">
        <f t="shared" ca="1" si="16"/>
        <v>4947622395.726099</v>
      </c>
      <c r="S67" s="1130">
        <f t="shared" ca="1" si="17"/>
        <v>74352177.700454712</v>
      </c>
      <c r="T67" s="1130">
        <f t="shared" ca="1" si="9"/>
        <v>4873270218.0256443</v>
      </c>
      <c r="U67" s="1132">
        <f t="shared" ca="1" si="10"/>
        <v>0.41903435155888774</v>
      </c>
      <c r="V67" s="1133">
        <f t="shared" ca="1" si="11"/>
        <v>4.9999999999999933E-2</v>
      </c>
      <c r="X67" s="1134">
        <f t="shared" ca="1" si="18"/>
        <v>260401178.72242677</v>
      </c>
      <c r="Y67" s="1134">
        <f t="shared" ca="1" si="12"/>
        <v>3913272.510550499</v>
      </c>
      <c r="Z67" s="1134">
        <f t="shared" ca="1" si="13"/>
        <v>256487906.21187627</v>
      </c>
      <c r="AA67" s="1132">
        <f t="shared" ca="1" si="14"/>
        <v>0.44834913691877887</v>
      </c>
      <c r="AB67" s="1105"/>
    </row>
    <row r="68" spans="1:29">
      <c r="A68" s="1144">
        <f>'AMORT. PROFILE 0% CPR'!A68</f>
        <v>46748</v>
      </c>
      <c r="C68" s="1104"/>
      <c r="D68" s="1125">
        <f t="shared" ca="1" si="0"/>
        <v>47787</v>
      </c>
      <c r="E68" s="1126">
        <f t="shared" ca="1" si="1"/>
        <v>47814</v>
      </c>
      <c r="F68" s="1127">
        <f t="shared" ca="1" si="2"/>
        <v>1765</v>
      </c>
      <c r="G68" s="1128">
        <f ca="1">IF(F68&lt;&gt;"",COUNTIF($F$11:F68,"&gt;0"),"")</f>
        <v>58</v>
      </c>
      <c r="H68" s="1129">
        <v>8.1913894371840826E-3</v>
      </c>
      <c r="I68" s="1128"/>
      <c r="J68" s="1130">
        <f t="shared" ca="1" si="3"/>
        <v>5129758124.2375202</v>
      </c>
      <c r="K68" s="1131">
        <f t="shared" ca="1" si="4"/>
        <v>42019846.514188454</v>
      </c>
      <c r="L68" s="1130">
        <f t="shared" ca="1" si="5"/>
        <v>35229446.547601439</v>
      </c>
      <c r="M68" s="1130">
        <f t="shared" ca="1" si="6"/>
        <v>0</v>
      </c>
      <c r="N68" s="1130">
        <f t="shared" ca="1" si="15"/>
        <v>5052508831.1757298</v>
      </c>
      <c r="O68" s="1073"/>
      <c r="P68" s="1130">
        <f t="shared" ca="1" si="7"/>
        <v>77249293.061790466</v>
      </c>
      <c r="Q68" s="1130">
        <f t="shared" ca="1" si="8"/>
        <v>4799883389.6169434</v>
      </c>
      <c r="R68" s="1130">
        <f t="shared" ca="1" si="16"/>
        <v>4873270218.0256443</v>
      </c>
      <c r="S68" s="1130">
        <f t="shared" ca="1" si="17"/>
        <v>73386828.408700943</v>
      </c>
      <c r="T68" s="1130">
        <f t="shared" ca="1" si="9"/>
        <v>4799883389.6169434</v>
      </c>
      <c r="U68" s="1132">
        <f t="shared" ca="1" si="10"/>
        <v>0.41273716190338472</v>
      </c>
      <c r="V68" s="1133">
        <f t="shared" ca="1" si="11"/>
        <v>4.9999999999999933E-2</v>
      </c>
      <c r="X68" s="1134">
        <f t="shared" ca="1" si="18"/>
        <v>256487906.21187627</v>
      </c>
      <c r="Y68" s="1134">
        <f t="shared" ca="1" si="12"/>
        <v>3862464.6530895233</v>
      </c>
      <c r="Z68" s="1134">
        <f t="shared" ca="1" si="13"/>
        <v>252625441.55878675</v>
      </c>
      <c r="AA68" s="1132">
        <f t="shared" ca="1" si="14"/>
        <v>0.44161140876700461</v>
      </c>
      <c r="AB68" s="1105"/>
    </row>
    <row r="69" spans="1:29">
      <c r="A69" s="1144">
        <f>'AMORT. PROFILE 0% CPR'!A69</f>
        <v>46779</v>
      </c>
      <c r="C69" s="1104"/>
      <c r="D69" s="1125">
        <f t="shared" ca="1" si="0"/>
        <v>47817</v>
      </c>
      <c r="E69" s="1126">
        <f t="shared" ca="1" si="1"/>
        <v>47844</v>
      </c>
      <c r="F69" s="1127">
        <f t="shared" ca="1" si="2"/>
        <v>1795</v>
      </c>
      <c r="G69" s="1128">
        <f ca="1">IF(F69&lt;&gt;"",COUNTIF($F$11:F69,"&gt;0"),"")</f>
        <v>59</v>
      </c>
      <c r="H69" s="1129">
        <v>8.2464933015456848E-3</v>
      </c>
      <c r="I69" s="1128"/>
      <c r="J69" s="1130">
        <f t="shared" ca="1" si="3"/>
        <v>5052508831.1757298</v>
      </c>
      <c r="K69" s="1131">
        <f t="shared" ca="1" si="4"/>
        <v>41665480.232291073</v>
      </c>
      <c r="L69" s="1130">
        <f t="shared" ca="1" si="5"/>
        <v>34696996.652402394</v>
      </c>
      <c r="M69" s="1130">
        <f t="shared" ca="1" si="6"/>
        <v>0</v>
      </c>
      <c r="N69" s="1130">
        <f t="shared" ca="1" si="15"/>
        <v>4976146354.2910366</v>
      </c>
      <c r="O69" s="1073"/>
      <c r="P69" s="1130">
        <f t="shared" ca="1" si="7"/>
        <v>76362476.884693146</v>
      </c>
      <c r="Q69" s="1130">
        <f t="shared" ca="1" si="8"/>
        <v>4727339036.5764847</v>
      </c>
      <c r="R69" s="1130">
        <f t="shared" ca="1" si="16"/>
        <v>4799883389.6169434</v>
      </c>
      <c r="S69" s="1130">
        <f t="shared" ca="1" si="17"/>
        <v>72544353.040458679</v>
      </c>
      <c r="T69" s="1130">
        <f t="shared" ca="1" si="9"/>
        <v>4727339036.5764847</v>
      </c>
      <c r="U69" s="1132">
        <f t="shared" ca="1" si="10"/>
        <v>0.40652173162281857</v>
      </c>
      <c r="V69" s="1133">
        <f t="shared" ca="1" si="11"/>
        <v>5.0000000000000044E-2</v>
      </c>
      <c r="X69" s="1134">
        <f t="shared" ca="1" si="18"/>
        <v>252625441.55878675</v>
      </c>
      <c r="Y69" s="1134">
        <f t="shared" ca="1" si="12"/>
        <v>3818123.8442344666</v>
      </c>
      <c r="Z69" s="1134">
        <f t="shared" ca="1" si="13"/>
        <v>248807317.71455228</v>
      </c>
      <c r="AA69" s="1132">
        <f t="shared" ca="1" si="14"/>
        <v>0.4349611597086549</v>
      </c>
      <c r="AB69" s="1105"/>
    </row>
    <row r="70" spans="1:29">
      <c r="A70" s="1144">
        <f>'AMORT. PROFILE 0% CPR'!A70</f>
        <v>46811</v>
      </c>
      <c r="C70" s="1104"/>
      <c r="D70" s="1125">
        <f t="shared" ca="1" si="0"/>
        <v>47848</v>
      </c>
      <c r="E70" s="1126">
        <f t="shared" ca="1" si="1"/>
        <v>47875</v>
      </c>
      <c r="F70" s="1127">
        <f t="shared" ca="1" si="2"/>
        <v>1826</v>
      </c>
      <c r="G70" s="1128">
        <f ca="1">IF(F70&lt;&gt;"",COUNTIF($F$11:F70,"&gt;0"),"")</f>
        <v>60</v>
      </c>
      <c r="H70" s="1129">
        <v>8.287265658053232E-3</v>
      </c>
      <c r="I70" s="1128"/>
      <c r="J70" s="1130">
        <f t="shared" ca="1" si="3"/>
        <v>4976146354.2910366</v>
      </c>
      <c r="K70" s="1131">
        <f t="shared" ca="1" si="4"/>
        <v>41238646.791362897</v>
      </c>
      <c r="L70" s="1130">
        <f t="shared" ca="1" si="5"/>
        <v>34171189.202071652</v>
      </c>
      <c r="M70" s="1130">
        <f t="shared" ca="1" si="6"/>
        <v>0</v>
      </c>
      <c r="N70" s="1130">
        <f t="shared" ca="1" si="15"/>
        <v>4900736518.2976027</v>
      </c>
      <c r="O70" s="1073"/>
      <c r="P70" s="1130">
        <f t="shared" ca="1" si="7"/>
        <v>75409835.993433952</v>
      </c>
      <c r="Q70" s="1130">
        <f t="shared" ca="1" si="8"/>
        <v>4655699692.3827219</v>
      </c>
      <c r="R70" s="1130">
        <f t="shared" ca="1" si="16"/>
        <v>4727339036.5764847</v>
      </c>
      <c r="S70" s="1130">
        <f t="shared" ca="1" si="17"/>
        <v>71639344.193762779</v>
      </c>
      <c r="T70" s="1130">
        <f t="shared" ca="1" si="9"/>
        <v>4655699692.3827219</v>
      </c>
      <c r="U70" s="1132">
        <f t="shared" ca="1" si="10"/>
        <v>0.40037765402267134</v>
      </c>
      <c r="V70" s="1133">
        <f t="shared" ca="1" si="11"/>
        <v>5.0000000000000155E-2</v>
      </c>
      <c r="X70" s="1134">
        <f t="shared" ca="1" si="18"/>
        <v>248807317.71455228</v>
      </c>
      <c r="Y70" s="1134">
        <f t="shared" ca="1" si="12"/>
        <v>3770491.7996711731</v>
      </c>
      <c r="Z70" s="1134">
        <f t="shared" ca="1" si="13"/>
        <v>245036825.91488111</v>
      </c>
      <c r="AA70" s="1132">
        <f t="shared" ca="1" si="14"/>
        <v>0.42838725501816854</v>
      </c>
      <c r="AB70" s="1105"/>
    </row>
    <row r="71" spans="1:29">
      <c r="A71" s="1144">
        <f>'AMORT. PROFILE 0% CPR'!A71</f>
        <v>46839</v>
      </c>
      <c r="C71" s="1104"/>
      <c r="D71" s="1125">
        <f t="shared" ca="1" si="0"/>
        <v>47879</v>
      </c>
      <c r="E71" s="1126">
        <f t="shared" ca="1" si="1"/>
        <v>47906</v>
      </c>
      <c r="F71" s="1127">
        <f t="shared" ca="1" si="2"/>
        <v>1857</v>
      </c>
      <c r="G71" s="1128">
        <f ca="1">IF(F71&lt;&gt;"",COUNTIF($F$11:F71,"&gt;0"),"")</f>
        <v>61</v>
      </c>
      <c r="H71" s="1129">
        <v>8.3338356636277009E-3</v>
      </c>
      <c r="I71" s="1128"/>
      <c r="J71" s="1130">
        <f t="shared" ca="1" si="3"/>
        <v>4900736518.2976027</v>
      </c>
      <c r="K71" s="1131">
        <f t="shared" ca="1" si="4"/>
        <v>40841932.77423121</v>
      </c>
      <c r="L71" s="1130">
        <f t="shared" ca="1" si="5"/>
        <v>33651769.643364444</v>
      </c>
      <c r="M71" s="1130">
        <f t="shared" ca="1" si="6"/>
        <v>0</v>
      </c>
      <c r="N71" s="1130">
        <f t="shared" ca="1" si="15"/>
        <v>4826242815.8800068</v>
      </c>
      <c r="O71" s="1073"/>
      <c r="P71" s="1130">
        <f t="shared" ca="1" si="7"/>
        <v>74493702.417595863</v>
      </c>
      <c r="Q71" s="1130">
        <f t="shared" ca="1" si="8"/>
        <v>4584930675.0860062</v>
      </c>
      <c r="R71" s="1130">
        <f t="shared" ca="1" si="16"/>
        <v>4655699692.3827219</v>
      </c>
      <c r="S71" s="1130">
        <f t="shared" ca="1" si="17"/>
        <v>70769017.296715736</v>
      </c>
      <c r="T71" s="1130">
        <f t="shared" ca="1" si="9"/>
        <v>4584930675.0860062</v>
      </c>
      <c r="U71" s="1132">
        <f t="shared" ca="1" si="10"/>
        <v>0.39431022531868026</v>
      </c>
      <c r="V71" s="1133">
        <f t="shared" ca="1" si="11"/>
        <v>5.0000000000000044E-2</v>
      </c>
      <c r="X71" s="1134">
        <f t="shared" ca="1" si="18"/>
        <v>245036825.91488111</v>
      </c>
      <c r="Y71" s="1134">
        <f t="shared" ca="1" si="12"/>
        <v>3724685.120880127</v>
      </c>
      <c r="Z71" s="1134">
        <f t="shared" ca="1" si="13"/>
        <v>241312140.79400098</v>
      </c>
      <c r="AA71" s="1132">
        <f t="shared" ca="1" si="14"/>
        <v>0.42189536142369338</v>
      </c>
      <c r="AB71" s="1105"/>
      <c r="AC71" s="1078"/>
    </row>
    <row r="72" spans="1:29">
      <c r="A72" s="1144">
        <f>'AMORT. PROFILE 0% CPR'!A72</f>
        <v>46870</v>
      </c>
      <c r="C72" s="1104"/>
      <c r="D72" s="1125">
        <f t="shared" ca="1" si="0"/>
        <v>47907</v>
      </c>
      <c r="E72" s="1126">
        <f t="shared" ca="1" si="1"/>
        <v>47934</v>
      </c>
      <c r="F72" s="1127">
        <f t="shared" ca="1" si="2"/>
        <v>1885</v>
      </c>
      <c r="G72" s="1128">
        <f ca="1">IF(F72&lt;&gt;"",COUNTIF($F$11:F72,"&gt;0"),"")</f>
        <v>62</v>
      </c>
      <c r="H72" s="1129">
        <v>8.3879594483353744E-3</v>
      </c>
      <c r="I72" s="1128"/>
      <c r="J72" s="1130">
        <f t="shared" ca="1" si="3"/>
        <v>4826242815.8800068</v>
      </c>
      <c r="K72" s="1131">
        <f t="shared" ca="1" si="4"/>
        <v>40482329.027421422</v>
      </c>
      <c r="L72" s="1130">
        <f t="shared" ca="1" si="5"/>
        <v>33138436.778363816</v>
      </c>
      <c r="M72" s="1130">
        <f t="shared" ca="1" si="6"/>
        <v>0</v>
      </c>
      <c r="N72" s="1130">
        <f t="shared" ca="1" si="15"/>
        <v>4752622050.0742216</v>
      </c>
      <c r="O72" s="1073"/>
      <c r="P72" s="1130">
        <f t="shared" ca="1" si="7"/>
        <v>73620765.805785179</v>
      </c>
      <c r="Q72" s="1130">
        <f t="shared" ca="1" si="8"/>
        <v>4514990947.5705099</v>
      </c>
      <c r="R72" s="1130">
        <f t="shared" ca="1" si="16"/>
        <v>4584930675.0860062</v>
      </c>
      <c r="S72" s="1130">
        <f t="shared" ca="1" si="17"/>
        <v>69939727.515496254</v>
      </c>
      <c r="T72" s="1130">
        <f t="shared" ca="1" si="9"/>
        <v>4514990947.5705099</v>
      </c>
      <c r="U72" s="1132">
        <f t="shared" ca="1" si="10"/>
        <v>0.38831650815485519</v>
      </c>
      <c r="V72" s="1133">
        <f t="shared" ca="1" si="11"/>
        <v>5.0000000000000155E-2</v>
      </c>
      <c r="X72" s="1134">
        <f t="shared" ca="1" si="18"/>
        <v>241312140.79400098</v>
      </c>
      <c r="Y72" s="1134">
        <f t="shared" ca="1" si="12"/>
        <v>3681038.2902889252</v>
      </c>
      <c r="Z72" s="1134">
        <f t="shared" ca="1" si="13"/>
        <v>237631102.50371206</v>
      </c>
      <c r="AA72" s="1132">
        <f t="shared" ca="1" si="14"/>
        <v>0.41548233607782536</v>
      </c>
      <c r="AB72" s="1105"/>
      <c r="AC72" s="1078"/>
    </row>
    <row r="73" spans="1:29">
      <c r="A73" s="1144">
        <f>'AMORT. PROFILE 0% CPR'!A73</f>
        <v>46902</v>
      </c>
      <c r="C73" s="1104"/>
      <c r="D73" s="1125">
        <f t="shared" ca="1" si="0"/>
        <v>47938</v>
      </c>
      <c r="E73" s="1126">
        <f t="shared" ca="1" si="1"/>
        <v>47966</v>
      </c>
      <c r="F73" s="1127">
        <f t="shared" ca="1" si="2"/>
        <v>1917</v>
      </c>
      <c r="G73" s="1128">
        <f ca="1">IF(F73&lt;&gt;"",COUNTIF($F$11:F73,"&gt;0"),"")</f>
        <v>63</v>
      </c>
      <c r="H73" s="1129">
        <v>8.4259318894268839E-3</v>
      </c>
      <c r="I73" s="1128"/>
      <c r="J73" s="1130">
        <f t="shared" ca="1" si="3"/>
        <v>4752622050.0742216</v>
      </c>
      <c r="K73" s="1131">
        <f t="shared" ca="1" si="4"/>
        <v>40045269.690113753</v>
      </c>
      <c r="L73" s="1130">
        <f t="shared" ca="1" si="5"/>
        <v>32631684.792618923</v>
      </c>
      <c r="M73" s="1130">
        <f t="shared" ca="1" si="6"/>
        <v>0</v>
      </c>
      <c r="N73" s="1130">
        <f t="shared" ca="1" si="15"/>
        <v>4679945095.5914888</v>
      </c>
      <c r="O73" s="1073"/>
      <c r="P73" s="1130">
        <f t="shared" ca="1" si="7"/>
        <v>72676954.482732773</v>
      </c>
      <c r="Q73" s="1130">
        <f t="shared" ca="1" si="8"/>
        <v>4445947840.8119144</v>
      </c>
      <c r="R73" s="1130">
        <f t="shared" ca="1" si="16"/>
        <v>4514990947.5705099</v>
      </c>
      <c r="S73" s="1130">
        <f t="shared" ca="1" si="17"/>
        <v>69043106.758595467</v>
      </c>
      <c r="T73" s="1130">
        <f t="shared" ca="1" si="9"/>
        <v>4445947840.8119144</v>
      </c>
      <c r="U73" s="1132">
        <f t="shared" ca="1" si="10"/>
        <v>0.38239302693022137</v>
      </c>
      <c r="V73" s="1133">
        <f t="shared" ca="1" si="11"/>
        <v>5.0000000000000044E-2</v>
      </c>
      <c r="X73" s="1134">
        <f t="shared" ca="1" si="18"/>
        <v>237631102.50371206</v>
      </c>
      <c r="Y73" s="1134">
        <f t="shared" ca="1" si="12"/>
        <v>3633847.7241373062</v>
      </c>
      <c r="Z73" s="1134">
        <f t="shared" ca="1" si="13"/>
        <v>233997254.77957475</v>
      </c>
      <c r="AA73" s="1132">
        <f t="shared" ca="1" si="14"/>
        <v>0.40914446023366402</v>
      </c>
      <c r="AB73" s="1105"/>
      <c r="AC73" s="1078"/>
    </row>
    <row r="74" spans="1:29">
      <c r="A74" s="1144">
        <f>'AMORT. PROFILE 0% CPR'!A74</f>
        <v>46931</v>
      </c>
      <c r="C74" s="1104"/>
      <c r="D74" s="1125">
        <f t="shared" ca="1" si="0"/>
        <v>47968</v>
      </c>
      <c r="E74" s="1126">
        <f t="shared" ca="1" si="1"/>
        <v>47995</v>
      </c>
      <c r="F74" s="1127">
        <f t="shared" ca="1" si="2"/>
        <v>1946</v>
      </c>
      <c r="G74" s="1128">
        <f ca="1">IF(F74&lt;&gt;"",COUNTIF($F$11:F74,"&gt;0"),"")</f>
        <v>64</v>
      </c>
      <c r="H74" s="1129">
        <v>8.4724727099141466E-3</v>
      </c>
      <c r="I74" s="1128"/>
      <c r="J74" s="1130">
        <f t="shared" ca="1" si="3"/>
        <v>4679945095.5914888</v>
      </c>
      <c r="K74" s="1131">
        <f t="shared" ca="1" si="4"/>
        <v>39650707.106295444</v>
      </c>
      <c r="L74" s="1130">
        <f t="shared" ca="1" si="5"/>
        <v>32131173.853822149</v>
      </c>
      <c r="M74" s="1130">
        <f t="shared" ca="1" si="6"/>
        <v>0</v>
      </c>
      <c r="N74" s="1130">
        <f t="shared" ca="1" si="15"/>
        <v>4608163214.6313715</v>
      </c>
      <c r="O74" s="1073"/>
      <c r="P74" s="1130">
        <f t="shared" ca="1" si="7"/>
        <v>71781880.96011734</v>
      </c>
      <c r="Q74" s="1130">
        <f t="shared" ca="1" si="8"/>
        <v>4377755053.8998032</v>
      </c>
      <c r="R74" s="1130">
        <f t="shared" ca="1" si="16"/>
        <v>4445947840.8119144</v>
      </c>
      <c r="S74" s="1130">
        <f t="shared" ca="1" si="17"/>
        <v>68192786.912111282</v>
      </c>
      <c r="T74" s="1130">
        <f t="shared" ca="1" si="9"/>
        <v>4377755053.8998032</v>
      </c>
      <c r="U74" s="1132">
        <f t="shared" ca="1" si="10"/>
        <v>0.37654548418015399</v>
      </c>
      <c r="V74" s="1133">
        <f t="shared" ca="1" si="11"/>
        <v>4.9999999999999933E-2</v>
      </c>
      <c r="X74" s="1134">
        <f t="shared" ca="1" si="18"/>
        <v>233997254.77957475</v>
      </c>
      <c r="Y74" s="1134">
        <f t="shared" ca="1" si="12"/>
        <v>3589094.0480060577</v>
      </c>
      <c r="Z74" s="1134">
        <f t="shared" ca="1" si="13"/>
        <v>230408160.73156869</v>
      </c>
      <c r="AA74" s="1132">
        <f t="shared" ca="1" si="14"/>
        <v>0.40288783536428158</v>
      </c>
      <c r="AB74" s="1105"/>
      <c r="AC74" s="1078"/>
    </row>
    <row r="75" spans="1:29">
      <c r="A75" s="1144">
        <f>'AMORT. PROFILE 0% CPR'!A75</f>
        <v>46961</v>
      </c>
      <c r="C75" s="1104"/>
      <c r="D75" s="1125">
        <f t="shared" ca="1" si="0"/>
        <v>47999</v>
      </c>
      <c r="E75" s="1126">
        <f t="shared" ca="1" si="1"/>
        <v>48026</v>
      </c>
      <c r="F75" s="1127">
        <f t="shared" ca="1" si="2"/>
        <v>1977</v>
      </c>
      <c r="G75" s="1128">
        <f ca="1">IF(F75&lt;&gt;"",COUNTIF($F$11:F75,"&gt;0"),"")</f>
        <v>65</v>
      </c>
      <c r="H75" s="1129">
        <v>8.5119458346093087E-3</v>
      </c>
      <c r="I75" s="1128"/>
      <c r="J75" s="1130">
        <f t="shared" ca="1" si="3"/>
        <v>4608163214.6313715</v>
      </c>
      <c r="K75" s="1131">
        <f t="shared" ca="1" si="4"/>
        <v>39224435.679981343</v>
      </c>
      <c r="L75" s="1130">
        <f t="shared" ca="1" si="5"/>
        <v>31637080.310734566</v>
      </c>
      <c r="M75" s="1130">
        <f t="shared" ca="1" si="6"/>
        <v>0</v>
      </c>
      <c r="N75" s="1130">
        <f t="shared" ca="1" si="15"/>
        <v>4537301698.6406555</v>
      </c>
      <c r="O75" s="1073"/>
      <c r="P75" s="1130">
        <f t="shared" ca="1" si="7"/>
        <v>70861515.990715981</v>
      </c>
      <c r="Q75" s="1130">
        <f t="shared" ca="1" si="8"/>
        <v>4310436613.7086229</v>
      </c>
      <c r="R75" s="1130">
        <f t="shared" ca="1" si="16"/>
        <v>4377755053.8998032</v>
      </c>
      <c r="S75" s="1130">
        <f t="shared" ca="1" si="17"/>
        <v>67318440.191180229</v>
      </c>
      <c r="T75" s="1130">
        <f t="shared" ca="1" si="9"/>
        <v>4310436613.7086229</v>
      </c>
      <c r="U75" s="1132">
        <f t="shared" ca="1" si="10"/>
        <v>0.37076995849141231</v>
      </c>
      <c r="V75" s="1133">
        <f t="shared" ca="1" si="11"/>
        <v>4.9999999999999933E-2</v>
      </c>
      <c r="X75" s="1134">
        <f t="shared" ca="1" si="18"/>
        <v>230408160.73156869</v>
      </c>
      <c r="Y75" s="1134">
        <f t="shared" ca="1" si="12"/>
        <v>3543075.7995357513</v>
      </c>
      <c r="Z75" s="1134">
        <f t="shared" ca="1" si="13"/>
        <v>226865084.93203294</v>
      </c>
      <c r="AA75" s="1132">
        <f t="shared" ca="1" si="14"/>
        <v>0.39670826572239787</v>
      </c>
      <c r="AB75" s="1105"/>
      <c r="AC75" s="1078"/>
    </row>
    <row r="76" spans="1:29">
      <c r="A76" s="1144">
        <f>'AMORT. PROFILE 0% CPR'!A76</f>
        <v>46993</v>
      </c>
      <c r="C76" s="1104"/>
      <c r="D76" s="1125">
        <f t="shared" ref="D76:D139" ca="1" si="19">IF(E76&lt;&gt;"",EOMONTH(E76,-1),"")</f>
        <v>48029</v>
      </c>
      <c r="E76" s="1126">
        <f t="shared" ref="E76:E139" ca="1" si="20">IF(INDIRECT("A"&amp;(IFERROR(MATCH(E75,A:A),999)+1))&gt;0,INDIRECT("A"&amp;(IFERROR(MATCH(E75,A:A),999)+1)),"")</f>
        <v>48057</v>
      </c>
      <c r="F76" s="1127">
        <f t="shared" ref="F76:F139" ca="1" si="21">IF(E76&lt;&gt;"",E76-$A$31,"")</f>
        <v>2008</v>
      </c>
      <c r="G76" s="1128">
        <f ca="1">IF(F76&lt;&gt;"",COUNTIF($F$11:F76,"&gt;0"),"")</f>
        <v>66</v>
      </c>
      <c r="H76" s="1129">
        <v>8.5598230167749263E-3</v>
      </c>
      <c r="I76" s="1128"/>
      <c r="J76" s="1130">
        <f t="shared" ref="J76:J139" ca="1" si="22">IF(G76=1,$A$7,N75)</f>
        <v>4537301698.6406555</v>
      </c>
      <c r="K76" s="1131">
        <f t="shared" ref="K76:K139" ca="1" si="23">H76*J76</f>
        <v>38838499.514076255</v>
      </c>
      <c r="L76" s="1130">
        <f t="shared" ref="L76:L139" ca="1" si="24">IF(E76&lt;&gt;"",(1-(1-$A$25)^(1/12))*(J76-K76),"")</f>
        <v>31149080.430076316</v>
      </c>
      <c r="M76" s="1130">
        <f t="shared" ref="M76:M139" ca="1" si="25">IF(J76-K76-L76&lt;$A$27*$A$5,J76-K76-L76,0)</f>
        <v>0</v>
      </c>
      <c r="N76" s="1130">
        <f t="shared" ca="1" si="15"/>
        <v>4467314118.6965027</v>
      </c>
      <c r="O76" s="1073"/>
      <c r="P76" s="1130">
        <f t="shared" ref="P76:P139" ca="1" si="26">IF(G76&lt;&gt; "", R76+X76-N76, "")</f>
        <v>69987579.944152832</v>
      </c>
      <c r="Q76" s="1130">
        <f t="shared" ref="Q76:Q139" ca="1" si="27">IF(E76&lt;&gt;"", N76*(1-$A$15), "")</f>
        <v>4243948412.7616773</v>
      </c>
      <c r="R76" s="1130">
        <f t="shared" ca="1" si="16"/>
        <v>4310436613.7086229</v>
      </c>
      <c r="S76" s="1130">
        <f t="shared" ca="1" si="17"/>
        <v>66488200.946945667</v>
      </c>
      <c r="T76" s="1130">
        <f t="shared" ref="T76:T139" ca="1" si="28">IF(E76&lt;&gt;"", R76-S76, "")</f>
        <v>4243948412.7616773</v>
      </c>
      <c r="U76" s="1132">
        <f t="shared" ref="U76:U139" ca="1" si="29">IF(E76&lt;&gt;"", R76/$A$11, "")</f>
        <v>0.36506848479814208</v>
      </c>
      <c r="V76" s="1133">
        <f t="shared" ref="V76:V139" ca="1" si="30">IF(E76&lt;&gt;"", IFERROR(1-T76/N76, "n.a."), "")</f>
        <v>5.0000000000000044E-2</v>
      </c>
      <c r="X76" s="1134">
        <f t="shared" ca="1" si="18"/>
        <v>226865084.93203294</v>
      </c>
      <c r="Y76" s="1134">
        <f t="shared" ref="Y76:Y139" ca="1" si="31">IF(E76&lt;&gt;"", P76-S76, "")</f>
        <v>3499378.9972071648</v>
      </c>
      <c r="Z76" s="1134">
        <f t="shared" ref="Z76:Z139" ca="1" si="32">IF(E76&lt;&gt;"", X76-Y76, "")</f>
        <v>223365705.93482578</v>
      </c>
      <c r="AA76" s="1132">
        <f t="shared" ref="AA76:AA139" ca="1" si="33">IF(E76&lt;&gt;"", X76/$A$19, "")</f>
        <v>0.39060792860198512</v>
      </c>
      <c r="AB76" s="1105"/>
      <c r="AC76" s="1078"/>
    </row>
    <row r="77" spans="1:29">
      <c r="A77" s="1144">
        <f>'AMORT. PROFILE 0% CPR'!A77</f>
        <v>47023</v>
      </c>
      <c r="C77" s="1104"/>
      <c r="D77" s="1125">
        <f t="shared" ca="1" si="19"/>
        <v>48060</v>
      </c>
      <c r="E77" s="1126">
        <f t="shared" ca="1" si="20"/>
        <v>48087</v>
      </c>
      <c r="F77" s="1127">
        <f t="shared" ca="1" si="21"/>
        <v>2038</v>
      </c>
      <c r="G77" s="1128">
        <f ca="1">IF(F77&lt;&gt;"",COUNTIF($F$11:F77,"&gt;0"),"")</f>
        <v>67</v>
      </c>
      <c r="H77" s="1129">
        <v>8.6017040674281117E-3</v>
      </c>
      <c r="I77" s="1128"/>
      <c r="J77" s="1130">
        <f t="shared" ca="1" si="22"/>
        <v>4467314118.6965027</v>
      </c>
      <c r="K77" s="1131">
        <f t="shared" ca="1" si="23"/>
        <v>38426514.025270738</v>
      </c>
      <c r="L77" s="1130">
        <f t="shared" ca="1" si="24"/>
        <v>30667312.392476104</v>
      </c>
      <c r="M77" s="1130">
        <f t="shared" ca="1" si="25"/>
        <v>0</v>
      </c>
      <c r="N77" s="1130">
        <f t="shared" ref="N77:N140" ca="1" si="34">IF(E77&lt;&gt;"",J77-K77-L77-M77,"")</f>
        <v>4398220292.2787561</v>
      </c>
      <c r="O77" s="1073"/>
      <c r="P77" s="1130">
        <f t="shared" ca="1" si="26"/>
        <v>69093826.417746544</v>
      </c>
      <c r="Q77" s="1130">
        <f t="shared" ca="1" si="27"/>
        <v>4178309277.6648183</v>
      </c>
      <c r="R77" s="1130">
        <f t="shared" ref="R77:R140" ca="1" si="35">IF(E77&lt;&gt;"", T76, "")</f>
        <v>4243948412.7616773</v>
      </c>
      <c r="S77" s="1130">
        <f t="shared" ref="S77:S140" ca="1" si="36">IF(E77&lt;&gt;"", MIN(P77,MAX(R77-Q77,0)), "")</f>
        <v>65639135.096858978</v>
      </c>
      <c r="T77" s="1130">
        <f t="shared" ca="1" si="28"/>
        <v>4178309277.6648183</v>
      </c>
      <c r="U77" s="1132">
        <f t="shared" ca="1" si="29"/>
        <v>0.35943732745796442</v>
      </c>
      <c r="V77" s="1133">
        <f t="shared" ca="1" si="30"/>
        <v>5.0000000000000044E-2</v>
      </c>
      <c r="X77" s="1134">
        <f t="shared" ref="X77:X140" ca="1" si="37">IF(E77&lt;&gt;"", Z76, "")</f>
        <v>223365705.93482578</v>
      </c>
      <c r="Y77" s="1134">
        <f t="shared" ca="1" si="31"/>
        <v>3454691.3208875656</v>
      </c>
      <c r="Z77" s="1134">
        <f t="shared" ca="1" si="32"/>
        <v>219911014.61393821</v>
      </c>
      <c r="AA77" s="1132">
        <f t="shared" ca="1" si="33"/>
        <v>0.38458282702277163</v>
      </c>
      <c r="AB77" s="1105"/>
      <c r="AC77" s="1078"/>
    </row>
    <row r="78" spans="1:29">
      <c r="A78" s="1144">
        <f>'AMORT. PROFILE 0% CPR'!A78</f>
        <v>47053</v>
      </c>
      <c r="C78" s="1104"/>
      <c r="D78" s="1125">
        <f t="shared" ca="1" si="19"/>
        <v>48091</v>
      </c>
      <c r="E78" s="1126">
        <f t="shared" ca="1" si="20"/>
        <v>48120</v>
      </c>
      <c r="F78" s="1127">
        <f t="shared" ca="1" si="21"/>
        <v>2071</v>
      </c>
      <c r="G78" s="1128">
        <f ca="1">IF(F78&lt;&gt;"",COUNTIF($F$11:F78,"&gt;0"),"")</f>
        <v>68</v>
      </c>
      <c r="H78" s="1129">
        <v>8.6433014396991997E-3</v>
      </c>
      <c r="I78" s="1128"/>
      <c r="J78" s="1130">
        <f t="shared" ca="1" si="22"/>
        <v>4398220292.2787561</v>
      </c>
      <c r="K78" s="1131">
        <f t="shared" ca="1" si="23"/>
        <v>38015143.784367211</v>
      </c>
      <c r="L78" s="1130">
        <f t="shared" ca="1" si="24"/>
        <v>30191728.786056235</v>
      </c>
      <c r="M78" s="1130">
        <f t="shared" ca="1" si="25"/>
        <v>0</v>
      </c>
      <c r="N78" s="1130">
        <f t="shared" ca="1" si="34"/>
        <v>4330013419.7083321</v>
      </c>
      <c r="O78" s="1073"/>
      <c r="P78" s="1130">
        <f t="shared" ca="1" si="26"/>
        <v>68206872.57042408</v>
      </c>
      <c r="Q78" s="1130">
        <f t="shared" ca="1" si="27"/>
        <v>4113512748.7229152</v>
      </c>
      <c r="R78" s="1130">
        <f t="shared" ca="1" si="35"/>
        <v>4178309277.6648183</v>
      </c>
      <c r="S78" s="1130">
        <f t="shared" ca="1" si="36"/>
        <v>64796528.941903114</v>
      </c>
      <c r="T78" s="1130">
        <f t="shared" ca="1" si="28"/>
        <v>4113512748.7229152</v>
      </c>
      <c r="U78" s="1132">
        <f t="shared" ca="1" si="29"/>
        <v>0.35387808097303497</v>
      </c>
      <c r="V78" s="1133">
        <f t="shared" ca="1" si="30"/>
        <v>5.0000000000000044E-2</v>
      </c>
      <c r="X78" s="1134">
        <f t="shared" ca="1" si="37"/>
        <v>219911014.61393821</v>
      </c>
      <c r="Y78" s="1134">
        <f t="shared" ca="1" si="31"/>
        <v>3410343.6285209656</v>
      </c>
      <c r="Z78" s="1134">
        <f t="shared" ca="1" si="32"/>
        <v>216500670.98541725</v>
      </c>
      <c r="AA78" s="1132">
        <f t="shared" ca="1" si="33"/>
        <v>0.37863466703501758</v>
      </c>
      <c r="AB78" s="1105"/>
      <c r="AC78" s="1078"/>
    </row>
    <row r="79" spans="1:29">
      <c r="A79" s="1144">
        <f>'AMORT. PROFILE 0% CPR'!A79</f>
        <v>47084</v>
      </c>
      <c r="C79" s="1104"/>
      <c r="D79" s="1125">
        <f t="shared" ca="1" si="19"/>
        <v>48121</v>
      </c>
      <c r="E79" s="1126">
        <f t="shared" ca="1" si="20"/>
        <v>48148</v>
      </c>
      <c r="F79" s="1127">
        <f t="shared" ca="1" si="21"/>
        <v>2099</v>
      </c>
      <c r="G79" s="1128">
        <f ca="1">IF(F79&lt;&gt;"",COUNTIF($F$11:F79,"&gt;0"),"")</f>
        <v>69</v>
      </c>
      <c r="H79" s="1129">
        <v>8.6963022323994707E-3</v>
      </c>
      <c r="I79" s="1128"/>
      <c r="J79" s="1130">
        <f t="shared" ca="1" si="22"/>
        <v>4330013419.7083321</v>
      </c>
      <c r="K79" s="1131">
        <f t="shared" ca="1" si="23"/>
        <v>37655105.368129231</v>
      </c>
      <c r="L79" s="1130">
        <f t="shared" ca="1" si="24"/>
        <v>29721931.346253879</v>
      </c>
      <c r="M79" s="1130">
        <f t="shared" ca="1" si="25"/>
        <v>0</v>
      </c>
      <c r="N79" s="1130">
        <f t="shared" ca="1" si="34"/>
        <v>4262636382.9939489</v>
      </c>
      <c r="O79" s="1073"/>
      <c r="P79" s="1130">
        <f t="shared" ca="1" si="26"/>
        <v>67377036.714383125</v>
      </c>
      <c r="Q79" s="1130">
        <f t="shared" ca="1" si="27"/>
        <v>4049504563.8442512</v>
      </c>
      <c r="R79" s="1130">
        <f t="shared" ca="1" si="35"/>
        <v>4113512748.7229152</v>
      </c>
      <c r="S79" s="1130">
        <f t="shared" ca="1" si="36"/>
        <v>64008184.878664017</v>
      </c>
      <c r="T79" s="1130">
        <f t="shared" ca="1" si="28"/>
        <v>4049504563.8442512</v>
      </c>
      <c r="U79" s="1132">
        <f t="shared" ca="1" si="29"/>
        <v>0.34839019824538547</v>
      </c>
      <c r="V79" s="1133">
        <f t="shared" ca="1" si="30"/>
        <v>5.0000000000000044E-2</v>
      </c>
      <c r="X79" s="1134">
        <f t="shared" ca="1" si="37"/>
        <v>216500670.98541725</v>
      </c>
      <c r="Y79" s="1134">
        <f t="shared" ca="1" si="31"/>
        <v>3368851.8357191086</v>
      </c>
      <c r="Z79" s="1134">
        <f t="shared" ca="1" si="32"/>
        <v>213131819.14969814</v>
      </c>
      <c r="AA79" s="1132">
        <f t="shared" ca="1" si="33"/>
        <v>0.372762863266903</v>
      </c>
      <c r="AB79" s="1105"/>
      <c r="AC79" s="1078"/>
    </row>
    <row r="80" spans="1:29">
      <c r="A80" s="1144">
        <f>'AMORT. PROFILE 0% CPR'!A80</f>
        <v>47114</v>
      </c>
      <c r="C80" s="1104"/>
      <c r="D80" s="1125">
        <f t="shared" ca="1" si="19"/>
        <v>48152</v>
      </c>
      <c r="E80" s="1126">
        <f t="shared" ca="1" si="20"/>
        <v>48179</v>
      </c>
      <c r="F80" s="1127">
        <f t="shared" ca="1" si="21"/>
        <v>2130</v>
      </c>
      <c r="G80" s="1128">
        <f ca="1">IF(F80&lt;&gt;"",COUNTIF($F$11:F80,"&gt;0"),"")</f>
        <v>70</v>
      </c>
      <c r="H80" s="1129">
        <v>8.7352661988350285E-3</v>
      </c>
      <c r="I80" s="1128"/>
      <c r="J80" s="1130">
        <f t="shared" ca="1" si="22"/>
        <v>4262636382.9939489</v>
      </c>
      <c r="K80" s="1131">
        <f t="shared" ca="1" si="23"/>
        <v>37235263.51429145</v>
      </c>
      <c r="L80" s="1130">
        <f t="shared" ca="1" si="24"/>
        <v>29258294.109321859</v>
      </c>
      <c r="M80" s="1130">
        <f t="shared" ca="1" si="25"/>
        <v>0</v>
      </c>
      <c r="N80" s="1130">
        <f t="shared" ca="1" si="34"/>
        <v>4196142825.3703356</v>
      </c>
      <c r="O80" s="1073"/>
      <c r="P80" s="1130">
        <f t="shared" ca="1" si="26"/>
        <v>66493557.623613834</v>
      </c>
      <c r="Q80" s="1130">
        <f t="shared" ca="1" si="27"/>
        <v>3986335684.1018186</v>
      </c>
      <c r="R80" s="1130">
        <f t="shared" ca="1" si="35"/>
        <v>4049504563.8442512</v>
      </c>
      <c r="S80" s="1130">
        <f t="shared" ca="1" si="36"/>
        <v>63168879.742432594</v>
      </c>
      <c r="T80" s="1130">
        <f t="shared" ca="1" si="28"/>
        <v>3986335684.1018186</v>
      </c>
      <c r="U80" s="1132">
        <f t="shared" ca="1" si="29"/>
        <v>0.34296908359680967</v>
      </c>
      <c r="V80" s="1133">
        <f t="shared" ca="1" si="30"/>
        <v>5.0000000000000044E-2</v>
      </c>
      <c r="X80" s="1134">
        <f t="shared" ca="1" si="37"/>
        <v>213131819.14969814</v>
      </c>
      <c r="Y80" s="1134">
        <f t="shared" ca="1" si="31"/>
        <v>3324677.8811812401</v>
      </c>
      <c r="Z80" s="1134">
        <f t="shared" ca="1" si="32"/>
        <v>209807141.2685169</v>
      </c>
      <c r="AA80" s="1132">
        <f t="shared" ca="1" si="33"/>
        <v>0.36696249853598162</v>
      </c>
      <c r="AB80" s="1105"/>
      <c r="AC80" s="1078"/>
    </row>
    <row r="81" spans="1:29">
      <c r="A81" s="1144">
        <f>'AMORT. PROFILE 0% CPR'!A81</f>
        <v>47147</v>
      </c>
      <c r="C81" s="1104"/>
      <c r="D81" s="1125">
        <f t="shared" ca="1" si="19"/>
        <v>48182</v>
      </c>
      <c r="E81" s="1126">
        <f t="shared" ca="1" si="20"/>
        <v>48211</v>
      </c>
      <c r="F81" s="1127">
        <f t="shared" ca="1" si="21"/>
        <v>2162</v>
      </c>
      <c r="G81" s="1128">
        <f ca="1">IF(F81&lt;&gt;"",COUNTIF($F$11:F81,"&gt;0"),"")</f>
        <v>71</v>
      </c>
      <c r="H81" s="1129">
        <v>8.7880372559361441E-3</v>
      </c>
      <c r="I81" s="1128"/>
      <c r="J81" s="1130">
        <f t="shared" ca="1" si="22"/>
        <v>4196142825.3703356</v>
      </c>
      <c r="K81" s="1131">
        <f t="shared" ca="1" si="23"/>
        <v>36875859.48058366</v>
      </c>
      <c r="L81" s="1130">
        <f t="shared" ca="1" si="24"/>
        <v>28800355.925066631</v>
      </c>
      <c r="M81" s="1130">
        <f t="shared" ca="1" si="25"/>
        <v>0</v>
      </c>
      <c r="N81" s="1130">
        <f t="shared" ca="1" si="34"/>
        <v>4130466609.9646854</v>
      </c>
      <c r="O81" s="1073"/>
      <c r="P81" s="1130">
        <f t="shared" ca="1" si="26"/>
        <v>65676215.405650139</v>
      </c>
      <c r="Q81" s="1130">
        <f t="shared" ca="1" si="27"/>
        <v>3923943279.4664512</v>
      </c>
      <c r="R81" s="1130">
        <f t="shared" ca="1" si="35"/>
        <v>3986335684.1018186</v>
      </c>
      <c r="S81" s="1130">
        <f t="shared" ca="1" si="36"/>
        <v>62392404.635367393</v>
      </c>
      <c r="T81" s="1130">
        <f t="shared" ca="1" si="28"/>
        <v>3923943279.4664512</v>
      </c>
      <c r="U81" s="1132">
        <f t="shared" ca="1" si="29"/>
        <v>0.33761905312875351</v>
      </c>
      <c r="V81" s="1133">
        <f t="shared" ca="1" si="30"/>
        <v>5.0000000000000044E-2</v>
      </c>
      <c r="X81" s="1134">
        <f t="shared" ca="1" si="37"/>
        <v>209807141.2685169</v>
      </c>
      <c r="Y81" s="1134">
        <f t="shared" ca="1" si="31"/>
        <v>3283810.7702827454</v>
      </c>
      <c r="Z81" s="1134">
        <f t="shared" ca="1" si="32"/>
        <v>206523330.49823415</v>
      </c>
      <c r="AA81" s="1132">
        <f t="shared" ca="1" si="33"/>
        <v>0.36123819088931974</v>
      </c>
      <c r="AB81" s="1105"/>
      <c r="AC81" s="1078"/>
    </row>
    <row r="82" spans="1:29">
      <c r="A82" s="1144">
        <f>'AMORT. PROFILE 0% CPR'!A82</f>
        <v>47176</v>
      </c>
      <c r="C82" s="1104"/>
      <c r="D82" s="1125">
        <f t="shared" ca="1" si="19"/>
        <v>48213</v>
      </c>
      <c r="E82" s="1126">
        <f t="shared" ca="1" si="20"/>
        <v>48240</v>
      </c>
      <c r="F82" s="1127">
        <f t="shared" ca="1" si="21"/>
        <v>2191</v>
      </c>
      <c r="G82" s="1128">
        <f ca="1">IF(F82&lt;&gt;"",COUNTIF($F$11:F82,"&gt;0"),"")</f>
        <v>72</v>
      </c>
      <c r="H82" s="1129">
        <v>8.840598743222336E-3</v>
      </c>
      <c r="I82" s="1128"/>
      <c r="J82" s="1130">
        <f t="shared" ca="1" si="22"/>
        <v>4130466609.9646854</v>
      </c>
      <c r="K82" s="1131">
        <f t="shared" ca="1" si="23"/>
        <v>36515797.920975618</v>
      </c>
      <c r="L82" s="1130">
        <f t="shared" ca="1" si="24"/>
        <v>28348081.884027764</v>
      </c>
      <c r="M82" s="1130">
        <f t="shared" ca="1" si="25"/>
        <v>0</v>
      </c>
      <c r="N82" s="1130">
        <f t="shared" ca="1" si="34"/>
        <v>4065602730.1596818</v>
      </c>
      <c r="O82" s="1073"/>
      <c r="P82" s="1130">
        <f t="shared" ca="1" si="26"/>
        <v>64863879.805003643</v>
      </c>
      <c r="Q82" s="1130">
        <f t="shared" ca="1" si="27"/>
        <v>3862322593.6516976</v>
      </c>
      <c r="R82" s="1130">
        <f t="shared" ca="1" si="35"/>
        <v>3923943279.4664512</v>
      </c>
      <c r="S82" s="1130">
        <f t="shared" ca="1" si="36"/>
        <v>61620685.814753532</v>
      </c>
      <c r="T82" s="1130">
        <f t="shared" ca="1" si="28"/>
        <v>3862322593.6516976</v>
      </c>
      <c r="U82" s="1132">
        <f t="shared" ca="1" si="29"/>
        <v>0.33233478550938844</v>
      </c>
      <c r="V82" s="1133">
        <f t="shared" ca="1" si="30"/>
        <v>5.0000000000000044E-2</v>
      </c>
      <c r="X82" s="1134">
        <f t="shared" ca="1" si="37"/>
        <v>206523330.49823415</v>
      </c>
      <c r="Y82" s="1134">
        <f t="shared" ca="1" si="31"/>
        <v>3243193.9902501106</v>
      </c>
      <c r="Z82" s="1134">
        <f t="shared" ca="1" si="32"/>
        <v>203280136.50798404</v>
      </c>
      <c r="AA82" s="1132">
        <f t="shared" ca="1" si="33"/>
        <v>0.35558424672560979</v>
      </c>
      <c r="AB82" s="1105"/>
      <c r="AC82" s="1078"/>
    </row>
    <row r="83" spans="1:29">
      <c r="A83" s="1144">
        <f>'AMORT. PROFILE 0% CPR'!A83</f>
        <v>47204</v>
      </c>
      <c r="C83" s="1104"/>
      <c r="D83" s="1125">
        <f t="shared" ca="1" si="19"/>
        <v>48244</v>
      </c>
      <c r="E83" s="1126">
        <f t="shared" ca="1" si="20"/>
        <v>48271</v>
      </c>
      <c r="F83" s="1127">
        <f t="shared" ca="1" si="21"/>
        <v>2222</v>
      </c>
      <c r="G83" s="1128">
        <f ca="1">IF(F83&lt;&gt;"",COUNTIF($F$11:F83,"&gt;0"),"")</f>
        <v>73</v>
      </c>
      <c r="H83" s="1129">
        <v>8.8999626012095639E-3</v>
      </c>
      <c r="I83" s="1128"/>
      <c r="J83" s="1130">
        <f t="shared" ca="1" si="22"/>
        <v>4065602730.1596818</v>
      </c>
      <c r="K83" s="1131">
        <f t="shared" ca="1" si="23"/>
        <v>36183712.249796666</v>
      </c>
      <c r="L83" s="1130">
        <f t="shared" ca="1" si="24"/>
        <v>27901239.049754515</v>
      </c>
      <c r="M83" s="1130">
        <f t="shared" ca="1" si="25"/>
        <v>0</v>
      </c>
      <c r="N83" s="1130">
        <f t="shared" ca="1" si="34"/>
        <v>4001517778.8601303</v>
      </c>
      <c r="O83" s="1073"/>
      <c r="P83" s="1130">
        <f t="shared" ca="1" si="26"/>
        <v>64084951.299551487</v>
      </c>
      <c r="Q83" s="1130">
        <f t="shared" ca="1" si="27"/>
        <v>3801441889.9171238</v>
      </c>
      <c r="R83" s="1130">
        <f t="shared" ca="1" si="35"/>
        <v>3862322593.6516976</v>
      </c>
      <c r="S83" s="1130">
        <f t="shared" ca="1" si="36"/>
        <v>60880703.734573841</v>
      </c>
      <c r="T83" s="1130">
        <f t="shared" ca="1" si="28"/>
        <v>3801441889.9171238</v>
      </c>
      <c r="U83" s="1132">
        <f t="shared" ca="1" si="29"/>
        <v>0.32711587790938562</v>
      </c>
      <c r="V83" s="1133">
        <f t="shared" ca="1" si="30"/>
        <v>5.0000000000000044E-2</v>
      </c>
      <c r="X83" s="1134">
        <f t="shared" ca="1" si="37"/>
        <v>203280136.50798404</v>
      </c>
      <c r="Y83" s="1134">
        <f t="shared" ca="1" si="31"/>
        <v>3204247.5649776459</v>
      </c>
      <c r="Z83" s="1134">
        <f t="shared" ca="1" si="32"/>
        <v>200075888.9430064</v>
      </c>
      <c r="AA83" s="1132">
        <f t="shared" ca="1" si="33"/>
        <v>0.3500002350344078</v>
      </c>
      <c r="AB83" s="1105"/>
      <c r="AC83" s="1078"/>
    </row>
    <row r="84" spans="1:29">
      <c r="A84" s="1144">
        <f>'AMORT. PROFILE 0% CPR'!A84</f>
        <v>47235</v>
      </c>
      <c r="C84" s="1104"/>
      <c r="D84" s="1125">
        <f t="shared" ca="1" si="19"/>
        <v>48273</v>
      </c>
      <c r="E84" s="1126">
        <f t="shared" ca="1" si="20"/>
        <v>48303</v>
      </c>
      <c r="F84" s="1127">
        <f t="shared" ca="1" si="21"/>
        <v>2254</v>
      </c>
      <c r="G84" s="1128">
        <f ca="1">IF(F84&lt;&gt;"",COUNTIF($F$11:F84,"&gt;0"),"")</f>
        <v>74</v>
      </c>
      <c r="H84" s="1129">
        <v>8.9664940180044853E-3</v>
      </c>
      <c r="I84" s="1073"/>
      <c r="J84" s="1130">
        <f t="shared" ca="1" si="22"/>
        <v>4001517778.8601303</v>
      </c>
      <c r="K84" s="1131">
        <f t="shared" ca="1" si="23"/>
        <v>35879585.227087952</v>
      </c>
      <c r="L84" s="1130">
        <f t="shared" ca="1" si="24"/>
        <v>27459596.218113326</v>
      </c>
      <c r="M84" s="1130">
        <f t="shared" ca="1" si="25"/>
        <v>0</v>
      </c>
      <c r="N84" s="1130">
        <f t="shared" ca="1" si="34"/>
        <v>3938178597.4149289</v>
      </c>
      <c r="O84" s="1073"/>
      <c r="P84" s="1130">
        <f t="shared" ca="1" si="26"/>
        <v>63339181.445201397</v>
      </c>
      <c r="Q84" s="1130">
        <f t="shared" ca="1" si="27"/>
        <v>3741269667.5441823</v>
      </c>
      <c r="R84" s="1130">
        <f t="shared" ca="1" si="35"/>
        <v>3801441889.9171238</v>
      </c>
      <c r="S84" s="1130">
        <f t="shared" ca="1" si="36"/>
        <v>60172222.372941494</v>
      </c>
      <c r="T84" s="1130">
        <f t="shared" ca="1" si="28"/>
        <v>3741269667.5441823</v>
      </c>
      <c r="U84" s="1132">
        <f t="shared" ca="1" si="29"/>
        <v>0.32195964241455416</v>
      </c>
      <c r="V84" s="1133">
        <f t="shared" ca="1" si="30"/>
        <v>5.0000000000000044E-2</v>
      </c>
      <c r="X84" s="1134">
        <f t="shared" ca="1" si="37"/>
        <v>200075888.9430064</v>
      </c>
      <c r="Y84" s="1134">
        <f t="shared" ca="1" si="31"/>
        <v>3166959.072259903</v>
      </c>
      <c r="Z84" s="1134">
        <f t="shared" ca="1" si="32"/>
        <v>196908929.87074649</v>
      </c>
      <c r="AA84" s="1132">
        <f t="shared" ca="1" si="33"/>
        <v>0.34448327986054822</v>
      </c>
      <c r="AB84" s="1105"/>
      <c r="AC84" s="1078"/>
    </row>
    <row r="85" spans="1:29">
      <c r="A85" s="1144">
        <f>'AMORT. PROFILE 0% CPR'!A85</f>
        <v>47266</v>
      </c>
      <c r="C85" s="1104"/>
      <c r="D85" s="1125">
        <f t="shared" ca="1" si="19"/>
        <v>48304</v>
      </c>
      <c r="E85" s="1126">
        <f t="shared" ca="1" si="20"/>
        <v>48331</v>
      </c>
      <c r="F85" s="1127">
        <f t="shared" ca="1" si="21"/>
        <v>2282</v>
      </c>
      <c r="G85" s="1128">
        <f ca="1">IF(F85&lt;&gt;"",COUNTIF($F$11:F85,"&gt;0"),"")</f>
        <v>75</v>
      </c>
      <c r="H85" s="1129">
        <v>9.022483991741834E-3</v>
      </c>
      <c r="I85" s="1073"/>
      <c r="J85" s="1130">
        <f t="shared" ca="1" si="22"/>
        <v>3938178597.4149289</v>
      </c>
      <c r="K85" s="1131">
        <f t="shared" ca="1" si="23"/>
        <v>35532153.351796508</v>
      </c>
      <c r="L85" s="1130">
        <f t="shared" ca="1" si="24"/>
        <v>27023417.241665255</v>
      </c>
      <c r="M85" s="1130">
        <f t="shared" ca="1" si="25"/>
        <v>0</v>
      </c>
      <c r="N85" s="1130">
        <f t="shared" ca="1" si="34"/>
        <v>3875623026.8214669</v>
      </c>
      <c r="O85" s="1073"/>
      <c r="P85" s="1130">
        <f t="shared" ca="1" si="26"/>
        <v>62555570.59346199</v>
      </c>
      <c r="Q85" s="1130">
        <f t="shared" ca="1" si="27"/>
        <v>3681841875.4803934</v>
      </c>
      <c r="R85" s="1130">
        <f t="shared" ca="1" si="35"/>
        <v>3741269667.5441823</v>
      </c>
      <c r="S85" s="1130">
        <f t="shared" ca="1" si="36"/>
        <v>59427792.063788891</v>
      </c>
      <c r="T85" s="1130">
        <f t="shared" ca="1" si="28"/>
        <v>3681841875.4803934</v>
      </c>
      <c r="U85" s="1132">
        <f t="shared" ca="1" si="29"/>
        <v>0.31686341110036098</v>
      </c>
      <c r="V85" s="1133">
        <f t="shared" ca="1" si="30"/>
        <v>5.0000000000000044E-2</v>
      </c>
      <c r="X85" s="1134">
        <f t="shared" ca="1" si="37"/>
        <v>196908929.87074649</v>
      </c>
      <c r="Y85" s="1134">
        <f t="shared" ca="1" si="31"/>
        <v>3127778.5296730995</v>
      </c>
      <c r="Z85" s="1134">
        <f t="shared" ca="1" si="32"/>
        <v>193781151.34107339</v>
      </c>
      <c r="AA85" s="1132">
        <f t="shared" ca="1" si="33"/>
        <v>0.33903052663696021</v>
      </c>
      <c r="AB85" s="1105"/>
      <c r="AC85" s="1078"/>
    </row>
    <row r="86" spans="1:29">
      <c r="A86" s="1144">
        <f>'AMORT. PROFILE 0% CPR'!A86</f>
        <v>47296</v>
      </c>
      <c r="C86" s="1104"/>
      <c r="D86" s="1125">
        <f t="shared" ca="1" si="19"/>
        <v>48334</v>
      </c>
      <c r="E86" s="1126">
        <f t="shared" ca="1" si="20"/>
        <v>48361</v>
      </c>
      <c r="F86" s="1127">
        <f t="shared" ca="1" si="21"/>
        <v>2312</v>
      </c>
      <c r="G86" s="1128">
        <f ca="1">IF(F86&lt;&gt;"",COUNTIF($F$11:F86,"&gt;0"),"")</f>
        <v>76</v>
      </c>
      <c r="H86" s="1129">
        <v>9.0906429830009908E-3</v>
      </c>
      <c r="I86" s="1073"/>
      <c r="J86" s="1130">
        <f t="shared" ca="1" si="22"/>
        <v>3875623026.8214669</v>
      </c>
      <c r="K86" s="1131">
        <f t="shared" ca="1" si="23"/>
        <v>35231905.273531631</v>
      </c>
      <c r="L86" s="1130">
        <f t="shared" ca="1" si="24"/>
        <v>26592337.567921847</v>
      </c>
      <c r="M86" s="1130">
        <f t="shared" ca="1" si="25"/>
        <v>0</v>
      </c>
      <c r="N86" s="1130">
        <f t="shared" ca="1" si="34"/>
        <v>3813798783.9800138</v>
      </c>
      <c r="O86" s="1073"/>
      <c r="P86" s="1130">
        <f t="shared" ca="1" si="26"/>
        <v>61824242.841453075</v>
      </c>
      <c r="Q86" s="1130">
        <f t="shared" ca="1" si="27"/>
        <v>3623108844.781013</v>
      </c>
      <c r="R86" s="1130">
        <f t="shared" ca="1" si="35"/>
        <v>3681841875.4803934</v>
      </c>
      <c r="S86" s="1130">
        <f t="shared" ca="1" si="36"/>
        <v>58733030.699380398</v>
      </c>
      <c r="T86" s="1130">
        <f t="shared" ca="1" si="28"/>
        <v>3623108844.781013</v>
      </c>
      <c r="U86" s="1132">
        <f t="shared" ca="1" si="29"/>
        <v>0.3118302286300218</v>
      </c>
      <c r="V86" s="1133">
        <f t="shared" ca="1" si="30"/>
        <v>5.0000000000000044E-2</v>
      </c>
      <c r="X86" s="1134">
        <f t="shared" ca="1" si="37"/>
        <v>193781151.34107339</v>
      </c>
      <c r="Y86" s="1134">
        <f t="shared" ca="1" si="31"/>
        <v>3091212.1420726776</v>
      </c>
      <c r="Z86" s="1134">
        <f t="shared" ca="1" si="32"/>
        <v>190689939.19900072</v>
      </c>
      <c r="AA86" s="1132">
        <f t="shared" ca="1" si="33"/>
        <v>0.33364523302526411</v>
      </c>
      <c r="AB86" s="1105"/>
      <c r="AC86" s="1078"/>
    </row>
    <row r="87" spans="1:29">
      <c r="A87" s="1144">
        <f>'AMORT. PROFILE 0% CPR'!A87</f>
        <v>47326</v>
      </c>
      <c r="C87" s="1104"/>
      <c r="D87" s="1125">
        <f t="shared" ca="1" si="19"/>
        <v>48365</v>
      </c>
      <c r="E87" s="1126">
        <f t="shared" ca="1" si="20"/>
        <v>48393</v>
      </c>
      <c r="F87" s="1127">
        <f t="shared" ca="1" si="21"/>
        <v>2344</v>
      </c>
      <c r="G87" s="1128">
        <f ca="1">IF(F87&lt;&gt;"",COUNTIF($F$11:F87,"&gt;0"),"")</f>
        <v>77</v>
      </c>
      <c r="H87" s="1129">
        <v>9.1467158097798887E-3</v>
      </c>
      <c r="I87" s="1073"/>
      <c r="J87" s="1130">
        <f t="shared" ca="1" si="22"/>
        <v>3813798783.9800138</v>
      </c>
      <c r="K87" s="1131">
        <f t="shared" ca="1" si="23"/>
        <v>34883733.632749304</v>
      </c>
      <c r="L87" s="1130">
        <f t="shared" ca="1" si="24"/>
        <v>26166653.728443824</v>
      </c>
      <c r="M87" s="1130">
        <f t="shared" ca="1" si="25"/>
        <v>0</v>
      </c>
      <c r="N87" s="1130">
        <f t="shared" ca="1" si="34"/>
        <v>3752748396.6188211</v>
      </c>
      <c r="O87" s="1073"/>
      <c r="P87" s="1130">
        <f t="shared" ca="1" si="26"/>
        <v>61050387.361192703</v>
      </c>
      <c r="Q87" s="1130">
        <f t="shared" ca="1" si="27"/>
        <v>3565110976.7878799</v>
      </c>
      <c r="R87" s="1130">
        <f t="shared" ca="1" si="35"/>
        <v>3623108844.781013</v>
      </c>
      <c r="S87" s="1130">
        <f t="shared" ca="1" si="36"/>
        <v>57997867.993133068</v>
      </c>
      <c r="T87" s="1130">
        <f t="shared" ca="1" si="28"/>
        <v>3565110976.7878799</v>
      </c>
      <c r="U87" s="1132">
        <f t="shared" ca="1" si="29"/>
        <v>0.30685588833771027</v>
      </c>
      <c r="V87" s="1133">
        <f t="shared" ca="1" si="30"/>
        <v>5.0000000000000044E-2</v>
      </c>
      <c r="X87" s="1134">
        <f t="shared" ca="1" si="37"/>
        <v>190689939.19900072</v>
      </c>
      <c r="Y87" s="1134">
        <f t="shared" ca="1" si="31"/>
        <v>3052519.3680596352</v>
      </c>
      <c r="Z87" s="1134">
        <f t="shared" ca="1" si="32"/>
        <v>187637419.83094108</v>
      </c>
      <c r="AA87" s="1132">
        <f t="shared" ca="1" si="33"/>
        <v>0.32832289806990483</v>
      </c>
      <c r="AB87" s="1105"/>
      <c r="AC87" s="1078"/>
    </row>
    <row r="88" spans="1:29">
      <c r="A88" s="1144">
        <f>'AMORT. PROFILE 0% CPR'!A88</f>
        <v>47357</v>
      </c>
      <c r="C88" s="1104"/>
      <c r="D88" s="1125">
        <f t="shared" ca="1" si="19"/>
        <v>48395</v>
      </c>
      <c r="E88" s="1126">
        <f t="shared" ca="1" si="20"/>
        <v>48422</v>
      </c>
      <c r="F88" s="1127">
        <f t="shared" ca="1" si="21"/>
        <v>2373</v>
      </c>
      <c r="G88" s="1128">
        <f ca="1">IF(F88&lt;&gt;"",COUNTIF($F$11:F88,"&gt;0"),"")</f>
        <v>78</v>
      </c>
      <c r="H88" s="1129">
        <v>9.2122950644957374E-3</v>
      </c>
      <c r="I88" s="1073"/>
      <c r="J88" s="1130">
        <f t="shared" ca="1" si="22"/>
        <v>3752748396.6188211</v>
      </c>
      <c r="K88" s="1131">
        <f t="shared" ca="1" si="23"/>
        <v>34571425.53246586</v>
      </c>
      <c r="L88" s="1130">
        <f t="shared" ca="1" si="24"/>
        <v>25746080.027533311</v>
      </c>
      <c r="M88" s="1130">
        <f t="shared" ca="1" si="25"/>
        <v>0</v>
      </c>
      <c r="N88" s="1130">
        <f t="shared" ca="1" si="34"/>
        <v>3692430891.0588217</v>
      </c>
      <c r="O88" s="1073"/>
      <c r="P88" s="1130">
        <f t="shared" ca="1" si="26"/>
        <v>60317505.559999466</v>
      </c>
      <c r="Q88" s="1130">
        <f t="shared" ca="1" si="27"/>
        <v>3507809346.5058804</v>
      </c>
      <c r="R88" s="1130">
        <f t="shared" ca="1" si="35"/>
        <v>3565110976.7878799</v>
      </c>
      <c r="S88" s="1130">
        <f t="shared" ca="1" si="36"/>
        <v>57301630.281999588</v>
      </c>
      <c r="T88" s="1130">
        <f t="shared" ca="1" si="28"/>
        <v>3507809346.5058804</v>
      </c>
      <c r="U88" s="1132">
        <f t="shared" ca="1" si="29"/>
        <v>0.30194381197810488</v>
      </c>
      <c r="V88" s="1133">
        <f t="shared" ca="1" si="30"/>
        <v>5.0000000000000044E-2</v>
      </c>
      <c r="X88" s="1134">
        <f t="shared" ca="1" si="37"/>
        <v>187637419.83094108</v>
      </c>
      <c r="Y88" s="1134">
        <f t="shared" ca="1" si="31"/>
        <v>3015875.2779998779</v>
      </c>
      <c r="Z88" s="1134">
        <f t="shared" ca="1" si="32"/>
        <v>184621544.5529412</v>
      </c>
      <c r="AA88" s="1132">
        <f t="shared" ca="1" si="33"/>
        <v>0.32306718290451286</v>
      </c>
      <c r="AB88" s="1105"/>
    </row>
    <row r="89" spans="1:29">
      <c r="A89" s="1144">
        <f>'AMORT. PROFILE 0% CPR'!A89</f>
        <v>47388</v>
      </c>
      <c r="C89" s="1104"/>
      <c r="D89" s="1125">
        <f t="shared" ca="1" si="19"/>
        <v>48426</v>
      </c>
      <c r="E89" s="1126">
        <f t="shared" ca="1" si="20"/>
        <v>48453</v>
      </c>
      <c r="F89" s="1127">
        <f t="shared" ca="1" si="21"/>
        <v>2404</v>
      </c>
      <c r="G89" s="1128">
        <f ca="1">IF(F89&lt;&gt;"",COUNTIF($F$11:F89,"&gt;0"),"")</f>
        <v>79</v>
      </c>
      <c r="H89" s="1129">
        <v>9.2730509460333659E-3</v>
      </c>
      <c r="I89" s="1073"/>
      <c r="J89" s="1130">
        <f t="shared" ca="1" si="22"/>
        <v>3692430891.0588217</v>
      </c>
      <c r="K89" s="1131">
        <f t="shared" ca="1" si="23"/>
        <v>34240099.767495833</v>
      </c>
      <c r="L89" s="1130">
        <f t="shared" ca="1" si="24"/>
        <v>25330712.766222563</v>
      </c>
      <c r="M89" s="1130">
        <f t="shared" ca="1" si="25"/>
        <v>0</v>
      </c>
      <c r="N89" s="1130">
        <f t="shared" ca="1" si="34"/>
        <v>3632860078.5251036</v>
      </c>
      <c r="O89" s="1073"/>
      <c r="P89" s="1130">
        <f t="shared" ca="1" si="26"/>
        <v>59570812.533718109</v>
      </c>
      <c r="Q89" s="1130">
        <f t="shared" ca="1" si="27"/>
        <v>3451217074.5988483</v>
      </c>
      <c r="R89" s="1130">
        <f t="shared" ca="1" si="35"/>
        <v>3507809346.5058804</v>
      </c>
      <c r="S89" s="1130">
        <f t="shared" ca="1" si="36"/>
        <v>56592271.907032013</v>
      </c>
      <c r="T89" s="1130">
        <f t="shared" ca="1" si="28"/>
        <v>3451217074.5988483</v>
      </c>
      <c r="U89" s="1132">
        <f t="shared" ca="1" si="29"/>
        <v>0.29709070283436212</v>
      </c>
      <c r="V89" s="1133">
        <f t="shared" ca="1" si="30"/>
        <v>5.0000000000000044E-2</v>
      </c>
      <c r="X89" s="1134">
        <f t="shared" ca="1" si="37"/>
        <v>184621544.5529412</v>
      </c>
      <c r="Y89" s="1134">
        <f t="shared" ca="1" si="31"/>
        <v>2978540.6266860962</v>
      </c>
      <c r="Z89" s="1134">
        <f t="shared" ca="1" si="32"/>
        <v>181643003.92625511</v>
      </c>
      <c r="AA89" s="1132">
        <f t="shared" ca="1" si="33"/>
        <v>0.31787456018068388</v>
      </c>
      <c r="AB89" s="1105"/>
    </row>
    <row r="90" spans="1:29">
      <c r="A90" s="1144">
        <f>'AMORT. PROFILE 0% CPR'!A90</f>
        <v>47420</v>
      </c>
      <c r="C90" s="1104"/>
      <c r="D90" s="1125">
        <f t="shared" ca="1" si="19"/>
        <v>48457</v>
      </c>
      <c r="E90" s="1126">
        <f t="shared" ca="1" si="20"/>
        <v>48484</v>
      </c>
      <c r="F90" s="1127">
        <f t="shared" ca="1" si="21"/>
        <v>2435</v>
      </c>
      <c r="G90" s="1128">
        <f ca="1">IF(F90&lt;&gt;"",COUNTIF($F$11:F90,"&gt;0"),"")</f>
        <v>80</v>
      </c>
      <c r="H90" s="1129">
        <v>9.3325615661931996E-3</v>
      </c>
      <c r="I90" s="1073"/>
      <c r="J90" s="1130">
        <f t="shared" ca="1" si="22"/>
        <v>3632860078.5251036</v>
      </c>
      <c r="K90" s="1131">
        <f t="shared" ca="1" si="23"/>
        <v>33903890.344200991</v>
      </c>
      <c r="L90" s="1130">
        <f t="shared" ca="1" si="24"/>
        <v>24920549.709450535</v>
      </c>
      <c r="M90" s="1130">
        <f t="shared" ca="1" si="25"/>
        <v>0</v>
      </c>
      <c r="N90" s="1130">
        <f t="shared" ca="1" si="34"/>
        <v>3574035638.4714518</v>
      </c>
      <c r="O90" s="1073"/>
      <c r="P90" s="1130">
        <f t="shared" ca="1" si="26"/>
        <v>58824440.05365181</v>
      </c>
      <c r="Q90" s="1130">
        <f t="shared" ca="1" si="27"/>
        <v>3395333856.5478792</v>
      </c>
      <c r="R90" s="1130">
        <f t="shared" ca="1" si="35"/>
        <v>3451217074.5988483</v>
      </c>
      <c r="S90" s="1130">
        <f t="shared" ca="1" si="36"/>
        <v>55883218.050969124</v>
      </c>
      <c r="T90" s="1130">
        <f t="shared" ca="1" si="28"/>
        <v>3395333856.5478792</v>
      </c>
      <c r="U90" s="1132">
        <f t="shared" ca="1" si="29"/>
        <v>0.29229767214909957</v>
      </c>
      <c r="V90" s="1133">
        <f t="shared" ca="1" si="30"/>
        <v>4.9999999999999933E-2</v>
      </c>
      <c r="X90" s="1134">
        <f t="shared" ca="1" si="37"/>
        <v>181643003.92625511</v>
      </c>
      <c r="Y90" s="1134">
        <f t="shared" ca="1" si="31"/>
        <v>2941222.0026826859</v>
      </c>
      <c r="Z90" s="1134">
        <f t="shared" ca="1" si="32"/>
        <v>178701781.92357242</v>
      </c>
      <c r="AA90" s="1132">
        <f t="shared" ca="1" si="33"/>
        <v>0.31274621888129323</v>
      </c>
      <c r="AB90" s="1105"/>
    </row>
    <row r="91" spans="1:29">
      <c r="A91" s="1144">
        <f>'AMORT. PROFILE 0% CPR'!A91</f>
        <v>47449</v>
      </c>
      <c r="C91" s="1104"/>
      <c r="D91" s="1125">
        <f t="shared" ca="1" si="19"/>
        <v>48487</v>
      </c>
      <c r="E91" s="1126">
        <f t="shared" ca="1" si="20"/>
        <v>48514</v>
      </c>
      <c r="F91" s="1127">
        <f t="shared" ca="1" si="21"/>
        <v>2465</v>
      </c>
      <c r="G91" s="1128">
        <f ca="1">IF(F91&lt;&gt;"",COUNTIF($F$11:F91,"&gt;0"),"")</f>
        <v>81</v>
      </c>
      <c r="H91" s="1129">
        <v>9.3924952872224948E-3</v>
      </c>
      <c r="I91" s="1073"/>
      <c r="J91" s="1130">
        <f t="shared" ca="1" si="22"/>
        <v>3574035638.4714518</v>
      </c>
      <c r="K91" s="1131">
        <f t="shared" ca="1" si="23"/>
        <v>33569112.89070835</v>
      </c>
      <c r="L91" s="1130">
        <f t="shared" ca="1" si="24"/>
        <v>24515544.905806899</v>
      </c>
      <c r="M91" s="1130">
        <f t="shared" ca="1" si="25"/>
        <v>0</v>
      </c>
      <c r="N91" s="1130">
        <f t="shared" ca="1" si="34"/>
        <v>3515950980.6749363</v>
      </c>
      <c r="O91" s="1073"/>
      <c r="P91" s="1130">
        <f t="shared" ca="1" si="26"/>
        <v>58084657.796515465</v>
      </c>
      <c r="Q91" s="1130">
        <f t="shared" ca="1" si="27"/>
        <v>3340153431.6411891</v>
      </c>
      <c r="R91" s="1130">
        <f t="shared" ca="1" si="35"/>
        <v>3395333856.5478792</v>
      </c>
      <c r="S91" s="1130">
        <f t="shared" ca="1" si="36"/>
        <v>55180424.906690121</v>
      </c>
      <c r="T91" s="1130">
        <f t="shared" ca="1" si="28"/>
        <v>3340153431.6411891</v>
      </c>
      <c r="U91" s="1132">
        <f t="shared" ca="1" si="29"/>
        <v>0.28756469413136726</v>
      </c>
      <c r="V91" s="1133">
        <f t="shared" ca="1" si="30"/>
        <v>5.0000000000000155E-2</v>
      </c>
      <c r="X91" s="1134">
        <f t="shared" ca="1" si="37"/>
        <v>178701781.92357242</v>
      </c>
      <c r="Y91" s="1134">
        <f t="shared" ca="1" si="31"/>
        <v>2904232.8898253441</v>
      </c>
      <c r="Z91" s="1134">
        <f t="shared" ca="1" si="32"/>
        <v>175797549.03374708</v>
      </c>
      <c r="AA91" s="1132">
        <f t="shared" ca="1" si="33"/>
        <v>0.30768213141110956</v>
      </c>
      <c r="AB91" s="1105"/>
    </row>
    <row r="92" spans="1:29">
      <c r="A92" s="1144">
        <f>'AMORT. PROFILE 0% CPR'!A92</f>
        <v>47479</v>
      </c>
      <c r="C92" s="1104"/>
      <c r="D92" s="1125">
        <f t="shared" ca="1" si="19"/>
        <v>48518</v>
      </c>
      <c r="E92" s="1126">
        <f t="shared" ca="1" si="20"/>
        <v>48547</v>
      </c>
      <c r="F92" s="1127">
        <f t="shared" ca="1" si="21"/>
        <v>2498</v>
      </c>
      <c r="G92" s="1128">
        <f ca="1">IF(F92&lt;&gt;"",COUNTIF($F$11:F92,"&gt;0"),"")</f>
        <v>82</v>
      </c>
      <c r="H92" s="1129">
        <v>9.4410513236365939E-3</v>
      </c>
      <c r="I92" s="1073"/>
      <c r="J92" s="1130">
        <f t="shared" ca="1" si="22"/>
        <v>3515950980.6749363</v>
      </c>
      <c r="K92" s="1131">
        <f t="shared" ca="1" si="23"/>
        <v>33194273.659942489</v>
      </c>
      <c r="L92" s="1130">
        <f t="shared" ca="1" si="24"/>
        <v>24115940.040647913</v>
      </c>
      <c r="M92" s="1130">
        <f t="shared" ca="1" si="25"/>
        <v>0</v>
      </c>
      <c r="N92" s="1130">
        <f t="shared" ca="1" si="34"/>
        <v>3458640766.9743457</v>
      </c>
      <c r="O92" s="1073"/>
      <c r="P92" s="1130">
        <f t="shared" ca="1" si="26"/>
        <v>57310213.700590611</v>
      </c>
      <c r="Q92" s="1130">
        <f t="shared" ca="1" si="27"/>
        <v>3285708728.6256285</v>
      </c>
      <c r="R92" s="1130">
        <f t="shared" ca="1" si="35"/>
        <v>3340153431.6411891</v>
      </c>
      <c r="S92" s="1130">
        <f t="shared" ca="1" si="36"/>
        <v>54444703.015560627</v>
      </c>
      <c r="T92" s="1130">
        <f t="shared" ca="1" si="28"/>
        <v>3285708728.6256285</v>
      </c>
      <c r="U92" s="1132">
        <f t="shared" ca="1" si="29"/>
        <v>0.28289123853590936</v>
      </c>
      <c r="V92" s="1133">
        <f t="shared" ca="1" si="30"/>
        <v>4.9999999999999933E-2</v>
      </c>
      <c r="X92" s="1134">
        <f t="shared" ca="1" si="37"/>
        <v>175797549.03374708</v>
      </c>
      <c r="Y92" s="1134">
        <f t="shared" ca="1" si="31"/>
        <v>2865510.6850299835</v>
      </c>
      <c r="Z92" s="1134">
        <f t="shared" ca="1" si="32"/>
        <v>172932038.34871709</v>
      </c>
      <c r="AA92" s="1132">
        <f t="shared" ca="1" si="33"/>
        <v>0.30268173043000529</v>
      </c>
      <c r="AB92" s="1105"/>
    </row>
    <row r="93" spans="1:29">
      <c r="A93" s="1144">
        <f>'AMORT. PROFILE 0% CPR'!A93</f>
        <v>47511</v>
      </c>
      <c r="C93" s="1104"/>
      <c r="D93" s="1125">
        <f t="shared" ca="1" si="19"/>
        <v>48548</v>
      </c>
      <c r="E93" s="1126">
        <f t="shared" ca="1" si="20"/>
        <v>48575</v>
      </c>
      <c r="F93" s="1127">
        <f t="shared" ca="1" si="21"/>
        <v>2526</v>
      </c>
      <c r="G93" s="1128">
        <f ca="1">IF(F93&lt;&gt;"",COUNTIF($F$11:F93,"&gt;0"),"")</f>
        <v>83</v>
      </c>
      <c r="H93" s="1129">
        <v>9.4894260607976642E-3</v>
      </c>
      <c r="I93" s="1073"/>
      <c r="J93" s="1130">
        <f t="shared" ca="1" si="22"/>
        <v>3458640766.9743457</v>
      </c>
      <c r="K93" s="1131">
        <f t="shared" ca="1" si="23"/>
        <v>32820515.829063576</v>
      </c>
      <c r="L93" s="1130">
        <f t="shared" ca="1" si="24"/>
        <v>23721690.234706745</v>
      </c>
      <c r="M93" s="1130">
        <f t="shared" ca="1" si="25"/>
        <v>0</v>
      </c>
      <c r="N93" s="1130">
        <f t="shared" ca="1" si="34"/>
        <v>3402098560.9105754</v>
      </c>
      <c r="O93" s="1073"/>
      <c r="P93" s="1130">
        <f t="shared" ca="1" si="26"/>
        <v>56542206.063770294</v>
      </c>
      <c r="Q93" s="1130">
        <f t="shared" ca="1" si="27"/>
        <v>3231993632.8650465</v>
      </c>
      <c r="R93" s="1130">
        <f t="shared" ca="1" si="35"/>
        <v>3285708728.6256285</v>
      </c>
      <c r="S93" s="1130">
        <f t="shared" ca="1" si="36"/>
        <v>53715095.76058197</v>
      </c>
      <c r="T93" s="1130">
        <f t="shared" ca="1" si="28"/>
        <v>3231993632.8650465</v>
      </c>
      <c r="U93" s="1132">
        <f t="shared" ca="1" si="29"/>
        <v>0.27828009423280953</v>
      </c>
      <c r="V93" s="1133">
        <f t="shared" ca="1" si="30"/>
        <v>5.0000000000000044E-2</v>
      </c>
      <c r="X93" s="1134">
        <f t="shared" ca="1" si="37"/>
        <v>172932038.34871709</v>
      </c>
      <c r="Y93" s="1134">
        <f t="shared" ca="1" si="31"/>
        <v>2827110.303188324</v>
      </c>
      <c r="Z93" s="1134">
        <f t="shared" ca="1" si="32"/>
        <v>170104928.04552877</v>
      </c>
      <c r="AA93" s="1132">
        <f t="shared" ca="1" si="33"/>
        <v>0.29774799991170298</v>
      </c>
      <c r="AB93" s="1105"/>
    </row>
    <row r="94" spans="1:29">
      <c r="A94" s="1144">
        <f>'AMORT. PROFILE 0% CPR'!A94</f>
        <v>47541</v>
      </c>
      <c r="C94" s="1104"/>
      <c r="D94" s="1125">
        <f t="shared" ca="1" si="19"/>
        <v>48579</v>
      </c>
      <c r="E94" s="1126">
        <f t="shared" ca="1" si="20"/>
        <v>48606</v>
      </c>
      <c r="F94" s="1127">
        <f t="shared" ca="1" si="21"/>
        <v>2557</v>
      </c>
      <c r="G94" s="1128">
        <f ca="1">IF(F94&lt;&gt;"",COUNTIF($F$11:F94,"&gt;0"),"")</f>
        <v>84</v>
      </c>
      <c r="H94" s="1129">
        <v>9.5446780838907511E-3</v>
      </c>
      <c r="I94" s="1073"/>
      <c r="J94" s="1130">
        <f t="shared" ca="1" si="22"/>
        <v>3402098560.9105754</v>
      </c>
      <c r="K94" s="1131">
        <f t="shared" ca="1" si="23"/>
        <v>32471935.573559433</v>
      </c>
      <c r="L94" s="1130">
        <f t="shared" ca="1" si="24"/>
        <v>23332584.06833883</v>
      </c>
      <c r="M94" s="1130">
        <f t="shared" ca="1" si="25"/>
        <v>0</v>
      </c>
      <c r="N94" s="1130">
        <f t="shared" ca="1" si="34"/>
        <v>3346294041.2686772</v>
      </c>
      <c r="O94" s="1073"/>
      <c r="P94" s="1130">
        <f t="shared" ca="1" si="26"/>
        <v>55804519.641898155</v>
      </c>
      <c r="Q94" s="1130">
        <f t="shared" ca="1" si="27"/>
        <v>3178979339.2052431</v>
      </c>
      <c r="R94" s="1130">
        <f t="shared" ca="1" si="35"/>
        <v>3231993632.8650465</v>
      </c>
      <c r="S94" s="1130">
        <f t="shared" ca="1" si="36"/>
        <v>53014293.659803391</v>
      </c>
      <c r="T94" s="1130">
        <f t="shared" ca="1" si="28"/>
        <v>3178979339.2052431</v>
      </c>
      <c r="U94" s="1132">
        <f t="shared" ca="1" si="29"/>
        <v>0.27373074334855396</v>
      </c>
      <c r="V94" s="1133">
        <f t="shared" ca="1" si="30"/>
        <v>5.0000000000000044E-2</v>
      </c>
      <c r="X94" s="1134">
        <f t="shared" ca="1" si="37"/>
        <v>170104928.04552877</v>
      </c>
      <c r="Y94" s="1134">
        <f t="shared" ca="1" si="31"/>
        <v>2790225.9820947647</v>
      </c>
      <c r="Z94" s="1134">
        <f t="shared" ca="1" si="32"/>
        <v>167314702.063434</v>
      </c>
      <c r="AA94" s="1132">
        <f t="shared" ca="1" si="33"/>
        <v>0.29288038575332087</v>
      </c>
      <c r="AB94" s="1105"/>
    </row>
    <row r="95" spans="1:29">
      <c r="A95" s="1144">
        <f>'AMORT. PROFILE 0% CPR'!A95</f>
        <v>47569</v>
      </c>
      <c r="C95" s="1104"/>
      <c r="D95" s="1125">
        <f t="shared" ca="1" si="19"/>
        <v>48610</v>
      </c>
      <c r="E95" s="1126">
        <f t="shared" ca="1" si="20"/>
        <v>48638</v>
      </c>
      <c r="F95" s="1127">
        <f t="shared" ca="1" si="21"/>
        <v>2589</v>
      </c>
      <c r="G95" s="1128">
        <f ca="1">IF(F95&lt;&gt;"",COUNTIF($F$11:F95,"&gt;0"),"")</f>
        <v>85</v>
      </c>
      <c r="H95" s="1129">
        <v>9.5921706937073109E-3</v>
      </c>
      <c r="I95" s="1073"/>
      <c r="J95" s="1130">
        <f t="shared" ca="1" si="22"/>
        <v>3346294041.2686772</v>
      </c>
      <c r="K95" s="1131">
        <f t="shared" ca="1" si="23"/>
        <v>32098223.63518481</v>
      </c>
      <c r="L95" s="1130">
        <f t="shared" ca="1" si="24"/>
        <v>22948759.946403947</v>
      </c>
      <c r="M95" s="1130">
        <f t="shared" ca="1" si="25"/>
        <v>0</v>
      </c>
      <c r="N95" s="1130">
        <f t="shared" ca="1" si="34"/>
        <v>3291247057.6870885</v>
      </c>
      <c r="O95" s="1073"/>
      <c r="P95" s="1130">
        <f t="shared" ca="1" si="26"/>
        <v>55046983.581588745</v>
      </c>
      <c r="Q95" s="1130">
        <f t="shared" ca="1" si="27"/>
        <v>3126684704.8027339</v>
      </c>
      <c r="R95" s="1130">
        <f t="shared" ca="1" si="35"/>
        <v>3178979339.2052431</v>
      </c>
      <c r="S95" s="1130">
        <f t="shared" ca="1" si="36"/>
        <v>52294634.402509212</v>
      </c>
      <c r="T95" s="1130">
        <f t="shared" ca="1" si="28"/>
        <v>3126684704.8027339</v>
      </c>
      <c r="U95" s="1132">
        <f t="shared" ca="1" si="29"/>
        <v>0.26924074625696548</v>
      </c>
      <c r="V95" s="1133">
        <f t="shared" ca="1" si="30"/>
        <v>5.0000000000000044E-2</v>
      </c>
      <c r="X95" s="1134">
        <f t="shared" ca="1" si="37"/>
        <v>167314702.063434</v>
      </c>
      <c r="Y95" s="1134">
        <f t="shared" ca="1" si="31"/>
        <v>2752349.1790795326</v>
      </c>
      <c r="Z95" s="1134">
        <f t="shared" ca="1" si="32"/>
        <v>164562352.88435447</v>
      </c>
      <c r="AA95" s="1132">
        <f t="shared" ca="1" si="33"/>
        <v>0.28807627765742772</v>
      </c>
      <c r="AB95" s="1105"/>
    </row>
    <row r="96" spans="1:29">
      <c r="A96" s="1144">
        <f>'AMORT. PROFILE 0% CPR'!A96</f>
        <v>47602</v>
      </c>
      <c r="C96" s="1104"/>
      <c r="D96" s="1125">
        <f t="shared" ca="1" si="19"/>
        <v>48638</v>
      </c>
      <c r="E96" s="1126">
        <f t="shared" ca="1" si="20"/>
        <v>48666</v>
      </c>
      <c r="F96" s="1127">
        <f t="shared" ca="1" si="21"/>
        <v>2617</v>
      </c>
      <c r="G96" s="1128">
        <f ca="1">IF(F96&lt;&gt;"",COUNTIF($F$11:F96,"&gt;0"),"")</f>
        <v>86</v>
      </c>
      <c r="H96" s="1129">
        <v>9.661662876957966E-3</v>
      </c>
      <c r="I96" s="1073"/>
      <c r="J96" s="1130">
        <f t="shared" ca="1" si="22"/>
        <v>3291247057.6870885</v>
      </c>
      <c r="K96" s="1131">
        <f t="shared" ca="1" si="23"/>
        <v>31798919.516152475</v>
      </c>
      <c r="L96" s="1130">
        <f t="shared" ca="1" si="24"/>
        <v>22569666.065793715</v>
      </c>
      <c r="M96" s="1130">
        <f t="shared" ca="1" si="25"/>
        <v>0</v>
      </c>
      <c r="N96" s="1130">
        <f t="shared" ca="1" si="34"/>
        <v>3236878472.1051426</v>
      </c>
      <c r="O96" s="1073"/>
      <c r="P96" s="1130">
        <f t="shared" ca="1" si="26"/>
        <v>54368585.581945896</v>
      </c>
      <c r="Q96" s="1130">
        <f t="shared" ca="1" si="27"/>
        <v>3075034548.4998851</v>
      </c>
      <c r="R96" s="1130">
        <f t="shared" ca="1" si="35"/>
        <v>3126684704.8027339</v>
      </c>
      <c r="S96" s="1130">
        <f t="shared" ca="1" si="36"/>
        <v>51650156.302848816</v>
      </c>
      <c r="T96" s="1130">
        <f t="shared" ca="1" si="28"/>
        <v>3075034548.4998851</v>
      </c>
      <c r="U96" s="1132">
        <f t="shared" ca="1" si="29"/>
        <v>0.26481170004766025</v>
      </c>
      <c r="V96" s="1133">
        <f t="shared" ca="1" si="30"/>
        <v>5.0000000000000155E-2</v>
      </c>
      <c r="X96" s="1134">
        <f t="shared" ca="1" si="37"/>
        <v>164562352.88435447</v>
      </c>
      <c r="Y96" s="1134">
        <f t="shared" ca="1" si="31"/>
        <v>2718429.2790970802</v>
      </c>
      <c r="Z96" s="1134">
        <f t="shared" ca="1" si="32"/>
        <v>161843923.60525739</v>
      </c>
      <c r="AA96" s="1132">
        <f t="shared" ca="1" si="33"/>
        <v>0.28333738444275908</v>
      </c>
      <c r="AB96" s="1105"/>
    </row>
    <row r="97" spans="1:28">
      <c r="A97" s="1144">
        <f>'AMORT. PROFILE 0% CPR'!A97</f>
        <v>47630</v>
      </c>
      <c r="C97" s="1104"/>
      <c r="D97" s="1125">
        <f t="shared" ca="1" si="19"/>
        <v>48669</v>
      </c>
      <c r="E97" s="1126">
        <f t="shared" ca="1" si="20"/>
        <v>48696</v>
      </c>
      <c r="F97" s="1127">
        <f t="shared" ca="1" si="21"/>
        <v>2647</v>
      </c>
      <c r="G97" s="1128">
        <f ca="1">IF(F97&lt;&gt;"",COUNTIF($F$11:F97,"&gt;0"),"")</f>
        <v>87</v>
      </c>
      <c r="H97" s="1129">
        <v>9.7202625010779555E-3</v>
      </c>
      <c r="I97" s="1073"/>
      <c r="J97" s="1130">
        <f t="shared" ca="1" si="22"/>
        <v>3236878472.1051426</v>
      </c>
      <c r="K97" s="1131">
        <f t="shared" ca="1" si="23"/>
        <v>31463308.432950124</v>
      </c>
      <c r="L97" s="1130">
        <f t="shared" ca="1" si="24"/>
        <v>22195521.075819269</v>
      </c>
      <c r="M97" s="1130">
        <f t="shared" ca="1" si="25"/>
        <v>0</v>
      </c>
      <c r="N97" s="1130">
        <f t="shared" ca="1" si="34"/>
        <v>3183219642.5963731</v>
      </c>
      <c r="O97" s="1073"/>
      <c r="P97" s="1130">
        <f t="shared" ca="1" si="26"/>
        <v>53658829.508769512</v>
      </c>
      <c r="Q97" s="1130">
        <f t="shared" ca="1" si="27"/>
        <v>3024058660.4665542</v>
      </c>
      <c r="R97" s="1130">
        <f t="shared" ca="1" si="35"/>
        <v>3075034548.4998851</v>
      </c>
      <c r="S97" s="1130">
        <f t="shared" ca="1" si="36"/>
        <v>50975888.033330917</v>
      </c>
      <c r="T97" s="1130">
        <f t="shared" ca="1" si="28"/>
        <v>3024058660.4665542</v>
      </c>
      <c r="U97" s="1132">
        <f t="shared" ca="1" si="29"/>
        <v>0.26043723732128576</v>
      </c>
      <c r="V97" s="1133">
        <f t="shared" ca="1" si="30"/>
        <v>5.0000000000000044E-2</v>
      </c>
      <c r="X97" s="1134">
        <f t="shared" ca="1" si="37"/>
        <v>161843923.60525739</v>
      </c>
      <c r="Y97" s="1134">
        <f t="shared" ca="1" si="31"/>
        <v>2682941.4754385948</v>
      </c>
      <c r="Z97" s="1134">
        <f t="shared" ca="1" si="32"/>
        <v>159160982.1298188</v>
      </c>
      <c r="AA97" s="1132">
        <f t="shared" ca="1" si="33"/>
        <v>0.27865689325974069</v>
      </c>
      <c r="AB97" s="1105"/>
    </row>
    <row r="98" spans="1:28">
      <c r="A98" s="1144">
        <f>'AMORT. PROFILE 0% CPR'!A98</f>
        <v>47661</v>
      </c>
      <c r="C98" s="1104"/>
      <c r="D98" s="1125">
        <f t="shared" ca="1" si="19"/>
        <v>48699</v>
      </c>
      <c r="E98" s="1126">
        <f t="shared" ca="1" si="20"/>
        <v>48726</v>
      </c>
      <c r="F98" s="1127">
        <f t="shared" ca="1" si="21"/>
        <v>2677</v>
      </c>
      <c r="G98" s="1128">
        <f ca="1">IF(F98&lt;&gt;"",COUNTIF($F$11:F98,"&gt;0"),"")</f>
        <v>88</v>
      </c>
      <c r="H98" s="1129">
        <v>9.7800217095957136E-3</v>
      </c>
      <c r="I98" s="1073"/>
      <c r="J98" s="1130">
        <f t="shared" ca="1" si="22"/>
        <v>3183219642.5963731</v>
      </c>
      <c r="K98" s="1131">
        <f t="shared" ca="1" si="23"/>
        <v>31131957.211004037</v>
      </c>
      <c r="L98" s="1130">
        <f t="shared" ca="1" si="24"/>
        <v>21826261.211558972</v>
      </c>
      <c r="M98" s="1130">
        <f t="shared" ca="1" si="25"/>
        <v>0</v>
      </c>
      <c r="N98" s="1130">
        <f t="shared" ca="1" si="34"/>
        <v>3130261424.17381</v>
      </c>
      <c r="O98" s="1073"/>
      <c r="P98" s="1130">
        <f t="shared" ca="1" si="26"/>
        <v>52958218.422563076</v>
      </c>
      <c r="Q98" s="1130">
        <f t="shared" ca="1" si="27"/>
        <v>2973748352.9651194</v>
      </c>
      <c r="R98" s="1130">
        <f t="shared" ca="1" si="35"/>
        <v>3024058660.4665542</v>
      </c>
      <c r="S98" s="1130">
        <f t="shared" ca="1" si="36"/>
        <v>50310307.501434803</v>
      </c>
      <c r="T98" s="1130">
        <f t="shared" ca="1" si="28"/>
        <v>2973748352.9651194</v>
      </c>
      <c r="U98" s="1132">
        <f t="shared" ca="1" si="29"/>
        <v>0.25611988112901907</v>
      </c>
      <c r="V98" s="1133">
        <f t="shared" ca="1" si="30"/>
        <v>5.0000000000000044E-2</v>
      </c>
      <c r="X98" s="1134">
        <f t="shared" ca="1" si="37"/>
        <v>159160982.1298188</v>
      </c>
      <c r="Y98" s="1134">
        <f t="shared" ca="1" si="31"/>
        <v>2647910.921128273</v>
      </c>
      <c r="Z98" s="1134">
        <f t="shared" ca="1" si="32"/>
        <v>156513071.20869052</v>
      </c>
      <c r="AA98" s="1132">
        <f t="shared" ca="1" si="33"/>
        <v>0.27403750366704338</v>
      </c>
      <c r="AB98" s="1105"/>
    </row>
    <row r="99" spans="1:28">
      <c r="A99" s="1144">
        <f>'AMORT. PROFILE 0% CPR'!A99</f>
        <v>47693</v>
      </c>
      <c r="C99" s="1104"/>
      <c r="D99" s="1125">
        <f t="shared" ca="1" si="19"/>
        <v>48730</v>
      </c>
      <c r="E99" s="1126">
        <f t="shared" ca="1" si="20"/>
        <v>48757</v>
      </c>
      <c r="F99" s="1127">
        <f t="shared" ca="1" si="21"/>
        <v>2708</v>
      </c>
      <c r="G99" s="1128">
        <f ca="1">IF(F99&lt;&gt;"",COUNTIF($F$11:F99,"&gt;0"),"")</f>
        <v>89</v>
      </c>
      <c r="H99" s="1129">
        <v>9.8395058437742034E-3</v>
      </c>
      <c r="I99" s="1073"/>
      <c r="J99" s="1130">
        <f t="shared" ca="1" si="22"/>
        <v>3130261424.17381</v>
      </c>
      <c r="K99" s="1131">
        <f t="shared" ca="1" si="23"/>
        <v>30800225.575699165</v>
      </c>
      <c r="L99" s="1130">
        <f t="shared" ca="1" si="24"/>
        <v>21461855.280660853</v>
      </c>
      <c r="M99" s="1130">
        <f t="shared" ca="1" si="25"/>
        <v>0</v>
      </c>
      <c r="N99" s="1130">
        <f t="shared" ca="1" si="34"/>
        <v>3077999343.31745</v>
      </c>
      <c r="O99" s="1073"/>
      <c r="P99" s="1130">
        <f t="shared" ca="1" si="26"/>
        <v>52262080.856359959</v>
      </c>
      <c r="Q99" s="1130">
        <f t="shared" ca="1" si="27"/>
        <v>2924099376.1515775</v>
      </c>
      <c r="R99" s="1130">
        <f t="shared" ca="1" si="35"/>
        <v>2973748352.9651194</v>
      </c>
      <c r="S99" s="1130">
        <f t="shared" ca="1" si="36"/>
        <v>49648976.813541889</v>
      </c>
      <c r="T99" s="1130">
        <f t="shared" ca="1" si="28"/>
        <v>2924099376.1515775</v>
      </c>
      <c r="U99" s="1132">
        <f t="shared" ca="1" si="29"/>
        <v>0.25185889567087194</v>
      </c>
      <c r="V99" s="1133">
        <f t="shared" ca="1" si="30"/>
        <v>5.0000000000000044E-2</v>
      </c>
      <c r="X99" s="1134">
        <f t="shared" ca="1" si="37"/>
        <v>156513071.20869052</v>
      </c>
      <c r="Y99" s="1134">
        <f t="shared" ca="1" si="31"/>
        <v>2613104.0428180695</v>
      </c>
      <c r="Z99" s="1134">
        <f t="shared" ca="1" si="32"/>
        <v>153899967.16587245</v>
      </c>
      <c r="AA99" s="1132">
        <f t="shared" ca="1" si="33"/>
        <v>0.26947842838961866</v>
      </c>
      <c r="AB99" s="1105"/>
    </row>
    <row r="100" spans="1:28">
      <c r="A100" s="1144">
        <f>'AMORT. PROFILE 0% CPR'!A100</f>
        <v>47722</v>
      </c>
      <c r="C100" s="1104"/>
      <c r="D100" s="1125">
        <f t="shared" ca="1" si="19"/>
        <v>48760</v>
      </c>
      <c r="E100" s="1126">
        <f t="shared" ca="1" si="20"/>
        <v>48787</v>
      </c>
      <c r="F100" s="1127">
        <f t="shared" ca="1" si="21"/>
        <v>2738</v>
      </c>
      <c r="G100" s="1128">
        <f ca="1">IF(F100&lt;&gt;"",COUNTIF($F$11:F100,"&gt;0"),"")</f>
        <v>90</v>
      </c>
      <c r="H100" s="1129">
        <v>9.8993835338828818E-3</v>
      </c>
      <c r="I100" s="1073"/>
      <c r="J100" s="1130">
        <f t="shared" ca="1" si="22"/>
        <v>3077999343.31745</v>
      </c>
      <c r="K100" s="1131">
        <f t="shared" ca="1" si="23"/>
        <v>30470296.016539089</v>
      </c>
      <c r="L100" s="1130">
        <f t="shared" ca="1" si="24"/>
        <v>21102257.194368307</v>
      </c>
      <c r="M100" s="1130">
        <f t="shared" ca="1" si="25"/>
        <v>0</v>
      </c>
      <c r="N100" s="1130">
        <f t="shared" ca="1" si="34"/>
        <v>3026426790.1065426</v>
      </c>
      <c r="O100" s="1073"/>
      <c r="P100" s="1130">
        <f t="shared" ca="1" si="26"/>
        <v>51572553.210907459</v>
      </c>
      <c r="Q100" s="1130">
        <f t="shared" ca="1" si="27"/>
        <v>2875105450.6012154</v>
      </c>
      <c r="R100" s="1130">
        <f t="shared" ca="1" si="35"/>
        <v>2924099376.1515775</v>
      </c>
      <c r="S100" s="1130">
        <f t="shared" ca="1" si="36"/>
        <v>48993925.55036211</v>
      </c>
      <c r="T100" s="1130">
        <f t="shared" ca="1" si="28"/>
        <v>2875105450.6012154</v>
      </c>
      <c r="U100" s="1132">
        <f t="shared" ca="1" si="29"/>
        <v>0.24765392101019526</v>
      </c>
      <c r="V100" s="1133">
        <f t="shared" ca="1" si="30"/>
        <v>5.0000000000000044E-2</v>
      </c>
      <c r="X100" s="1134">
        <f t="shared" ca="1" si="37"/>
        <v>153899967.16587245</v>
      </c>
      <c r="Y100" s="1134">
        <f t="shared" ca="1" si="31"/>
        <v>2578627.6605453491</v>
      </c>
      <c r="Z100" s="1134">
        <f t="shared" ca="1" si="32"/>
        <v>151321339.50532711</v>
      </c>
      <c r="AA100" s="1132">
        <f t="shared" ca="1" si="33"/>
        <v>0.26497928231038648</v>
      </c>
      <c r="AB100" s="1105"/>
    </row>
    <row r="101" spans="1:28">
      <c r="A101" s="1144">
        <f>'AMORT. PROFILE 0% CPR'!A101</f>
        <v>47753</v>
      </c>
      <c r="C101" s="1104"/>
      <c r="D101" s="1125">
        <f t="shared" ca="1" si="19"/>
        <v>48791</v>
      </c>
      <c r="E101" s="1126">
        <f t="shared" ca="1" si="20"/>
        <v>48820</v>
      </c>
      <c r="F101" s="1127">
        <f t="shared" ca="1" si="21"/>
        <v>2771</v>
      </c>
      <c r="G101" s="1128">
        <f ca="1">IF(F101&lt;&gt;"",COUNTIF($F$11:F101,"&gt;0"),"")</f>
        <v>91</v>
      </c>
      <c r="H101" s="1129">
        <v>9.9561697940096401E-3</v>
      </c>
      <c r="I101" s="1073"/>
      <c r="J101" s="1130">
        <f t="shared" ca="1" si="22"/>
        <v>3026426790.1065426</v>
      </c>
      <c r="K101" s="1131">
        <f t="shared" ca="1" si="23"/>
        <v>30131618.991440311</v>
      </c>
      <c r="L101" s="1130">
        <f t="shared" ca="1" si="24"/>
        <v>20747494.232126851</v>
      </c>
      <c r="M101" s="1130">
        <f t="shared" ca="1" si="25"/>
        <v>0</v>
      </c>
      <c r="N101" s="1130">
        <f t="shared" ca="1" si="34"/>
        <v>2975547676.8829756</v>
      </c>
      <c r="O101" s="1073"/>
      <c r="P101" s="1130">
        <f t="shared" ca="1" si="26"/>
        <v>50879113.223567009</v>
      </c>
      <c r="Q101" s="1130">
        <f t="shared" ca="1" si="27"/>
        <v>2826770293.0388265</v>
      </c>
      <c r="R101" s="1130">
        <f t="shared" ca="1" si="35"/>
        <v>2875105450.6012154</v>
      </c>
      <c r="S101" s="1130">
        <f t="shared" ca="1" si="36"/>
        <v>48335157.562388897</v>
      </c>
      <c r="T101" s="1130">
        <f t="shared" ca="1" si="28"/>
        <v>2826770293.0388265</v>
      </c>
      <c r="U101" s="1132">
        <f t="shared" ca="1" si="29"/>
        <v>0.24350442531685881</v>
      </c>
      <c r="V101" s="1133">
        <f t="shared" ca="1" si="30"/>
        <v>5.0000000000000155E-2</v>
      </c>
      <c r="X101" s="1134">
        <f t="shared" ca="1" si="37"/>
        <v>151321339.50532711</v>
      </c>
      <c r="Y101" s="1134">
        <f t="shared" ca="1" si="31"/>
        <v>2543955.661178112</v>
      </c>
      <c r="Z101" s="1134">
        <f t="shared" ca="1" si="32"/>
        <v>148777383.84414899</v>
      </c>
      <c r="AA101" s="1132">
        <f t="shared" ca="1" si="33"/>
        <v>0.26053949639346952</v>
      </c>
      <c r="AB101" s="1105"/>
    </row>
    <row r="102" spans="1:28">
      <c r="A102" s="1144">
        <f>'AMORT. PROFILE 0% CPR'!A102</f>
        <v>47784</v>
      </c>
      <c r="C102" s="1104"/>
      <c r="D102" s="1125">
        <f t="shared" ca="1" si="19"/>
        <v>48822</v>
      </c>
      <c r="E102" s="1126">
        <f t="shared" ca="1" si="20"/>
        <v>48849</v>
      </c>
      <c r="F102" s="1127">
        <f t="shared" ca="1" si="21"/>
        <v>2800</v>
      </c>
      <c r="G102" s="1128">
        <f ca="1">IF(F102&lt;&gt;"",COUNTIF($F$11:F102,"&gt;0"),"")</f>
        <v>92</v>
      </c>
      <c r="H102" s="1129">
        <v>1.0011079015101747E-2</v>
      </c>
      <c r="I102" s="1073"/>
      <c r="J102" s="1130">
        <f t="shared" ca="1" si="22"/>
        <v>2975547676.8829756</v>
      </c>
      <c r="K102" s="1131">
        <f t="shared" ca="1" si="23"/>
        <v>29788442.90647791</v>
      </c>
      <c r="L102" s="1130">
        <f t="shared" ca="1" si="24"/>
        <v>20397564.066899464</v>
      </c>
      <c r="M102" s="1130">
        <f t="shared" ca="1" si="25"/>
        <v>0</v>
      </c>
      <c r="N102" s="1130">
        <f t="shared" ca="1" si="34"/>
        <v>2925361669.9095984</v>
      </c>
      <c r="O102" s="1073"/>
      <c r="P102" s="1130">
        <f t="shared" ca="1" si="26"/>
        <v>50186006.973377228</v>
      </c>
      <c r="Q102" s="1130">
        <f t="shared" ca="1" si="27"/>
        <v>2779093586.4141183</v>
      </c>
      <c r="R102" s="1130">
        <f t="shared" ca="1" si="35"/>
        <v>2826770293.0388265</v>
      </c>
      <c r="S102" s="1130">
        <f t="shared" ca="1" si="36"/>
        <v>47676706.624708176</v>
      </c>
      <c r="T102" s="1130">
        <f t="shared" ca="1" si="28"/>
        <v>2779093586.4141183</v>
      </c>
      <c r="U102" s="1132">
        <f t="shared" ca="1" si="29"/>
        <v>0.23941072337546807</v>
      </c>
      <c r="V102" s="1133">
        <f t="shared" ca="1" si="30"/>
        <v>5.0000000000000044E-2</v>
      </c>
      <c r="X102" s="1134">
        <f t="shared" ca="1" si="37"/>
        <v>148777383.84414899</v>
      </c>
      <c r="Y102" s="1134">
        <f t="shared" ca="1" si="31"/>
        <v>2509300.3486690521</v>
      </c>
      <c r="Z102" s="1134">
        <f t="shared" ca="1" si="32"/>
        <v>146268083.49547994</v>
      </c>
      <c r="AA102" s="1132">
        <f t="shared" ca="1" si="33"/>
        <v>0.25615940744516014</v>
      </c>
      <c r="AB102" s="1105"/>
    </row>
    <row r="103" spans="1:28">
      <c r="A103" s="1144">
        <f>'AMORT. PROFILE 0% CPR'!A103</f>
        <v>47814</v>
      </c>
      <c r="C103" s="1104"/>
      <c r="D103" s="1125">
        <f t="shared" ca="1" si="19"/>
        <v>48852</v>
      </c>
      <c r="E103" s="1126">
        <f t="shared" ca="1" si="20"/>
        <v>48879</v>
      </c>
      <c r="F103" s="1127">
        <f t="shared" ca="1" si="21"/>
        <v>2830</v>
      </c>
      <c r="G103" s="1128">
        <f ca="1">IF(F103&lt;&gt;"",COUNTIF($F$11:F103,"&gt;0"),"")</f>
        <v>93</v>
      </c>
      <c r="H103" s="1129">
        <v>1.0084905084903981E-2</v>
      </c>
      <c r="I103" s="1073"/>
      <c r="J103" s="1130">
        <f t="shared" ca="1" si="22"/>
        <v>2925361669.9095984</v>
      </c>
      <c r="K103" s="1131">
        <f t="shared" ca="1" si="23"/>
        <v>29501994.78005451</v>
      </c>
      <c r="L103" s="1130">
        <f t="shared" ca="1" si="24"/>
        <v>20052040.428459812</v>
      </c>
      <c r="M103" s="1130">
        <f t="shared" ca="1" si="25"/>
        <v>0</v>
      </c>
      <c r="N103" s="1130">
        <f t="shared" ca="1" si="34"/>
        <v>2875807634.7010841</v>
      </c>
      <c r="O103" s="1073"/>
      <c r="P103" s="1130">
        <f t="shared" ca="1" si="26"/>
        <v>49554035.208514214</v>
      </c>
      <c r="Q103" s="1130">
        <f t="shared" ca="1" si="27"/>
        <v>2732017252.9660296</v>
      </c>
      <c r="R103" s="1130">
        <f t="shared" ca="1" si="35"/>
        <v>2779093586.4141183</v>
      </c>
      <c r="S103" s="1130">
        <f t="shared" ca="1" si="36"/>
        <v>47076333.448088646</v>
      </c>
      <c r="T103" s="1130">
        <f t="shared" ca="1" si="28"/>
        <v>2732017252.9660296</v>
      </c>
      <c r="U103" s="1132">
        <f t="shared" ca="1" si="29"/>
        <v>0.23537278833373859</v>
      </c>
      <c r="V103" s="1133">
        <f t="shared" ca="1" si="30"/>
        <v>5.0000000000000044E-2</v>
      </c>
      <c r="X103" s="1134">
        <f t="shared" ca="1" si="37"/>
        <v>146268083.49547994</v>
      </c>
      <c r="Y103" s="1134">
        <f t="shared" ca="1" si="31"/>
        <v>2477701.7604255676</v>
      </c>
      <c r="Z103" s="1134">
        <f t="shared" ca="1" si="32"/>
        <v>143790381.73505437</v>
      </c>
      <c r="AA103" s="1132">
        <f t="shared" ca="1" si="33"/>
        <v>0.25183898673464178</v>
      </c>
      <c r="AB103" s="1105"/>
    </row>
    <row r="104" spans="1:28">
      <c r="A104" s="1144">
        <f>'AMORT. PROFILE 0% CPR'!A104</f>
        <v>47844</v>
      </c>
      <c r="C104" s="1104"/>
      <c r="D104" s="1125">
        <f t="shared" ca="1" si="19"/>
        <v>48883</v>
      </c>
      <c r="E104" s="1126">
        <f t="shared" ca="1" si="20"/>
        <v>48911</v>
      </c>
      <c r="F104" s="1127">
        <f t="shared" ca="1" si="21"/>
        <v>2862</v>
      </c>
      <c r="G104" s="1128">
        <f ca="1">IF(F104&lt;&gt;"",COUNTIF($F$11:F104,"&gt;0"),"")</f>
        <v>94</v>
      </c>
      <c r="H104" s="1129">
        <v>1.0142221653639991E-2</v>
      </c>
      <c r="I104" s="1073"/>
      <c r="J104" s="1130">
        <f t="shared" ca="1" si="22"/>
        <v>2875807634.7010841</v>
      </c>
      <c r="K104" s="1131">
        <f t="shared" ca="1" si="23"/>
        <v>29167078.464368541</v>
      </c>
      <c r="L104" s="1130">
        <f t="shared" ca="1" si="24"/>
        <v>19711228.416618112</v>
      </c>
      <c r="M104" s="1130">
        <f t="shared" ca="1" si="25"/>
        <v>0</v>
      </c>
      <c r="N104" s="1130">
        <f t="shared" ca="1" si="34"/>
        <v>2826929327.8200974</v>
      </c>
      <c r="O104" s="1073"/>
      <c r="P104" s="1130">
        <f t="shared" ca="1" si="26"/>
        <v>48878306.880986691</v>
      </c>
      <c r="Q104" s="1130">
        <f t="shared" ca="1" si="27"/>
        <v>2685582861.4290924</v>
      </c>
      <c r="R104" s="1130">
        <f t="shared" ca="1" si="35"/>
        <v>2732017252.9660296</v>
      </c>
      <c r="S104" s="1130">
        <f t="shared" ca="1" si="36"/>
        <v>46434391.536937237</v>
      </c>
      <c r="T104" s="1130">
        <f t="shared" ca="1" si="28"/>
        <v>2685582861.4290924</v>
      </c>
      <c r="U104" s="1132">
        <f t="shared" ca="1" si="29"/>
        <v>0.23138570134884051</v>
      </c>
      <c r="V104" s="1133">
        <f t="shared" ca="1" si="30"/>
        <v>5.0000000000000044E-2</v>
      </c>
      <c r="X104" s="1134">
        <f t="shared" ca="1" si="37"/>
        <v>143790381.73505437</v>
      </c>
      <c r="Y104" s="1134">
        <f t="shared" ca="1" si="31"/>
        <v>2443915.3440494537</v>
      </c>
      <c r="Z104" s="1134">
        <f t="shared" ca="1" si="32"/>
        <v>141346466.39100492</v>
      </c>
      <c r="AA104" s="1132">
        <f t="shared" ca="1" si="33"/>
        <v>0.2475729713069118</v>
      </c>
      <c r="AB104" s="1105"/>
    </row>
    <row r="105" spans="1:28">
      <c r="A105" s="1144">
        <f>'AMORT. PROFILE 0% CPR'!A105</f>
        <v>47875</v>
      </c>
      <c r="C105" s="1104"/>
      <c r="D105" s="1125">
        <f t="shared" ca="1" si="19"/>
        <v>48913</v>
      </c>
      <c r="E105" s="1126">
        <f t="shared" ca="1" si="20"/>
        <v>48940</v>
      </c>
      <c r="F105" s="1127">
        <f t="shared" ca="1" si="21"/>
        <v>2891</v>
      </c>
      <c r="G105" s="1128">
        <f ca="1">IF(F105&lt;&gt;"",COUNTIF($F$11:F105,"&gt;0"),"")</f>
        <v>95</v>
      </c>
      <c r="H105" s="1129">
        <v>1.0206235338456701E-2</v>
      </c>
      <c r="I105" s="1073"/>
      <c r="J105" s="1130">
        <f t="shared" ca="1" si="22"/>
        <v>2826929327.8200974</v>
      </c>
      <c r="K105" s="1131">
        <f t="shared" ca="1" si="23"/>
        <v>28852306.004917126</v>
      </c>
      <c r="L105" s="1130">
        <f t="shared" ca="1" si="24"/>
        <v>19374955.922500808</v>
      </c>
      <c r="M105" s="1130">
        <f t="shared" ca="1" si="25"/>
        <v>0</v>
      </c>
      <c r="N105" s="1130">
        <f t="shared" ca="1" si="34"/>
        <v>2778702065.8926797</v>
      </c>
      <c r="O105" s="1073"/>
      <c r="P105" s="1130">
        <f t="shared" ca="1" si="26"/>
        <v>48227261.927417755</v>
      </c>
      <c r="Q105" s="1130">
        <f t="shared" ca="1" si="27"/>
        <v>2639766962.5980453</v>
      </c>
      <c r="R105" s="1130">
        <f t="shared" ca="1" si="35"/>
        <v>2685582861.4290924</v>
      </c>
      <c r="S105" s="1130">
        <f t="shared" ca="1" si="36"/>
        <v>45815898.831047058</v>
      </c>
      <c r="T105" s="1130">
        <f t="shared" ca="1" si="28"/>
        <v>2639766962.5980453</v>
      </c>
      <c r="U105" s="1132">
        <f t="shared" ca="1" si="29"/>
        <v>0.22745298304670813</v>
      </c>
      <c r="V105" s="1133">
        <f t="shared" ca="1" si="30"/>
        <v>5.0000000000000155E-2</v>
      </c>
      <c r="X105" s="1134">
        <f t="shared" ca="1" si="37"/>
        <v>141346466.39100492</v>
      </c>
      <c r="Y105" s="1134">
        <f t="shared" ca="1" si="31"/>
        <v>2411363.096370697</v>
      </c>
      <c r="Z105" s="1134">
        <f t="shared" ca="1" si="32"/>
        <v>138935103.29463422</v>
      </c>
      <c r="AA105" s="1132">
        <f t="shared" ca="1" si="33"/>
        <v>0.24336512808368616</v>
      </c>
      <c r="AB105" s="1105"/>
    </row>
    <row r="106" spans="1:28">
      <c r="A106" s="1144">
        <f>'AMORT. PROFILE 0% CPR'!A106</f>
        <v>47906</v>
      </c>
      <c r="C106" s="1104"/>
      <c r="D106" s="1125">
        <f t="shared" ca="1" si="19"/>
        <v>48944</v>
      </c>
      <c r="E106" s="1126">
        <f t="shared" ca="1" si="20"/>
        <v>48971</v>
      </c>
      <c r="F106" s="1127">
        <f t="shared" ca="1" si="21"/>
        <v>2922</v>
      </c>
      <c r="G106" s="1128">
        <f ca="1">IF(F106&lt;&gt;"",COUNTIF($F$11:F106,"&gt;0"),"")</f>
        <v>96</v>
      </c>
      <c r="H106" s="1129">
        <v>1.0266860205826534E-2</v>
      </c>
      <c r="I106" s="1073"/>
      <c r="J106" s="1130">
        <f t="shared" ca="1" si="22"/>
        <v>2778702065.8926797</v>
      </c>
      <c r="K106" s="1131">
        <f t="shared" ca="1" si="23"/>
        <v>28528545.664161533</v>
      </c>
      <c r="L106" s="1130">
        <f t="shared" ca="1" si="24"/>
        <v>19043253.748279411</v>
      </c>
      <c r="M106" s="1130">
        <f t="shared" ca="1" si="25"/>
        <v>0</v>
      </c>
      <c r="N106" s="1130">
        <f t="shared" ca="1" si="34"/>
        <v>2731130266.4802384</v>
      </c>
      <c r="O106" s="1073"/>
      <c r="P106" s="1130">
        <f t="shared" ca="1" si="26"/>
        <v>47571799.412441254</v>
      </c>
      <c r="Q106" s="1130">
        <f t="shared" ca="1" si="27"/>
        <v>2594573753.1562262</v>
      </c>
      <c r="R106" s="1130">
        <f t="shared" ca="1" si="35"/>
        <v>2639766962.5980453</v>
      </c>
      <c r="S106" s="1130">
        <f t="shared" ca="1" si="36"/>
        <v>45193209.441819191</v>
      </c>
      <c r="T106" s="1130">
        <f t="shared" ca="1" si="28"/>
        <v>2594573753.1562262</v>
      </c>
      <c r="U106" s="1132">
        <f t="shared" ca="1" si="29"/>
        <v>0.22357264741835875</v>
      </c>
      <c r="V106" s="1133">
        <f t="shared" ca="1" si="30"/>
        <v>5.0000000000000155E-2</v>
      </c>
      <c r="X106" s="1134">
        <f t="shared" ca="1" si="37"/>
        <v>138935103.29463422</v>
      </c>
      <c r="Y106" s="1134">
        <f t="shared" ca="1" si="31"/>
        <v>2378589.9706220627</v>
      </c>
      <c r="Z106" s="1134">
        <f t="shared" ca="1" si="32"/>
        <v>136556513.32401216</v>
      </c>
      <c r="AA106" s="1132">
        <f t="shared" ca="1" si="33"/>
        <v>0.23921333211886059</v>
      </c>
      <c r="AB106" s="1105"/>
    </row>
    <row r="107" spans="1:28">
      <c r="A107" s="1144">
        <f>'AMORT. PROFILE 0% CPR'!A107</f>
        <v>47934</v>
      </c>
      <c r="C107" s="1104"/>
      <c r="D107" s="1125">
        <f t="shared" ca="1" si="19"/>
        <v>48975</v>
      </c>
      <c r="E107" s="1126">
        <f t="shared" ca="1" si="20"/>
        <v>49002</v>
      </c>
      <c r="F107" s="1127">
        <f t="shared" ca="1" si="21"/>
        <v>2953</v>
      </c>
      <c r="G107" s="1128">
        <f ca="1">IF(F107&lt;&gt;"",COUNTIF($F$11:F107,"&gt;0"),"")</f>
        <v>97</v>
      </c>
      <c r="H107" s="1129">
        <v>1.0335059755144243E-2</v>
      </c>
      <c r="I107" s="1073"/>
      <c r="J107" s="1130">
        <f t="shared" ca="1" si="22"/>
        <v>2731130266.4802384</v>
      </c>
      <c r="K107" s="1131">
        <f t="shared" ca="1" si="23"/>
        <v>28226394.503156286</v>
      </c>
      <c r="L107" s="1130">
        <f t="shared" ca="1" si="24"/>
        <v>18715940.617081344</v>
      </c>
      <c r="M107" s="1130">
        <f t="shared" ca="1" si="25"/>
        <v>0</v>
      </c>
      <c r="N107" s="1130">
        <f t="shared" ca="1" si="34"/>
        <v>2684187931.3600011</v>
      </c>
      <c r="O107" s="1073"/>
      <c r="P107" s="1130">
        <f t="shared" ca="1" si="26"/>
        <v>46942335.12023735</v>
      </c>
      <c r="Q107" s="1130">
        <f t="shared" ca="1" si="27"/>
        <v>2549978534.7920008</v>
      </c>
      <c r="R107" s="1130">
        <f t="shared" ca="1" si="35"/>
        <v>2594573753.1562262</v>
      </c>
      <c r="S107" s="1130">
        <f t="shared" ca="1" si="36"/>
        <v>44595218.364225388</v>
      </c>
      <c r="T107" s="1130">
        <f t="shared" ca="1" si="28"/>
        <v>2549978534.7920008</v>
      </c>
      <c r="U107" s="1132">
        <f t="shared" ca="1" si="29"/>
        <v>0.21974504989804747</v>
      </c>
      <c r="V107" s="1133">
        <f t="shared" ca="1" si="30"/>
        <v>5.0000000000000044E-2</v>
      </c>
      <c r="X107" s="1134">
        <f t="shared" ca="1" si="37"/>
        <v>136556513.32401216</v>
      </c>
      <c r="Y107" s="1134">
        <f t="shared" ca="1" si="31"/>
        <v>2347116.7560119629</v>
      </c>
      <c r="Z107" s="1134">
        <f t="shared" ca="1" si="32"/>
        <v>134209396.5680002</v>
      </c>
      <c r="AA107" s="1132">
        <f t="shared" ca="1" si="33"/>
        <v>0.23511796371214214</v>
      </c>
      <c r="AB107" s="1105"/>
    </row>
    <row r="108" spans="1:28">
      <c r="A108" s="1144">
        <f>'AMORT. PROFILE 0% CPR'!A108</f>
        <v>47966</v>
      </c>
      <c r="C108" s="1104"/>
      <c r="D108" s="1125">
        <f t="shared" ca="1" si="19"/>
        <v>49003</v>
      </c>
      <c r="E108" s="1126">
        <f t="shared" ca="1" si="20"/>
        <v>49030</v>
      </c>
      <c r="F108" s="1127">
        <f t="shared" ca="1" si="21"/>
        <v>2981</v>
      </c>
      <c r="G108" s="1128">
        <f ca="1">IF(F108&lt;&gt;"",COUNTIF($F$11:F108,"&gt;0"),"")</f>
        <v>98</v>
      </c>
      <c r="H108" s="1129">
        <v>1.0408245221072806E-2</v>
      </c>
      <c r="I108" s="1073"/>
      <c r="J108" s="1130">
        <f t="shared" ca="1" si="22"/>
        <v>2684187931.3600011</v>
      </c>
      <c r="K108" s="1131">
        <f t="shared" ca="1" si="23"/>
        <v>27937686.209039032</v>
      </c>
      <c r="L108" s="1130">
        <f t="shared" ca="1" si="24"/>
        <v>18392893.053939395</v>
      </c>
      <c r="M108" s="1130">
        <f t="shared" ca="1" si="25"/>
        <v>0</v>
      </c>
      <c r="N108" s="1130">
        <f t="shared" ca="1" si="34"/>
        <v>2637857352.0970225</v>
      </c>
      <c r="O108" s="1073"/>
      <c r="P108" s="1130">
        <f t="shared" ca="1" si="26"/>
        <v>46330579.262978554</v>
      </c>
      <c r="Q108" s="1130">
        <f t="shared" ca="1" si="27"/>
        <v>2505964484.4921713</v>
      </c>
      <c r="R108" s="1130">
        <f t="shared" ca="1" si="35"/>
        <v>2549978534.7920008</v>
      </c>
      <c r="S108" s="1130">
        <f t="shared" ca="1" si="36"/>
        <v>44014050.299829483</v>
      </c>
      <c r="T108" s="1130">
        <f t="shared" ca="1" si="28"/>
        <v>2505964484.4921713</v>
      </c>
      <c r="U108" s="1132">
        <f t="shared" ca="1" si="29"/>
        <v>0.21596809868487032</v>
      </c>
      <c r="V108" s="1133">
        <f t="shared" ca="1" si="30"/>
        <v>5.0000000000000044E-2</v>
      </c>
      <c r="X108" s="1134">
        <f t="shared" ca="1" si="37"/>
        <v>134209396.5680002</v>
      </c>
      <c r="Y108" s="1134">
        <f t="shared" ca="1" si="31"/>
        <v>2316528.9631490707</v>
      </c>
      <c r="Z108" s="1134">
        <f t="shared" ca="1" si="32"/>
        <v>131892867.60485113</v>
      </c>
      <c r="AA108" s="1132">
        <f t="shared" ca="1" si="33"/>
        <v>0.23107678472451826</v>
      </c>
      <c r="AB108" s="1105"/>
    </row>
    <row r="109" spans="1:28">
      <c r="A109" s="1144">
        <f>'AMORT. PROFILE 0% CPR'!A109</f>
        <v>47995</v>
      </c>
      <c r="C109" s="1104"/>
      <c r="D109" s="1125">
        <f t="shared" ca="1" si="19"/>
        <v>49034</v>
      </c>
      <c r="E109" s="1126">
        <f t="shared" ca="1" si="20"/>
        <v>49061</v>
      </c>
      <c r="F109" s="1127">
        <f t="shared" ca="1" si="21"/>
        <v>3012</v>
      </c>
      <c r="G109" s="1128">
        <f ca="1">IF(F109&lt;&gt;"",COUNTIF($F$11:F109,"&gt;0"),"")</f>
        <v>99</v>
      </c>
      <c r="H109" s="1129">
        <v>1.0460068996684183E-2</v>
      </c>
      <c r="I109" s="1073"/>
      <c r="J109" s="1130">
        <f t="shared" ca="1" si="22"/>
        <v>2637857352.0970225</v>
      </c>
      <c r="K109" s="1131">
        <f t="shared" ca="1" si="23"/>
        <v>27592169.906345498</v>
      </c>
      <c r="L109" s="1130">
        <f t="shared" ca="1" si="24"/>
        <v>18074474.882815942</v>
      </c>
      <c r="M109" s="1130">
        <f t="shared" ca="1" si="25"/>
        <v>0</v>
      </c>
      <c r="N109" s="1130">
        <f t="shared" ca="1" si="34"/>
        <v>2592190707.3078613</v>
      </c>
      <c r="O109" s="1073"/>
      <c r="P109" s="1130">
        <f t="shared" ca="1" si="26"/>
        <v>45666644.789161205</v>
      </c>
      <c r="Q109" s="1130">
        <f t="shared" ca="1" si="27"/>
        <v>2462581171.9424682</v>
      </c>
      <c r="R109" s="1130">
        <f t="shared" ca="1" si="35"/>
        <v>2505964484.4921713</v>
      </c>
      <c r="S109" s="1130">
        <f t="shared" ca="1" si="36"/>
        <v>43383312.549703121</v>
      </c>
      <c r="T109" s="1130">
        <f t="shared" ca="1" si="28"/>
        <v>2462581171.9424682</v>
      </c>
      <c r="U109" s="1132">
        <f t="shared" ca="1" si="29"/>
        <v>0.2122403689691181</v>
      </c>
      <c r="V109" s="1133">
        <f t="shared" ca="1" si="30"/>
        <v>5.0000000000000044E-2</v>
      </c>
      <c r="X109" s="1134">
        <f t="shared" ca="1" si="37"/>
        <v>131892867.60485113</v>
      </c>
      <c r="Y109" s="1134">
        <f t="shared" ca="1" si="31"/>
        <v>2283332.2394580841</v>
      </c>
      <c r="Z109" s="1134">
        <f t="shared" ca="1" si="32"/>
        <v>129609535.36539304</v>
      </c>
      <c r="AA109" s="1132">
        <f t="shared" ca="1" si="33"/>
        <v>0.22708827066950951</v>
      </c>
      <c r="AB109" s="1105"/>
    </row>
    <row r="110" spans="1:28">
      <c r="A110" s="1144">
        <f>'AMORT. PROFILE 0% CPR'!A110</f>
        <v>48026</v>
      </c>
      <c r="C110" s="1104"/>
      <c r="D110" s="1125">
        <f t="shared" ca="1" si="19"/>
        <v>49064</v>
      </c>
      <c r="E110" s="1126">
        <f t="shared" ca="1" si="20"/>
        <v>49094</v>
      </c>
      <c r="F110" s="1127">
        <f t="shared" ca="1" si="21"/>
        <v>3045</v>
      </c>
      <c r="G110" s="1128">
        <f ca="1">IF(F110&lt;&gt;"",COUNTIF($F$11:F110,"&gt;0"),"")</f>
        <v>100</v>
      </c>
      <c r="H110" s="1129">
        <v>1.0528787347237506E-2</v>
      </c>
      <c r="I110" s="1073"/>
      <c r="J110" s="1130">
        <f t="shared" ca="1" si="22"/>
        <v>2592190707.3078613</v>
      </c>
      <c r="K110" s="1131">
        <f t="shared" ca="1" si="23"/>
        <v>27292624.720729649</v>
      </c>
      <c r="L110" s="1130">
        <f t="shared" ca="1" si="24"/>
        <v>17760335.726424821</v>
      </c>
      <c r="M110" s="1130">
        <f t="shared" ca="1" si="25"/>
        <v>0</v>
      </c>
      <c r="N110" s="1130">
        <f t="shared" ca="1" si="34"/>
        <v>2547137746.8607068</v>
      </c>
      <c r="O110" s="1073"/>
      <c r="P110" s="1130">
        <f t="shared" ca="1" si="26"/>
        <v>45052960.447154522</v>
      </c>
      <c r="Q110" s="1130">
        <f t="shared" ca="1" si="27"/>
        <v>2419780859.5176716</v>
      </c>
      <c r="R110" s="1130">
        <f t="shared" ca="1" si="35"/>
        <v>2462581171.9424682</v>
      </c>
      <c r="S110" s="1130">
        <f t="shared" ca="1" si="36"/>
        <v>42800312.424796581</v>
      </c>
      <c r="T110" s="1130">
        <f t="shared" ca="1" si="28"/>
        <v>2419780859.5176716</v>
      </c>
      <c r="U110" s="1132">
        <f t="shared" ca="1" si="29"/>
        <v>0.2085660590099658</v>
      </c>
      <c r="V110" s="1133">
        <f t="shared" ca="1" si="30"/>
        <v>4.9999999999999933E-2</v>
      </c>
      <c r="X110" s="1134">
        <f t="shared" ca="1" si="37"/>
        <v>129609535.36539304</v>
      </c>
      <c r="Y110" s="1134">
        <f t="shared" ca="1" si="31"/>
        <v>2252648.0223579407</v>
      </c>
      <c r="Z110" s="1134">
        <f t="shared" ca="1" si="32"/>
        <v>127356887.3430351</v>
      </c>
      <c r="AA110" s="1132">
        <f t="shared" ca="1" si="33"/>
        <v>0.22315691350790814</v>
      </c>
      <c r="AB110" s="1105"/>
    </row>
    <row r="111" spans="1:28">
      <c r="A111" s="1144">
        <f>'AMORT. PROFILE 0% CPR'!A111</f>
        <v>48057</v>
      </c>
      <c r="C111" s="1104"/>
      <c r="D111" s="1125">
        <f t="shared" ca="1" si="19"/>
        <v>49095</v>
      </c>
      <c r="E111" s="1126">
        <f t="shared" ca="1" si="20"/>
        <v>49122</v>
      </c>
      <c r="F111" s="1127">
        <f t="shared" ca="1" si="21"/>
        <v>3073</v>
      </c>
      <c r="G111" s="1128">
        <f ca="1">IF(F111&lt;&gt;"",COUNTIF($F$11:F111,"&gt;0"),"")</f>
        <v>101</v>
      </c>
      <c r="H111" s="1129">
        <v>1.0586099687577125E-2</v>
      </c>
      <c r="I111" s="1073"/>
      <c r="J111" s="1130">
        <f t="shared" ca="1" si="22"/>
        <v>2547137746.8607068</v>
      </c>
      <c r="K111" s="1131">
        <f t="shared" ca="1" si="23"/>
        <v>26964254.106258031</v>
      </c>
      <c r="L111" s="1130">
        <f t="shared" ca="1" si="24"/>
        <v>17450645.553529579</v>
      </c>
      <c r="M111" s="1130">
        <f t="shared" ca="1" si="25"/>
        <v>0</v>
      </c>
      <c r="N111" s="1130">
        <f t="shared" ca="1" si="34"/>
        <v>2502722847.2009192</v>
      </c>
      <c r="O111" s="1073"/>
      <c r="P111" s="1130">
        <f t="shared" ca="1" si="26"/>
        <v>44414899.659787655</v>
      </c>
      <c r="Q111" s="1130">
        <f t="shared" ca="1" si="27"/>
        <v>2377586704.8408732</v>
      </c>
      <c r="R111" s="1130">
        <f t="shared" ca="1" si="35"/>
        <v>2419780859.5176716</v>
      </c>
      <c r="S111" s="1130">
        <f t="shared" ca="1" si="36"/>
        <v>42194154.676798344</v>
      </c>
      <c r="T111" s="1130">
        <f t="shared" ca="1" si="28"/>
        <v>2377586704.8408732</v>
      </c>
      <c r="U111" s="1132">
        <f t="shared" ca="1" si="29"/>
        <v>0.204941125712927</v>
      </c>
      <c r="V111" s="1133">
        <f t="shared" ca="1" si="30"/>
        <v>4.9999999999999933E-2</v>
      </c>
      <c r="X111" s="1134">
        <f t="shared" ca="1" si="37"/>
        <v>127356887.3430351</v>
      </c>
      <c r="Y111" s="1134">
        <f t="shared" ca="1" si="31"/>
        <v>2220744.9829893112</v>
      </c>
      <c r="Z111" s="1134">
        <f t="shared" ca="1" si="32"/>
        <v>125136142.36004579</v>
      </c>
      <c r="AA111" s="1132">
        <f t="shared" ca="1" si="33"/>
        <v>0.21927838729861415</v>
      </c>
      <c r="AB111" s="1105"/>
    </row>
    <row r="112" spans="1:28">
      <c r="A112" s="1144">
        <f>'AMORT. PROFILE 0% CPR'!A112</f>
        <v>48087</v>
      </c>
      <c r="C112" s="1104"/>
      <c r="D112" s="1125">
        <f t="shared" ca="1" si="19"/>
        <v>49125</v>
      </c>
      <c r="E112" s="1126">
        <f t="shared" ca="1" si="20"/>
        <v>49152</v>
      </c>
      <c r="F112" s="1127">
        <f t="shared" ca="1" si="21"/>
        <v>3103</v>
      </c>
      <c r="G112" s="1128">
        <f ca="1">IF(F112&lt;&gt;"",COUNTIF($F$11:F112,"&gt;0"),"")</f>
        <v>102</v>
      </c>
      <c r="H112" s="1129">
        <v>1.0648424617451045E-2</v>
      </c>
      <c r="I112" s="1073"/>
      <c r="J112" s="1130">
        <f t="shared" ca="1" si="22"/>
        <v>2502722847.2009192</v>
      </c>
      <c r="K112" s="1131">
        <f t="shared" ca="1" si="23"/>
        <v>26650055.576791439</v>
      </c>
      <c r="L112" s="1130">
        <f t="shared" ca="1" si="24"/>
        <v>17145275.424726959</v>
      </c>
      <c r="M112" s="1130">
        <f t="shared" ca="1" si="25"/>
        <v>0</v>
      </c>
      <c r="N112" s="1130">
        <f t="shared" ca="1" si="34"/>
        <v>2458927516.1994009</v>
      </c>
      <c r="O112" s="1073"/>
      <c r="P112" s="1130">
        <f t="shared" ca="1" si="26"/>
        <v>43795331.00151825</v>
      </c>
      <c r="Q112" s="1130">
        <f t="shared" ca="1" si="27"/>
        <v>2335981140.3894305</v>
      </c>
      <c r="R112" s="1130">
        <f t="shared" ca="1" si="35"/>
        <v>2377586704.8408732</v>
      </c>
      <c r="S112" s="1130">
        <f t="shared" ca="1" si="36"/>
        <v>41605564.451442719</v>
      </c>
      <c r="T112" s="1130">
        <f t="shared" ca="1" si="28"/>
        <v>2335981140.3894305</v>
      </c>
      <c r="U112" s="1132">
        <f t="shared" ca="1" si="29"/>
        <v>0.20136753039169941</v>
      </c>
      <c r="V112" s="1133">
        <f t="shared" ca="1" si="30"/>
        <v>5.0000000000000155E-2</v>
      </c>
      <c r="X112" s="1134">
        <f t="shared" ca="1" si="37"/>
        <v>125136142.36004579</v>
      </c>
      <c r="Y112" s="1134">
        <f t="shared" ca="1" si="31"/>
        <v>2189766.550075531</v>
      </c>
      <c r="Z112" s="1134">
        <f t="shared" ca="1" si="32"/>
        <v>122946375.80997026</v>
      </c>
      <c r="AA112" s="1132">
        <f t="shared" ca="1" si="33"/>
        <v>0.21545479056481714</v>
      </c>
      <c r="AB112" s="1105"/>
    </row>
    <row r="113" spans="1:28">
      <c r="A113" s="1144">
        <f>'AMORT. PROFILE 0% CPR'!A113</f>
        <v>48120</v>
      </c>
      <c r="C113" s="1104"/>
      <c r="D113" s="1125">
        <f t="shared" ca="1" si="19"/>
        <v>49156</v>
      </c>
      <c r="E113" s="1126">
        <f t="shared" ca="1" si="20"/>
        <v>49184</v>
      </c>
      <c r="F113" s="1127">
        <f t="shared" ca="1" si="21"/>
        <v>3135</v>
      </c>
      <c r="G113" s="1128">
        <f ca="1">IF(F113&lt;&gt;"",COUNTIF($F$11:F113,"&gt;0"),"")</f>
        <v>103</v>
      </c>
      <c r="H113" s="1129">
        <v>1.0696179559403711E-2</v>
      </c>
      <c r="I113" s="1073"/>
      <c r="J113" s="1130">
        <f t="shared" ca="1" si="22"/>
        <v>2458927516.1994009</v>
      </c>
      <c r="K113" s="1131">
        <f t="shared" ca="1" si="23"/>
        <v>26301130.23682737</v>
      </c>
      <c r="L113" s="1130">
        <f t="shared" ca="1" si="24"/>
        <v>16844435.888102043</v>
      </c>
      <c r="M113" s="1130">
        <f t="shared" ca="1" si="25"/>
        <v>0</v>
      </c>
      <c r="N113" s="1130">
        <f t="shared" ca="1" si="34"/>
        <v>2415781950.0744715</v>
      </c>
      <c r="O113" s="1073"/>
      <c r="P113" s="1130">
        <f t="shared" ca="1" si="26"/>
        <v>43145566.124929428</v>
      </c>
      <c r="Q113" s="1130">
        <f t="shared" ca="1" si="27"/>
        <v>2294992852.5707479</v>
      </c>
      <c r="R113" s="1130">
        <f t="shared" ca="1" si="35"/>
        <v>2335981140.3894305</v>
      </c>
      <c r="S113" s="1130">
        <f t="shared" ca="1" si="36"/>
        <v>40988287.818682671</v>
      </c>
      <c r="T113" s="1130">
        <f t="shared" ca="1" si="28"/>
        <v>2294992852.5707479</v>
      </c>
      <c r="U113" s="1132">
        <f t="shared" ca="1" si="29"/>
        <v>0.19784378518102771</v>
      </c>
      <c r="V113" s="1133">
        <f t="shared" ca="1" si="30"/>
        <v>5.0000000000000044E-2</v>
      </c>
      <c r="X113" s="1134">
        <f t="shared" ca="1" si="37"/>
        <v>122946375.80997026</v>
      </c>
      <c r="Y113" s="1134">
        <f t="shared" ca="1" si="31"/>
        <v>2157278.3062467575</v>
      </c>
      <c r="Z113" s="1134">
        <f t="shared" ca="1" si="32"/>
        <v>120789097.5037235</v>
      </c>
      <c r="AA113" s="1132">
        <f t="shared" ca="1" si="33"/>
        <v>0.21168453135325457</v>
      </c>
      <c r="AB113" s="1105"/>
    </row>
    <row r="114" spans="1:28">
      <c r="A114" s="1144">
        <f>'AMORT. PROFILE 0% CPR'!A114</f>
        <v>48148</v>
      </c>
      <c r="C114" s="1104"/>
      <c r="D114" s="1125">
        <f t="shared" ca="1" si="19"/>
        <v>49187</v>
      </c>
      <c r="E114" s="1126">
        <f t="shared" ca="1" si="20"/>
        <v>49214</v>
      </c>
      <c r="F114" s="1127">
        <f t="shared" ca="1" si="21"/>
        <v>3165</v>
      </c>
      <c r="G114" s="1128">
        <f ca="1">IF(F114&lt;&gt;"",COUNTIF($F$11:F114,"&gt;0"),"")</f>
        <v>104</v>
      </c>
      <c r="H114" s="1129">
        <v>1.0740697734351535E-2</v>
      </c>
      <c r="I114" s="1073"/>
      <c r="J114" s="1130">
        <f t="shared" ca="1" si="22"/>
        <v>2415781950.0744715</v>
      </c>
      <c r="K114" s="1131">
        <f t="shared" ca="1" si="23"/>
        <v>25947183.717852209</v>
      </c>
      <c r="L114" s="1130">
        <f t="shared" ca="1" si="24"/>
        <v>16548130.340665776</v>
      </c>
      <c r="M114" s="1130">
        <f t="shared" ca="1" si="25"/>
        <v>0</v>
      </c>
      <c r="N114" s="1130">
        <f t="shared" ca="1" si="34"/>
        <v>2373286636.0159535</v>
      </c>
      <c r="O114" s="1073"/>
      <c r="P114" s="1130">
        <f t="shared" ca="1" si="26"/>
        <v>42495314.058517933</v>
      </c>
      <c r="Q114" s="1130">
        <f t="shared" ca="1" si="27"/>
        <v>2254622304.2151556</v>
      </c>
      <c r="R114" s="1130">
        <f t="shared" ca="1" si="35"/>
        <v>2294992852.5707479</v>
      </c>
      <c r="S114" s="1130">
        <f t="shared" ca="1" si="36"/>
        <v>40370548.355592251</v>
      </c>
      <c r="T114" s="1130">
        <f t="shared" ca="1" si="28"/>
        <v>2254622304.2151556</v>
      </c>
      <c r="U114" s="1132">
        <f t="shared" ca="1" si="29"/>
        <v>0.19437231964993798</v>
      </c>
      <c r="V114" s="1133">
        <f t="shared" ca="1" si="30"/>
        <v>5.0000000000000155E-2</v>
      </c>
      <c r="X114" s="1134">
        <f t="shared" ca="1" si="37"/>
        <v>120789097.5037235</v>
      </c>
      <c r="Y114" s="1134">
        <f t="shared" ca="1" si="31"/>
        <v>2124765.7029256821</v>
      </c>
      <c r="Z114" s="1134">
        <f t="shared" ca="1" si="32"/>
        <v>118664331.80079782</v>
      </c>
      <c r="AA114" s="1132">
        <f t="shared" ca="1" si="33"/>
        <v>0.20797020920062587</v>
      </c>
      <c r="AB114" s="1105"/>
    </row>
    <row r="115" spans="1:28">
      <c r="A115" s="1144">
        <f>'AMORT. PROFILE 0% CPR'!A115</f>
        <v>48179</v>
      </c>
      <c r="C115" s="1104"/>
      <c r="D115" s="1125">
        <f t="shared" ca="1" si="19"/>
        <v>49217</v>
      </c>
      <c r="E115" s="1126">
        <f t="shared" ca="1" si="20"/>
        <v>49244</v>
      </c>
      <c r="F115" s="1127">
        <f t="shared" ca="1" si="21"/>
        <v>3195</v>
      </c>
      <c r="G115" s="1128">
        <f ca="1">IF(F115&lt;&gt;"",COUNTIF($F$11:F115,"&gt;0"),"")</f>
        <v>105</v>
      </c>
      <c r="H115" s="1129">
        <v>1.078737950997598E-2</v>
      </c>
      <c r="I115" s="1073"/>
      <c r="J115" s="1130">
        <f t="shared" ca="1" si="22"/>
        <v>2373286636.0159535</v>
      </c>
      <c r="K115" s="1131">
        <f t="shared" ca="1" si="23"/>
        <v>25601543.628658317</v>
      </c>
      <c r="L115" s="1130">
        <f t="shared" ca="1" si="24"/>
        <v>16256269.870444104</v>
      </c>
      <c r="M115" s="1130">
        <f t="shared" ca="1" si="25"/>
        <v>0</v>
      </c>
      <c r="N115" s="1130">
        <f t="shared" ca="1" si="34"/>
        <v>2331428822.5168509</v>
      </c>
      <c r="O115" s="1073"/>
      <c r="P115" s="1130">
        <f t="shared" ca="1" si="26"/>
        <v>41857813.499102592</v>
      </c>
      <c r="Q115" s="1130">
        <f t="shared" ca="1" si="27"/>
        <v>2214857381.3910084</v>
      </c>
      <c r="R115" s="1130">
        <f t="shared" ca="1" si="35"/>
        <v>2254622304.2151556</v>
      </c>
      <c r="S115" s="1130">
        <f t="shared" ca="1" si="36"/>
        <v>39764922.824147224</v>
      </c>
      <c r="T115" s="1130">
        <f t="shared" ca="1" si="28"/>
        <v>2214857381.3910084</v>
      </c>
      <c r="U115" s="1132">
        <f t="shared" ca="1" si="29"/>
        <v>0.19095317299742154</v>
      </c>
      <c r="V115" s="1133">
        <f t="shared" ca="1" si="30"/>
        <v>5.0000000000000044E-2</v>
      </c>
      <c r="X115" s="1134">
        <f t="shared" ca="1" si="37"/>
        <v>118664331.80079782</v>
      </c>
      <c r="Y115" s="1134">
        <f t="shared" ca="1" si="31"/>
        <v>2092890.674955368</v>
      </c>
      <c r="Z115" s="1134">
        <f t="shared" ca="1" si="32"/>
        <v>116571441.12584245</v>
      </c>
      <c r="AA115" s="1132">
        <f t="shared" ca="1" si="33"/>
        <v>0.20431186604820561</v>
      </c>
      <c r="AB115" s="1105"/>
    </row>
    <row r="116" spans="1:28">
      <c r="A116" s="1144">
        <f>'AMORT. PROFILE 0% CPR'!A116</f>
        <v>48211</v>
      </c>
      <c r="C116" s="1104"/>
      <c r="D116" s="1125">
        <f t="shared" ca="1" si="19"/>
        <v>49248</v>
      </c>
      <c r="E116" s="1126">
        <f t="shared" ca="1" si="20"/>
        <v>49275</v>
      </c>
      <c r="F116" s="1127">
        <f t="shared" ca="1" si="21"/>
        <v>3226</v>
      </c>
      <c r="G116" s="1128">
        <f ca="1">IF(F116&lt;&gt;"",COUNTIF($F$11:F116,"&gt;0"),"")</f>
        <v>106</v>
      </c>
      <c r="H116" s="1129">
        <v>1.0813178622296924E-2</v>
      </c>
      <c r="I116" s="1073"/>
      <c r="J116" s="1130">
        <f t="shared" ca="1" si="22"/>
        <v>2331428822.5168509</v>
      </c>
      <c r="K116" s="1131">
        <f t="shared" ca="1" si="23"/>
        <v>25210156.3030461</v>
      </c>
      <c r="L116" s="1130">
        <f t="shared" ca="1" si="24"/>
        <v>15969140.469390726</v>
      </c>
      <c r="M116" s="1130">
        <f t="shared" ca="1" si="25"/>
        <v>0</v>
      </c>
      <c r="N116" s="1130">
        <f t="shared" ca="1" si="34"/>
        <v>2290249525.7444139</v>
      </c>
      <c r="O116" s="1073"/>
      <c r="P116" s="1130">
        <f t="shared" ca="1" si="26"/>
        <v>41179296.772437096</v>
      </c>
      <c r="Q116" s="1130">
        <f t="shared" ca="1" si="27"/>
        <v>2175737049.4571929</v>
      </c>
      <c r="R116" s="1130">
        <f t="shared" ca="1" si="35"/>
        <v>2214857381.3910084</v>
      </c>
      <c r="S116" s="1130">
        <f t="shared" ca="1" si="36"/>
        <v>39120331.933815479</v>
      </c>
      <c r="T116" s="1130">
        <f t="shared" ca="1" si="28"/>
        <v>2175737049.4571929</v>
      </c>
      <c r="U116" s="1132">
        <f t="shared" ca="1" si="29"/>
        <v>0.18758531924512234</v>
      </c>
      <c r="V116" s="1133">
        <f t="shared" ca="1" si="30"/>
        <v>5.0000000000000155E-2</v>
      </c>
      <c r="X116" s="1134">
        <f t="shared" ca="1" si="37"/>
        <v>116571441.12584245</v>
      </c>
      <c r="Y116" s="1134">
        <f t="shared" ca="1" si="31"/>
        <v>2058964.8386216164</v>
      </c>
      <c r="Z116" s="1134">
        <f t="shared" ca="1" si="32"/>
        <v>114512476.28722084</v>
      </c>
      <c r="AA116" s="1132">
        <f t="shared" ca="1" si="33"/>
        <v>0.20070840414229071</v>
      </c>
      <c r="AB116" s="1105"/>
    </row>
    <row r="117" spans="1:28">
      <c r="A117" s="1144">
        <f>'AMORT. PROFILE 0% CPR'!A117</f>
        <v>48240</v>
      </c>
      <c r="C117" s="1104"/>
      <c r="D117" s="1125">
        <f t="shared" ca="1" si="19"/>
        <v>49278</v>
      </c>
      <c r="E117" s="1126">
        <f t="shared" ca="1" si="20"/>
        <v>49305</v>
      </c>
      <c r="F117" s="1127">
        <f t="shared" ca="1" si="21"/>
        <v>3256</v>
      </c>
      <c r="G117" s="1128">
        <f ca="1">IF(F117&lt;&gt;"",COUNTIF($F$11:F117,"&gt;0"),"")</f>
        <v>107</v>
      </c>
      <c r="H117" s="1129">
        <v>1.0863511821642956E-2</v>
      </c>
      <c r="I117" s="1073"/>
      <c r="J117" s="1130">
        <f t="shared" ca="1" si="22"/>
        <v>2290249525.7444139</v>
      </c>
      <c r="K117" s="1131">
        <f t="shared" ca="1" si="23"/>
        <v>24880152.797436614</v>
      </c>
      <c r="L117" s="1130">
        <f t="shared" ca="1" si="24"/>
        <v>15686284.332715597</v>
      </c>
      <c r="M117" s="1130">
        <f t="shared" ca="1" si="25"/>
        <v>0</v>
      </c>
      <c r="N117" s="1130">
        <f t="shared" ca="1" si="34"/>
        <v>2249683088.6142616</v>
      </c>
      <c r="O117" s="1073"/>
      <c r="P117" s="1130">
        <f t="shared" ca="1" si="26"/>
        <v>40566437.130152225</v>
      </c>
      <c r="Q117" s="1130">
        <f t="shared" ca="1" si="27"/>
        <v>2137198934.1835485</v>
      </c>
      <c r="R117" s="1130">
        <f t="shared" ca="1" si="35"/>
        <v>2175737049.4571929</v>
      </c>
      <c r="S117" s="1130">
        <f t="shared" ca="1" si="36"/>
        <v>38538115.273644447</v>
      </c>
      <c r="T117" s="1130">
        <f t="shared" ca="1" si="28"/>
        <v>2137198934.1835485</v>
      </c>
      <c r="U117" s="1132">
        <f t="shared" ca="1" si="29"/>
        <v>0.1842720585284566</v>
      </c>
      <c r="V117" s="1133">
        <f t="shared" ca="1" si="30"/>
        <v>5.0000000000000044E-2</v>
      </c>
      <c r="X117" s="1134">
        <f t="shared" ca="1" si="37"/>
        <v>114512476.28722084</v>
      </c>
      <c r="Y117" s="1134">
        <f t="shared" ca="1" si="31"/>
        <v>2028321.8565077782</v>
      </c>
      <c r="Z117" s="1134">
        <f t="shared" ca="1" si="32"/>
        <v>112484154.43071306</v>
      </c>
      <c r="AA117" s="1132">
        <f t="shared" ca="1" si="33"/>
        <v>0.19716335448901659</v>
      </c>
      <c r="AB117" s="1105"/>
    </row>
    <row r="118" spans="1:28">
      <c r="A118" s="1144">
        <f>'AMORT. PROFILE 0% CPR'!A118</f>
        <v>48271</v>
      </c>
      <c r="C118" s="1104"/>
      <c r="D118" s="1125">
        <f t="shared" ca="1" si="19"/>
        <v>49309</v>
      </c>
      <c r="E118" s="1126">
        <f t="shared" ca="1" si="20"/>
        <v>49338</v>
      </c>
      <c r="F118" s="1127">
        <f t="shared" ca="1" si="21"/>
        <v>3289</v>
      </c>
      <c r="G118" s="1128">
        <f ca="1">IF(F118&lt;&gt;"",COUNTIF($F$11:F118,"&gt;0"),"")</f>
        <v>108</v>
      </c>
      <c r="H118" s="1129">
        <v>1.0910962812219724E-2</v>
      </c>
      <c r="I118" s="1073"/>
      <c r="J118" s="1130">
        <f t="shared" ca="1" si="22"/>
        <v>2249683088.6142616</v>
      </c>
      <c r="K118" s="1131">
        <f t="shared" ca="1" si="23"/>
        <v>24546208.519149818</v>
      </c>
      <c r="L118" s="1130">
        <f t="shared" ca="1" si="24"/>
        <v>15407699.15811896</v>
      </c>
      <c r="M118" s="1130">
        <f t="shared" ca="1" si="25"/>
        <v>0</v>
      </c>
      <c r="N118" s="1130">
        <f t="shared" ca="1" si="34"/>
        <v>2209729180.9369931</v>
      </c>
      <c r="O118" s="1073"/>
      <c r="P118" s="1130">
        <f t="shared" ca="1" si="26"/>
        <v>39953907.677268505</v>
      </c>
      <c r="Q118" s="1130">
        <f t="shared" ca="1" si="27"/>
        <v>2099242721.8901434</v>
      </c>
      <c r="R118" s="1130">
        <f t="shared" ca="1" si="35"/>
        <v>2137198934.1835485</v>
      </c>
      <c r="S118" s="1130">
        <f t="shared" ca="1" si="36"/>
        <v>37956212.293405056</v>
      </c>
      <c r="T118" s="1130">
        <f t="shared" ca="1" si="28"/>
        <v>2099242721.8901434</v>
      </c>
      <c r="U118" s="1132">
        <f t="shared" ca="1" si="29"/>
        <v>0.18100810811907553</v>
      </c>
      <c r="V118" s="1133">
        <f t="shared" ca="1" si="30"/>
        <v>5.0000000000000044E-2</v>
      </c>
      <c r="X118" s="1134">
        <f t="shared" ca="1" si="37"/>
        <v>112484154.43071306</v>
      </c>
      <c r="Y118" s="1134">
        <f t="shared" ca="1" si="31"/>
        <v>1997695.3838634491</v>
      </c>
      <c r="Z118" s="1134">
        <f t="shared" ca="1" si="32"/>
        <v>110486459.04684961</v>
      </c>
      <c r="AA118" s="1132">
        <f t="shared" ca="1" si="33"/>
        <v>0.19367106479117263</v>
      </c>
      <c r="AB118" s="1105"/>
    </row>
    <row r="119" spans="1:28">
      <c r="A119" s="1144">
        <f>'AMORT. PROFILE 0% CPR'!A119</f>
        <v>48303</v>
      </c>
      <c r="C119" s="1104"/>
      <c r="D119" s="1125">
        <f t="shared" ca="1" si="19"/>
        <v>49340</v>
      </c>
      <c r="E119" s="1126">
        <f t="shared" ca="1" si="20"/>
        <v>49367</v>
      </c>
      <c r="F119" s="1127">
        <f t="shared" ca="1" si="21"/>
        <v>3318</v>
      </c>
      <c r="G119" s="1128">
        <f ca="1">IF(F119&lt;&gt;"",COUNTIF($F$11:F119,"&gt;0"),"")</f>
        <v>109</v>
      </c>
      <c r="H119" s="1129">
        <v>1.0970113584381817E-2</v>
      </c>
      <c r="I119" s="1073"/>
      <c r="J119" s="1130">
        <f t="shared" ca="1" si="22"/>
        <v>2209729180.9369931</v>
      </c>
      <c r="K119" s="1131">
        <f t="shared" ca="1" si="23"/>
        <v>24240980.105601814</v>
      </c>
      <c r="L119" s="1130">
        <f t="shared" ca="1" si="24"/>
        <v>15133156.532190239</v>
      </c>
      <c r="M119" s="1130">
        <f t="shared" ca="1" si="25"/>
        <v>0</v>
      </c>
      <c r="N119" s="1130">
        <f t="shared" ca="1" si="34"/>
        <v>2170355044.299201</v>
      </c>
      <c r="O119" s="1073"/>
      <c r="P119" s="1130">
        <f t="shared" ca="1" si="26"/>
        <v>39374136.63779211</v>
      </c>
      <c r="Q119" s="1130">
        <f t="shared" ca="1" si="27"/>
        <v>2061837292.0842409</v>
      </c>
      <c r="R119" s="1130">
        <f t="shared" ca="1" si="35"/>
        <v>2099242721.8901434</v>
      </c>
      <c r="S119" s="1130">
        <f t="shared" ca="1" si="36"/>
        <v>37405429.805902481</v>
      </c>
      <c r="T119" s="1130">
        <f t="shared" ca="1" si="28"/>
        <v>2061837292.0842409</v>
      </c>
      <c r="U119" s="1132">
        <f t="shared" ca="1" si="29"/>
        <v>0.17779344145014428</v>
      </c>
      <c r="V119" s="1133">
        <f t="shared" ca="1" si="30"/>
        <v>5.0000000000000044E-2</v>
      </c>
      <c r="X119" s="1134">
        <f t="shared" ca="1" si="37"/>
        <v>110486459.04684961</v>
      </c>
      <c r="Y119" s="1134">
        <f t="shared" ca="1" si="31"/>
        <v>1968706.8318896294</v>
      </c>
      <c r="Z119" s="1134">
        <f t="shared" ca="1" si="32"/>
        <v>108517752.21495998</v>
      </c>
      <c r="AA119" s="1132">
        <f t="shared" ca="1" si="33"/>
        <v>0.19023150662336366</v>
      </c>
      <c r="AB119" s="1105"/>
    </row>
    <row r="120" spans="1:28">
      <c r="A120" s="1144">
        <f>'AMORT. PROFILE 0% CPR'!A120</f>
        <v>48331</v>
      </c>
      <c r="C120" s="1104"/>
      <c r="D120" s="1125">
        <f t="shared" ca="1" si="19"/>
        <v>49368</v>
      </c>
      <c r="E120" s="1126">
        <f t="shared" ca="1" si="20"/>
        <v>49395</v>
      </c>
      <c r="F120" s="1127">
        <f t="shared" ca="1" si="21"/>
        <v>3346</v>
      </c>
      <c r="G120" s="1128">
        <f ca="1">IF(F120&lt;&gt;"",COUNTIF($F$11:F120,"&gt;0"),"")</f>
        <v>110</v>
      </c>
      <c r="H120" s="1129">
        <v>1.1052340116553533E-2</v>
      </c>
      <c r="I120" s="1073"/>
      <c r="J120" s="1130">
        <f t="shared" ca="1" si="22"/>
        <v>2170355044.299201</v>
      </c>
      <c r="K120" s="1131">
        <f t="shared" ca="1" si="23"/>
        <v>23987502.123272382</v>
      </c>
      <c r="L120" s="1130">
        <f t="shared" ca="1" si="24"/>
        <v>14862270.122988721</v>
      </c>
      <c r="M120" s="1130">
        <f t="shared" ca="1" si="25"/>
        <v>0</v>
      </c>
      <c r="N120" s="1130">
        <f t="shared" ca="1" si="34"/>
        <v>2131505272.0529399</v>
      </c>
      <c r="O120" s="1073"/>
      <c r="P120" s="1130">
        <f t="shared" ca="1" si="26"/>
        <v>38849772.24626112</v>
      </c>
      <c r="Q120" s="1130">
        <f t="shared" ca="1" si="27"/>
        <v>2024930008.4502928</v>
      </c>
      <c r="R120" s="1130">
        <f t="shared" ca="1" si="35"/>
        <v>2061837292.0842409</v>
      </c>
      <c r="S120" s="1130">
        <f t="shared" ca="1" si="36"/>
        <v>36907283.633948088</v>
      </c>
      <c r="T120" s="1130">
        <f t="shared" ca="1" si="28"/>
        <v>2024930008.4502928</v>
      </c>
      <c r="U120" s="1132">
        <f t="shared" ca="1" si="29"/>
        <v>0.17462542280000684</v>
      </c>
      <c r="V120" s="1133">
        <f t="shared" ca="1" si="30"/>
        <v>5.0000000000000044E-2</v>
      </c>
      <c r="X120" s="1134">
        <f t="shared" ca="1" si="37"/>
        <v>108517752.21495998</v>
      </c>
      <c r="Y120" s="1134">
        <f t="shared" ca="1" si="31"/>
        <v>1942488.6123130322</v>
      </c>
      <c r="Z120" s="1134">
        <f t="shared" ca="1" si="32"/>
        <v>106575263.60264695</v>
      </c>
      <c r="AA120" s="1132">
        <f t="shared" ca="1" si="33"/>
        <v>0.1868418598742424</v>
      </c>
      <c r="AB120" s="1105"/>
    </row>
    <row r="121" spans="1:28">
      <c r="A121" s="1144">
        <f>'AMORT. PROFILE 0% CPR'!A121</f>
        <v>48361</v>
      </c>
      <c r="C121" s="1104"/>
      <c r="D121" s="1125">
        <f t="shared" ca="1" si="19"/>
        <v>49399</v>
      </c>
      <c r="E121" s="1126">
        <f t="shared" ca="1" si="20"/>
        <v>49426</v>
      </c>
      <c r="F121" s="1127">
        <f t="shared" ca="1" si="21"/>
        <v>3377</v>
      </c>
      <c r="G121" s="1128">
        <f ca="1">IF(F121&lt;&gt;"",COUNTIF($F$11:F121,"&gt;0"),"")</f>
        <v>111</v>
      </c>
      <c r="H121" s="1129">
        <v>1.1111771663004718E-2</v>
      </c>
      <c r="I121" s="1073"/>
      <c r="J121" s="1130">
        <f t="shared" ca="1" si="22"/>
        <v>2131505272.0529399</v>
      </c>
      <c r="K121" s="1131">
        <f t="shared" ca="1" si="23"/>
        <v>23684799.881543022</v>
      </c>
      <c r="L121" s="1130">
        <f t="shared" ca="1" si="24"/>
        <v>14595355.4610775</v>
      </c>
      <c r="M121" s="1130">
        <f t="shared" ca="1" si="25"/>
        <v>0</v>
      </c>
      <c r="N121" s="1130">
        <f t="shared" ca="1" si="34"/>
        <v>2093225116.7103195</v>
      </c>
      <c r="O121" s="1073"/>
      <c r="P121" s="1130">
        <f t="shared" ca="1" si="26"/>
        <v>38280155.342620373</v>
      </c>
      <c r="Q121" s="1130">
        <f t="shared" ca="1" si="27"/>
        <v>1988563860.8748035</v>
      </c>
      <c r="R121" s="1130">
        <f t="shared" ca="1" si="35"/>
        <v>2024930008.4502928</v>
      </c>
      <c r="S121" s="1130">
        <f t="shared" ca="1" si="36"/>
        <v>36366147.575489283</v>
      </c>
      <c r="T121" s="1130">
        <f t="shared" ca="1" si="28"/>
        <v>1988563860.8748035</v>
      </c>
      <c r="U121" s="1132">
        <f t="shared" ca="1" si="29"/>
        <v>0.17149959418408198</v>
      </c>
      <c r="V121" s="1133">
        <f t="shared" ca="1" si="30"/>
        <v>5.0000000000000044E-2</v>
      </c>
      <c r="X121" s="1134">
        <f t="shared" ca="1" si="37"/>
        <v>106575263.60264695</v>
      </c>
      <c r="Y121" s="1134">
        <f t="shared" ca="1" si="31"/>
        <v>1914007.7671310902</v>
      </c>
      <c r="Z121" s="1134">
        <f t="shared" ca="1" si="32"/>
        <v>104661255.83551586</v>
      </c>
      <c r="AA121" s="1132">
        <f t="shared" ca="1" si="33"/>
        <v>0.18349735468775299</v>
      </c>
      <c r="AB121" s="1105"/>
    </row>
    <row r="122" spans="1:28">
      <c r="A122" s="1144">
        <f>'AMORT. PROFILE 0% CPR'!A122</f>
        <v>48393</v>
      </c>
      <c r="C122" s="1104"/>
      <c r="D122" s="1125">
        <f t="shared" ca="1" si="19"/>
        <v>49429</v>
      </c>
      <c r="E122" s="1126">
        <f t="shared" ca="1" si="20"/>
        <v>49457</v>
      </c>
      <c r="F122" s="1127">
        <f t="shared" ca="1" si="21"/>
        <v>3408</v>
      </c>
      <c r="G122" s="1128">
        <f ca="1">IF(F122&lt;&gt;"",COUNTIF($F$11:F122,"&gt;0"),"")</f>
        <v>112</v>
      </c>
      <c r="H122" s="1129">
        <v>1.1196095104483026E-2</v>
      </c>
      <c r="I122" s="1073"/>
      <c r="J122" s="1130">
        <f t="shared" ca="1" si="22"/>
        <v>2093225116.7103195</v>
      </c>
      <c r="K122" s="1131">
        <f t="shared" ca="1" si="23"/>
        <v>23435947.481781319</v>
      </c>
      <c r="L122" s="1130">
        <f t="shared" ca="1" si="24"/>
        <v>14332012.167648377</v>
      </c>
      <c r="M122" s="1130">
        <f t="shared" ca="1" si="25"/>
        <v>0</v>
      </c>
      <c r="N122" s="1130">
        <f t="shared" ca="1" si="34"/>
        <v>2055457157.06089</v>
      </c>
      <c r="O122" s="1073"/>
      <c r="P122" s="1130">
        <f t="shared" ca="1" si="26"/>
        <v>37767959.64942956</v>
      </c>
      <c r="Q122" s="1130">
        <f t="shared" ca="1" si="27"/>
        <v>1952684299.2078454</v>
      </c>
      <c r="R122" s="1130">
        <f t="shared" ca="1" si="35"/>
        <v>1988563860.8748035</v>
      </c>
      <c r="S122" s="1130">
        <f t="shared" ca="1" si="36"/>
        <v>35879561.666958094</v>
      </c>
      <c r="T122" s="1130">
        <f t="shared" ca="1" si="28"/>
        <v>1952684299.2078454</v>
      </c>
      <c r="U122" s="1132">
        <f t="shared" ca="1" si="29"/>
        <v>0.16841959659146991</v>
      </c>
      <c r="V122" s="1133">
        <f t="shared" ca="1" si="30"/>
        <v>5.0000000000000044E-2</v>
      </c>
      <c r="X122" s="1134">
        <f t="shared" ca="1" si="37"/>
        <v>104661255.83551586</v>
      </c>
      <c r="Y122" s="1134">
        <f t="shared" ca="1" si="31"/>
        <v>1888397.9824714661</v>
      </c>
      <c r="Z122" s="1134">
        <f t="shared" ca="1" si="32"/>
        <v>102772857.85304439</v>
      </c>
      <c r="AA122" s="1132">
        <f t="shared" ca="1" si="33"/>
        <v>0.18020188676913887</v>
      </c>
      <c r="AB122" s="1105"/>
    </row>
    <row r="123" spans="1:28">
      <c r="A123" s="1144">
        <f>'AMORT. PROFILE 0% CPR'!A123</f>
        <v>48422</v>
      </c>
      <c r="C123" s="1104"/>
      <c r="D123" s="1125">
        <f t="shared" ca="1" si="19"/>
        <v>49460</v>
      </c>
      <c r="E123" s="1126">
        <f t="shared" ca="1" si="20"/>
        <v>49487</v>
      </c>
      <c r="F123" s="1127">
        <f t="shared" ca="1" si="21"/>
        <v>3438</v>
      </c>
      <c r="G123" s="1128">
        <f ca="1">IF(F123&lt;&gt;"",COUNTIF($F$11:F123,"&gt;0"),"")</f>
        <v>113</v>
      </c>
      <c r="H123" s="1129">
        <v>1.1262061112173481E-2</v>
      </c>
      <c r="I123" s="1073"/>
      <c r="J123" s="1130">
        <f t="shared" ca="1" si="22"/>
        <v>2055457157.06089</v>
      </c>
      <c r="K123" s="1131">
        <f t="shared" ca="1" si="23"/>
        <v>23148684.116274107</v>
      </c>
      <c r="L123" s="1130">
        <f t="shared" ca="1" si="24"/>
        <v>14072481.485403419</v>
      </c>
      <c r="M123" s="1130">
        <f t="shared" ca="1" si="25"/>
        <v>0</v>
      </c>
      <c r="N123" s="1130">
        <f t="shared" ca="1" si="34"/>
        <v>2018235991.4592123</v>
      </c>
      <c r="O123" s="1073"/>
      <c r="P123" s="1130">
        <f t="shared" ca="1" si="26"/>
        <v>37221165.601677418</v>
      </c>
      <c r="Q123" s="1130">
        <f t="shared" ca="1" si="27"/>
        <v>1917324191.8862517</v>
      </c>
      <c r="R123" s="1130">
        <f t="shared" ca="1" si="35"/>
        <v>1952684299.2078454</v>
      </c>
      <c r="S123" s="1130">
        <f t="shared" ca="1" si="36"/>
        <v>35360107.321593761</v>
      </c>
      <c r="T123" s="1130">
        <f t="shared" ca="1" si="28"/>
        <v>1917324191.8862517</v>
      </c>
      <c r="U123" s="1132">
        <f t="shared" ca="1" si="29"/>
        <v>0.1653808099471378</v>
      </c>
      <c r="V123" s="1133">
        <f t="shared" ca="1" si="30"/>
        <v>5.0000000000000044E-2</v>
      </c>
      <c r="X123" s="1134">
        <f t="shared" ca="1" si="37"/>
        <v>102772857.85304439</v>
      </c>
      <c r="Y123" s="1134">
        <f t="shared" ca="1" si="31"/>
        <v>1861058.2800836563</v>
      </c>
      <c r="Z123" s="1134">
        <f t="shared" ca="1" si="32"/>
        <v>100911799.57296073</v>
      </c>
      <c r="AA123" s="1132">
        <f t="shared" ca="1" si="33"/>
        <v>0.1769505128323767</v>
      </c>
      <c r="AB123" s="1105"/>
    </row>
    <row r="124" spans="1:28">
      <c r="A124" s="1144">
        <f>'AMORT. PROFILE 0% CPR'!A124</f>
        <v>48453</v>
      </c>
      <c r="C124" s="1104"/>
      <c r="D124" s="1125">
        <f t="shared" ca="1" si="19"/>
        <v>49490</v>
      </c>
      <c r="E124" s="1126">
        <f t="shared" ca="1" si="20"/>
        <v>49517</v>
      </c>
      <c r="F124" s="1127">
        <f t="shared" ca="1" si="21"/>
        <v>3468</v>
      </c>
      <c r="G124" s="1128">
        <f ca="1">IF(F124&lt;&gt;"",COUNTIF($F$11:F124,"&gt;0"),"")</f>
        <v>114</v>
      </c>
      <c r="H124" s="1129">
        <v>1.1334964767391655E-2</v>
      </c>
      <c r="I124" s="1073"/>
      <c r="J124" s="1130">
        <f t="shared" ca="1" si="22"/>
        <v>2018235991.4592123</v>
      </c>
      <c r="K124" s="1131">
        <f t="shared" ca="1" si="23"/>
        <v>22876633.855471935</v>
      </c>
      <c r="L124" s="1130">
        <f t="shared" ca="1" si="24"/>
        <v>13816631.67300603</v>
      </c>
      <c r="M124" s="1130">
        <f t="shared" ca="1" si="25"/>
        <v>0</v>
      </c>
      <c r="N124" s="1130">
        <f t="shared" ca="1" si="34"/>
        <v>1981542725.9307344</v>
      </c>
      <c r="O124" s="1073"/>
      <c r="P124" s="1130">
        <f t="shared" ca="1" si="26"/>
        <v>36693265.528477907</v>
      </c>
      <c r="Q124" s="1130">
        <f t="shared" ca="1" si="27"/>
        <v>1882465589.6341975</v>
      </c>
      <c r="R124" s="1130">
        <f t="shared" ca="1" si="35"/>
        <v>1917324191.8862517</v>
      </c>
      <c r="S124" s="1130">
        <f t="shared" ca="1" si="36"/>
        <v>34858602.252054214</v>
      </c>
      <c r="T124" s="1130">
        <f t="shared" ca="1" si="28"/>
        <v>1882465589.6341975</v>
      </c>
      <c r="U124" s="1132">
        <f t="shared" ca="1" si="29"/>
        <v>0.16238601801326746</v>
      </c>
      <c r="V124" s="1133">
        <f t="shared" ca="1" si="30"/>
        <v>5.0000000000000155E-2</v>
      </c>
      <c r="X124" s="1134">
        <f t="shared" ca="1" si="37"/>
        <v>100911799.57296073</v>
      </c>
      <c r="Y124" s="1134">
        <f t="shared" ca="1" si="31"/>
        <v>1834663.2764236927</v>
      </c>
      <c r="Z124" s="1134">
        <f t="shared" ca="1" si="32"/>
        <v>99077136.296537042</v>
      </c>
      <c r="AA124" s="1132">
        <f t="shared" ca="1" si="33"/>
        <v>0.17374621138595167</v>
      </c>
      <c r="AB124" s="1105"/>
    </row>
    <row r="125" spans="1:28">
      <c r="A125" s="1144">
        <f>'AMORT. PROFILE 0% CPR'!A125</f>
        <v>48484</v>
      </c>
      <c r="C125" s="1104"/>
      <c r="D125" s="1125">
        <f t="shared" ca="1" si="19"/>
        <v>49521</v>
      </c>
      <c r="E125" s="1126">
        <f t="shared" ca="1" si="20"/>
        <v>49548</v>
      </c>
      <c r="F125" s="1127">
        <f t="shared" ca="1" si="21"/>
        <v>3499</v>
      </c>
      <c r="G125" s="1128">
        <f ca="1">IF(F125&lt;&gt;"",COUNTIF($F$11:F125,"&gt;0"),"")</f>
        <v>115</v>
      </c>
      <c r="H125" s="1129">
        <v>1.1393319989222802E-2</v>
      </c>
      <c r="I125" s="1073"/>
      <c r="J125" s="1130">
        <f t="shared" ca="1" si="22"/>
        <v>1981542725.9307344</v>
      </c>
      <c r="K125" s="1131">
        <f t="shared" ca="1" si="23"/>
        <v>22576350.348845676</v>
      </c>
      <c r="L125" s="1130">
        <f t="shared" ca="1" si="24"/>
        <v>13564632.740501905</v>
      </c>
      <c r="M125" s="1130">
        <f t="shared" ca="1" si="25"/>
        <v>0</v>
      </c>
      <c r="N125" s="1130">
        <f t="shared" ca="1" si="34"/>
        <v>1945401742.8413868</v>
      </c>
      <c r="O125" s="1073"/>
      <c r="P125" s="1130">
        <f t="shared" ca="1" si="26"/>
        <v>36140983.089347839</v>
      </c>
      <c r="Q125" s="1130">
        <f t="shared" ca="1" si="27"/>
        <v>1848131655.6993175</v>
      </c>
      <c r="R125" s="1130">
        <f t="shared" ca="1" si="35"/>
        <v>1882465589.6341975</v>
      </c>
      <c r="S125" s="1130">
        <f t="shared" ca="1" si="36"/>
        <v>34333933.934880018</v>
      </c>
      <c r="T125" s="1130">
        <f t="shared" ca="1" si="28"/>
        <v>1848131655.6993175</v>
      </c>
      <c r="U125" s="1132">
        <f t="shared" ca="1" si="29"/>
        <v>0.15943370059236717</v>
      </c>
      <c r="V125" s="1133">
        <f t="shared" ca="1" si="30"/>
        <v>5.0000000000000044E-2</v>
      </c>
      <c r="X125" s="1134">
        <f t="shared" ca="1" si="37"/>
        <v>99077136.296537042</v>
      </c>
      <c r="Y125" s="1134">
        <f t="shared" ca="1" si="31"/>
        <v>1807049.1544678211</v>
      </c>
      <c r="Z125" s="1134">
        <f t="shared" ca="1" si="32"/>
        <v>97270087.142069221</v>
      </c>
      <c r="AA125" s="1132">
        <f t="shared" ca="1" si="33"/>
        <v>0.17058735588246735</v>
      </c>
      <c r="AB125" s="1105"/>
    </row>
    <row r="126" spans="1:28">
      <c r="A126" s="1144">
        <f>'AMORT. PROFILE 0% CPR'!A126</f>
        <v>48514</v>
      </c>
      <c r="C126" s="1104"/>
      <c r="D126" s="1125">
        <f t="shared" ca="1" si="19"/>
        <v>49552</v>
      </c>
      <c r="E126" s="1126">
        <f t="shared" ca="1" si="20"/>
        <v>49579</v>
      </c>
      <c r="F126" s="1127">
        <f t="shared" ca="1" si="21"/>
        <v>3530</v>
      </c>
      <c r="G126" s="1128">
        <f ca="1">IF(F126&lt;&gt;"",COUNTIF($F$11:F126,"&gt;0"),"")</f>
        <v>116</v>
      </c>
      <c r="H126" s="1129">
        <v>1.1436699626936178E-2</v>
      </c>
      <c r="I126" s="1073"/>
      <c r="J126" s="1130">
        <f t="shared" ca="1" si="22"/>
        <v>1945401742.8413868</v>
      </c>
      <c r="K126" s="1131">
        <f t="shared" ca="1" si="23"/>
        <v>22248975.386595078</v>
      </c>
      <c r="L126" s="1130">
        <f t="shared" ca="1" si="24"/>
        <v>13316645.614529913</v>
      </c>
      <c r="M126" s="1130">
        <f t="shared" ca="1" si="25"/>
        <v>0</v>
      </c>
      <c r="N126" s="1130">
        <f t="shared" ca="1" si="34"/>
        <v>1909836121.8402619</v>
      </c>
      <c r="O126" s="1073"/>
      <c r="P126" s="1130">
        <f t="shared" ca="1" si="26"/>
        <v>35565621.001124859</v>
      </c>
      <c r="Q126" s="1130">
        <f t="shared" ca="1" si="27"/>
        <v>1814344315.7482488</v>
      </c>
      <c r="R126" s="1130">
        <f t="shared" ca="1" si="35"/>
        <v>1848131655.6993175</v>
      </c>
      <c r="S126" s="1130">
        <f t="shared" ca="1" si="36"/>
        <v>33787339.95106864</v>
      </c>
      <c r="T126" s="1130">
        <f t="shared" ca="1" si="28"/>
        <v>1814344315.7482488</v>
      </c>
      <c r="U126" s="1132">
        <f t="shared" ca="1" si="29"/>
        <v>0.15652581947450009</v>
      </c>
      <c r="V126" s="1133">
        <f t="shared" ca="1" si="30"/>
        <v>5.0000000000000044E-2</v>
      </c>
      <c r="X126" s="1134">
        <f t="shared" ca="1" si="37"/>
        <v>97270087.142069221</v>
      </c>
      <c r="Y126" s="1134">
        <f t="shared" ca="1" si="31"/>
        <v>1778281.0500562191</v>
      </c>
      <c r="Z126" s="1134">
        <f t="shared" ca="1" si="32"/>
        <v>95491806.092013001</v>
      </c>
      <c r="AA126" s="1132">
        <f t="shared" ca="1" si="33"/>
        <v>0.16747604535480237</v>
      </c>
      <c r="AB126" s="1105"/>
    </row>
    <row r="127" spans="1:28">
      <c r="A127" s="1144">
        <f>'AMORT. PROFILE 0% CPR'!A127</f>
        <v>48547</v>
      </c>
      <c r="C127" s="1104"/>
      <c r="D127" s="1125">
        <f t="shared" ca="1" si="19"/>
        <v>49582</v>
      </c>
      <c r="E127" s="1126">
        <f t="shared" ca="1" si="20"/>
        <v>49611</v>
      </c>
      <c r="F127" s="1127">
        <f t="shared" ca="1" si="21"/>
        <v>3562</v>
      </c>
      <c r="G127" s="1128">
        <f ca="1">IF(F127&lt;&gt;"",COUNTIF($F$11:F127,"&gt;0"),"")</f>
        <v>117</v>
      </c>
      <c r="H127" s="1129">
        <v>1.149743588772667E-2</v>
      </c>
      <c r="I127" s="1073"/>
      <c r="J127" s="1130">
        <f t="shared" ca="1" si="22"/>
        <v>1909836121.8402619</v>
      </c>
      <c r="K127" s="1131">
        <f t="shared" ca="1" si="23"/>
        <v>21958218.366922952</v>
      </c>
      <c r="L127" s="1130">
        <f t="shared" ca="1" si="24"/>
        <v>13072388.959161118</v>
      </c>
      <c r="M127" s="1130">
        <f t="shared" ca="1" si="25"/>
        <v>0</v>
      </c>
      <c r="N127" s="1130">
        <f t="shared" ca="1" si="34"/>
        <v>1874805514.514178</v>
      </c>
      <c r="O127" s="1073"/>
      <c r="P127" s="1130">
        <f t="shared" ca="1" si="26"/>
        <v>35030607.326083899</v>
      </c>
      <c r="Q127" s="1130">
        <f t="shared" ca="1" si="27"/>
        <v>1781065238.7884691</v>
      </c>
      <c r="R127" s="1130">
        <f t="shared" ca="1" si="35"/>
        <v>1814344315.7482488</v>
      </c>
      <c r="S127" s="1130">
        <f t="shared" ca="1" si="36"/>
        <v>33279076.959779739</v>
      </c>
      <c r="T127" s="1130">
        <f t="shared" ca="1" si="28"/>
        <v>1781065238.7884691</v>
      </c>
      <c r="U127" s="1132">
        <f t="shared" ca="1" si="29"/>
        <v>0.15366423163393936</v>
      </c>
      <c r="V127" s="1133">
        <f t="shared" ca="1" si="30"/>
        <v>5.0000000000000044E-2</v>
      </c>
      <c r="X127" s="1134">
        <f t="shared" ca="1" si="37"/>
        <v>95491806.092013001</v>
      </c>
      <c r="Y127" s="1134">
        <f t="shared" ca="1" si="31"/>
        <v>1751530.3663041592</v>
      </c>
      <c r="Z127" s="1134">
        <f t="shared" ca="1" si="32"/>
        <v>93740275.725708842</v>
      </c>
      <c r="AA127" s="1132">
        <f t="shared" ca="1" si="33"/>
        <v>0.16441426668735021</v>
      </c>
      <c r="AB127" s="1105"/>
    </row>
    <row r="128" spans="1:28">
      <c r="A128" s="1144">
        <f>'AMORT. PROFILE 0% CPR'!A128</f>
        <v>48575</v>
      </c>
      <c r="C128" s="1104"/>
      <c r="D128" s="1125">
        <f t="shared" ca="1" si="19"/>
        <v>49613</v>
      </c>
      <c r="E128" s="1126">
        <f t="shared" ca="1" si="20"/>
        <v>49640</v>
      </c>
      <c r="F128" s="1127">
        <f t="shared" ca="1" si="21"/>
        <v>3591</v>
      </c>
      <c r="G128" s="1128">
        <f ca="1">IF(F128&lt;&gt;"",COUNTIF($F$11:F128,"&gt;0"),"")</f>
        <v>118</v>
      </c>
      <c r="H128" s="1129">
        <v>1.1555022241423348E-2</v>
      </c>
      <c r="I128" s="1073"/>
      <c r="J128" s="1130">
        <f t="shared" ca="1" si="22"/>
        <v>1874805514.514178</v>
      </c>
      <c r="K128" s="1131">
        <f t="shared" ca="1" si="23"/>
        <v>21663419.41855447</v>
      </c>
      <c r="L128" s="1130">
        <f t="shared" ca="1" si="24"/>
        <v>12831864.931050526</v>
      </c>
      <c r="M128" s="1130">
        <f t="shared" ca="1" si="25"/>
        <v>0</v>
      </c>
      <c r="N128" s="1130">
        <f t="shared" ca="1" si="34"/>
        <v>1840310230.164573</v>
      </c>
      <c r="O128" s="1073"/>
      <c r="P128" s="1130">
        <f t="shared" ca="1" si="26"/>
        <v>34495284.349604845</v>
      </c>
      <c r="Q128" s="1130">
        <f t="shared" ca="1" si="27"/>
        <v>1748294718.6563442</v>
      </c>
      <c r="R128" s="1130">
        <f t="shared" ca="1" si="35"/>
        <v>1781065238.7884691</v>
      </c>
      <c r="S128" s="1130">
        <f t="shared" ca="1" si="36"/>
        <v>32770520.132124901</v>
      </c>
      <c r="T128" s="1130">
        <f t="shared" ca="1" si="28"/>
        <v>1748294718.6563442</v>
      </c>
      <c r="U128" s="1132">
        <f t="shared" ca="1" si="29"/>
        <v>0.15084569066234746</v>
      </c>
      <c r="V128" s="1133">
        <f t="shared" ca="1" si="30"/>
        <v>5.0000000000000044E-2</v>
      </c>
      <c r="X128" s="1134">
        <f t="shared" ca="1" si="37"/>
        <v>93740275.725708842</v>
      </c>
      <c r="Y128" s="1134">
        <f t="shared" ca="1" si="31"/>
        <v>1724764.2174799442</v>
      </c>
      <c r="Z128" s="1134">
        <f t="shared" ca="1" si="32"/>
        <v>92015511.508228898</v>
      </c>
      <c r="AA128" s="1132">
        <f t="shared" ca="1" si="33"/>
        <v>0.16139854635969153</v>
      </c>
      <c r="AB128" s="1105"/>
    </row>
    <row r="129" spans="1:28">
      <c r="A129" s="1144">
        <f>'AMORT. PROFILE 0% CPR'!A129</f>
        <v>48606</v>
      </c>
      <c r="C129" s="1104"/>
      <c r="D129" s="1125">
        <f t="shared" ca="1" si="19"/>
        <v>49643</v>
      </c>
      <c r="E129" s="1126">
        <f t="shared" ca="1" si="20"/>
        <v>49670</v>
      </c>
      <c r="F129" s="1127">
        <f t="shared" ca="1" si="21"/>
        <v>3621</v>
      </c>
      <c r="G129" s="1128">
        <f ca="1">IF(F129&lt;&gt;"",COUNTIF($F$11:F129,"&gt;0"),"")</f>
        <v>119</v>
      </c>
      <c r="H129" s="1129">
        <v>1.1605834995699654E-2</v>
      </c>
      <c r="I129" s="1073"/>
      <c r="J129" s="1130">
        <f t="shared" ca="1" si="22"/>
        <v>1840310230.164573</v>
      </c>
      <c r="K129" s="1131">
        <f t="shared" ca="1" si="23"/>
        <v>21358336.872188084</v>
      </c>
      <c r="L129" s="1130">
        <f t="shared" ca="1" si="24"/>
        <v>12595118.891626129</v>
      </c>
      <c r="M129" s="1130">
        <f t="shared" ca="1" si="25"/>
        <v>0</v>
      </c>
      <c r="N129" s="1130">
        <f t="shared" ca="1" si="34"/>
        <v>1806356774.4007587</v>
      </c>
      <c r="O129" s="1073"/>
      <c r="P129" s="1130">
        <f t="shared" ca="1" si="26"/>
        <v>33953455.763814449</v>
      </c>
      <c r="Q129" s="1130">
        <f t="shared" ca="1" si="27"/>
        <v>1716038935.6807208</v>
      </c>
      <c r="R129" s="1130">
        <f t="shared" ca="1" si="35"/>
        <v>1748294718.6563442</v>
      </c>
      <c r="S129" s="1130">
        <f t="shared" ca="1" si="36"/>
        <v>32255782.975623369</v>
      </c>
      <c r="T129" s="1130">
        <f t="shared" ca="1" si="28"/>
        <v>1716038935.6807208</v>
      </c>
      <c r="U129" s="1132">
        <f t="shared" ca="1" si="29"/>
        <v>0.14807022144592658</v>
      </c>
      <c r="V129" s="1133">
        <f t="shared" ca="1" si="30"/>
        <v>5.0000000000000044E-2</v>
      </c>
      <c r="X129" s="1134">
        <f t="shared" ca="1" si="37"/>
        <v>92015511.508228898</v>
      </c>
      <c r="Y129" s="1134">
        <f t="shared" ca="1" si="31"/>
        <v>1697672.7881910801</v>
      </c>
      <c r="Z129" s="1134">
        <f t="shared" ca="1" si="32"/>
        <v>90317838.720037818</v>
      </c>
      <c r="AA129" s="1132">
        <f t="shared" ca="1" si="33"/>
        <v>0.15842891099901671</v>
      </c>
      <c r="AB129" s="1105"/>
    </row>
    <row r="130" spans="1:28">
      <c r="A130" s="1144">
        <f>'AMORT. PROFILE 0% CPR'!A130</f>
        <v>48638</v>
      </c>
      <c r="C130" s="1104"/>
      <c r="D130" s="1125">
        <f t="shared" ca="1" si="19"/>
        <v>49674</v>
      </c>
      <c r="E130" s="1126">
        <f t="shared" ca="1" si="20"/>
        <v>49702</v>
      </c>
      <c r="F130" s="1127">
        <f t="shared" ca="1" si="21"/>
        <v>3653</v>
      </c>
      <c r="G130" s="1128">
        <f ca="1">IF(F130&lt;&gt;"",COUNTIF($F$11:F130,"&gt;0"),"")</f>
        <v>120</v>
      </c>
      <c r="H130" s="1129">
        <v>1.1655534415548082E-2</v>
      </c>
      <c r="I130" s="1073"/>
      <c r="J130" s="1130">
        <f t="shared" ca="1" si="22"/>
        <v>1806356774.4007587</v>
      </c>
      <c r="K130" s="1131">
        <f t="shared" ca="1" si="23"/>
        <v>21054053.550786465</v>
      </c>
      <c r="L130" s="1130">
        <f t="shared" ca="1" si="24"/>
        <v>12362119.146509236</v>
      </c>
      <c r="M130" s="1130">
        <f t="shared" ca="1" si="25"/>
        <v>0</v>
      </c>
      <c r="N130" s="1130">
        <f t="shared" ca="1" si="34"/>
        <v>1772940601.7034631</v>
      </c>
      <c r="O130" s="1073"/>
      <c r="P130" s="1130">
        <f t="shared" ca="1" si="26"/>
        <v>33416172.697295666</v>
      </c>
      <c r="Q130" s="1130">
        <f t="shared" ca="1" si="27"/>
        <v>1684293571.6182899</v>
      </c>
      <c r="R130" s="1130">
        <f t="shared" ca="1" si="35"/>
        <v>1716038935.6807208</v>
      </c>
      <c r="S130" s="1130">
        <f t="shared" ca="1" si="36"/>
        <v>31745364.062430859</v>
      </c>
      <c r="T130" s="1130">
        <f t="shared" ca="1" si="28"/>
        <v>1684293571.6182899</v>
      </c>
      <c r="U130" s="1132">
        <f t="shared" ca="1" si="29"/>
        <v>0.1453383474219731</v>
      </c>
      <c r="V130" s="1133">
        <f t="shared" ca="1" si="30"/>
        <v>4.9999999999999933E-2</v>
      </c>
      <c r="X130" s="1134">
        <f t="shared" ca="1" si="37"/>
        <v>90317838.720037818</v>
      </c>
      <c r="Y130" s="1134">
        <f t="shared" ca="1" si="31"/>
        <v>1670808.6348648071</v>
      </c>
      <c r="Z130" s="1134">
        <f t="shared" ca="1" si="32"/>
        <v>88647030.085173011</v>
      </c>
      <c r="AA130" s="1132">
        <f t="shared" ca="1" si="33"/>
        <v>0.15550592066122212</v>
      </c>
      <c r="AB130" s="1105"/>
    </row>
    <row r="131" spans="1:28">
      <c r="A131" s="1144">
        <f>'AMORT. PROFILE 0% CPR'!A131</f>
        <v>48666</v>
      </c>
      <c r="C131" s="1104"/>
      <c r="D131" s="1125">
        <f t="shared" ca="1" si="19"/>
        <v>49705</v>
      </c>
      <c r="E131" s="1126">
        <f t="shared" ca="1" si="20"/>
        <v>49732</v>
      </c>
      <c r="F131" s="1127">
        <f t="shared" ca="1" si="21"/>
        <v>3683</v>
      </c>
      <c r="G131" s="1128">
        <f ca="1">IF(F131&lt;&gt;"",COUNTIF($F$11:F131,"&gt;0"),"")</f>
        <v>121</v>
      </c>
      <c r="H131" s="1129">
        <v>1.1719020820377648E-2</v>
      </c>
      <c r="I131" s="1073"/>
      <c r="J131" s="1130">
        <f t="shared" ca="1" si="22"/>
        <v>1772940601.7034631</v>
      </c>
      <c r="K131" s="1131">
        <f t="shared" ca="1" si="23"/>
        <v>20777127.82465576</v>
      </c>
      <c r="L131" s="1130">
        <f t="shared" ca="1" si="24"/>
        <v>12132650.320467176</v>
      </c>
      <c r="M131" s="1130">
        <f t="shared" ca="1" si="25"/>
        <v>0</v>
      </c>
      <c r="N131" s="1130">
        <f t="shared" ca="1" si="34"/>
        <v>1740030823.5583401</v>
      </c>
      <c r="O131" s="1073"/>
      <c r="P131" s="1130">
        <f t="shared" ca="1" si="26"/>
        <v>32909778.145123005</v>
      </c>
      <c r="Q131" s="1130">
        <f t="shared" ca="1" si="27"/>
        <v>1653029282.3804231</v>
      </c>
      <c r="R131" s="1130">
        <f t="shared" ca="1" si="35"/>
        <v>1684293571.6182899</v>
      </c>
      <c r="S131" s="1130">
        <f t="shared" ca="1" si="36"/>
        <v>31264289.237866879</v>
      </c>
      <c r="T131" s="1130">
        <f t="shared" ca="1" si="28"/>
        <v>1653029282.3804231</v>
      </c>
      <c r="U131" s="1132">
        <f t="shared" ca="1" si="29"/>
        <v>0.14264970286082135</v>
      </c>
      <c r="V131" s="1133">
        <f t="shared" ca="1" si="30"/>
        <v>5.0000000000000044E-2</v>
      </c>
      <c r="X131" s="1134">
        <f t="shared" ca="1" si="37"/>
        <v>88647030.085173011</v>
      </c>
      <c r="Y131" s="1134">
        <f t="shared" ca="1" si="31"/>
        <v>1645488.9072561264</v>
      </c>
      <c r="Z131" s="1134">
        <f t="shared" ca="1" si="32"/>
        <v>87001541.177916884</v>
      </c>
      <c r="AA131" s="1132">
        <f t="shared" ca="1" si="33"/>
        <v>0.15262918403094528</v>
      </c>
      <c r="AB131" s="1105"/>
    </row>
    <row r="132" spans="1:28">
      <c r="A132" s="1144">
        <f>'AMORT. PROFILE 0% CPR'!A132</f>
        <v>48696</v>
      </c>
      <c r="C132" s="1104"/>
      <c r="D132" s="1125">
        <f t="shared" ca="1" si="19"/>
        <v>49734</v>
      </c>
      <c r="E132" s="1126">
        <f t="shared" ca="1" si="20"/>
        <v>49761</v>
      </c>
      <c r="F132" s="1127">
        <f t="shared" ca="1" si="21"/>
        <v>3712</v>
      </c>
      <c r="G132" s="1128">
        <f ca="1">IF(F132&lt;&gt;"",COUNTIF($F$11:F132,"&gt;0"),"")</f>
        <v>122</v>
      </c>
      <c r="H132" s="1129">
        <v>1.1772454203261574E-2</v>
      </c>
      <c r="I132" s="1073"/>
      <c r="J132" s="1130">
        <f t="shared" ca="1" si="22"/>
        <v>1740030823.5583401</v>
      </c>
      <c r="K132" s="1131">
        <f t="shared" ca="1" si="23"/>
        <v>20484433.182604078</v>
      </c>
      <c r="L132" s="1130">
        <f t="shared" ca="1" si="24"/>
        <v>11906797.154072719</v>
      </c>
      <c r="M132" s="1130">
        <f t="shared" ca="1" si="25"/>
        <v>0</v>
      </c>
      <c r="N132" s="1130">
        <f t="shared" ca="1" si="34"/>
        <v>1707639593.2216632</v>
      </c>
      <c r="O132" s="1073"/>
      <c r="P132" s="1130">
        <f t="shared" ca="1" si="26"/>
        <v>32391230.336676836</v>
      </c>
      <c r="Q132" s="1130">
        <f t="shared" ca="1" si="27"/>
        <v>1622257613.56058</v>
      </c>
      <c r="R132" s="1130">
        <f t="shared" ca="1" si="35"/>
        <v>1653029282.3804231</v>
      </c>
      <c r="S132" s="1130">
        <f t="shared" ca="1" si="36"/>
        <v>30771668.819843054</v>
      </c>
      <c r="T132" s="1130">
        <f t="shared" ca="1" si="28"/>
        <v>1622257613.56058</v>
      </c>
      <c r="U132" s="1132">
        <f t="shared" ca="1" si="29"/>
        <v>0.1400018024917358</v>
      </c>
      <c r="V132" s="1133">
        <f t="shared" ca="1" si="30"/>
        <v>5.0000000000000044E-2</v>
      </c>
      <c r="X132" s="1134">
        <f t="shared" ca="1" si="37"/>
        <v>87001541.177916884</v>
      </c>
      <c r="Y132" s="1134">
        <f t="shared" ca="1" si="31"/>
        <v>1619561.5168337822</v>
      </c>
      <c r="Z132" s="1134">
        <f t="shared" ca="1" si="32"/>
        <v>85381979.661083102</v>
      </c>
      <c r="AA132" s="1132">
        <f t="shared" ca="1" si="33"/>
        <v>0.1497960419729974</v>
      </c>
      <c r="AB132" s="1105"/>
    </row>
    <row r="133" spans="1:28">
      <c r="A133" s="1144">
        <f>'AMORT. PROFILE 0% CPR'!A133</f>
        <v>48726</v>
      </c>
      <c r="C133" s="1104"/>
      <c r="D133" s="1125">
        <f t="shared" ca="1" si="19"/>
        <v>49765</v>
      </c>
      <c r="E133" s="1126">
        <f t="shared" ca="1" si="20"/>
        <v>49793</v>
      </c>
      <c r="F133" s="1127">
        <f t="shared" ca="1" si="21"/>
        <v>3744</v>
      </c>
      <c r="G133" s="1128">
        <f ca="1">IF(F133&lt;&gt;"",COUNTIF($F$11:F133,"&gt;0"),"")</f>
        <v>123</v>
      </c>
      <c r="H133" s="1129">
        <v>1.1814644938606718E-2</v>
      </c>
      <c r="I133" s="1073"/>
      <c r="J133" s="1130">
        <f t="shared" ca="1" si="22"/>
        <v>1707639593.2216632</v>
      </c>
      <c r="K133" s="1131">
        <f t="shared" ca="1" si="23"/>
        <v>20175155.477020759</v>
      </c>
      <c r="L133" s="1130">
        <f t="shared" ca="1" si="24"/>
        <v>11684649.438592048</v>
      </c>
      <c r="M133" s="1130">
        <f t="shared" ca="1" si="25"/>
        <v>0</v>
      </c>
      <c r="N133" s="1130">
        <f t="shared" ca="1" si="34"/>
        <v>1675779788.3060505</v>
      </c>
      <c r="O133" s="1073"/>
      <c r="P133" s="1130">
        <f t="shared" ca="1" si="26"/>
        <v>31859804.915612459</v>
      </c>
      <c r="Q133" s="1130">
        <f t="shared" ca="1" si="27"/>
        <v>1591990798.890748</v>
      </c>
      <c r="R133" s="1130">
        <f t="shared" ca="1" si="35"/>
        <v>1622257613.56058</v>
      </c>
      <c r="S133" s="1130">
        <f t="shared" ca="1" si="36"/>
        <v>30266814.669831991</v>
      </c>
      <c r="T133" s="1130">
        <f t="shared" ca="1" si="28"/>
        <v>1591990798.890748</v>
      </c>
      <c r="U133" s="1132">
        <f t="shared" ca="1" si="29"/>
        <v>0.13739562415818993</v>
      </c>
      <c r="V133" s="1133">
        <f t="shared" ca="1" si="30"/>
        <v>5.0000000000000044E-2</v>
      </c>
      <c r="X133" s="1134">
        <f t="shared" ca="1" si="37"/>
        <v>85381979.661083102</v>
      </c>
      <c r="Y133" s="1134">
        <f t="shared" ca="1" si="31"/>
        <v>1592990.245780468</v>
      </c>
      <c r="Z133" s="1134">
        <f t="shared" ca="1" si="32"/>
        <v>83788989.415302634</v>
      </c>
      <c r="AA133" s="1132">
        <f t="shared" ca="1" si="33"/>
        <v>0.14700754073877945</v>
      </c>
      <c r="AB133" s="1105"/>
    </row>
    <row r="134" spans="1:28">
      <c r="A134" s="1144">
        <f>'AMORT. PROFILE 0% CPR'!A134</f>
        <v>48757</v>
      </c>
      <c r="C134" s="1104"/>
      <c r="D134" s="1125">
        <f t="shared" ca="1" si="19"/>
        <v>49795</v>
      </c>
      <c r="E134" s="1126">
        <f t="shared" ca="1" si="20"/>
        <v>49822</v>
      </c>
      <c r="F134" s="1127">
        <f t="shared" ca="1" si="21"/>
        <v>3773</v>
      </c>
      <c r="G134" s="1128">
        <f ca="1">IF(F134&lt;&gt;"",COUNTIF($F$11:F134,"&gt;0"),"")</f>
        <v>124</v>
      </c>
      <c r="H134" s="1129">
        <v>1.184628088348732E-2</v>
      </c>
      <c r="I134" s="1073"/>
      <c r="J134" s="1130">
        <f t="shared" ca="1" si="22"/>
        <v>1675779788.3060505</v>
      </c>
      <c r="K134" s="1131">
        <f t="shared" ca="1" si="23"/>
        <v>19851758.071144395</v>
      </c>
      <c r="L134" s="1130">
        <f t="shared" ca="1" si="24"/>
        <v>11466279.28627266</v>
      </c>
      <c r="M134" s="1130">
        <f t="shared" ca="1" si="25"/>
        <v>0</v>
      </c>
      <c r="N134" s="1130">
        <f t="shared" ca="1" si="34"/>
        <v>1644461750.9486334</v>
      </c>
      <c r="O134" s="1073"/>
      <c r="P134" s="1130">
        <f t="shared" ca="1" si="26"/>
        <v>31318037.357417345</v>
      </c>
      <c r="Q134" s="1130">
        <f t="shared" ca="1" si="27"/>
        <v>1562238663.4012017</v>
      </c>
      <c r="R134" s="1130">
        <f t="shared" ca="1" si="35"/>
        <v>1591990798.890748</v>
      </c>
      <c r="S134" s="1130">
        <f t="shared" ca="1" si="36"/>
        <v>29752135.489546299</v>
      </c>
      <c r="T134" s="1130">
        <f t="shared" ca="1" si="28"/>
        <v>1562238663.4012017</v>
      </c>
      <c r="U134" s="1132">
        <f t="shared" ca="1" si="29"/>
        <v>0.13483220398492005</v>
      </c>
      <c r="V134" s="1133">
        <f t="shared" ca="1" si="30"/>
        <v>5.0000000000000044E-2</v>
      </c>
      <c r="X134" s="1134">
        <f t="shared" ca="1" si="37"/>
        <v>83788989.415302634</v>
      </c>
      <c r="Y134" s="1134">
        <f t="shared" ca="1" si="31"/>
        <v>1565901.8678710461</v>
      </c>
      <c r="Z134" s="1134">
        <f t="shared" ca="1" si="32"/>
        <v>82223087.547431588</v>
      </c>
      <c r="AA134" s="1132">
        <f t="shared" ca="1" si="33"/>
        <v>0.14426478893819325</v>
      </c>
      <c r="AB134" s="1105"/>
    </row>
    <row r="135" spans="1:28">
      <c r="A135" s="1144">
        <f>'AMORT. PROFILE 0% CPR'!A135</f>
        <v>48787</v>
      </c>
      <c r="C135" s="1104"/>
      <c r="D135" s="1125">
        <f t="shared" ca="1" si="19"/>
        <v>49826</v>
      </c>
      <c r="E135" s="1126">
        <f t="shared" ca="1" si="20"/>
        <v>49853</v>
      </c>
      <c r="F135" s="1127">
        <f t="shared" ca="1" si="21"/>
        <v>3804</v>
      </c>
      <c r="G135" s="1128">
        <f ca="1">IF(F135&lt;&gt;"",COUNTIF($F$11:F135,"&gt;0"),"")</f>
        <v>125</v>
      </c>
      <c r="H135" s="1129">
        <v>1.189451779593848E-2</v>
      </c>
      <c r="I135" s="1073"/>
      <c r="J135" s="1130">
        <f t="shared" ca="1" si="22"/>
        <v>1644461750.9486334</v>
      </c>
      <c r="K135" s="1131">
        <f t="shared" ca="1" si="23"/>
        <v>19560079.561398674</v>
      </c>
      <c r="L135" s="1130">
        <f t="shared" ca="1" si="24"/>
        <v>11251440.90604846</v>
      </c>
      <c r="M135" s="1130">
        <f t="shared" ca="1" si="25"/>
        <v>0</v>
      </c>
      <c r="N135" s="1130">
        <f t="shared" ca="1" si="34"/>
        <v>1613650230.4811862</v>
      </c>
      <c r="O135" s="1073"/>
      <c r="P135" s="1130">
        <f t="shared" ca="1" si="26"/>
        <v>30811520.467447042</v>
      </c>
      <c r="Q135" s="1130">
        <f t="shared" ca="1" si="27"/>
        <v>1532967718.9571269</v>
      </c>
      <c r="R135" s="1130">
        <f t="shared" ca="1" si="35"/>
        <v>1562238663.4012017</v>
      </c>
      <c r="S135" s="1130">
        <f t="shared" ca="1" si="36"/>
        <v>29270944.444074869</v>
      </c>
      <c r="T135" s="1130">
        <f t="shared" ca="1" si="28"/>
        <v>1532967718.9571269</v>
      </c>
      <c r="U135" s="1132">
        <f t="shared" ca="1" si="29"/>
        <v>0.13231237409387506</v>
      </c>
      <c r="V135" s="1133">
        <f t="shared" ca="1" si="30"/>
        <v>5.0000000000000044E-2</v>
      </c>
      <c r="X135" s="1134">
        <f t="shared" ca="1" si="37"/>
        <v>82223087.547431588</v>
      </c>
      <c r="Y135" s="1134">
        <f t="shared" ca="1" si="31"/>
        <v>1540576.0233721733</v>
      </c>
      <c r="Z135" s="1134">
        <f t="shared" ca="1" si="32"/>
        <v>80682511.524059415</v>
      </c>
      <c r="AA135" s="1132">
        <f t="shared" ca="1" si="33"/>
        <v>0.14156867690673483</v>
      </c>
      <c r="AB135" s="1105"/>
    </row>
    <row r="136" spans="1:28">
      <c r="A136" s="1144">
        <f>'AMORT. PROFILE 0% CPR'!A136</f>
        <v>48820</v>
      </c>
      <c r="C136" s="1104"/>
      <c r="D136" s="1125">
        <f t="shared" ca="1" si="19"/>
        <v>49856</v>
      </c>
      <c r="E136" s="1126">
        <f t="shared" ca="1" si="20"/>
        <v>49884</v>
      </c>
      <c r="F136" s="1127">
        <f t="shared" ca="1" si="21"/>
        <v>3835</v>
      </c>
      <c r="G136" s="1128">
        <f ca="1">IF(F136&lt;&gt;"",COUNTIF($F$11:F136,"&gt;0"),"")</f>
        <v>126</v>
      </c>
      <c r="H136" s="1129">
        <v>1.1958332181730192E-2</v>
      </c>
      <c r="I136" s="1073"/>
      <c r="J136" s="1130">
        <f t="shared" ca="1" si="22"/>
        <v>1613650230.4811862</v>
      </c>
      <c r="K136" s="1131">
        <f t="shared" ca="1" si="23"/>
        <v>19296565.481219511</v>
      </c>
      <c r="L136" s="1130">
        <f t="shared" ca="1" si="24"/>
        <v>11039914.821291281</v>
      </c>
      <c r="M136" s="1130">
        <f t="shared" ca="1" si="25"/>
        <v>0</v>
      </c>
      <c r="N136" s="1130">
        <f t="shared" ca="1" si="34"/>
        <v>1583313750.1786754</v>
      </c>
      <c r="O136" s="1073"/>
      <c r="P136" s="1130">
        <f t="shared" ca="1" si="26"/>
        <v>30336480.302510977</v>
      </c>
      <c r="Q136" s="1130">
        <f t="shared" ca="1" si="27"/>
        <v>1504148062.6697416</v>
      </c>
      <c r="R136" s="1130">
        <f t="shared" ca="1" si="35"/>
        <v>1532967718.9571269</v>
      </c>
      <c r="S136" s="1130">
        <f t="shared" ca="1" si="36"/>
        <v>28819656.287385225</v>
      </c>
      <c r="T136" s="1130">
        <f t="shared" ca="1" si="28"/>
        <v>1504148062.6697416</v>
      </c>
      <c r="U136" s="1132">
        <f t="shared" ca="1" si="29"/>
        <v>0.1298332982381197</v>
      </c>
      <c r="V136" s="1133">
        <f t="shared" ca="1" si="30"/>
        <v>5.0000000000000044E-2</v>
      </c>
      <c r="X136" s="1134">
        <f t="shared" ca="1" si="37"/>
        <v>80682511.524059415</v>
      </c>
      <c r="Y136" s="1134">
        <f t="shared" ca="1" si="31"/>
        <v>1516824.0151257515</v>
      </c>
      <c r="Z136" s="1134">
        <f t="shared" ca="1" si="32"/>
        <v>79165687.508933663</v>
      </c>
      <c r="AA136" s="1132">
        <f t="shared" ca="1" si="33"/>
        <v>0.13891616997944115</v>
      </c>
      <c r="AB136" s="1105"/>
    </row>
    <row r="137" spans="1:28">
      <c r="A137" s="1144">
        <f>'AMORT. PROFILE 0% CPR'!A137</f>
        <v>48849</v>
      </c>
      <c r="C137" s="1104"/>
      <c r="D137" s="1125">
        <f t="shared" ca="1" si="19"/>
        <v>49887</v>
      </c>
      <c r="E137" s="1126">
        <f t="shared" ca="1" si="20"/>
        <v>49914</v>
      </c>
      <c r="F137" s="1127">
        <f t="shared" ca="1" si="21"/>
        <v>3865</v>
      </c>
      <c r="G137" s="1128">
        <f ca="1">IF(F137&lt;&gt;"",COUNTIF($F$11:F137,"&gt;0"),"")</f>
        <v>127</v>
      </c>
      <c r="H137" s="1129">
        <v>1.2017089671290681E-2</v>
      </c>
      <c r="I137" s="1073"/>
      <c r="J137" s="1130">
        <f t="shared" ca="1" si="22"/>
        <v>1583313750.1786754</v>
      </c>
      <c r="K137" s="1131">
        <f t="shared" ca="1" si="23"/>
        <v>19026823.313684672</v>
      </c>
      <c r="L137" s="1130">
        <f t="shared" ca="1" si="24"/>
        <v>10831721.222059825</v>
      </c>
      <c r="M137" s="1130">
        <f t="shared" ca="1" si="25"/>
        <v>0</v>
      </c>
      <c r="N137" s="1130">
        <f t="shared" ca="1" si="34"/>
        <v>1553455205.642931</v>
      </c>
      <c r="O137" s="1073"/>
      <c r="P137" s="1130">
        <f t="shared" ca="1" si="26"/>
        <v>29858544.53574419</v>
      </c>
      <c r="Q137" s="1130">
        <f t="shared" ca="1" si="27"/>
        <v>1475782445.3607843</v>
      </c>
      <c r="R137" s="1130">
        <f t="shared" ca="1" si="35"/>
        <v>1504148062.6697416</v>
      </c>
      <c r="S137" s="1130">
        <f t="shared" ca="1" si="36"/>
        <v>28365617.308957338</v>
      </c>
      <c r="T137" s="1130">
        <f t="shared" ca="1" si="28"/>
        <v>1475782445.3607843</v>
      </c>
      <c r="U137" s="1132">
        <f t="shared" ca="1" si="29"/>
        <v>0.12739244381985074</v>
      </c>
      <c r="V137" s="1133">
        <f t="shared" ca="1" si="30"/>
        <v>5.0000000000000044E-2</v>
      </c>
      <c r="X137" s="1134">
        <f t="shared" ca="1" si="37"/>
        <v>79165687.508933663</v>
      </c>
      <c r="Y137" s="1134">
        <f t="shared" ca="1" si="31"/>
        <v>1492927.2267868519</v>
      </c>
      <c r="Z137" s="1134">
        <f t="shared" ca="1" si="32"/>
        <v>77672760.282146811</v>
      </c>
      <c r="AA137" s="1132">
        <f t="shared" ca="1" si="33"/>
        <v>0.13630455838315025</v>
      </c>
      <c r="AB137" s="1105"/>
    </row>
    <row r="138" spans="1:28">
      <c r="A138" s="1144">
        <f>'AMORT. PROFILE 0% CPR'!A138</f>
        <v>48879</v>
      </c>
      <c r="C138" s="1104"/>
      <c r="D138" s="1125">
        <f t="shared" ca="1" si="19"/>
        <v>49918</v>
      </c>
      <c r="E138" s="1126">
        <f t="shared" ca="1" si="20"/>
        <v>49947</v>
      </c>
      <c r="F138" s="1127">
        <f t="shared" ca="1" si="21"/>
        <v>3898</v>
      </c>
      <c r="G138" s="1128">
        <f ca="1">IF(F138&lt;&gt;"",COUNTIF($F$11:F138,"&gt;0"),"")</f>
        <v>128</v>
      </c>
      <c r="H138" s="1129">
        <v>1.2072204422934746E-2</v>
      </c>
      <c r="I138" s="1073"/>
      <c r="J138" s="1130">
        <f t="shared" ca="1" si="22"/>
        <v>1553455205.642931</v>
      </c>
      <c r="K138" s="1131">
        <f t="shared" ca="1" si="23"/>
        <v>18753628.804393597</v>
      </c>
      <c r="L138" s="1130">
        <f t="shared" ca="1" si="24"/>
        <v>10626860.938284496</v>
      </c>
      <c r="M138" s="1130">
        <f t="shared" ca="1" si="25"/>
        <v>0</v>
      </c>
      <c r="N138" s="1130">
        <f t="shared" ca="1" si="34"/>
        <v>1524074715.9002531</v>
      </c>
      <c r="O138" s="1073"/>
      <c r="P138" s="1130">
        <f t="shared" ca="1" si="26"/>
        <v>29380489.742677927</v>
      </c>
      <c r="Q138" s="1130">
        <f t="shared" ca="1" si="27"/>
        <v>1447870980.1052403</v>
      </c>
      <c r="R138" s="1130">
        <f t="shared" ca="1" si="35"/>
        <v>1475782445.3607843</v>
      </c>
      <c r="S138" s="1130">
        <f t="shared" ca="1" si="36"/>
        <v>27911465.255543947</v>
      </c>
      <c r="T138" s="1130">
        <f t="shared" ca="1" si="28"/>
        <v>1447870980.1052403</v>
      </c>
      <c r="U138" s="1132">
        <f t="shared" ca="1" si="29"/>
        <v>0.12499004381739823</v>
      </c>
      <c r="V138" s="1133">
        <f t="shared" ca="1" si="30"/>
        <v>5.0000000000000044E-2</v>
      </c>
      <c r="X138" s="1134">
        <f t="shared" ca="1" si="37"/>
        <v>77672760.282146811</v>
      </c>
      <c r="Y138" s="1134">
        <f t="shared" ca="1" si="31"/>
        <v>1469024.4871339798</v>
      </c>
      <c r="Z138" s="1134">
        <f t="shared" ca="1" si="32"/>
        <v>76203735.795012832</v>
      </c>
      <c r="AA138" s="1132">
        <f t="shared" ca="1" si="33"/>
        <v>0.13373409139488088</v>
      </c>
      <c r="AB138" s="1105"/>
    </row>
    <row r="139" spans="1:28">
      <c r="A139" s="1144">
        <f>'AMORT. PROFILE 0% CPR'!A139</f>
        <v>48911</v>
      </c>
      <c r="C139" s="1104"/>
      <c r="D139" s="1125">
        <f t="shared" ca="1" si="19"/>
        <v>49948</v>
      </c>
      <c r="E139" s="1126">
        <f t="shared" ca="1" si="20"/>
        <v>49975</v>
      </c>
      <c r="F139" s="1127">
        <f t="shared" ca="1" si="21"/>
        <v>3926</v>
      </c>
      <c r="G139" s="1128">
        <f ca="1">IF(F139&lt;&gt;"",COUNTIF($F$11:F139,"&gt;0"),"")</f>
        <v>129</v>
      </c>
      <c r="H139" s="1129">
        <v>1.2146929369312066E-2</v>
      </c>
      <c r="I139" s="1073"/>
      <c r="J139" s="1130">
        <f t="shared" ca="1" si="22"/>
        <v>1524074715.9002531</v>
      </c>
      <c r="K139" s="1131">
        <f t="shared" ca="1" si="23"/>
        <v>18512827.927594729</v>
      </c>
      <c r="L139" s="1130">
        <f t="shared" ca="1" si="24"/>
        <v>10425086.582907552</v>
      </c>
      <c r="M139" s="1130">
        <f t="shared" ca="1" si="25"/>
        <v>0</v>
      </c>
      <c r="N139" s="1130">
        <f t="shared" ca="1" si="34"/>
        <v>1495136801.389751</v>
      </c>
      <c r="O139" s="1073"/>
      <c r="P139" s="1130">
        <f t="shared" ca="1" si="26"/>
        <v>28937914.510502338</v>
      </c>
      <c r="Q139" s="1130">
        <f t="shared" ca="1" si="27"/>
        <v>1420379961.3202634</v>
      </c>
      <c r="R139" s="1130">
        <f t="shared" ca="1" si="35"/>
        <v>1447870980.1052403</v>
      </c>
      <c r="S139" s="1130">
        <f t="shared" ca="1" si="36"/>
        <v>27491018.784976959</v>
      </c>
      <c r="T139" s="1130">
        <f t="shared" ca="1" si="28"/>
        <v>1420379961.3202634</v>
      </c>
      <c r="U139" s="1132">
        <f t="shared" ca="1" si="29"/>
        <v>0.12262610780754458</v>
      </c>
      <c r="V139" s="1133">
        <f t="shared" ca="1" si="30"/>
        <v>5.0000000000000044E-2</v>
      </c>
      <c r="X139" s="1134">
        <f t="shared" ca="1" si="37"/>
        <v>76203735.795012832</v>
      </c>
      <c r="Y139" s="1134">
        <f t="shared" ca="1" si="31"/>
        <v>1446895.7255253792</v>
      </c>
      <c r="Z139" s="1134">
        <f t="shared" ca="1" si="32"/>
        <v>74756840.069487453</v>
      </c>
      <c r="AA139" s="1132">
        <f t="shared" ca="1" si="33"/>
        <v>0.13120477926138574</v>
      </c>
      <c r="AB139" s="1105"/>
    </row>
    <row r="140" spans="1:28">
      <c r="A140" s="1144">
        <f>'AMORT. PROFILE 0% CPR'!A140</f>
        <v>48940</v>
      </c>
      <c r="C140" s="1104"/>
      <c r="D140" s="1125">
        <f t="shared" ref="D140:D203" ca="1" si="38">IF(E140&lt;&gt;"",EOMONTH(E140,-1),"")</f>
        <v>49979</v>
      </c>
      <c r="E140" s="1126">
        <f t="shared" ref="E140:E203" ca="1" si="39">IF(INDIRECT("A"&amp;(IFERROR(MATCH(E139,A:A),999)+1))&gt;0,INDIRECT("A"&amp;(IFERROR(MATCH(E139,A:A),999)+1)),"")</f>
        <v>50006</v>
      </c>
      <c r="F140" s="1127">
        <f t="shared" ref="F140:F203" ca="1" si="40">IF(E140&lt;&gt;"",E140-$A$31,"")</f>
        <v>3957</v>
      </c>
      <c r="G140" s="1128">
        <f ca="1">IF(F140&lt;&gt;"",COUNTIF($F$11:F140,"&gt;0"),"")</f>
        <v>130</v>
      </c>
      <c r="H140" s="1129">
        <v>1.2214711467789191E-2</v>
      </c>
      <c r="I140" s="1073"/>
      <c r="J140" s="1130">
        <f t="shared" ref="J140:J203" ca="1" si="41">IF(G140=1,$A$7,N139)</f>
        <v>1495136801.389751</v>
      </c>
      <c r="K140" s="1131">
        <f t="shared" ref="K140:K203" ca="1" si="42">H140*J140</f>
        <v>18262664.63384904</v>
      </c>
      <c r="L140" s="1130">
        <f t="shared" ref="L140:L203" ca="1" si="43">IF(E140&lt;&gt;"",(1-(1-$A$25)^(1/12))*(J140-K140),"")</f>
        <v>10226441.616737267</v>
      </c>
      <c r="M140" s="1130">
        <f t="shared" ref="M140:M203" ca="1" si="44">IF(J140-K140-L140&lt;$A$27*$A$5,J140-K140-L140,0)</f>
        <v>0</v>
      </c>
      <c r="N140" s="1130">
        <f t="shared" ca="1" si="34"/>
        <v>1466647695.1391644</v>
      </c>
      <c r="O140" s="1073"/>
      <c r="P140" s="1130">
        <f t="shared" ref="P140:P203" ca="1" si="45">IF(G140&lt;&gt; "", R140+X140-N140, "")</f>
        <v>28489106.25058651</v>
      </c>
      <c r="Q140" s="1130">
        <f t="shared" ref="Q140:Q203" ca="1" si="46">IF(E140&lt;&gt;"", N140*(1-$A$15), "")</f>
        <v>1393315310.3822062</v>
      </c>
      <c r="R140" s="1130">
        <f t="shared" ca="1" si="35"/>
        <v>1420379961.3202634</v>
      </c>
      <c r="S140" s="1130">
        <f t="shared" ca="1" si="36"/>
        <v>27064650.938057184</v>
      </c>
      <c r="T140" s="1130">
        <f t="shared" ref="T140:T203" ca="1" si="47">IF(E140&lt;&gt;"", R140-S140, "")</f>
        <v>1393315310.3822062</v>
      </c>
      <c r="U140" s="1132">
        <f t="shared" ref="U140:U203" ca="1" si="48">IF(E140&lt;&gt;"", R140/$A$11, "")</f>
        <v>0.12029778112679242</v>
      </c>
      <c r="V140" s="1133">
        <f t="shared" ref="V140:V203" ca="1" si="49">IF(E140&lt;&gt;"", IFERROR(1-T140/N140, "n.a."), "")</f>
        <v>5.0000000000000044E-2</v>
      </c>
      <c r="X140" s="1134">
        <f t="shared" ca="1" si="37"/>
        <v>74756840.069487453</v>
      </c>
      <c r="Y140" s="1134">
        <f t="shared" ref="Y140:Y203" ca="1" si="50">IF(E140&lt;&gt;"", P140-S140, "")</f>
        <v>1424455.3125293255</v>
      </c>
      <c r="Z140" s="1134">
        <f t="shared" ref="Z140:Z203" ca="1" si="51">IF(E140&lt;&gt;"", X140-Y140, "")</f>
        <v>73332384.756958127</v>
      </c>
      <c r="AA140" s="1132">
        <f t="shared" ref="AA140:AA203" ca="1" si="52">IF(E140&lt;&gt;"", X140/$A$19, "")</f>
        <v>0.12871356761275388</v>
      </c>
      <c r="AB140" s="1105"/>
    </row>
    <row r="141" spans="1:28">
      <c r="A141" s="1144">
        <f>'AMORT. PROFILE 0% CPR'!A141</f>
        <v>48971</v>
      </c>
      <c r="C141" s="1104"/>
      <c r="D141" s="1125">
        <f t="shared" ca="1" si="38"/>
        <v>50009</v>
      </c>
      <c r="E141" s="1126">
        <f t="shared" ca="1" si="39"/>
        <v>50038</v>
      </c>
      <c r="F141" s="1127">
        <f t="shared" ca="1" si="40"/>
        <v>3989</v>
      </c>
      <c r="G141" s="1128">
        <f ca="1">IF(F141&lt;&gt;"",COUNTIF($F$11:F141,"&gt;0"),"")</f>
        <v>131</v>
      </c>
      <c r="H141" s="1129">
        <v>1.2293182292235061E-2</v>
      </c>
      <c r="I141" s="1073"/>
      <c r="J141" s="1130">
        <f t="shared" ca="1" si="41"/>
        <v>1466647695.1391644</v>
      </c>
      <c r="K141" s="1131">
        <f t="shared" ca="1" si="42"/>
        <v>18029767.474832144</v>
      </c>
      <c r="L141" s="1130">
        <f t="shared" ca="1" si="43"/>
        <v>10030784.813362008</v>
      </c>
      <c r="M141" s="1130">
        <f t="shared" ca="1" si="44"/>
        <v>0</v>
      </c>
      <c r="N141" s="1130">
        <f t="shared" ref="N141:N204" ca="1" si="53">IF(E141&lt;&gt;"",J141-K141-L141-M141,"")</f>
        <v>1438587142.8509703</v>
      </c>
      <c r="O141" s="1073"/>
      <c r="P141" s="1130">
        <f t="shared" ca="1" si="45"/>
        <v>28060552.28819418</v>
      </c>
      <c r="Q141" s="1130">
        <f t="shared" ca="1" si="46"/>
        <v>1366657785.7084217</v>
      </c>
      <c r="R141" s="1130">
        <f t="shared" ref="R141:R204" ca="1" si="54">IF(E141&lt;&gt;"", T140, "")</f>
        <v>1393315310.3822062</v>
      </c>
      <c r="S141" s="1130">
        <f t="shared" ref="S141:S204" ca="1" si="55">IF(E141&lt;&gt;"", MIN(P141,MAX(R141-Q141,0)), "")</f>
        <v>26657524.673784494</v>
      </c>
      <c r="T141" s="1130">
        <f t="shared" ca="1" si="47"/>
        <v>1366657785.7084217</v>
      </c>
      <c r="U141" s="1132">
        <f t="shared" ca="1" si="48"/>
        <v>0.11800556528069366</v>
      </c>
      <c r="V141" s="1133">
        <f t="shared" ca="1" si="49"/>
        <v>5.0000000000000044E-2</v>
      </c>
      <c r="X141" s="1134">
        <f t="shared" ref="X141:X204" ca="1" si="56">IF(E141&lt;&gt;"", Z140, "")</f>
        <v>73332384.756958127</v>
      </c>
      <c r="Y141" s="1134">
        <f t="shared" ca="1" si="50"/>
        <v>1403027.6144096851</v>
      </c>
      <c r="Z141" s="1134">
        <f t="shared" ca="1" si="51"/>
        <v>71929357.142548442</v>
      </c>
      <c r="AA141" s="1132">
        <f t="shared" ca="1" si="52"/>
        <v>0.12626099303883975</v>
      </c>
      <c r="AB141" s="1105"/>
    </row>
    <row r="142" spans="1:28">
      <c r="A142" s="1144">
        <f>'AMORT. PROFILE 0% CPR'!A142</f>
        <v>49002</v>
      </c>
      <c r="C142" s="1104"/>
      <c r="D142" s="1125">
        <f t="shared" ca="1" si="38"/>
        <v>50040</v>
      </c>
      <c r="E142" s="1126">
        <f t="shared" ca="1" si="39"/>
        <v>50067</v>
      </c>
      <c r="F142" s="1127">
        <f t="shared" ca="1" si="40"/>
        <v>4018</v>
      </c>
      <c r="G142" s="1128">
        <f ca="1">IF(F142&lt;&gt;"",COUNTIF($F$11:F142,"&gt;0"),"")</f>
        <v>132</v>
      </c>
      <c r="H142" s="1129">
        <v>1.2384469228646137E-2</v>
      </c>
      <c r="I142" s="1073"/>
      <c r="J142" s="1130">
        <f t="shared" ca="1" si="41"/>
        <v>1438587142.8509703</v>
      </c>
      <c r="K142" s="1131">
        <f t="shared" ca="1" si="42"/>
        <v>17816138.203363806</v>
      </c>
      <c r="L142" s="1130">
        <f t="shared" ca="1" si="43"/>
        <v>9837962.063373398</v>
      </c>
      <c r="M142" s="1130">
        <f t="shared" ca="1" si="44"/>
        <v>0</v>
      </c>
      <c r="N142" s="1130">
        <f t="shared" ca="1" si="53"/>
        <v>1410933042.584233</v>
      </c>
      <c r="O142" s="1073"/>
      <c r="P142" s="1130">
        <f t="shared" ca="1" si="45"/>
        <v>27654100.266737223</v>
      </c>
      <c r="Q142" s="1130">
        <f t="shared" ca="1" si="46"/>
        <v>1340386390.4550214</v>
      </c>
      <c r="R142" s="1130">
        <f t="shared" ca="1" si="54"/>
        <v>1366657785.7084217</v>
      </c>
      <c r="S142" s="1130">
        <f t="shared" ca="1" si="55"/>
        <v>26271395.253400326</v>
      </c>
      <c r="T142" s="1130">
        <f t="shared" ca="1" si="47"/>
        <v>1340386390.4550214</v>
      </c>
      <c r="U142" s="1132">
        <f t="shared" ca="1" si="48"/>
        <v>0.11574783062101275</v>
      </c>
      <c r="V142" s="1133">
        <f t="shared" ca="1" si="49"/>
        <v>5.0000000000000044E-2</v>
      </c>
      <c r="X142" s="1134">
        <f t="shared" ca="1" si="56"/>
        <v>71929357.142548442</v>
      </c>
      <c r="Y142" s="1134">
        <f t="shared" ca="1" si="50"/>
        <v>1382705.0133368969</v>
      </c>
      <c r="Z142" s="1134">
        <f t="shared" ca="1" si="51"/>
        <v>70546652.129211545</v>
      </c>
      <c r="AA142" s="1132">
        <f t="shared" ca="1" si="52"/>
        <v>0.1238453118845531</v>
      </c>
      <c r="AB142" s="1105"/>
    </row>
    <row r="143" spans="1:28">
      <c r="A143" s="1144">
        <f>'AMORT. PROFILE 0% CPR'!A143</f>
        <v>49030</v>
      </c>
      <c r="C143" s="1104"/>
      <c r="D143" s="1125">
        <f t="shared" ca="1" si="38"/>
        <v>50071</v>
      </c>
      <c r="E143" s="1126">
        <f t="shared" ca="1" si="39"/>
        <v>50098</v>
      </c>
      <c r="F143" s="1127">
        <f t="shared" ca="1" si="40"/>
        <v>4049</v>
      </c>
      <c r="G143" s="1128">
        <f ca="1">IF(F143&lt;&gt;"",COUNTIF($F$11:F143,"&gt;0"),"")</f>
        <v>133</v>
      </c>
      <c r="H143" s="1129">
        <v>1.2485675641903553E-2</v>
      </c>
      <c r="I143" s="1073"/>
      <c r="J143" s="1130">
        <f t="shared" ca="1" si="41"/>
        <v>1410933042.584233</v>
      </c>
      <c r="K143" s="1131">
        <f t="shared" ca="1" si="42"/>
        <v>17616452.322150826</v>
      </c>
      <c r="L143" s="1130">
        <f t="shared" ca="1" si="43"/>
        <v>9647857.1933321413</v>
      </c>
      <c r="M143" s="1130">
        <f t="shared" ca="1" si="44"/>
        <v>0</v>
      </c>
      <c r="N143" s="1130">
        <f t="shared" ca="1" si="53"/>
        <v>1383668733.0687499</v>
      </c>
      <c r="O143" s="1073"/>
      <c r="P143" s="1130">
        <f t="shared" ca="1" si="45"/>
        <v>27264309.515482903</v>
      </c>
      <c r="Q143" s="1130">
        <f t="shared" ca="1" si="46"/>
        <v>1314485296.4153123</v>
      </c>
      <c r="R143" s="1130">
        <f t="shared" ca="1" si="54"/>
        <v>1340386390.4550214</v>
      </c>
      <c r="S143" s="1130">
        <f t="shared" ca="1" si="55"/>
        <v>25901094.039709091</v>
      </c>
      <c r="T143" s="1130">
        <f t="shared" ca="1" si="47"/>
        <v>1314485296.4153123</v>
      </c>
      <c r="U143" s="1132">
        <f t="shared" ca="1" si="48"/>
        <v>0.11352279883926937</v>
      </c>
      <c r="V143" s="1133">
        <f t="shared" ca="1" si="49"/>
        <v>5.0000000000000044E-2</v>
      </c>
      <c r="X143" s="1134">
        <f t="shared" ca="1" si="56"/>
        <v>70546652.129211545</v>
      </c>
      <c r="Y143" s="1134">
        <f t="shared" ca="1" si="50"/>
        <v>1363215.4757738113</v>
      </c>
      <c r="Z143" s="1134">
        <f t="shared" ca="1" si="51"/>
        <v>69183436.653437734</v>
      </c>
      <c r="AA143" s="1132">
        <f t="shared" ca="1" si="52"/>
        <v>0.12146462143459288</v>
      </c>
      <c r="AB143" s="1105"/>
    </row>
    <row r="144" spans="1:28">
      <c r="A144" s="1144">
        <f>'AMORT. PROFILE 0% CPR'!A144</f>
        <v>49061</v>
      </c>
      <c r="C144" s="1104"/>
      <c r="D144" s="1125">
        <f t="shared" ca="1" si="38"/>
        <v>50099</v>
      </c>
      <c r="E144" s="1126">
        <f t="shared" ca="1" si="39"/>
        <v>50126</v>
      </c>
      <c r="F144" s="1127">
        <f t="shared" ca="1" si="40"/>
        <v>4077</v>
      </c>
      <c r="G144" s="1128">
        <f ca="1">IF(F144&lt;&gt;"",COUNTIF($F$11:F144,"&gt;0"),"")</f>
        <v>134</v>
      </c>
      <c r="H144" s="1129">
        <v>1.2585610525184927E-2</v>
      </c>
      <c r="I144" s="1073"/>
      <c r="J144" s="1130">
        <f t="shared" ca="1" si="41"/>
        <v>1383668733.0687499</v>
      </c>
      <c r="K144" s="1131">
        <f t="shared" ca="1" si="42"/>
        <v>17414315.770279352</v>
      </c>
      <c r="L144" s="1130">
        <f t="shared" ca="1" si="43"/>
        <v>9460468.352978874</v>
      </c>
      <c r="M144" s="1130">
        <f t="shared" ca="1" si="44"/>
        <v>0</v>
      </c>
      <c r="N144" s="1130">
        <f t="shared" ca="1" si="53"/>
        <v>1356793948.9454916</v>
      </c>
      <c r="O144" s="1073"/>
      <c r="P144" s="1130">
        <f t="shared" ca="1" si="45"/>
        <v>26874784.123258352</v>
      </c>
      <c r="Q144" s="1130">
        <f t="shared" ca="1" si="46"/>
        <v>1288954251.4982169</v>
      </c>
      <c r="R144" s="1130">
        <f t="shared" ca="1" si="54"/>
        <v>1314485296.4153123</v>
      </c>
      <c r="S144" s="1130">
        <f t="shared" ca="1" si="55"/>
        <v>25531044.917095423</v>
      </c>
      <c r="T144" s="1130">
        <f t="shared" ca="1" si="47"/>
        <v>1288954251.4982169</v>
      </c>
      <c r="U144" s="1132">
        <f t="shared" ca="1" si="48"/>
        <v>0.11132912937998106</v>
      </c>
      <c r="V144" s="1133">
        <f t="shared" ca="1" si="49"/>
        <v>5.0000000000000044E-2</v>
      </c>
      <c r="X144" s="1134">
        <f t="shared" ca="1" si="56"/>
        <v>69183436.653437734</v>
      </c>
      <c r="Y144" s="1134">
        <f t="shared" ca="1" si="50"/>
        <v>1343739.2061629295</v>
      </c>
      <c r="Z144" s="1134">
        <f t="shared" ca="1" si="51"/>
        <v>67839697.447274804</v>
      </c>
      <c r="AA144" s="1132">
        <f t="shared" ca="1" si="52"/>
        <v>0.11911748735096028</v>
      </c>
      <c r="AB144" s="1105"/>
    </row>
    <row r="145" spans="1:28">
      <c r="A145" s="1144">
        <f>'AMORT. PROFILE 0% CPR'!A145</f>
        <v>49094</v>
      </c>
      <c r="C145" s="1104"/>
      <c r="D145" s="1125">
        <f t="shared" ca="1" si="38"/>
        <v>50130</v>
      </c>
      <c r="E145" s="1126">
        <f t="shared" ca="1" si="39"/>
        <v>50157</v>
      </c>
      <c r="F145" s="1127">
        <f t="shared" ca="1" si="40"/>
        <v>4108</v>
      </c>
      <c r="G145" s="1128">
        <f ca="1">IF(F145&lt;&gt;"",COUNTIF($F$11:F145,"&gt;0"),"")</f>
        <v>135</v>
      </c>
      <c r="H145" s="1129">
        <v>1.2665408375706582E-2</v>
      </c>
      <c r="I145" s="1073"/>
      <c r="J145" s="1130">
        <f t="shared" ca="1" si="41"/>
        <v>1356793948.9454916</v>
      </c>
      <c r="K145" s="1131">
        <f t="shared" ca="1" si="42"/>
        <v>17184349.445082236</v>
      </c>
      <c r="L145" s="1130">
        <f t="shared" ca="1" si="43"/>
        <v>9275969.4394837767</v>
      </c>
      <c r="M145" s="1130">
        <f t="shared" ca="1" si="44"/>
        <v>0</v>
      </c>
      <c r="N145" s="1130">
        <f t="shared" ca="1" si="53"/>
        <v>1330333630.0609255</v>
      </c>
      <c r="O145" s="1073"/>
      <c r="P145" s="1130">
        <f t="shared" ca="1" si="45"/>
        <v>26460318.884566307</v>
      </c>
      <c r="Q145" s="1130">
        <f t="shared" ca="1" si="46"/>
        <v>1263816948.5578792</v>
      </c>
      <c r="R145" s="1130">
        <f t="shared" ca="1" si="54"/>
        <v>1288954251.4982169</v>
      </c>
      <c r="S145" s="1130">
        <f t="shared" ca="1" si="55"/>
        <v>25137302.940337658</v>
      </c>
      <c r="T145" s="1130">
        <f t="shared" ca="1" si="47"/>
        <v>1263816948.5578792</v>
      </c>
      <c r="U145" s="1132">
        <f t="shared" ca="1" si="48"/>
        <v>0.10916680089252463</v>
      </c>
      <c r="V145" s="1133">
        <f t="shared" ca="1" si="49"/>
        <v>5.0000000000000044E-2</v>
      </c>
      <c r="X145" s="1134">
        <f t="shared" ca="1" si="56"/>
        <v>67839697.447274804</v>
      </c>
      <c r="Y145" s="1134">
        <f t="shared" ca="1" si="50"/>
        <v>1323015.9442286491</v>
      </c>
      <c r="Z145" s="1134">
        <f t="shared" ca="1" si="51"/>
        <v>66516681.503046155</v>
      </c>
      <c r="AA145" s="1132">
        <f t="shared" ca="1" si="52"/>
        <v>0.116803886789385</v>
      </c>
      <c r="AB145" s="1105"/>
    </row>
    <row r="146" spans="1:28">
      <c r="A146" s="1144">
        <f>'AMORT. PROFILE 0% CPR'!A146</f>
        <v>49122</v>
      </c>
      <c r="C146" s="1104"/>
      <c r="D146" s="1125">
        <f t="shared" ca="1" si="38"/>
        <v>50160</v>
      </c>
      <c r="E146" s="1126">
        <f t="shared" ca="1" si="39"/>
        <v>50187</v>
      </c>
      <c r="F146" s="1127">
        <f t="shared" ca="1" si="40"/>
        <v>4138</v>
      </c>
      <c r="G146" s="1128">
        <f ca="1">IF(F146&lt;&gt;"",COUNTIF($F$11:F146,"&gt;0"),"")</f>
        <v>136</v>
      </c>
      <c r="H146" s="1129">
        <v>1.2756916567808798E-2</v>
      </c>
      <c r="I146" s="1073"/>
      <c r="J146" s="1130">
        <f t="shared" ca="1" si="41"/>
        <v>1330333630.0609255</v>
      </c>
      <c r="K146" s="1131">
        <f t="shared" ca="1" si="42"/>
        <v>16970955.126037441</v>
      </c>
      <c r="L146" s="1130">
        <f t="shared" ca="1" si="43"/>
        <v>9094225.6909759957</v>
      </c>
      <c r="M146" s="1130">
        <f t="shared" ca="1" si="44"/>
        <v>0</v>
      </c>
      <c r="N146" s="1130">
        <f t="shared" ca="1" si="53"/>
        <v>1304268449.2439122</v>
      </c>
      <c r="O146" s="1073"/>
      <c r="P146" s="1130">
        <f t="shared" ca="1" si="45"/>
        <v>26065180.817013264</v>
      </c>
      <c r="Q146" s="1130">
        <f t="shared" ca="1" si="46"/>
        <v>1239055026.7817166</v>
      </c>
      <c r="R146" s="1130">
        <f t="shared" ca="1" si="54"/>
        <v>1263816948.5578792</v>
      </c>
      <c r="S146" s="1130">
        <f t="shared" ca="1" si="55"/>
        <v>24761921.776162624</v>
      </c>
      <c r="T146" s="1130">
        <f t="shared" ca="1" si="47"/>
        <v>1239055026.7817166</v>
      </c>
      <c r="U146" s="1132">
        <f t="shared" ca="1" si="48"/>
        <v>0.10703782002150207</v>
      </c>
      <c r="V146" s="1133">
        <f t="shared" ca="1" si="49"/>
        <v>5.0000000000000044E-2</v>
      </c>
      <c r="X146" s="1134">
        <f t="shared" ca="1" si="56"/>
        <v>66516681.503046155</v>
      </c>
      <c r="Y146" s="1134">
        <f t="shared" ca="1" si="50"/>
        <v>1303259.0408506393</v>
      </c>
      <c r="Z146" s="1134">
        <f t="shared" ca="1" si="51"/>
        <v>65213422.462195516</v>
      </c>
      <c r="AA146" s="1132">
        <f t="shared" ca="1" si="52"/>
        <v>0.1145259667752172</v>
      </c>
      <c r="AB146" s="1105"/>
    </row>
    <row r="147" spans="1:28">
      <c r="A147" s="1144">
        <f>'AMORT. PROFILE 0% CPR'!A147</f>
        <v>49152</v>
      </c>
      <c r="C147" s="1104"/>
      <c r="D147" s="1125">
        <f t="shared" ca="1" si="38"/>
        <v>50191</v>
      </c>
      <c r="E147" s="1126">
        <f t="shared" ca="1" si="39"/>
        <v>50220</v>
      </c>
      <c r="F147" s="1127">
        <f t="shared" ca="1" si="40"/>
        <v>4171</v>
      </c>
      <c r="G147" s="1128">
        <f ca="1">IF(F147&lt;&gt;"",COUNTIF($F$11:F147,"&gt;0"),"")</f>
        <v>137</v>
      </c>
      <c r="H147" s="1129">
        <v>1.2839097125528609E-2</v>
      </c>
      <c r="I147" s="1073"/>
      <c r="J147" s="1130">
        <f t="shared" ca="1" si="41"/>
        <v>1304268449.2439122</v>
      </c>
      <c r="K147" s="1131">
        <f t="shared" ca="1" si="42"/>
        <v>16745629.29760517</v>
      </c>
      <c r="L147" s="1130">
        <f t="shared" ca="1" si="43"/>
        <v>8915300.6479752883</v>
      </c>
      <c r="M147" s="1130">
        <f t="shared" ca="1" si="44"/>
        <v>0</v>
      </c>
      <c r="N147" s="1130">
        <f t="shared" ca="1" si="53"/>
        <v>1278607519.2983317</v>
      </c>
      <c r="O147" s="1073"/>
      <c r="P147" s="1130">
        <f t="shared" ca="1" si="45"/>
        <v>25660929.945580482</v>
      </c>
      <c r="Q147" s="1130">
        <f t="shared" ca="1" si="46"/>
        <v>1214677143.333415</v>
      </c>
      <c r="R147" s="1130">
        <f t="shared" ca="1" si="54"/>
        <v>1239055026.7817166</v>
      </c>
      <c r="S147" s="1130">
        <f t="shared" ca="1" si="55"/>
        <v>24377883.448301554</v>
      </c>
      <c r="T147" s="1130">
        <f t="shared" ca="1" si="47"/>
        <v>1214677143.333415</v>
      </c>
      <c r="U147" s="1132">
        <f t="shared" ca="1" si="48"/>
        <v>0.10494063171469244</v>
      </c>
      <c r="V147" s="1133">
        <f t="shared" ca="1" si="49"/>
        <v>5.0000000000000044E-2</v>
      </c>
      <c r="X147" s="1134">
        <f t="shared" ca="1" si="56"/>
        <v>65213422.462195516</v>
      </c>
      <c r="Y147" s="1134">
        <f t="shared" ca="1" si="50"/>
        <v>1283046.4972789288</v>
      </c>
      <c r="Z147" s="1134">
        <f t="shared" ca="1" si="51"/>
        <v>63930375.964916587</v>
      </c>
      <c r="AA147" s="1132">
        <f t="shared" ca="1" si="52"/>
        <v>0.11228206346796749</v>
      </c>
      <c r="AB147" s="1105"/>
    </row>
    <row r="148" spans="1:28">
      <c r="A148" s="1144">
        <f>'AMORT. PROFILE 0% CPR'!A148</f>
        <v>49184</v>
      </c>
      <c r="C148" s="1104"/>
      <c r="D148" s="1125">
        <f t="shared" ca="1" si="38"/>
        <v>50221</v>
      </c>
      <c r="E148" s="1126">
        <f t="shared" ca="1" si="39"/>
        <v>50248</v>
      </c>
      <c r="F148" s="1127">
        <f t="shared" ca="1" si="40"/>
        <v>4199</v>
      </c>
      <c r="G148" s="1128">
        <f ca="1">IF(F148&lt;&gt;"",COUNTIF($F$11:F148,"&gt;0"),"")</f>
        <v>138</v>
      </c>
      <c r="H148" s="1129">
        <v>1.2935741665823631E-2</v>
      </c>
      <c r="I148" s="1073"/>
      <c r="J148" s="1130">
        <f t="shared" ca="1" si="41"/>
        <v>1278607519.2983317</v>
      </c>
      <c r="K148" s="1131">
        <f t="shared" ca="1" si="42"/>
        <v>16539736.561622823</v>
      </c>
      <c r="L148" s="1130">
        <f t="shared" ca="1" si="43"/>
        <v>8739040.2305184323</v>
      </c>
      <c r="M148" s="1130">
        <f t="shared" ca="1" si="44"/>
        <v>0</v>
      </c>
      <c r="N148" s="1130">
        <f t="shared" ca="1" si="53"/>
        <v>1253328742.5061905</v>
      </c>
      <c r="O148" s="1073"/>
      <c r="P148" s="1130">
        <f t="shared" ca="1" si="45"/>
        <v>25278776.792141199</v>
      </c>
      <c r="Q148" s="1130">
        <f t="shared" ca="1" si="46"/>
        <v>1190662305.3808811</v>
      </c>
      <c r="R148" s="1130">
        <f t="shared" ca="1" si="54"/>
        <v>1214677143.333415</v>
      </c>
      <c r="S148" s="1130">
        <f t="shared" ca="1" si="55"/>
        <v>24014837.95253396</v>
      </c>
      <c r="T148" s="1130">
        <f t="shared" ca="1" si="47"/>
        <v>1190662305.3808811</v>
      </c>
      <c r="U148" s="1132">
        <f t="shared" ca="1" si="48"/>
        <v>0.10287596918265254</v>
      </c>
      <c r="V148" s="1133">
        <f t="shared" ca="1" si="49"/>
        <v>4.9999999999999933E-2</v>
      </c>
      <c r="X148" s="1134">
        <f t="shared" ca="1" si="56"/>
        <v>63930375.964916587</v>
      </c>
      <c r="Y148" s="1134">
        <f t="shared" ca="1" si="50"/>
        <v>1263938.8396072388</v>
      </c>
      <c r="Z148" s="1134">
        <f t="shared" ca="1" si="51"/>
        <v>62666437.125309348</v>
      </c>
      <c r="AA148" s="1132">
        <f t="shared" ca="1" si="52"/>
        <v>0.11007296137210155</v>
      </c>
      <c r="AB148" s="1105"/>
    </row>
    <row r="149" spans="1:28">
      <c r="A149" s="1144">
        <f>'AMORT. PROFILE 0% CPR'!A149</f>
        <v>49214</v>
      </c>
      <c r="C149" s="1104"/>
      <c r="D149" s="1125">
        <f t="shared" ca="1" si="38"/>
        <v>50252</v>
      </c>
      <c r="E149" s="1126">
        <f t="shared" ca="1" si="39"/>
        <v>50279</v>
      </c>
      <c r="F149" s="1127">
        <f t="shared" ca="1" si="40"/>
        <v>4230</v>
      </c>
      <c r="G149" s="1128">
        <f ca="1">IF(F149&lt;&gt;"",COUNTIF($F$11:F149,"&gt;0"),"")</f>
        <v>139</v>
      </c>
      <c r="H149" s="1129">
        <v>1.3033364791696398E-2</v>
      </c>
      <c r="I149" s="1073"/>
      <c r="J149" s="1130">
        <f t="shared" ca="1" si="41"/>
        <v>1253328742.5061905</v>
      </c>
      <c r="K149" s="1131">
        <f t="shared" ca="1" si="42"/>
        <v>16335090.705001304</v>
      </c>
      <c r="L149" s="1130">
        <f t="shared" ca="1" si="43"/>
        <v>8565417.353848815</v>
      </c>
      <c r="M149" s="1130">
        <f t="shared" ca="1" si="44"/>
        <v>0</v>
      </c>
      <c r="N149" s="1130">
        <f t="shared" ca="1" si="53"/>
        <v>1228428234.4473405</v>
      </c>
      <c r="O149" s="1073"/>
      <c r="P149" s="1130">
        <f t="shared" ca="1" si="45"/>
        <v>24900508.058849812</v>
      </c>
      <c r="Q149" s="1130">
        <f t="shared" ca="1" si="46"/>
        <v>1167006822.7249734</v>
      </c>
      <c r="R149" s="1130">
        <f t="shared" ca="1" si="54"/>
        <v>1190662305.3808811</v>
      </c>
      <c r="S149" s="1130">
        <f t="shared" ca="1" si="55"/>
        <v>23655482.655907631</v>
      </c>
      <c r="T149" s="1130">
        <f t="shared" ca="1" si="47"/>
        <v>1167006822.7249734</v>
      </c>
      <c r="U149" s="1132">
        <f t="shared" ca="1" si="48"/>
        <v>0.10084205445667738</v>
      </c>
      <c r="V149" s="1133">
        <f t="shared" ca="1" si="49"/>
        <v>5.0000000000000044E-2</v>
      </c>
      <c r="X149" s="1134">
        <f t="shared" ca="1" si="56"/>
        <v>62666437.125309348</v>
      </c>
      <c r="Y149" s="1134">
        <f t="shared" ca="1" si="50"/>
        <v>1245025.4029421806</v>
      </c>
      <c r="Z149" s="1134">
        <f t="shared" ca="1" si="51"/>
        <v>61421411.722367167</v>
      </c>
      <c r="AA149" s="1132">
        <f t="shared" ca="1" si="52"/>
        <v>0.1078967581358632</v>
      </c>
      <c r="AB149" s="1105"/>
    </row>
    <row r="150" spans="1:28">
      <c r="A150" s="1144">
        <f>'AMORT. PROFILE 0% CPR'!A150</f>
        <v>49244</v>
      </c>
      <c r="B150" s="1145"/>
      <c r="C150" s="1104"/>
      <c r="D150" s="1125">
        <f t="shared" ca="1" si="38"/>
        <v>50283</v>
      </c>
      <c r="E150" s="1126">
        <f t="shared" ca="1" si="39"/>
        <v>50311</v>
      </c>
      <c r="F150" s="1127">
        <f t="shared" ca="1" si="40"/>
        <v>4262</v>
      </c>
      <c r="G150" s="1128">
        <f ca="1">IF(F150&lt;&gt;"",COUNTIF($F$11:F150,"&gt;0"),"")</f>
        <v>140</v>
      </c>
      <c r="H150" s="1129">
        <v>1.3123396781396355E-2</v>
      </c>
      <c r="I150" s="1073"/>
      <c r="J150" s="1130">
        <f t="shared" ca="1" si="41"/>
        <v>1228428234.4473405</v>
      </c>
      <c r="K150" s="1131">
        <f t="shared" ca="1" si="42"/>
        <v>16121151.138122635</v>
      </c>
      <c r="L150" s="1130">
        <f t="shared" ca="1" si="43"/>
        <v>8394478.1078306846</v>
      </c>
      <c r="M150" s="1130">
        <f t="shared" ca="1" si="44"/>
        <v>0</v>
      </c>
      <c r="N150" s="1130">
        <f t="shared" ca="1" si="53"/>
        <v>1203912605.2013872</v>
      </c>
      <c r="O150" s="1073"/>
      <c r="P150" s="1130">
        <f t="shared" ca="1" si="45"/>
        <v>24515629.245953321</v>
      </c>
      <c r="Q150" s="1130">
        <f t="shared" ca="1" si="46"/>
        <v>1143716974.9413178</v>
      </c>
      <c r="R150" s="1130">
        <f t="shared" ca="1" si="54"/>
        <v>1167006822.7249734</v>
      </c>
      <c r="S150" s="1130">
        <f t="shared" ca="1" si="55"/>
        <v>23289847.783655643</v>
      </c>
      <c r="T150" s="1130">
        <f t="shared" ca="1" si="47"/>
        <v>1143716974.9413178</v>
      </c>
      <c r="U150" s="1132">
        <f t="shared" ca="1" si="48"/>
        <v>9.8838574998727335E-2</v>
      </c>
      <c r="V150" s="1133">
        <f t="shared" ca="1" si="49"/>
        <v>5.0000000000000044E-2</v>
      </c>
      <c r="X150" s="1134">
        <f t="shared" ca="1" si="56"/>
        <v>61421411.722367167</v>
      </c>
      <c r="Y150" s="1134">
        <f t="shared" ca="1" si="50"/>
        <v>1225781.462297678</v>
      </c>
      <c r="Z150" s="1134">
        <f t="shared" ca="1" si="51"/>
        <v>60195630.260069489</v>
      </c>
      <c r="AA150" s="1132">
        <f t="shared" ca="1" si="52"/>
        <v>0.10575311935669278</v>
      </c>
      <c r="AB150" s="1105"/>
    </row>
    <row r="151" spans="1:28">
      <c r="A151" s="1144">
        <f>'AMORT. PROFILE 0% CPR'!A151</f>
        <v>49275</v>
      </c>
      <c r="C151" s="1146"/>
      <c r="D151" s="1125">
        <f t="shared" ca="1" si="38"/>
        <v>50313</v>
      </c>
      <c r="E151" s="1126">
        <f t="shared" ca="1" si="39"/>
        <v>50340</v>
      </c>
      <c r="F151" s="1127">
        <f t="shared" ca="1" si="40"/>
        <v>4291</v>
      </c>
      <c r="G151" s="1128">
        <f ca="1">IF(F151&lt;&gt;"",COUNTIF($F$11:F151,"&gt;0"),"")</f>
        <v>141</v>
      </c>
      <c r="H151" s="1129">
        <v>1.322381871433074E-2</v>
      </c>
      <c r="I151" s="1073"/>
      <c r="J151" s="1130">
        <f t="shared" ca="1" si="41"/>
        <v>1203912605.2013872</v>
      </c>
      <c r="K151" s="1131">
        <f t="shared" ca="1" si="42"/>
        <v>15920322.03908078</v>
      </c>
      <c r="L151" s="1130">
        <f t="shared" ca="1" si="43"/>
        <v>8226113.1280828388</v>
      </c>
      <c r="M151" s="1130">
        <f t="shared" ca="1" si="44"/>
        <v>0</v>
      </c>
      <c r="N151" s="1130">
        <f t="shared" ca="1" si="53"/>
        <v>1179766170.0342236</v>
      </c>
      <c r="O151" s="1073"/>
      <c r="P151" s="1130">
        <f t="shared" ca="1" si="45"/>
        <v>24146435.167163849</v>
      </c>
      <c r="Q151" s="1130">
        <f t="shared" ca="1" si="46"/>
        <v>1120777861.5325124</v>
      </c>
      <c r="R151" s="1130">
        <f t="shared" ca="1" si="54"/>
        <v>1143716974.9413178</v>
      </c>
      <c r="S151" s="1130">
        <f t="shared" ca="1" si="55"/>
        <v>22939113.40880537</v>
      </c>
      <c r="T151" s="1130">
        <f t="shared" ca="1" si="47"/>
        <v>1120777861.5325124</v>
      </c>
      <c r="U151" s="1132">
        <f t="shared" ca="1" si="48"/>
        <v>9.6866062651714019E-2</v>
      </c>
      <c r="V151" s="1133">
        <f t="shared" ca="1" si="49"/>
        <v>4.9999999999999933E-2</v>
      </c>
      <c r="X151" s="1134">
        <f t="shared" ca="1" si="56"/>
        <v>60195630.260069489</v>
      </c>
      <c r="Y151" s="1134">
        <f t="shared" ca="1" si="50"/>
        <v>1207321.7583584785</v>
      </c>
      <c r="Z151" s="1134">
        <f t="shared" ca="1" si="51"/>
        <v>58988308.501711011</v>
      </c>
      <c r="AA151" s="1132">
        <f t="shared" ca="1" si="52"/>
        <v>0.10364261408414169</v>
      </c>
      <c r="AB151" s="1105"/>
    </row>
    <row r="152" spans="1:28">
      <c r="A152" s="1144">
        <f>'AMORT. PROFILE 0% CPR'!A152</f>
        <v>49305</v>
      </c>
      <c r="C152" s="1104"/>
      <c r="D152" s="1125">
        <f t="shared" ca="1" si="38"/>
        <v>50344</v>
      </c>
      <c r="E152" s="1126">
        <f t="shared" ca="1" si="39"/>
        <v>50371</v>
      </c>
      <c r="F152" s="1127">
        <f t="shared" ca="1" si="40"/>
        <v>4322</v>
      </c>
      <c r="G152" s="1128">
        <f ca="1">IF(F152&lt;&gt;"",COUNTIF($F$11:F152,"&gt;0"),"")</f>
        <v>142</v>
      </c>
      <c r="H152" s="1129">
        <v>1.3320595285273972E-2</v>
      </c>
      <c r="I152" s="1073"/>
      <c r="J152" s="1130">
        <f t="shared" ca="1" si="41"/>
        <v>1179766170.0342236</v>
      </c>
      <c r="K152" s="1131">
        <f t="shared" ca="1" si="42"/>
        <v>15715187.68228361</v>
      </c>
      <c r="L152" s="1130">
        <f t="shared" ca="1" si="43"/>
        <v>8060334.4006526461</v>
      </c>
      <c r="M152" s="1130">
        <f t="shared" ca="1" si="44"/>
        <v>0</v>
      </c>
      <c r="N152" s="1130">
        <f t="shared" ca="1" si="53"/>
        <v>1155990647.9512873</v>
      </c>
      <c r="O152" s="1073"/>
      <c r="P152" s="1130">
        <f t="shared" ca="1" si="45"/>
        <v>23775522.082936287</v>
      </c>
      <c r="Q152" s="1130">
        <f t="shared" ca="1" si="46"/>
        <v>1098191115.5537229</v>
      </c>
      <c r="R152" s="1130">
        <f t="shared" ca="1" si="54"/>
        <v>1120777861.5325124</v>
      </c>
      <c r="S152" s="1130">
        <f t="shared" ca="1" si="55"/>
        <v>22586745.978789568</v>
      </c>
      <c r="T152" s="1130">
        <f t="shared" ca="1" si="47"/>
        <v>1098191115.5537229</v>
      </c>
      <c r="U152" s="1132">
        <f t="shared" ca="1" si="48"/>
        <v>9.4923255431644454E-2</v>
      </c>
      <c r="V152" s="1133">
        <f t="shared" ca="1" si="49"/>
        <v>5.0000000000000044E-2</v>
      </c>
      <c r="X152" s="1134">
        <f t="shared" ca="1" si="56"/>
        <v>58988308.501711011</v>
      </c>
      <c r="Y152" s="1134">
        <f t="shared" ca="1" si="50"/>
        <v>1188776.104146719</v>
      </c>
      <c r="Z152" s="1134">
        <f t="shared" ca="1" si="51"/>
        <v>57799532.397564292</v>
      </c>
      <c r="AA152" s="1132">
        <f t="shared" ca="1" si="52"/>
        <v>0.10156389204840049</v>
      </c>
      <c r="AB152" s="1105"/>
    </row>
    <row r="153" spans="1:28">
      <c r="A153" s="1144">
        <f>'AMORT. PROFILE 0% CPR'!A153</f>
        <v>49338</v>
      </c>
      <c r="C153" s="1104"/>
      <c r="D153" s="1125">
        <f t="shared" ca="1" si="38"/>
        <v>50374</v>
      </c>
      <c r="E153" s="1126">
        <f t="shared" ca="1" si="39"/>
        <v>50402</v>
      </c>
      <c r="F153" s="1127">
        <f t="shared" ca="1" si="40"/>
        <v>4353</v>
      </c>
      <c r="G153" s="1128">
        <f ca="1">IF(F153&lt;&gt;"",COUNTIF($F$11:F153,"&gt;0"),"")</f>
        <v>143</v>
      </c>
      <c r="H153" s="1129">
        <v>1.3429315092184863E-2</v>
      </c>
      <c r="I153" s="1073"/>
      <c r="J153" s="1130">
        <f t="shared" ca="1" si="41"/>
        <v>1155990647.9512873</v>
      </c>
      <c r="K153" s="1131">
        <f t="shared" ca="1" si="42"/>
        <v>15524162.65495678</v>
      </c>
      <c r="L153" s="1130">
        <f t="shared" ca="1" si="43"/>
        <v>7897026.3189436058</v>
      </c>
      <c r="M153" s="1130">
        <f t="shared" ca="1" si="44"/>
        <v>0</v>
      </c>
      <c r="N153" s="1130">
        <f t="shared" ca="1" si="53"/>
        <v>1132569458.977387</v>
      </c>
      <c r="O153" s="1073"/>
      <c r="P153" s="1130">
        <f t="shared" ca="1" si="45"/>
        <v>23421188.973900318</v>
      </c>
      <c r="Q153" s="1130">
        <f t="shared" ca="1" si="46"/>
        <v>1075940986.0285175</v>
      </c>
      <c r="R153" s="1130">
        <f t="shared" ca="1" si="54"/>
        <v>1098191115.5537229</v>
      </c>
      <c r="S153" s="1130">
        <f t="shared" ca="1" si="55"/>
        <v>22250129.525205374</v>
      </c>
      <c r="T153" s="1130">
        <f t="shared" ca="1" si="47"/>
        <v>1075940986.0285175</v>
      </c>
      <c r="U153" s="1132">
        <f t="shared" ca="1" si="48"/>
        <v>9.3010291648631588E-2</v>
      </c>
      <c r="V153" s="1133">
        <f t="shared" ca="1" si="49"/>
        <v>5.0000000000000155E-2</v>
      </c>
      <c r="X153" s="1134">
        <f t="shared" ca="1" si="56"/>
        <v>57799532.397564292</v>
      </c>
      <c r="Y153" s="1134">
        <f t="shared" ca="1" si="50"/>
        <v>1171059.4486949444</v>
      </c>
      <c r="Z153" s="1134">
        <f t="shared" ca="1" si="51"/>
        <v>56628472.948869348</v>
      </c>
      <c r="AA153" s="1132">
        <f t="shared" ca="1" si="52"/>
        <v>9.9517101235475705E-2</v>
      </c>
      <c r="AB153" s="1105"/>
    </row>
    <row r="154" spans="1:28">
      <c r="A154" s="1144">
        <f>'AMORT. PROFILE 0% CPR'!A154</f>
        <v>49367</v>
      </c>
      <c r="C154" s="1104"/>
      <c r="D154" s="1125">
        <f t="shared" ca="1" si="38"/>
        <v>50405</v>
      </c>
      <c r="E154" s="1126">
        <f t="shared" ca="1" si="39"/>
        <v>50432</v>
      </c>
      <c r="F154" s="1127">
        <f t="shared" ca="1" si="40"/>
        <v>4383</v>
      </c>
      <c r="G154" s="1128">
        <f ca="1">IF(F154&lt;&gt;"",COUNTIF($F$11:F154,"&gt;0"),"")</f>
        <v>144</v>
      </c>
      <c r="H154" s="1129">
        <v>1.3521071130576162E-2</v>
      </c>
      <c r="I154" s="1073"/>
      <c r="J154" s="1130">
        <f t="shared" ca="1" si="41"/>
        <v>1132569458.977387</v>
      </c>
      <c r="K154" s="1131">
        <f t="shared" ca="1" si="42"/>
        <v>15313552.215151409</v>
      </c>
      <c r="L154" s="1130">
        <f t="shared" ca="1" si="43"/>
        <v>7736307.3921493404</v>
      </c>
      <c r="M154" s="1130">
        <f t="shared" ca="1" si="44"/>
        <v>0</v>
      </c>
      <c r="N154" s="1130">
        <f t="shared" ca="1" si="53"/>
        <v>1109519599.3700862</v>
      </c>
      <c r="O154" s="1073"/>
      <c r="P154" s="1130">
        <f t="shared" ca="1" si="45"/>
        <v>23049859.607300758</v>
      </c>
      <c r="Q154" s="1130">
        <f t="shared" ca="1" si="46"/>
        <v>1054043619.4015819</v>
      </c>
      <c r="R154" s="1130">
        <f t="shared" ca="1" si="54"/>
        <v>1075940986.0285175</v>
      </c>
      <c r="S154" s="1130">
        <f t="shared" ca="1" si="55"/>
        <v>21897366.626935601</v>
      </c>
      <c r="T154" s="1130">
        <f t="shared" ca="1" si="47"/>
        <v>1054043619.4015819</v>
      </c>
      <c r="U154" s="1132">
        <f t="shared" ca="1" si="48"/>
        <v>9.1125837288139222E-2</v>
      </c>
      <c r="V154" s="1133">
        <f t="shared" ca="1" si="49"/>
        <v>5.0000000000000044E-2</v>
      </c>
      <c r="X154" s="1134">
        <f t="shared" ca="1" si="56"/>
        <v>56628472.948869348</v>
      </c>
      <c r="Y154" s="1134">
        <f t="shared" ca="1" si="50"/>
        <v>1152492.9803651571</v>
      </c>
      <c r="Z154" s="1134">
        <f t="shared" ca="1" si="51"/>
        <v>55475979.96850419</v>
      </c>
      <c r="AA154" s="1132">
        <f t="shared" ca="1" si="52"/>
        <v>9.7500814305904529E-2</v>
      </c>
      <c r="AB154" s="1105"/>
    </row>
    <row r="155" spans="1:28">
      <c r="A155" s="1144">
        <f>'AMORT. PROFILE 0% CPR'!A155</f>
        <v>49395</v>
      </c>
      <c r="C155" s="1104"/>
      <c r="D155" s="1125">
        <f t="shared" ca="1" si="38"/>
        <v>50436</v>
      </c>
      <c r="E155" s="1126">
        <f t="shared" ca="1" si="39"/>
        <v>50462</v>
      </c>
      <c r="F155" s="1127">
        <f t="shared" ca="1" si="40"/>
        <v>4413</v>
      </c>
      <c r="G155" s="1128">
        <f ca="1">IF(F155&lt;&gt;"",COUNTIF($F$11:F155,"&gt;0"),"")</f>
        <v>145</v>
      </c>
      <c r="H155" s="1129">
        <v>1.3633895063393728E-2</v>
      </c>
      <c r="I155" s="1073"/>
      <c r="J155" s="1130">
        <f t="shared" ca="1" si="41"/>
        <v>1109519599.3700862</v>
      </c>
      <c r="K155" s="1131">
        <f t="shared" ca="1" si="42"/>
        <v>15127073.788590405</v>
      </c>
      <c r="L155" s="1130">
        <f t="shared" ca="1" si="43"/>
        <v>7577992.5926772365</v>
      </c>
      <c r="M155" s="1130">
        <f t="shared" ca="1" si="44"/>
        <v>0</v>
      </c>
      <c r="N155" s="1130">
        <f t="shared" ca="1" si="53"/>
        <v>1086814532.9888184</v>
      </c>
      <c r="O155" s="1073"/>
      <c r="P155" s="1130">
        <f t="shared" ca="1" si="45"/>
        <v>22705066.381267786</v>
      </c>
      <c r="Q155" s="1130">
        <f t="shared" ca="1" si="46"/>
        <v>1032473806.3393774</v>
      </c>
      <c r="R155" s="1130">
        <f t="shared" ca="1" si="54"/>
        <v>1054043619.4015819</v>
      </c>
      <c r="S155" s="1130">
        <f t="shared" ca="1" si="55"/>
        <v>21569813.06220448</v>
      </c>
      <c r="T155" s="1130">
        <f t="shared" ca="1" si="47"/>
        <v>1032473806.3393774</v>
      </c>
      <c r="U155" s="1132">
        <f t="shared" ca="1" si="48"/>
        <v>8.9271259858525465E-2</v>
      </c>
      <c r="V155" s="1133">
        <f t="shared" ca="1" si="49"/>
        <v>5.0000000000000044E-2</v>
      </c>
      <c r="X155" s="1134">
        <f t="shared" ca="1" si="56"/>
        <v>55475979.96850419</v>
      </c>
      <c r="Y155" s="1134">
        <f t="shared" ca="1" si="50"/>
        <v>1135253.3190633059</v>
      </c>
      <c r="Z155" s="1134">
        <f t="shared" ca="1" si="51"/>
        <v>54340726.649440885</v>
      </c>
      <c r="AA155" s="1132">
        <f t="shared" ca="1" si="52"/>
        <v>9.5516494436129806E-2</v>
      </c>
      <c r="AB155" s="1105"/>
    </row>
    <row r="156" spans="1:28">
      <c r="A156" s="1144">
        <f>'AMORT. PROFILE 0% CPR'!A156</f>
        <v>49426</v>
      </c>
      <c r="C156" s="1104"/>
      <c r="D156" s="1125">
        <f t="shared" ca="1" si="38"/>
        <v>50464</v>
      </c>
      <c r="E156" s="1126">
        <f t="shared" ca="1" si="39"/>
        <v>50493</v>
      </c>
      <c r="F156" s="1127">
        <f t="shared" ca="1" si="40"/>
        <v>4444</v>
      </c>
      <c r="G156" s="1128">
        <f ca="1">IF(F156&lt;&gt;"",COUNTIF($F$11:F156,"&gt;0"),"")</f>
        <v>146</v>
      </c>
      <c r="H156" s="1129">
        <v>1.374583120308915E-2</v>
      </c>
      <c r="I156" s="1073"/>
      <c r="J156" s="1130">
        <f t="shared" ca="1" si="41"/>
        <v>1086814532.9888184</v>
      </c>
      <c r="K156" s="1131">
        <f t="shared" ca="1" si="42"/>
        <v>14939169.119528461</v>
      </c>
      <c r="L156" s="1130">
        <f t="shared" ca="1" si="43"/>
        <v>7422075.1492786305</v>
      </c>
      <c r="M156" s="1130">
        <f t="shared" ca="1" si="44"/>
        <v>0</v>
      </c>
      <c r="N156" s="1130">
        <f t="shared" ca="1" si="53"/>
        <v>1064453288.7200114</v>
      </c>
      <c r="O156" s="1073"/>
      <c r="P156" s="1130">
        <f t="shared" ca="1" si="45"/>
        <v>22361244.268806815</v>
      </c>
      <c r="Q156" s="1130">
        <f t="shared" ca="1" si="46"/>
        <v>1011230624.2840108</v>
      </c>
      <c r="R156" s="1130">
        <f t="shared" ca="1" si="54"/>
        <v>1032473806.3393774</v>
      </c>
      <c r="S156" s="1130">
        <f t="shared" ca="1" si="55"/>
        <v>21243182.055366635</v>
      </c>
      <c r="T156" s="1130">
        <f t="shared" ca="1" si="47"/>
        <v>1011230624.2840108</v>
      </c>
      <c r="U156" s="1132">
        <f t="shared" ca="1" si="48"/>
        <v>8.7444424278353666E-2</v>
      </c>
      <c r="V156" s="1133">
        <f t="shared" ca="1" si="49"/>
        <v>5.0000000000000044E-2</v>
      </c>
      <c r="X156" s="1134">
        <f t="shared" ca="1" si="56"/>
        <v>54340726.649440885</v>
      </c>
      <c r="Y156" s="1134">
        <f t="shared" ca="1" si="50"/>
        <v>1118062.2134401798</v>
      </c>
      <c r="Z156" s="1134">
        <f t="shared" ca="1" si="51"/>
        <v>53222664.436000705</v>
      </c>
      <c r="AA156" s="1132">
        <f t="shared" ca="1" si="52"/>
        <v>9.3561857178789398E-2</v>
      </c>
      <c r="AB156" s="1105"/>
    </row>
    <row r="157" spans="1:28">
      <c r="A157" s="1144">
        <f>'AMORT. PROFILE 0% CPR'!A157</f>
        <v>49457</v>
      </c>
      <c r="C157" s="1104"/>
      <c r="D157" s="1125">
        <f t="shared" ca="1" si="38"/>
        <v>50495</v>
      </c>
      <c r="E157" s="1126">
        <f t="shared" ca="1" si="39"/>
        <v>50522</v>
      </c>
      <c r="F157" s="1127">
        <f t="shared" ca="1" si="40"/>
        <v>4473</v>
      </c>
      <c r="G157" s="1128">
        <f ca="1">IF(F157&lt;&gt;"",COUNTIF($F$11:F157,"&gt;0"),"")</f>
        <v>147</v>
      </c>
      <c r="H157" s="1129">
        <v>1.3860294491654501E-2</v>
      </c>
      <c r="I157" s="1073"/>
      <c r="J157" s="1130">
        <f t="shared" ca="1" si="41"/>
        <v>1064453288.7200114</v>
      </c>
      <c r="K157" s="1131">
        <f t="shared" ca="1" si="42"/>
        <v>14753636.054269491</v>
      </c>
      <c r="L157" s="1130">
        <f t="shared" ca="1" si="43"/>
        <v>7268522.0398505973</v>
      </c>
      <c r="M157" s="1130">
        <f t="shared" ca="1" si="44"/>
        <v>0</v>
      </c>
      <c r="N157" s="1130">
        <f t="shared" ca="1" si="53"/>
        <v>1042431130.6258913</v>
      </c>
      <c r="O157" s="1073"/>
      <c r="P157" s="1130">
        <f t="shared" ca="1" si="45"/>
        <v>22022158.094120145</v>
      </c>
      <c r="Q157" s="1130">
        <f t="shared" ca="1" si="46"/>
        <v>990309574.09459674</v>
      </c>
      <c r="R157" s="1130">
        <f t="shared" ca="1" si="54"/>
        <v>1011230624.2840108</v>
      </c>
      <c r="S157" s="1130">
        <f t="shared" ca="1" si="55"/>
        <v>20921050.189414024</v>
      </c>
      <c r="T157" s="1130">
        <f t="shared" ca="1" si="47"/>
        <v>990309574.09459674</v>
      </c>
      <c r="U157" s="1132">
        <f t="shared" ca="1" si="48"/>
        <v>8.5645252412427222E-2</v>
      </c>
      <c r="V157" s="1133">
        <f t="shared" ca="1" si="49"/>
        <v>5.0000000000000044E-2</v>
      </c>
      <c r="X157" s="1134">
        <f t="shared" ca="1" si="56"/>
        <v>53222664.436000705</v>
      </c>
      <c r="Y157" s="1134">
        <f t="shared" ca="1" si="50"/>
        <v>1101107.9047061205</v>
      </c>
      <c r="Z157" s="1134">
        <f t="shared" ca="1" si="51"/>
        <v>52121556.531294584</v>
      </c>
      <c r="AA157" s="1132">
        <f t="shared" ca="1" si="52"/>
        <v>9.1636818932508107E-2</v>
      </c>
      <c r="AB157" s="1105"/>
    </row>
    <row r="158" spans="1:28">
      <c r="A158" s="1144">
        <f>'AMORT. PROFILE 0% CPR'!A158</f>
        <v>49487</v>
      </c>
      <c r="C158" s="1104"/>
      <c r="D158" s="1125">
        <f t="shared" ca="1" si="38"/>
        <v>50525</v>
      </c>
      <c r="E158" s="1126">
        <f t="shared" ca="1" si="39"/>
        <v>50552</v>
      </c>
      <c r="F158" s="1127">
        <f t="shared" ca="1" si="40"/>
        <v>4503</v>
      </c>
      <c r="G158" s="1128">
        <f ca="1">IF(F158&lt;&gt;"",COUNTIF($F$11:F158,"&gt;0"),"")</f>
        <v>148</v>
      </c>
      <c r="H158" s="1129">
        <v>1.3972418818144639E-2</v>
      </c>
      <c r="I158" s="1073"/>
      <c r="J158" s="1130">
        <f t="shared" ca="1" si="41"/>
        <v>1042431130.6258913</v>
      </c>
      <c r="K158" s="1131">
        <f t="shared" ca="1" si="42"/>
        <v>14565284.346176997</v>
      </c>
      <c r="L158" s="1130">
        <f t="shared" ca="1" si="43"/>
        <v>7117336.4102015356</v>
      </c>
      <c r="M158" s="1130">
        <f t="shared" ca="1" si="44"/>
        <v>0</v>
      </c>
      <c r="N158" s="1130">
        <f t="shared" ca="1" si="53"/>
        <v>1020748509.8695128</v>
      </c>
      <c r="O158" s="1073"/>
      <c r="P158" s="1130">
        <f t="shared" ca="1" si="45"/>
        <v>21682620.756378531</v>
      </c>
      <c r="Q158" s="1130">
        <f t="shared" ca="1" si="46"/>
        <v>969711084.37603712</v>
      </c>
      <c r="R158" s="1130">
        <f t="shared" ca="1" si="54"/>
        <v>990309574.09459674</v>
      </c>
      <c r="S158" s="1130">
        <f t="shared" ca="1" si="55"/>
        <v>20598489.718559623</v>
      </c>
      <c r="T158" s="1130">
        <f t="shared" ca="1" si="47"/>
        <v>969711084.37603712</v>
      </c>
      <c r="U158" s="1132">
        <f t="shared" ca="1" si="48"/>
        <v>8.3873363210125743E-2</v>
      </c>
      <c r="V158" s="1133">
        <f t="shared" ca="1" si="49"/>
        <v>5.0000000000000044E-2</v>
      </c>
      <c r="X158" s="1134">
        <f t="shared" ca="1" si="56"/>
        <v>52121556.531294584</v>
      </c>
      <c r="Y158" s="1134">
        <f t="shared" ca="1" si="50"/>
        <v>1084131.0378189087</v>
      </c>
      <c r="Z158" s="1134">
        <f t="shared" ca="1" si="51"/>
        <v>51037425.493475676</v>
      </c>
      <c r="AA158" s="1132">
        <f t="shared" ca="1" si="52"/>
        <v>8.9740971989143561E-2</v>
      </c>
      <c r="AB158" s="1105"/>
    </row>
    <row r="159" spans="1:28">
      <c r="A159" s="1144">
        <f>'AMORT. PROFILE 0% CPR'!A159</f>
        <v>49517</v>
      </c>
      <c r="C159" s="1104"/>
      <c r="D159" s="1125">
        <f t="shared" ca="1" si="38"/>
        <v>50556</v>
      </c>
      <c r="E159" s="1126">
        <f t="shared" ca="1" si="39"/>
        <v>50584</v>
      </c>
      <c r="F159" s="1127">
        <f t="shared" ca="1" si="40"/>
        <v>4535</v>
      </c>
      <c r="G159" s="1128">
        <f ca="1">IF(F159&lt;&gt;"",COUNTIF($F$11:F159,"&gt;0"),"")</f>
        <v>149</v>
      </c>
      <c r="H159" s="1129">
        <v>1.408602523770945E-2</v>
      </c>
      <c r="I159" s="1073"/>
      <c r="J159" s="1130">
        <f t="shared" ca="1" si="41"/>
        <v>1020748509.8695128</v>
      </c>
      <c r="K159" s="1131">
        <f t="shared" ca="1" si="42"/>
        <v>14378289.271376271</v>
      </c>
      <c r="L159" s="1130">
        <f t="shared" ca="1" si="43"/>
        <v>6968492.4731475906</v>
      </c>
      <c r="M159" s="1130">
        <f t="shared" ca="1" si="44"/>
        <v>0</v>
      </c>
      <c r="N159" s="1130">
        <f t="shared" ca="1" si="53"/>
        <v>999401728.12498891</v>
      </c>
      <c r="O159" s="1073"/>
      <c r="P159" s="1130">
        <f t="shared" ca="1" si="45"/>
        <v>21346781.744523883</v>
      </c>
      <c r="Q159" s="1130">
        <f t="shared" ca="1" si="46"/>
        <v>949431641.71873939</v>
      </c>
      <c r="R159" s="1130">
        <f t="shared" ca="1" si="54"/>
        <v>969711084.37603712</v>
      </c>
      <c r="S159" s="1130">
        <f t="shared" ca="1" si="55"/>
        <v>20279442.65729773</v>
      </c>
      <c r="T159" s="1130">
        <f t="shared" ca="1" si="47"/>
        <v>949431641.71873939</v>
      </c>
      <c r="U159" s="1132">
        <f t="shared" ca="1" si="48"/>
        <v>8.2128792971749201E-2</v>
      </c>
      <c r="V159" s="1133">
        <f t="shared" ca="1" si="49"/>
        <v>5.0000000000000044E-2</v>
      </c>
      <c r="X159" s="1134">
        <f t="shared" ca="1" si="56"/>
        <v>51037425.493475676</v>
      </c>
      <c r="Y159" s="1134">
        <f t="shared" ca="1" si="50"/>
        <v>1067339.0872261524</v>
      </c>
      <c r="Z159" s="1134">
        <f t="shared" ca="1" si="51"/>
        <v>49970086.406249523</v>
      </c>
      <c r="AA159" s="1132">
        <f t="shared" ca="1" si="52"/>
        <v>8.7874355188491182E-2</v>
      </c>
      <c r="AB159" s="1105"/>
    </row>
    <row r="160" spans="1:28">
      <c r="A160" s="1144">
        <f>'AMORT. PROFILE 0% CPR'!A160</f>
        <v>49548</v>
      </c>
      <c r="C160" s="1104"/>
      <c r="D160" s="1125">
        <f t="shared" ca="1" si="38"/>
        <v>50586</v>
      </c>
      <c r="E160" s="1126">
        <f t="shared" ca="1" si="39"/>
        <v>50613</v>
      </c>
      <c r="F160" s="1127">
        <f t="shared" ca="1" si="40"/>
        <v>4564</v>
      </c>
      <c r="G160" s="1128">
        <f ca="1">IF(F160&lt;&gt;"",COUNTIF($F$11:F160,"&gt;0"),"")</f>
        <v>150</v>
      </c>
      <c r="H160" s="1129">
        <v>1.4212850209998613E-2</v>
      </c>
      <c r="I160" s="1073"/>
      <c r="J160" s="1130">
        <f t="shared" ca="1" si="41"/>
        <v>999401728.12498891</v>
      </c>
      <c r="K160" s="1131">
        <f t="shared" ca="1" si="42"/>
        <v>14204347.061454225</v>
      </c>
      <c r="L160" s="1130">
        <f t="shared" ca="1" si="43"/>
        <v>6821883.6308824234</v>
      </c>
      <c r="M160" s="1130">
        <f t="shared" ca="1" si="44"/>
        <v>0</v>
      </c>
      <c r="N160" s="1130">
        <f t="shared" ca="1" si="53"/>
        <v>978375497.43265235</v>
      </c>
      <c r="O160" s="1073"/>
      <c r="P160" s="1130">
        <f t="shared" ca="1" si="45"/>
        <v>21026230.692336559</v>
      </c>
      <c r="Q160" s="1130">
        <f t="shared" ca="1" si="46"/>
        <v>929456722.56101966</v>
      </c>
      <c r="R160" s="1130">
        <f t="shared" ca="1" si="54"/>
        <v>949431641.71873939</v>
      </c>
      <c r="S160" s="1130">
        <f t="shared" ca="1" si="55"/>
        <v>19974919.157719731</v>
      </c>
      <c r="T160" s="1130">
        <f t="shared" ca="1" si="47"/>
        <v>929456722.56101966</v>
      </c>
      <c r="U160" s="1132">
        <f t="shared" ca="1" si="48"/>
        <v>8.0411244132287021E-2</v>
      </c>
      <c r="V160" s="1133">
        <f t="shared" ca="1" si="49"/>
        <v>5.0000000000000044E-2</v>
      </c>
      <c r="X160" s="1134">
        <f t="shared" ca="1" si="56"/>
        <v>49970086.406249523</v>
      </c>
      <c r="Y160" s="1134">
        <f t="shared" ca="1" si="50"/>
        <v>1051311.534616828</v>
      </c>
      <c r="Z160" s="1134">
        <f t="shared" ca="1" si="51"/>
        <v>48918774.871632695</v>
      </c>
      <c r="AA160" s="1132">
        <f t="shared" ca="1" si="52"/>
        <v>8.6036650148501245E-2</v>
      </c>
      <c r="AB160" s="1105"/>
    </row>
    <row r="161" spans="1:28">
      <c r="A161" s="1144">
        <f>'AMORT. PROFILE 0% CPR'!A161</f>
        <v>49579</v>
      </c>
      <c r="C161" s="1104"/>
      <c r="D161" s="1125">
        <f t="shared" ca="1" si="38"/>
        <v>50617</v>
      </c>
      <c r="E161" s="1126">
        <f t="shared" ca="1" si="39"/>
        <v>50644</v>
      </c>
      <c r="F161" s="1127">
        <f t="shared" ca="1" si="40"/>
        <v>4595</v>
      </c>
      <c r="G161" s="1128">
        <f ca="1">IF(F161&lt;&gt;"",COUNTIF($F$11:F161,"&gt;0"),"")</f>
        <v>151</v>
      </c>
      <c r="H161" s="1129">
        <v>1.4318366202048219E-2</v>
      </c>
      <c r="I161" s="1073"/>
      <c r="J161" s="1130">
        <f t="shared" ca="1" si="41"/>
        <v>978375497.43265235</v>
      </c>
      <c r="K161" s="1131">
        <f t="shared" ca="1" si="42"/>
        <v>14008738.655351805</v>
      </c>
      <c r="L161" s="1130">
        <f t="shared" ca="1" si="43"/>
        <v>6677644.4317869563</v>
      </c>
      <c r="M161" s="1130">
        <f t="shared" ca="1" si="44"/>
        <v>0</v>
      </c>
      <c r="N161" s="1130">
        <f t="shared" ca="1" si="53"/>
        <v>957689114.34551358</v>
      </c>
      <c r="O161" s="1073"/>
      <c r="P161" s="1130">
        <f t="shared" ca="1" si="45"/>
        <v>20686383.087138772</v>
      </c>
      <c r="Q161" s="1130">
        <f t="shared" ca="1" si="46"/>
        <v>909804658.62823784</v>
      </c>
      <c r="R161" s="1130">
        <f t="shared" ca="1" si="54"/>
        <v>929456722.56101966</v>
      </c>
      <c r="S161" s="1130">
        <f t="shared" ca="1" si="55"/>
        <v>19652063.932781816</v>
      </c>
      <c r="T161" s="1130">
        <f t="shared" ca="1" si="47"/>
        <v>909804658.62823784</v>
      </c>
      <c r="U161" s="1132">
        <f t="shared" ca="1" si="48"/>
        <v>7.8719486631971994E-2</v>
      </c>
      <c r="V161" s="1133">
        <f t="shared" ca="1" si="49"/>
        <v>5.0000000000000044E-2</v>
      </c>
      <c r="X161" s="1134">
        <f t="shared" ca="1" si="56"/>
        <v>48918774.871632695</v>
      </c>
      <c r="Y161" s="1134">
        <f t="shared" ca="1" si="50"/>
        <v>1034319.1543569565</v>
      </c>
      <c r="Z161" s="1134">
        <f t="shared" ca="1" si="51"/>
        <v>47884455.717275739</v>
      </c>
      <c r="AA161" s="1132">
        <f t="shared" ca="1" si="52"/>
        <v>8.4226540756943344E-2</v>
      </c>
      <c r="AB161" s="1105"/>
    </row>
    <row r="162" spans="1:28">
      <c r="A162" s="1144">
        <f>'AMORT. PROFILE 0% CPR'!A162</f>
        <v>49611</v>
      </c>
      <c r="C162" s="1104"/>
      <c r="D162" s="1125">
        <f t="shared" ca="1" si="38"/>
        <v>50648</v>
      </c>
      <c r="E162" s="1126">
        <f t="shared" ca="1" si="39"/>
        <v>50675</v>
      </c>
      <c r="F162" s="1127">
        <f t="shared" ca="1" si="40"/>
        <v>4626</v>
      </c>
      <c r="G162" s="1128">
        <f ca="1">IF(F162&lt;&gt;"",COUNTIF($F$11:F162,"&gt;0"),"")</f>
        <v>152</v>
      </c>
      <c r="H162" s="1129">
        <v>1.441117846125589E-2</v>
      </c>
      <c r="I162" s="1073"/>
      <c r="J162" s="1130">
        <f t="shared" ca="1" si="41"/>
        <v>957689114.34551358</v>
      </c>
      <c r="K162" s="1131">
        <f t="shared" ca="1" si="42"/>
        <v>13801428.737235295</v>
      </c>
      <c r="L162" s="1130">
        <f t="shared" ca="1" si="43"/>
        <v>6535839.4932917058</v>
      </c>
      <c r="M162" s="1130">
        <f t="shared" ca="1" si="44"/>
        <v>0</v>
      </c>
      <c r="N162" s="1130">
        <f t="shared" ca="1" si="53"/>
        <v>937351846.11498654</v>
      </c>
      <c r="O162" s="1073"/>
      <c r="P162" s="1130">
        <f t="shared" ca="1" si="45"/>
        <v>20337268.230527043</v>
      </c>
      <c r="Q162" s="1130">
        <f t="shared" ca="1" si="46"/>
        <v>890484253.80923712</v>
      </c>
      <c r="R162" s="1130">
        <f t="shared" ca="1" si="54"/>
        <v>909804658.62823784</v>
      </c>
      <c r="S162" s="1130">
        <f t="shared" ca="1" si="55"/>
        <v>19320404.819000721</v>
      </c>
      <c r="T162" s="1130">
        <f t="shared" ca="1" si="47"/>
        <v>890484253.80923712</v>
      </c>
      <c r="U162" s="1132">
        <f t="shared" ca="1" si="48"/>
        <v>7.7055073059509274E-2</v>
      </c>
      <c r="V162" s="1133">
        <f t="shared" ca="1" si="49"/>
        <v>5.0000000000000044E-2</v>
      </c>
      <c r="X162" s="1134">
        <f t="shared" ca="1" si="56"/>
        <v>47884455.717275739</v>
      </c>
      <c r="Y162" s="1134">
        <f t="shared" ca="1" si="50"/>
        <v>1016863.4115263224</v>
      </c>
      <c r="Z162" s="1134">
        <f t="shared" ca="1" si="51"/>
        <v>46867592.305749416</v>
      </c>
      <c r="AA162" s="1132">
        <f t="shared" ca="1" si="52"/>
        <v>8.244568821844997E-2</v>
      </c>
      <c r="AB162" s="1105"/>
    </row>
    <row r="163" spans="1:28">
      <c r="A163" s="1144">
        <f>'AMORT. PROFILE 0% CPR'!A163</f>
        <v>49640</v>
      </c>
      <c r="C163" s="1104"/>
      <c r="D163" s="1125">
        <f t="shared" ca="1" si="38"/>
        <v>50678</v>
      </c>
      <c r="E163" s="1126">
        <f t="shared" ca="1" si="39"/>
        <v>50705</v>
      </c>
      <c r="F163" s="1127">
        <f t="shared" ca="1" si="40"/>
        <v>4656</v>
      </c>
      <c r="G163" s="1128">
        <f ca="1">IF(F163&lt;&gt;"",COUNTIF($F$11:F163,"&gt;0"),"")</f>
        <v>153</v>
      </c>
      <c r="H163" s="1129">
        <v>1.4529656567135439E-2</v>
      </c>
      <c r="I163" s="1073"/>
      <c r="J163" s="1130">
        <f t="shared" ca="1" si="41"/>
        <v>937351846.11498654</v>
      </c>
      <c r="K163" s="1131">
        <f t="shared" ca="1" si="42"/>
        <v>13619400.406621141</v>
      </c>
      <c r="L163" s="1130">
        <f t="shared" ca="1" si="43"/>
        <v>6396276.9002595423</v>
      </c>
      <c r="M163" s="1130">
        <f t="shared" ca="1" si="44"/>
        <v>0</v>
      </c>
      <c r="N163" s="1130">
        <f t="shared" ca="1" si="53"/>
        <v>917336168.80810595</v>
      </c>
      <c r="O163" s="1073"/>
      <c r="P163" s="1130">
        <f t="shared" ca="1" si="45"/>
        <v>20015677.306880593</v>
      </c>
      <c r="Q163" s="1130">
        <f t="shared" ca="1" si="46"/>
        <v>871469360.36770058</v>
      </c>
      <c r="R163" s="1130">
        <f t="shared" ca="1" si="54"/>
        <v>890484253.80923712</v>
      </c>
      <c r="S163" s="1130">
        <f t="shared" ca="1" si="55"/>
        <v>19014893.441536546</v>
      </c>
      <c r="T163" s="1130">
        <f t="shared" ca="1" si="47"/>
        <v>871469360.36770058</v>
      </c>
      <c r="U163" s="1132">
        <f t="shared" ca="1" si="48"/>
        <v>7.5418749052208578E-2</v>
      </c>
      <c r="V163" s="1133">
        <f t="shared" ca="1" si="49"/>
        <v>5.0000000000000044E-2</v>
      </c>
      <c r="X163" s="1134">
        <f t="shared" ca="1" si="56"/>
        <v>46867592.305749416</v>
      </c>
      <c r="Y163" s="1134">
        <f t="shared" ca="1" si="50"/>
        <v>1000783.8653440475</v>
      </c>
      <c r="Z163" s="1134">
        <f t="shared" ca="1" si="51"/>
        <v>45866808.440405369</v>
      </c>
      <c r="AA163" s="1132">
        <f t="shared" ca="1" si="52"/>
        <v>8.0694890333590591E-2</v>
      </c>
      <c r="AB163" s="1105"/>
    </row>
    <row r="164" spans="1:28">
      <c r="A164" s="1144">
        <f>'AMORT. PROFILE 0% CPR'!A164</f>
        <v>49670</v>
      </c>
      <c r="C164" s="1104"/>
      <c r="D164" s="1125">
        <f t="shared" ca="1" si="38"/>
        <v>50709</v>
      </c>
      <c r="E164" s="1126">
        <f t="shared" ca="1" si="39"/>
        <v>50738</v>
      </c>
      <c r="F164" s="1127">
        <f t="shared" ca="1" si="40"/>
        <v>4689</v>
      </c>
      <c r="G164" s="1128">
        <f ca="1">IF(F164&lt;&gt;"",COUNTIF($F$11:F164,"&gt;0"),"")</f>
        <v>154</v>
      </c>
      <c r="H164" s="1129">
        <v>1.4624710398279348E-2</v>
      </c>
      <c r="I164" s="1073"/>
      <c r="J164" s="1130">
        <f t="shared" ca="1" si="41"/>
        <v>917336168.80810595</v>
      </c>
      <c r="K164" s="1131">
        <f t="shared" ca="1" si="42"/>
        <v>13415775.806685647</v>
      </c>
      <c r="L164" s="1130">
        <f t="shared" ca="1" si="43"/>
        <v>6259090.6666646181</v>
      </c>
      <c r="M164" s="1130">
        <f t="shared" ca="1" si="44"/>
        <v>0</v>
      </c>
      <c r="N164" s="1130">
        <f t="shared" ca="1" si="53"/>
        <v>897661302.33475566</v>
      </c>
      <c r="O164" s="1073"/>
      <c r="P164" s="1130">
        <f t="shared" ca="1" si="45"/>
        <v>19674866.473350286</v>
      </c>
      <c r="Q164" s="1130">
        <f t="shared" ca="1" si="46"/>
        <v>852778237.21801782</v>
      </c>
      <c r="R164" s="1130">
        <f t="shared" ca="1" si="54"/>
        <v>871469360.36770058</v>
      </c>
      <c r="S164" s="1130">
        <f t="shared" ca="1" si="55"/>
        <v>18691123.14968276</v>
      </c>
      <c r="T164" s="1130">
        <f t="shared" ca="1" si="47"/>
        <v>852778237.21801782</v>
      </c>
      <c r="U164" s="1132">
        <f t="shared" ca="1" si="48"/>
        <v>7.3808300051468642E-2</v>
      </c>
      <c r="V164" s="1133">
        <f t="shared" ca="1" si="49"/>
        <v>5.0000000000000044E-2</v>
      </c>
      <c r="X164" s="1134">
        <f t="shared" ca="1" si="56"/>
        <v>45866808.440405369</v>
      </c>
      <c r="Y164" s="1134">
        <f t="shared" ca="1" si="50"/>
        <v>983743.32366752625</v>
      </c>
      <c r="Z164" s="1134">
        <f t="shared" ca="1" si="51"/>
        <v>44883065.116737843</v>
      </c>
      <c r="AA164" s="1132">
        <f t="shared" ca="1" si="52"/>
        <v>7.8971777617777836E-2</v>
      </c>
      <c r="AB164" s="1105"/>
    </row>
    <row r="165" spans="1:28">
      <c r="A165" s="1144">
        <f>'AMORT. PROFILE 0% CPR'!A165</f>
        <v>49702</v>
      </c>
      <c r="C165" s="1104"/>
      <c r="D165" s="1125">
        <f t="shared" ca="1" si="38"/>
        <v>50739</v>
      </c>
      <c r="E165" s="1126">
        <f t="shared" ca="1" si="39"/>
        <v>50766</v>
      </c>
      <c r="F165" s="1127">
        <f t="shared" ca="1" si="40"/>
        <v>4717</v>
      </c>
      <c r="G165" s="1128">
        <f ca="1">IF(F165&lt;&gt;"",COUNTIF($F$11:F165,"&gt;0"),"")</f>
        <v>155</v>
      </c>
      <c r="H165" s="1129">
        <v>1.4725494240915864E-2</v>
      </c>
      <c r="I165" s="1073"/>
      <c r="J165" s="1130">
        <f t="shared" ca="1" si="41"/>
        <v>897661302.33475566</v>
      </c>
      <c r="K165" s="1131">
        <f t="shared" ca="1" si="42"/>
        <v>13218506.337823479</v>
      </c>
      <c r="L165" s="1130">
        <f t="shared" ca="1" si="43"/>
        <v>6124220.332325724</v>
      </c>
      <c r="M165" s="1130">
        <f t="shared" ca="1" si="44"/>
        <v>0</v>
      </c>
      <c r="N165" s="1130">
        <f t="shared" ca="1" si="53"/>
        <v>878318575.66460645</v>
      </c>
      <c r="O165" s="1073"/>
      <c r="P165" s="1130">
        <f t="shared" ca="1" si="45"/>
        <v>19342726.670149207</v>
      </c>
      <c r="Q165" s="1130">
        <f t="shared" ca="1" si="46"/>
        <v>834402646.88137615</v>
      </c>
      <c r="R165" s="1130">
        <f t="shared" ca="1" si="54"/>
        <v>852778237.21801782</v>
      </c>
      <c r="S165" s="1130">
        <f t="shared" ca="1" si="55"/>
        <v>18375590.336641669</v>
      </c>
      <c r="T165" s="1130">
        <f t="shared" ca="1" si="47"/>
        <v>834402646.88137615</v>
      </c>
      <c r="U165" s="1132">
        <f t="shared" ca="1" si="48"/>
        <v>7.2225272479336147E-2</v>
      </c>
      <c r="V165" s="1133">
        <f t="shared" ca="1" si="49"/>
        <v>4.9999999999999933E-2</v>
      </c>
      <c r="X165" s="1134">
        <f t="shared" ca="1" si="56"/>
        <v>44883065.116737843</v>
      </c>
      <c r="Y165" s="1134">
        <f t="shared" ca="1" si="50"/>
        <v>967136.33350753784</v>
      </c>
      <c r="Z165" s="1134">
        <f t="shared" ca="1" si="51"/>
        <v>43915928.783230305</v>
      </c>
      <c r="AA165" s="1132">
        <f t="shared" ca="1" si="52"/>
        <v>7.7278004677578935E-2</v>
      </c>
      <c r="AB165" s="1105"/>
    </row>
    <row r="166" spans="1:28">
      <c r="A166" s="1144">
        <f>'AMORT. PROFILE 0% CPR'!A166</f>
        <v>49732</v>
      </c>
      <c r="C166" s="1104"/>
      <c r="D166" s="1125">
        <f t="shared" ca="1" si="38"/>
        <v>50770</v>
      </c>
      <c r="E166" s="1126">
        <f t="shared" ca="1" si="39"/>
        <v>50797</v>
      </c>
      <c r="F166" s="1127">
        <f t="shared" ca="1" si="40"/>
        <v>4748</v>
      </c>
      <c r="G166" s="1128">
        <f ca="1">IF(F166&lt;&gt;"",COUNTIF($F$11:F166,"&gt;0"),"")</f>
        <v>156</v>
      </c>
      <c r="H166" s="1129">
        <v>1.4840873232337378E-2</v>
      </c>
      <c r="I166" s="1073"/>
      <c r="J166" s="1130">
        <f t="shared" ca="1" si="41"/>
        <v>878318575.66460645</v>
      </c>
      <c r="K166" s="1131">
        <f t="shared" ca="1" si="42"/>
        <v>13035014.63904555</v>
      </c>
      <c r="L166" s="1130">
        <f t="shared" ca="1" si="43"/>
        <v>5991554.4585184539</v>
      </c>
      <c r="M166" s="1130">
        <f t="shared" ca="1" si="44"/>
        <v>0</v>
      </c>
      <c r="N166" s="1130">
        <f t="shared" ca="1" si="53"/>
        <v>859292006.56704235</v>
      </c>
      <c r="O166" s="1073"/>
      <c r="P166" s="1130">
        <f t="shared" ca="1" si="45"/>
        <v>19026569.097564101</v>
      </c>
      <c r="Q166" s="1130">
        <f t="shared" ca="1" si="46"/>
        <v>816327406.23869014</v>
      </c>
      <c r="R166" s="1130">
        <f t="shared" ca="1" si="54"/>
        <v>834402646.88137615</v>
      </c>
      <c r="S166" s="1130">
        <f t="shared" ca="1" si="55"/>
        <v>18075240.642686009</v>
      </c>
      <c r="T166" s="1130">
        <f t="shared" ca="1" si="47"/>
        <v>816327406.23869014</v>
      </c>
      <c r="U166" s="1132">
        <f t="shared" ca="1" si="48"/>
        <v>7.0668968670080642E-2</v>
      </c>
      <c r="V166" s="1133">
        <f t="shared" ca="1" si="49"/>
        <v>5.0000000000000155E-2</v>
      </c>
      <c r="X166" s="1134">
        <f t="shared" ca="1" si="56"/>
        <v>43915928.783230305</v>
      </c>
      <c r="Y166" s="1134">
        <f t="shared" ca="1" si="50"/>
        <v>951328.45487809181</v>
      </c>
      <c r="Z166" s="1134">
        <f t="shared" ca="1" si="51"/>
        <v>42964600.328352213</v>
      </c>
      <c r="AA166" s="1132">
        <f t="shared" ca="1" si="52"/>
        <v>7.5612825039997084E-2</v>
      </c>
      <c r="AB166" s="1105"/>
    </row>
    <row r="167" spans="1:28">
      <c r="A167" s="1144">
        <f>'AMORT. PROFILE 0% CPR'!A167</f>
        <v>49761</v>
      </c>
      <c r="C167" s="1104"/>
      <c r="D167" s="1125">
        <f t="shared" ca="1" si="38"/>
        <v>50801</v>
      </c>
      <c r="E167" s="1126">
        <f t="shared" ca="1" si="39"/>
        <v>50829</v>
      </c>
      <c r="F167" s="1127">
        <f t="shared" ca="1" si="40"/>
        <v>4780</v>
      </c>
      <c r="G167" s="1128">
        <f ca="1">IF(F167&lt;&gt;"",COUNTIF($F$11:F167,"&gt;0"),"")</f>
        <v>157</v>
      </c>
      <c r="H167" s="1129">
        <v>1.4954538629712818E-2</v>
      </c>
      <c r="I167" s="1073"/>
      <c r="J167" s="1130">
        <f t="shared" ca="1" si="41"/>
        <v>859292006.56704235</v>
      </c>
      <c r="K167" s="1131">
        <f t="shared" ca="1" si="42"/>
        <v>12850315.506410275</v>
      </c>
      <c r="L167" s="1130">
        <f t="shared" ca="1" si="43"/>
        <v>5861086.1414486244</v>
      </c>
      <c r="M167" s="1130">
        <f t="shared" ca="1" si="44"/>
        <v>0</v>
      </c>
      <c r="N167" s="1130">
        <f t="shared" ca="1" si="53"/>
        <v>840580604.91918349</v>
      </c>
      <c r="O167" s="1073"/>
      <c r="P167" s="1130">
        <f t="shared" ca="1" si="45"/>
        <v>18711401.647858858</v>
      </c>
      <c r="Q167" s="1130">
        <f t="shared" ca="1" si="46"/>
        <v>798551574.67322433</v>
      </c>
      <c r="R167" s="1130">
        <f t="shared" ca="1" si="54"/>
        <v>816327406.23869014</v>
      </c>
      <c r="S167" s="1130">
        <f t="shared" ca="1" si="55"/>
        <v>17775831.565465808</v>
      </c>
      <c r="T167" s="1130">
        <f t="shared" ca="1" si="47"/>
        <v>798551574.67322433</v>
      </c>
      <c r="U167" s="1132">
        <f t="shared" ca="1" si="48"/>
        <v>6.9138102703324253E-2</v>
      </c>
      <c r="V167" s="1133">
        <f t="shared" ca="1" si="49"/>
        <v>4.9999999999999933E-2</v>
      </c>
      <c r="X167" s="1134">
        <f t="shared" ca="1" si="56"/>
        <v>42964600.328352213</v>
      </c>
      <c r="Y167" s="1134">
        <f t="shared" ca="1" si="50"/>
        <v>935570.08239305019</v>
      </c>
      <c r="Z167" s="1134">
        <f t="shared" ca="1" si="51"/>
        <v>42029030.245959163</v>
      </c>
      <c r="AA167" s="1132">
        <f t="shared" ca="1" si="52"/>
        <v>7.3974862824297882E-2</v>
      </c>
      <c r="AB167" s="1105"/>
    </row>
    <row r="168" spans="1:28">
      <c r="A168" s="1144">
        <f>'AMORT. PROFILE 0% CPR'!A168</f>
        <v>49793</v>
      </c>
      <c r="C168" s="1104"/>
      <c r="D168" s="1125">
        <f t="shared" ca="1" si="38"/>
        <v>50829</v>
      </c>
      <c r="E168" s="1126">
        <f t="shared" ca="1" si="39"/>
        <v>50857</v>
      </c>
      <c r="F168" s="1127">
        <f t="shared" ca="1" si="40"/>
        <v>4808</v>
      </c>
      <c r="G168" s="1128">
        <f ca="1">IF(F168&lt;&gt;"",COUNTIF($F$11:F168,"&gt;0"),"")</f>
        <v>158</v>
      </c>
      <c r="H168" s="1129">
        <v>1.504881792198098E-2</v>
      </c>
      <c r="I168" s="1073"/>
      <c r="J168" s="1130">
        <f t="shared" ca="1" si="41"/>
        <v>840580604.91918349</v>
      </c>
      <c r="K168" s="1131">
        <f t="shared" ca="1" si="42"/>
        <v>12649744.472177422</v>
      </c>
      <c r="L168" s="1130">
        <f t="shared" ca="1" si="43"/>
        <v>5732910.0675122393</v>
      </c>
      <c r="M168" s="1130">
        <f t="shared" ca="1" si="44"/>
        <v>0</v>
      </c>
      <c r="N168" s="1130">
        <f t="shared" ca="1" si="53"/>
        <v>822197950.37949383</v>
      </c>
      <c r="O168" s="1073"/>
      <c r="P168" s="1130">
        <f t="shared" ca="1" si="45"/>
        <v>18382654.53968966</v>
      </c>
      <c r="Q168" s="1130">
        <f t="shared" ca="1" si="46"/>
        <v>781088052.86051905</v>
      </c>
      <c r="R168" s="1130">
        <f t="shared" ca="1" si="54"/>
        <v>798551574.67322433</v>
      </c>
      <c r="S168" s="1130">
        <f t="shared" ca="1" si="55"/>
        <v>17463521.812705278</v>
      </c>
      <c r="T168" s="1130">
        <f t="shared" ca="1" si="47"/>
        <v>781088052.86051905</v>
      </c>
      <c r="U168" s="1132">
        <f t="shared" ca="1" si="48"/>
        <v>6.7632594914393274E-2</v>
      </c>
      <c r="V168" s="1133">
        <f t="shared" ca="1" si="49"/>
        <v>5.0000000000000155E-2</v>
      </c>
      <c r="X168" s="1134">
        <f t="shared" ca="1" si="56"/>
        <v>42029030.245959163</v>
      </c>
      <c r="Y168" s="1134">
        <f t="shared" ca="1" si="50"/>
        <v>919132.72698438168</v>
      </c>
      <c r="Z168" s="1134">
        <f t="shared" ca="1" si="51"/>
        <v>41109897.518974781</v>
      </c>
      <c r="AA168" s="1132">
        <f t="shared" ca="1" si="52"/>
        <v>7.2364032792629415E-2</v>
      </c>
      <c r="AB168" s="1105"/>
    </row>
    <row r="169" spans="1:28">
      <c r="A169" s="1144">
        <f>'AMORT. PROFILE 0% CPR'!A169</f>
        <v>49822</v>
      </c>
      <c r="C169" s="1104"/>
      <c r="D169" s="1125">
        <f t="shared" ca="1" si="38"/>
        <v>50860</v>
      </c>
      <c r="E169" s="1126">
        <f t="shared" ca="1" si="39"/>
        <v>50887</v>
      </c>
      <c r="F169" s="1127">
        <f t="shared" ca="1" si="40"/>
        <v>4838</v>
      </c>
      <c r="G169" s="1128">
        <f ca="1">IF(F169&lt;&gt;"",COUNTIF($F$11:F169,"&gt;0"),"")</f>
        <v>159</v>
      </c>
      <c r="H169" s="1129">
        <v>1.5140884402968137E-2</v>
      </c>
      <c r="I169" s="1073"/>
      <c r="J169" s="1130">
        <f t="shared" ca="1" si="41"/>
        <v>822197950.37949383</v>
      </c>
      <c r="K169" s="1131">
        <f t="shared" ca="1" si="42"/>
        <v>12448804.123053249</v>
      </c>
      <c r="L169" s="1130">
        <f t="shared" ca="1" si="43"/>
        <v>5607012.9216183834</v>
      </c>
      <c r="M169" s="1130">
        <f t="shared" ca="1" si="44"/>
        <v>804142133.3348223</v>
      </c>
      <c r="N169" s="1130">
        <f t="shared" ca="1" si="53"/>
        <v>0</v>
      </c>
      <c r="O169" s="1073"/>
      <c r="P169" s="1130">
        <f t="shared" ca="1" si="45"/>
        <v>822197950.37949383</v>
      </c>
      <c r="Q169" s="1130">
        <f t="shared" ca="1" si="46"/>
        <v>0</v>
      </c>
      <c r="R169" s="1130">
        <f t="shared" ca="1" si="54"/>
        <v>781088052.86051905</v>
      </c>
      <c r="S169" s="1130">
        <f t="shared" ca="1" si="55"/>
        <v>781088052.86051905</v>
      </c>
      <c r="T169" s="1130">
        <f t="shared" ca="1" si="47"/>
        <v>0</v>
      </c>
      <c r="U169" s="1132">
        <f t="shared" ca="1" si="48"/>
        <v>6.6153537914198035E-2</v>
      </c>
      <c r="V169" s="1133" t="str">
        <f t="shared" ca="1" si="49"/>
        <v>n.a.</v>
      </c>
      <c r="X169" s="1134">
        <f t="shared" ca="1" si="56"/>
        <v>41109897.518974781</v>
      </c>
      <c r="Y169" s="1134">
        <f t="shared" ca="1" si="50"/>
        <v>41109897.518974781</v>
      </c>
      <c r="Z169" s="1134">
        <f t="shared" ca="1" si="51"/>
        <v>0</v>
      </c>
      <c r="AA169" s="1132">
        <f t="shared" ca="1" si="52"/>
        <v>7.0781503992725175E-2</v>
      </c>
      <c r="AB169" s="1105"/>
    </row>
    <row r="170" spans="1:28">
      <c r="A170" s="1144">
        <f>'AMORT. PROFILE 0% CPR'!A170</f>
        <v>49853</v>
      </c>
      <c r="C170" s="1104"/>
      <c r="D170" s="1125">
        <f t="shared" ca="1" si="38"/>
        <v>50890</v>
      </c>
      <c r="E170" s="1126">
        <f t="shared" ca="1" si="39"/>
        <v>50917</v>
      </c>
      <c r="F170" s="1127">
        <f t="shared" ca="1" si="40"/>
        <v>4868</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50921</v>
      </c>
      <c r="E171" s="1126">
        <f t="shared" ca="1" si="39"/>
        <v>50948</v>
      </c>
      <c r="F171" s="1127">
        <f t="shared" ca="1" si="40"/>
        <v>4899</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50951</v>
      </c>
      <c r="E172" s="1126">
        <f t="shared" ca="1" si="39"/>
        <v>50978</v>
      </c>
      <c r="F172" s="1127">
        <f t="shared" ca="1" si="40"/>
        <v>4929</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50982</v>
      </c>
      <c r="E173" s="1126">
        <f t="shared" ca="1" si="39"/>
        <v>51011</v>
      </c>
      <c r="F173" s="1127">
        <f t="shared" ca="1" si="40"/>
        <v>4962</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51013</v>
      </c>
      <c r="E174" s="1126">
        <f t="shared" ca="1" si="39"/>
        <v>51040</v>
      </c>
      <c r="F174" s="1127">
        <f t="shared" ca="1" si="40"/>
        <v>4991</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51043</v>
      </c>
      <c r="E175" s="1126">
        <f t="shared" ca="1" si="39"/>
        <v>51070</v>
      </c>
      <c r="F175" s="1127">
        <f t="shared" ca="1" si="40"/>
        <v>5021</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51074</v>
      </c>
      <c r="E176" s="1126">
        <f t="shared" ca="1" si="39"/>
        <v>51102</v>
      </c>
      <c r="F176" s="1127">
        <f t="shared" ca="1" si="40"/>
        <v>5053</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51104</v>
      </c>
      <c r="E177" s="1126">
        <f t="shared" ca="1" si="39"/>
        <v>51131</v>
      </c>
      <c r="F177" s="1127">
        <f t="shared" ca="1" si="40"/>
        <v>5082</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51135</v>
      </c>
      <c r="E178" s="1126">
        <f t="shared" ca="1" si="39"/>
        <v>51162</v>
      </c>
      <c r="F178" s="1127">
        <f t="shared" ca="1" si="40"/>
        <v>5113</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51166</v>
      </c>
      <c r="E179" s="1126">
        <f t="shared" ca="1" si="39"/>
        <v>51193</v>
      </c>
      <c r="F179" s="1127">
        <f t="shared" ca="1" si="40"/>
        <v>5144</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51195</v>
      </c>
      <c r="E180" s="1126">
        <f t="shared" ca="1" si="39"/>
        <v>51222</v>
      </c>
      <c r="F180" s="1127">
        <f t="shared" ca="1" si="40"/>
        <v>5173</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51226</v>
      </c>
      <c r="E181" s="1126">
        <f t="shared" ca="1" si="39"/>
        <v>51253</v>
      </c>
      <c r="F181" s="1127">
        <f t="shared" ca="1" si="40"/>
        <v>5204</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51256</v>
      </c>
      <c r="E182" s="1126">
        <f t="shared" ca="1" si="39"/>
        <v>51284</v>
      </c>
      <c r="F182" s="1127">
        <f t="shared" ca="1" si="40"/>
        <v>5235</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51287</v>
      </c>
      <c r="E183" s="1126">
        <f t="shared" ca="1" si="39"/>
        <v>51314</v>
      </c>
      <c r="F183" s="1127">
        <f t="shared" ca="1" si="40"/>
        <v>5265</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51317</v>
      </c>
      <c r="E184" s="1126">
        <f t="shared" ca="1" si="39"/>
        <v>51344</v>
      </c>
      <c r="F184" s="1127">
        <f t="shared" ca="1" si="40"/>
        <v>5295</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51348</v>
      </c>
      <c r="E185" s="1126">
        <f t="shared" ca="1" si="39"/>
        <v>51375</v>
      </c>
      <c r="F185" s="1127">
        <f t="shared" ca="1" si="40"/>
        <v>5326</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51379</v>
      </c>
      <c r="E186" s="1126">
        <f t="shared" ca="1" si="39"/>
        <v>51406</v>
      </c>
      <c r="F186" s="1127">
        <f t="shared" ca="1" si="40"/>
        <v>5357</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51409</v>
      </c>
      <c r="E187" s="1126">
        <f t="shared" ca="1" si="39"/>
        <v>51438</v>
      </c>
      <c r="F187" s="1127">
        <f t="shared" ca="1" si="40"/>
        <v>5389</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51440</v>
      </c>
      <c r="E188" s="1126">
        <f t="shared" ca="1" si="39"/>
        <v>51467</v>
      </c>
      <c r="F188" s="1127">
        <f t="shared" ca="1" si="40"/>
        <v>5418</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51470</v>
      </c>
      <c r="E189" s="1126">
        <f t="shared" ca="1" si="39"/>
        <v>51497</v>
      </c>
      <c r="F189" s="1127">
        <f t="shared" ca="1" si="40"/>
        <v>5448</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51501</v>
      </c>
      <c r="E190" s="1126">
        <f t="shared" ca="1" si="39"/>
        <v>51529</v>
      </c>
      <c r="F190" s="1127">
        <f t="shared" ca="1" si="40"/>
        <v>5480</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51532</v>
      </c>
      <c r="E191" s="1126">
        <f t="shared" ca="1" si="39"/>
        <v>51559</v>
      </c>
      <c r="F191" s="1127">
        <f t="shared" ca="1" si="40"/>
        <v>5510</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51560</v>
      </c>
      <c r="E192" s="1126">
        <f t="shared" ca="1" si="39"/>
        <v>51587</v>
      </c>
      <c r="F192" s="1127">
        <f t="shared" ca="1" si="40"/>
        <v>5538</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51591</v>
      </c>
      <c r="E193" s="1126">
        <f t="shared" ca="1" si="39"/>
        <v>51620</v>
      </c>
      <c r="F193" s="1127">
        <f t="shared" ca="1" si="40"/>
        <v>5571</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51621</v>
      </c>
      <c r="E194" s="1126">
        <f t="shared" ca="1" si="39"/>
        <v>51648</v>
      </c>
      <c r="F194" s="1127">
        <f t="shared" ca="1" si="40"/>
        <v>5599</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51652</v>
      </c>
      <c r="E195" s="1126">
        <f t="shared" ca="1" si="39"/>
        <v>51679</v>
      </c>
      <c r="F195" s="1127">
        <f t="shared" ca="1" si="40"/>
        <v>5630</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51682</v>
      </c>
      <c r="E196" s="1126">
        <f t="shared" ca="1" si="39"/>
        <v>51711</v>
      </c>
      <c r="F196" s="1127">
        <f t="shared" ca="1" si="40"/>
        <v>5662</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51713</v>
      </c>
      <c r="E197" s="1126">
        <f t="shared" ca="1" si="39"/>
        <v>51740</v>
      </c>
      <c r="F197" s="1127">
        <f t="shared" ca="1" si="40"/>
        <v>5691</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51744</v>
      </c>
      <c r="E198" s="1126">
        <f t="shared" ca="1" si="39"/>
        <v>51771</v>
      </c>
      <c r="F198" s="1127">
        <f t="shared" ca="1" si="40"/>
        <v>5722</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51774</v>
      </c>
      <c r="E199" s="1126">
        <f t="shared" ca="1" si="39"/>
        <v>51802</v>
      </c>
      <c r="F199" s="1127">
        <f t="shared" ca="1" si="40"/>
        <v>5753</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51805</v>
      </c>
      <c r="E200" s="1126">
        <f t="shared" ca="1" si="39"/>
        <v>51832</v>
      </c>
      <c r="F200" s="1127">
        <f t="shared" ca="1" si="40"/>
        <v>5783</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51835</v>
      </c>
      <c r="E201" s="1126">
        <f t="shared" ca="1" si="39"/>
        <v>51862</v>
      </c>
      <c r="F201" s="1127">
        <f t="shared" ca="1" si="40"/>
        <v>5813</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51866</v>
      </c>
      <c r="E202" s="1126">
        <f t="shared" ca="1" si="39"/>
        <v>51893</v>
      </c>
      <c r="F202" s="1127">
        <f t="shared" ca="1" si="40"/>
        <v>5844</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51897</v>
      </c>
      <c r="E203" s="1126">
        <f t="shared" ca="1" si="39"/>
        <v>51924</v>
      </c>
      <c r="F203" s="1127">
        <f t="shared" ca="1" si="40"/>
        <v>5875</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51925</v>
      </c>
      <c r="E204" s="1126">
        <f t="shared" ref="E204:E267" ca="1" si="58">IF(INDIRECT("A"&amp;(IFERROR(MATCH(E203,A:A),999)+1))&gt;0,INDIRECT("A"&amp;(IFERROR(MATCH(E203,A:A),999)+1)),"")</f>
        <v>51952</v>
      </c>
      <c r="F204" s="1127">
        <f t="shared" ref="F204:F267" ca="1" si="59">IF(E204&lt;&gt;"",E204-$A$31,"")</f>
        <v>5903</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51956</v>
      </c>
      <c r="E205" s="1126">
        <f t="shared" ca="1" si="58"/>
        <v>51984</v>
      </c>
      <c r="F205" s="1127">
        <f t="shared" ca="1" si="59"/>
        <v>5935</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51986</v>
      </c>
      <c r="E206" s="1126">
        <f t="shared" ca="1" si="58"/>
        <v>52013</v>
      </c>
      <c r="F206" s="1127">
        <f t="shared" ca="1" si="59"/>
        <v>5964</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52017</v>
      </c>
      <c r="E207" s="1126">
        <f t="shared" ca="1" si="58"/>
        <v>52044</v>
      </c>
      <c r="F207" s="1127">
        <f t="shared" ca="1" si="59"/>
        <v>5995</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52047</v>
      </c>
      <c r="E208" s="1126">
        <f t="shared" ca="1" si="58"/>
        <v>52075</v>
      </c>
      <c r="F208" s="1127">
        <f t="shared" ca="1" si="59"/>
        <v>6026</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52078</v>
      </c>
      <c r="E209" s="1126">
        <f t="shared" ca="1" si="58"/>
        <v>52105</v>
      </c>
      <c r="F209" s="1127">
        <f t="shared" ca="1" si="59"/>
        <v>6056</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52109</v>
      </c>
      <c r="E210" s="1126">
        <f t="shared" ca="1" si="58"/>
        <v>52138</v>
      </c>
      <c r="F210" s="1127">
        <f t="shared" ca="1" si="59"/>
        <v>6089</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52139</v>
      </c>
      <c r="E211" s="1126">
        <f t="shared" ca="1" si="58"/>
        <v>52166</v>
      </c>
      <c r="F211" s="1127">
        <f t="shared" ca="1" si="59"/>
        <v>6117</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52170</v>
      </c>
      <c r="E212" s="1126">
        <f t="shared" ca="1" si="58"/>
        <v>52197</v>
      </c>
      <c r="F212" s="1127">
        <f t="shared" ca="1" si="59"/>
        <v>6148</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52200</v>
      </c>
      <c r="E213" s="1126">
        <f t="shared" ca="1" si="58"/>
        <v>52229</v>
      </c>
      <c r="F213" s="1127">
        <f t="shared" ca="1" si="59"/>
        <v>6180</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52231</v>
      </c>
      <c r="E214" s="1126">
        <f t="shared" ca="1" si="58"/>
        <v>52258</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52262</v>
      </c>
      <c r="E215" s="1126">
        <f t="shared" ca="1" si="58"/>
        <v>52289</v>
      </c>
      <c r="F215" s="1127">
        <f t="shared" ca="1" si="59"/>
        <v>6240</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52290</v>
      </c>
      <c r="E216" s="1126">
        <f t="shared" ca="1" si="58"/>
        <v>52317</v>
      </c>
      <c r="F216" s="1127">
        <f t="shared" ca="1" si="59"/>
        <v>6268</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52321</v>
      </c>
      <c r="E217" s="1126">
        <f t="shared" ca="1" si="58"/>
        <v>52348</v>
      </c>
      <c r="F217" s="1127">
        <f t="shared" ca="1" si="59"/>
        <v>6299</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52351</v>
      </c>
      <c r="E218" s="1126">
        <f t="shared" ca="1" si="58"/>
        <v>52378</v>
      </c>
      <c r="F218" s="1127">
        <f t="shared" ca="1" si="59"/>
        <v>6329</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52382</v>
      </c>
      <c r="E219" s="1126">
        <f t="shared" ca="1" si="58"/>
        <v>52411</v>
      </c>
      <c r="F219" s="1127">
        <f t="shared" ca="1" si="59"/>
        <v>6362</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52412</v>
      </c>
      <c r="E220" s="1126">
        <f t="shared" ca="1" si="58"/>
        <v>52439</v>
      </c>
      <c r="F220" s="1127">
        <f t="shared" ca="1" si="59"/>
        <v>6390</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52443</v>
      </c>
      <c r="E221" s="1126">
        <f t="shared" ca="1" si="58"/>
        <v>52470</v>
      </c>
      <c r="F221" s="1127">
        <f t="shared" ca="1" si="59"/>
        <v>6421</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52474</v>
      </c>
      <c r="E222" s="1126">
        <f t="shared" ca="1" si="58"/>
        <v>52502</v>
      </c>
      <c r="F222" s="1127">
        <f t="shared" ca="1" si="59"/>
        <v>6453</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52504</v>
      </c>
      <c r="E223" s="1126">
        <f t="shared" ca="1" si="58"/>
        <v>52531</v>
      </c>
      <c r="F223" s="1127">
        <f t="shared" ca="1" si="59"/>
        <v>6482</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52535</v>
      </c>
      <c r="E224" s="1126">
        <f t="shared" ca="1" si="58"/>
        <v>52562</v>
      </c>
      <c r="F224" s="1127">
        <f t="shared" ca="1" si="59"/>
        <v>6513</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52565</v>
      </c>
      <c r="E225" s="1126">
        <f t="shared" ca="1" si="58"/>
        <v>52593</v>
      </c>
      <c r="F225" s="1127">
        <f t="shared" ca="1" si="59"/>
        <v>6544</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52596</v>
      </c>
      <c r="E226" s="1126">
        <f t="shared" ca="1" si="58"/>
        <v>52623</v>
      </c>
      <c r="F226" s="1127">
        <f t="shared" ca="1" si="59"/>
        <v>6574</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52627</v>
      </c>
      <c r="E227" s="1126">
        <f t="shared" ca="1" si="58"/>
        <v>52656</v>
      </c>
      <c r="F227" s="1127">
        <f t="shared" ca="1" si="59"/>
        <v>6607</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52656</v>
      </c>
      <c r="E228" s="1126">
        <f t="shared" ca="1" si="58"/>
        <v>52684</v>
      </c>
      <c r="F228" s="1127">
        <f t="shared" ca="1" si="59"/>
        <v>6635</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52687</v>
      </c>
      <c r="E229" s="1126">
        <f t="shared" ca="1" si="58"/>
        <v>52714</v>
      </c>
      <c r="F229" s="1127">
        <f t="shared" ca="1" si="59"/>
        <v>6665</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52717</v>
      </c>
      <c r="E230" s="1126">
        <f t="shared" ca="1" si="58"/>
        <v>52744</v>
      </c>
      <c r="F230" s="1127">
        <f t="shared" ca="1" si="59"/>
        <v>6695</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52748</v>
      </c>
      <c r="E231" s="1126">
        <f t="shared" ca="1" si="58"/>
        <v>52775</v>
      </c>
      <c r="F231" s="1127">
        <f t="shared" ca="1" si="59"/>
        <v>6726</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52778</v>
      </c>
      <c r="E232" s="1126">
        <f t="shared" ca="1" si="58"/>
        <v>52805</v>
      </c>
      <c r="F232" s="1127">
        <f t="shared" ca="1" si="59"/>
        <v>6756</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52809</v>
      </c>
      <c r="E233" s="1126">
        <f t="shared" ca="1" si="58"/>
        <v>52838</v>
      </c>
      <c r="F233" s="1127">
        <f t="shared" ca="1" si="59"/>
        <v>6789</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52840</v>
      </c>
      <c r="E234" s="1126">
        <f t="shared" ca="1" si="58"/>
        <v>52867</v>
      </c>
      <c r="F234" s="1127">
        <f t="shared" ca="1" si="59"/>
        <v>6818</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52870</v>
      </c>
      <c r="E235" s="1126">
        <f t="shared" ca="1" si="58"/>
        <v>52897</v>
      </c>
      <c r="F235" s="1127">
        <f t="shared" ca="1" si="59"/>
        <v>6848</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52901</v>
      </c>
      <c r="E236" s="1126">
        <f t="shared" ca="1" si="58"/>
        <v>52929</v>
      </c>
      <c r="F236" s="1127">
        <f t="shared" ca="1" si="59"/>
        <v>6880</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52931</v>
      </c>
      <c r="E237" s="1126">
        <f t="shared" ca="1" si="58"/>
        <v>52958</v>
      </c>
      <c r="F237" s="1127">
        <f t="shared" ca="1" si="59"/>
        <v>6909</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52962</v>
      </c>
      <c r="E238" s="1126">
        <f t="shared" ca="1" si="58"/>
        <v>52989</v>
      </c>
      <c r="F238" s="1127">
        <f t="shared" ca="1" si="59"/>
        <v>6940</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52993</v>
      </c>
      <c r="E239" s="1126">
        <f t="shared" ca="1" si="58"/>
        <v>53020</v>
      </c>
      <c r="F239" s="1127">
        <f t="shared" ca="1" si="59"/>
        <v>6971</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53021</v>
      </c>
      <c r="E240" s="1126">
        <f t="shared" ca="1" si="58"/>
        <v>53048</v>
      </c>
      <c r="F240" s="1127">
        <f t="shared" ca="1" si="59"/>
        <v>6999</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53052</v>
      </c>
      <c r="E241" s="1126">
        <f t="shared" ca="1" si="58"/>
        <v>53079</v>
      </c>
      <c r="F241" s="1127">
        <f t="shared" ca="1" si="59"/>
        <v>7030</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53082</v>
      </c>
      <c r="E242" s="1126">
        <f t="shared" ca="1" si="58"/>
        <v>53111</v>
      </c>
      <c r="F242" s="1127">
        <f t="shared" ca="1" si="59"/>
        <v>7062</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53113</v>
      </c>
      <c r="E243" s="1126">
        <f t="shared" ca="1" si="58"/>
        <v>53140</v>
      </c>
      <c r="F243" s="1127">
        <f t="shared" ca="1" si="59"/>
        <v>7091</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53143</v>
      </c>
      <c r="E244" s="1126">
        <f t="shared" ca="1" si="58"/>
        <v>53170</v>
      </c>
      <c r="F244" s="1127">
        <f t="shared" ca="1" si="59"/>
        <v>7121</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53174</v>
      </c>
      <c r="E245" s="1126">
        <f t="shared" ca="1" si="58"/>
        <v>53202</v>
      </c>
      <c r="F245" s="1127">
        <f t="shared" ca="1" si="59"/>
        <v>7153</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53205</v>
      </c>
      <c r="E246" s="1126">
        <f t="shared" ca="1" si="58"/>
        <v>53232</v>
      </c>
      <c r="F246" s="1127">
        <f t="shared" ca="1" si="59"/>
        <v>7183</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53235</v>
      </c>
      <c r="E247" s="1126">
        <f t="shared" ca="1" si="58"/>
        <v>53262</v>
      </c>
      <c r="F247" s="1127">
        <f t="shared" ca="1" si="59"/>
        <v>7213</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53266</v>
      </c>
      <c r="E248" s="1126">
        <f t="shared" ca="1" si="58"/>
        <v>53293</v>
      </c>
      <c r="F248" s="1127">
        <f t="shared" ca="1" si="59"/>
        <v>7244</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53296</v>
      </c>
      <c r="E249" s="1126">
        <f t="shared" ca="1" si="58"/>
        <v>53323</v>
      </c>
      <c r="F249" s="1127">
        <f t="shared" ca="1" si="59"/>
        <v>7274</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53327</v>
      </c>
      <c r="E250" s="1126">
        <f t="shared" ca="1" si="58"/>
        <v>53356</v>
      </c>
      <c r="F250" s="1127">
        <f t="shared" ca="1" si="59"/>
        <v>7307</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53358</v>
      </c>
      <c r="E251" s="1126">
        <f t="shared" ca="1" si="58"/>
        <v>53385</v>
      </c>
      <c r="F251" s="1127">
        <f t="shared" ca="1" si="59"/>
        <v>7336</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53386</v>
      </c>
      <c r="E252" s="1126">
        <f t="shared" ca="1" si="58"/>
        <v>53413</v>
      </c>
      <c r="F252" s="1127">
        <f t="shared" ca="1" si="59"/>
        <v>7364</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53417</v>
      </c>
      <c r="E253" s="1126">
        <f t="shared" ca="1" si="58"/>
        <v>53444</v>
      </c>
      <c r="F253" s="1127">
        <f t="shared" ca="1" si="59"/>
        <v>7395</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53447</v>
      </c>
      <c r="E254" s="1126">
        <f t="shared" ca="1" si="58"/>
        <v>53475</v>
      </c>
      <c r="F254" s="1127">
        <f t="shared" ca="1" si="59"/>
        <v>7426</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53478</v>
      </c>
      <c r="E255" s="1126">
        <f t="shared" ca="1" si="58"/>
        <v>53505</v>
      </c>
      <c r="F255" s="1127">
        <f t="shared" ca="1" si="59"/>
        <v>7456</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53508</v>
      </c>
      <c r="E256" s="1126">
        <f t="shared" ca="1" si="58"/>
        <v>53535</v>
      </c>
      <c r="F256" s="1127">
        <f t="shared" ca="1" si="59"/>
        <v>7486</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53539</v>
      </c>
      <c r="E257" s="1126">
        <f t="shared" ca="1" si="58"/>
        <v>53566</v>
      </c>
      <c r="F257" s="1127">
        <f t="shared" ca="1" si="59"/>
        <v>7517</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53570</v>
      </c>
      <c r="E258" s="1126">
        <f t="shared" ca="1" si="58"/>
        <v>53597</v>
      </c>
      <c r="F258" s="1127">
        <f t="shared" ca="1" si="59"/>
        <v>7548</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53600</v>
      </c>
      <c r="E259" s="1126">
        <f t="shared" ca="1" si="58"/>
        <v>53629</v>
      </c>
      <c r="F259" s="1127">
        <f t="shared" ca="1" si="59"/>
        <v>7580</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53631</v>
      </c>
      <c r="E260" s="1126">
        <f t="shared" ca="1" si="58"/>
        <v>53658</v>
      </c>
      <c r="F260" s="1127">
        <f t="shared" ca="1" si="59"/>
        <v>7609</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53661</v>
      </c>
      <c r="E261" s="1126">
        <f t="shared" ca="1" si="58"/>
        <v>53688</v>
      </c>
      <c r="F261" s="1127">
        <f t="shared" ca="1" si="59"/>
        <v>7639</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53692</v>
      </c>
      <c r="E262" s="1126">
        <f t="shared" ca="1" si="58"/>
        <v>53720</v>
      </c>
      <c r="F262" s="1127">
        <f t="shared" ca="1" si="59"/>
        <v>7671</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53723</v>
      </c>
      <c r="E263" s="1126">
        <f t="shared" ca="1" si="58"/>
        <v>53750</v>
      </c>
      <c r="F263" s="1127">
        <f t="shared" ca="1" si="59"/>
        <v>7701</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53751</v>
      </c>
      <c r="E264" s="1126">
        <f t="shared" ca="1" si="58"/>
        <v>53778</v>
      </c>
      <c r="F264" s="1127">
        <f t="shared" ca="1" si="59"/>
        <v>7729</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53782</v>
      </c>
      <c r="E265" s="1126">
        <f t="shared" ca="1" si="58"/>
        <v>53811</v>
      </c>
      <c r="F265" s="1127">
        <f t="shared" ca="1" si="59"/>
        <v>7762</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53812</v>
      </c>
      <c r="E266" s="1126">
        <f t="shared" ca="1" si="58"/>
        <v>53839</v>
      </c>
      <c r="F266" s="1127">
        <f t="shared" ca="1" si="59"/>
        <v>7790</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53843</v>
      </c>
      <c r="E267" s="1126">
        <f t="shared" ca="1" si="58"/>
        <v>53870</v>
      </c>
      <c r="F267" s="1127">
        <f t="shared" ca="1" si="59"/>
        <v>7821</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53873</v>
      </c>
      <c r="E268" s="1126">
        <f t="shared" ref="E268:E331" ca="1" si="77">IF(INDIRECT("A"&amp;(IFERROR(MATCH(E267,A:A),999)+1))&gt;0,INDIRECT("A"&amp;(IFERROR(MATCH(E267,A:A),999)+1)),"")</f>
        <v>53902</v>
      </c>
      <c r="F268" s="1127">
        <f t="shared" ref="F268:F331" ca="1" si="78">IF(E268&lt;&gt;"",E268-$A$31,"")</f>
        <v>7853</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53904</v>
      </c>
      <c r="E269" s="1126">
        <f t="shared" ca="1" si="77"/>
        <v>53931</v>
      </c>
      <c r="F269" s="1127">
        <f t="shared" ca="1" si="78"/>
        <v>7882</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53935</v>
      </c>
      <c r="E270" s="1126">
        <f t="shared" ca="1" si="77"/>
        <v>53962</v>
      </c>
      <c r="F270" s="1127">
        <f t="shared" ca="1" si="78"/>
        <v>7913</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53965</v>
      </c>
      <c r="E271" s="1126">
        <f t="shared" ca="1" si="77"/>
        <v>53993</v>
      </c>
      <c r="F271" s="1127">
        <f t="shared" ca="1" si="78"/>
        <v>7944</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53996</v>
      </c>
      <c r="E272" s="1126">
        <f t="shared" ca="1" si="77"/>
        <v>54023</v>
      </c>
      <c r="F272" s="1127">
        <f t="shared" ca="1" si="78"/>
        <v>7974</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54026</v>
      </c>
      <c r="E273" s="1126">
        <f t="shared" ca="1" si="77"/>
        <v>54053</v>
      </c>
      <c r="F273" s="1127">
        <f t="shared" ca="1" si="78"/>
        <v>8004</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54057</v>
      </c>
      <c r="E274" s="1126">
        <f t="shared" ca="1" si="77"/>
        <v>54084</v>
      </c>
      <c r="F274" s="1127">
        <f t="shared" ca="1" si="78"/>
        <v>8035</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54088</v>
      </c>
      <c r="E275" s="1126">
        <f t="shared" ca="1" si="77"/>
        <v>54115</v>
      </c>
      <c r="F275" s="1127">
        <f t="shared" ca="1" si="78"/>
        <v>8066</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54117</v>
      </c>
      <c r="E276" s="1126">
        <f t="shared" ca="1" si="77"/>
        <v>54144</v>
      </c>
      <c r="F276" s="1127">
        <f t="shared" ca="1" si="78"/>
        <v>8095</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54148</v>
      </c>
      <c r="E277" s="1126">
        <f t="shared" ca="1" si="77"/>
        <v>54175</v>
      </c>
      <c r="F277" s="1127">
        <f t="shared" ca="1" si="78"/>
        <v>8126</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54178</v>
      </c>
      <c r="E278" s="1126">
        <f t="shared" ca="1" si="77"/>
        <v>54205</v>
      </c>
      <c r="F278" s="1127">
        <f t="shared" ca="1" si="78"/>
        <v>8156</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54209</v>
      </c>
      <c r="E279" s="1126">
        <f t="shared" ca="1" si="77"/>
        <v>54238</v>
      </c>
      <c r="F279" s="1127">
        <f t="shared" ca="1" si="78"/>
        <v>8189</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54239</v>
      </c>
      <c r="E280" s="1126">
        <f t="shared" ca="1" si="77"/>
        <v>54266</v>
      </c>
      <c r="F280" s="1127">
        <f t="shared" ca="1" si="78"/>
        <v>8217</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54270</v>
      </c>
      <c r="E281" s="1126">
        <f t="shared" ca="1" si="77"/>
        <v>54297</v>
      </c>
      <c r="F281" s="1127">
        <f t="shared" ca="1" si="78"/>
        <v>8248</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54301</v>
      </c>
      <c r="E282" s="1126">
        <f t="shared" ca="1" si="77"/>
        <v>54329</v>
      </c>
      <c r="F282" s="1127">
        <f t="shared" ca="1" si="78"/>
        <v>8280</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54331</v>
      </c>
      <c r="E283" s="1126">
        <f t="shared" ca="1" si="77"/>
        <v>54358</v>
      </c>
      <c r="F283" s="1127">
        <f t="shared" ca="1" si="78"/>
        <v>8309</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54362</v>
      </c>
      <c r="E284" s="1126">
        <f t="shared" ca="1" si="77"/>
        <v>54389</v>
      </c>
      <c r="F284" s="1127">
        <f t="shared" ca="1" si="78"/>
        <v>8340</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54392</v>
      </c>
      <c r="E285" s="1126">
        <f t="shared" ca="1" si="77"/>
        <v>54420</v>
      </c>
      <c r="F285" s="1127">
        <f t="shared" ca="1" si="78"/>
        <v>8371</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54423</v>
      </c>
      <c r="E286" s="1126">
        <f t="shared" ca="1" si="77"/>
        <v>54450</v>
      </c>
      <c r="F286" s="1127">
        <f t="shared" ca="1" si="78"/>
        <v>8401</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54454</v>
      </c>
      <c r="E287" s="1126">
        <f t="shared" ca="1" si="77"/>
        <v>54480</v>
      </c>
      <c r="F287" s="1127">
        <f t="shared" ca="1" si="78"/>
        <v>8431</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54482</v>
      </c>
      <c r="E288" s="1126">
        <f t="shared" ca="1" si="77"/>
        <v>54511</v>
      </c>
      <c r="F288" s="1127">
        <f t="shared" ca="1" si="78"/>
        <v>8462</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54513</v>
      </c>
      <c r="E289" s="1126">
        <f t="shared" ca="1" si="77"/>
        <v>54540</v>
      </c>
      <c r="F289" s="1127">
        <f t="shared" ca="1" si="78"/>
        <v>8491</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54543</v>
      </c>
      <c r="E290" s="1126">
        <f t="shared" ca="1" si="77"/>
        <v>54570</v>
      </c>
      <c r="F290" s="1127">
        <f t="shared" ca="1" si="78"/>
        <v>8521</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54574</v>
      </c>
      <c r="E291" s="1126">
        <f t="shared" ca="1" si="77"/>
        <v>54602</v>
      </c>
      <c r="F291" s="1127">
        <f t="shared" ca="1" si="78"/>
        <v>8553</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54604</v>
      </c>
      <c r="E292" s="1126">
        <f t="shared" ca="1" si="77"/>
        <v>54631</v>
      </c>
      <c r="F292" s="1127">
        <f t="shared" ca="1" si="78"/>
        <v>8582</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54635</v>
      </c>
      <c r="E293" s="1126">
        <f t="shared" ca="1" si="77"/>
        <v>54662</v>
      </c>
      <c r="F293" s="1127">
        <f t="shared" ca="1" si="78"/>
        <v>8613</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54666</v>
      </c>
      <c r="E294" s="1126">
        <f t="shared" ca="1" si="77"/>
        <v>54693</v>
      </c>
      <c r="F294" s="1127">
        <f t="shared" ca="1" si="78"/>
        <v>8644</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54696</v>
      </c>
      <c r="E295" s="1126">
        <f t="shared" ca="1" si="77"/>
        <v>54723</v>
      </c>
      <c r="F295" s="1127">
        <f t="shared" ca="1" si="78"/>
        <v>8674</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54727</v>
      </c>
      <c r="E296" s="1126">
        <f t="shared" ca="1" si="77"/>
        <v>54756</v>
      </c>
      <c r="F296" s="1127">
        <f t="shared" ca="1" si="78"/>
        <v>8707</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54757</v>
      </c>
      <c r="E297" s="1126">
        <f t="shared" ca="1" si="77"/>
        <v>54784</v>
      </c>
      <c r="F297" s="1127">
        <f t="shared" ca="1" si="78"/>
        <v>8735</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54788</v>
      </c>
      <c r="E298" s="1126">
        <f t="shared" ca="1" si="77"/>
        <v>54815</v>
      </c>
      <c r="F298" s="1127">
        <f t="shared" ca="1" si="78"/>
        <v>8766</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54819</v>
      </c>
      <c r="E299" s="1126">
        <f t="shared" ca="1" si="77"/>
        <v>54847</v>
      </c>
      <c r="F299" s="1127">
        <f t="shared" ca="1" si="78"/>
        <v>8798</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54847</v>
      </c>
      <c r="E300" s="1126">
        <f t="shared" ca="1" si="77"/>
        <v>54875</v>
      </c>
      <c r="F300" s="1127">
        <f t="shared" ca="1" si="78"/>
        <v>8826</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54878</v>
      </c>
      <c r="E301" s="1126">
        <f t="shared" ca="1" si="77"/>
        <v>54905</v>
      </c>
      <c r="F301" s="1127">
        <f t="shared" ca="1" si="78"/>
        <v>8856</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54908</v>
      </c>
      <c r="E302" s="1126">
        <f t="shared" ca="1" si="77"/>
        <v>54935</v>
      </c>
      <c r="F302" s="1127">
        <f t="shared" ca="1" si="78"/>
        <v>8886</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54939</v>
      </c>
      <c r="E303" s="1126">
        <f t="shared" ca="1" si="77"/>
        <v>54966</v>
      </c>
      <c r="F303" s="1127">
        <f t="shared" ca="1" si="78"/>
        <v>8917</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54969</v>
      </c>
      <c r="E304" s="1126">
        <f t="shared" ca="1" si="77"/>
        <v>54996</v>
      </c>
      <c r="F304" s="1127">
        <f t="shared" ca="1" si="78"/>
        <v>8947</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55000</v>
      </c>
      <c r="E305" s="1126">
        <f t="shared" ca="1" si="77"/>
        <v>55029</v>
      </c>
      <c r="F305" s="1127">
        <f t="shared" ca="1" si="78"/>
        <v>8980</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55031</v>
      </c>
      <c r="E306" s="1126">
        <f t="shared" ca="1" si="77"/>
        <v>55058</v>
      </c>
      <c r="F306" s="1127">
        <f t="shared" ca="1" si="78"/>
        <v>9009</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55061</v>
      </c>
      <c r="E307" s="1126">
        <f t="shared" ca="1" si="77"/>
        <v>55088</v>
      </c>
      <c r="F307" s="1127">
        <f t="shared" ca="1" si="78"/>
        <v>9039</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55092</v>
      </c>
      <c r="E308" s="1126">
        <f t="shared" ca="1" si="77"/>
        <v>55120</v>
      </c>
      <c r="F308" s="1127">
        <f t="shared" ca="1" si="78"/>
        <v>9071</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55122</v>
      </c>
      <c r="E309" s="1126">
        <f t="shared" ca="1" si="77"/>
        <v>55149</v>
      </c>
      <c r="F309" s="1127">
        <f t="shared" ca="1" si="78"/>
        <v>9100</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55153</v>
      </c>
      <c r="E310" s="1126">
        <f t="shared" ca="1" si="77"/>
        <v>55180</v>
      </c>
      <c r="F310" s="1127">
        <f t="shared" ca="1" si="78"/>
        <v>9131</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55184</v>
      </c>
      <c r="E311" s="1126">
        <f t="shared" ca="1" si="77"/>
        <v>55211</v>
      </c>
      <c r="F311" s="1127">
        <f t="shared" ca="1" si="78"/>
        <v>9162</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55212</v>
      </c>
      <c r="E312" s="1126">
        <f t="shared" ca="1" si="77"/>
        <v>55239</v>
      </c>
      <c r="F312" s="1127">
        <f t="shared" ca="1" si="78"/>
        <v>9190</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55243</v>
      </c>
      <c r="E313" s="1126">
        <f t="shared" ca="1" si="77"/>
        <v>55270</v>
      </c>
      <c r="F313" s="1127">
        <f t="shared" ca="1" si="78"/>
        <v>9221</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55273</v>
      </c>
      <c r="E314" s="1126">
        <f t="shared" ca="1" si="77"/>
        <v>55302</v>
      </c>
      <c r="F314" s="1127">
        <f t="shared" ca="1" si="78"/>
        <v>9253</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55304</v>
      </c>
      <c r="E315" s="1126">
        <f t="shared" ca="1" si="77"/>
        <v>55331</v>
      </c>
      <c r="F315" s="1127">
        <f t="shared" ca="1" si="78"/>
        <v>9282</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55334</v>
      </c>
      <c r="E316" s="1126">
        <f t="shared" ca="1" si="77"/>
        <v>55361</v>
      </c>
      <c r="F316" s="1127">
        <f t="shared" ca="1" si="78"/>
        <v>9312</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55365</v>
      </c>
      <c r="E317" s="1126">
        <f t="shared" ca="1" si="77"/>
        <v>55393</v>
      </c>
      <c r="F317" s="1127">
        <f t="shared" ca="1" si="78"/>
        <v>9344</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55396</v>
      </c>
      <c r="E318" s="1126">
        <f t="shared" ca="1" si="77"/>
        <v>55423</v>
      </c>
      <c r="F318" s="1127">
        <f t="shared" ca="1" si="78"/>
        <v>9374</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55426</v>
      </c>
      <c r="E319" s="1126">
        <f t="shared" ca="1" si="77"/>
        <v>55453</v>
      </c>
      <c r="F319" s="1127">
        <f t="shared" ca="1" si="78"/>
        <v>9404</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55457</v>
      </c>
      <c r="E320" s="1126">
        <f t="shared" ca="1" si="77"/>
        <v>55484</v>
      </c>
      <c r="F320" s="1127">
        <f t="shared" ca="1" si="78"/>
        <v>9435</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55487</v>
      </c>
      <c r="E321" s="1126">
        <f t="shared" ca="1" si="77"/>
        <v>55514</v>
      </c>
      <c r="F321" s="1127">
        <f t="shared" ca="1" si="78"/>
        <v>9465</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55518</v>
      </c>
      <c r="E322" s="1126">
        <f t="shared" ca="1" si="77"/>
        <v>55547</v>
      </c>
      <c r="F322" s="1127">
        <f t="shared" ca="1" si="78"/>
        <v>9498</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55549</v>
      </c>
      <c r="E323" s="1126">
        <f t="shared" ca="1" si="77"/>
        <v>55576</v>
      </c>
      <c r="F323" s="1127">
        <f t="shared" ca="1" si="78"/>
        <v>9527</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55578</v>
      </c>
      <c r="E324" s="1126">
        <f ca="1">IF(INDIRECT("A"&amp;(IFERROR(MATCH(E323,A:A),999)+1))&gt;0,INDIRECT("A"&amp;(IFERROR(MATCH(E323,A:A),999)+1)),"")</f>
        <v>55605</v>
      </c>
      <c r="F324" s="1127">
        <f t="shared" ca="1" si="78"/>
        <v>9556</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55609</v>
      </c>
      <c r="E325" s="1126">
        <f t="shared" ca="1" si="77"/>
        <v>55638</v>
      </c>
      <c r="F325" s="1127">
        <f t="shared" ca="1" si="78"/>
        <v>9589</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55639</v>
      </c>
      <c r="E326" s="1126">
        <f t="shared" ca="1" si="77"/>
        <v>55666</v>
      </c>
      <c r="F326" s="1127">
        <f t="shared" ca="1" si="78"/>
        <v>9617</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55670</v>
      </c>
      <c r="E327" s="1126">
        <f t="shared" ca="1" si="77"/>
        <v>55697</v>
      </c>
      <c r="F327" s="1127">
        <f t="shared" ca="1" si="78"/>
        <v>9648</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55700</v>
      </c>
      <c r="E328" s="1126">
        <f t="shared" ca="1" si="77"/>
        <v>55729</v>
      </c>
      <c r="F328" s="1127">
        <f t="shared" ca="1" si="78"/>
        <v>9680</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55731</v>
      </c>
      <c r="E329" s="1126">
        <f t="shared" ca="1" si="77"/>
        <v>55758</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55762</v>
      </c>
      <c r="E330" s="1126">
        <f t="shared" ca="1" si="77"/>
        <v>55789</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55792</v>
      </c>
      <c r="E331" s="1126">
        <f t="shared" ca="1" si="77"/>
        <v>55820</v>
      </c>
      <c r="F331" s="1127">
        <f t="shared" ca="1" si="78"/>
        <v>9771</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55823</v>
      </c>
      <c r="E332" s="1126">
        <f t="shared" ref="E332:E354" ca="1" si="96">IF(INDIRECT("A"&amp;(IFERROR(MATCH(E331,A:A),999)+1))&gt;0,INDIRECT("A"&amp;(IFERROR(MATCH(E331,A:A),999)+1)),"")</f>
        <v>55850</v>
      </c>
      <c r="F332" s="1127">
        <f t="shared" ref="F332:F354" ca="1" si="97">IF(E332&lt;&gt;"",E332-$A$31,"")</f>
        <v>9801</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55853</v>
      </c>
      <c r="E333" s="1126">
        <f t="shared" ca="1" si="96"/>
        <v>55880</v>
      </c>
      <c r="F333" s="1127">
        <f t="shared" ca="1" si="97"/>
        <v>9831</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55884</v>
      </c>
      <c r="E334" s="1126">
        <f t="shared" ca="1" si="96"/>
        <v>55911</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55915</v>
      </c>
      <c r="E335" s="1126">
        <f t="shared" ca="1" si="96"/>
        <v>55942</v>
      </c>
      <c r="F335" s="1127">
        <f t="shared" ca="1" si="97"/>
        <v>9893</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55943</v>
      </c>
      <c r="E336" s="1126">
        <f t="shared" ca="1" si="96"/>
        <v>55970</v>
      </c>
      <c r="F336" s="1127">
        <f t="shared" ca="1" si="97"/>
        <v>9921</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55974</v>
      </c>
      <c r="E337" s="1126">
        <f t="shared" ca="1" si="96"/>
        <v>56002</v>
      </c>
      <c r="F337" s="1127">
        <f t="shared" ca="1" si="97"/>
        <v>9953</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56004</v>
      </c>
      <c r="E338" s="1126">
        <f t="shared" ca="1" si="96"/>
        <v>56031</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56035</v>
      </c>
      <c r="E339" s="1126">
        <f t="shared" ca="1" si="96"/>
        <v>56062</v>
      </c>
      <c r="F339" s="1127">
        <f t="shared" ca="1" si="97"/>
        <v>10013</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56065</v>
      </c>
      <c r="E340" s="1126">
        <f t="shared" ca="1" si="96"/>
        <v>56093</v>
      </c>
      <c r="F340" s="1127">
        <f t="shared" ca="1" si="97"/>
        <v>10044</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56096</v>
      </c>
      <c r="E341" s="1126">
        <f t="shared" ca="1" si="96"/>
        <v>56123</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56127</v>
      </c>
      <c r="E342" s="1126">
        <f t="shared" ca="1" si="96"/>
        <v>56156</v>
      </c>
      <c r="F342" s="1127">
        <f t="shared" ca="1" si="97"/>
        <v>10107</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56157</v>
      </c>
      <c r="E343" s="1126">
        <f t="shared" ca="1" si="96"/>
        <v>56184</v>
      </c>
      <c r="F343" s="1127">
        <f t="shared" ca="1" si="97"/>
        <v>10135</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56188</v>
      </c>
      <c r="E344" s="1126">
        <f t="shared" ca="1" si="96"/>
        <v>56215</v>
      </c>
      <c r="F344" s="1127">
        <f t="shared" ca="1" si="97"/>
        <v>10166</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56218</v>
      </c>
      <c r="E345" s="1126">
        <f t="shared" ca="1" si="96"/>
        <v>56247</v>
      </c>
      <c r="F345" s="1127">
        <f t="shared" ca="1" si="97"/>
        <v>10198</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56249</v>
      </c>
      <c r="E346" s="1126">
        <f t="shared" ca="1" si="96"/>
        <v>56276</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56280</v>
      </c>
      <c r="E347" s="1126">
        <f t="shared" ca="1" si="96"/>
        <v>56307</v>
      </c>
      <c r="F347" s="1127">
        <f t="shared" ca="1" si="97"/>
        <v>10258</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56308</v>
      </c>
      <c r="E348" s="1126">
        <f t="shared" ca="1" si="96"/>
        <v>56335</v>
      </c>
      <c r="F348" s="1127">
        <f t="shared" ca="1" si="97"/>
        <v>10286</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56339</v>
      </c>
      <c r="E349" s="1126">
        <f t="shared" ca="1" si="96"/>
        <v>56366</v>
      </c>
      <c r="F349" s="1127">
        <f t="shared" ca="1" si="97"/>
        <v>10317</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56369</v>
      </c>
      <c r="E350" s="1126">
        <f t="shared" ca="1" si="96"/>
        <v>56396</v>
      </c>
      <c r="F350" s="1127">
        <f t="shared" ca="1" si="97"/>
        <v>10347</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56400</v>
      </c>
      <c r="E351" s="1126">
        <f t="shared" ca="1" si="96"/>
        <v>56429</v>
      </c>
      <c r="F351" s="1127">
        <f t="shared" ca="1" si="97"/>
        <v>10380</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56430</v>
      </c>
      <c r="E352" s="1126">
        <f t="shared" ca="1" si="96"/>
        <v>56457</v>
      </c>
      <c r="F352" s="1127">
        <f t="shared" ca="1" si="97"/>
        <v>10408</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56461</v>
      </c>
      <c r="E353" s="1126">
        <f t="shared" ca="1" si="96"/>
        <v>56488</v>
      </c>
      <c r="F353" s="1127">
        <f t="shared" ca="1" si="97"/>
        <v>10439</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56492</v>
      </c>
      <c r="E354" s="1126">
        <f t="shared" ca="1" si="96"/>
        <v>56520</v>
      </c>
      <c r="F354" s="1127">
        <f t="shared" ca="1" si="97"/>
        <v>10471</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56522</v>
      </c>
      <c r="E355" s="1126">
        <f t="shared" ref="E355:E418" ca="1" si="115">IF(INDIRECT("A"&amp;(IFERROR(MATCH(E354,A:A),999)+1))&gt;0,INDIRECT("A"&amp;(IFERROR(MATCH(E354,A:A),999)+1)),"")</f>
        <v>56549</v>
      </c>
      <c r="F355" s="1127">
        <f t="shared" ref="F355:F418" ca="1" si="116">IF(E355&lt;&gt;"",E355-$A$31,"")</f>
        <v>10500</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56553</v>
      </c>
      <c r="E356" s="1126">
        <f t="shared" ca="1" si="115"/>
        <v>56580</v>
      </c>
      <c r="F356" s="1127">
        <f t="shared" ca="1" si="116"/>
        <v>10531</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56583</v>
      </c>
      <c r="E357" s="1126">
        <f t="shared" ca="1" si="115"/>
        <v>56611</v>
      </c>
      <c r="F357" s="1127">
        <f t="shared" ca="1" si="116"/>
        <v>10562</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56614</v>
      </c>
      <c r="E358" s="1126">
        <f t="shared" ca="1" si="115"/>
        <v>56641</v>
      </c>
      <c r="F358" s="1127">
        <f t="shared" ca="1" si="116"/>
        <v>10592</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56645</v>
      </c>
      <c r="E359" s="1126">
        <f t="shared" ca="1" si="115"/>
        <v>56671</v>
      </c>
      <c r="F359" s="1127">
        <f t="shared" ca="1" si="116"/>
        <v>10622</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56673</v>
      </c>
      <c r="E360" s="1126">
        <f t="shared" ca="1" si="115"/>
        <v>56702</v>
      </c>
      <c r="F360" s="1127">
        <f t="shared" ca="1" si="116"/>
        <v>10653</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56704</v>
      </c>
      <c r="E361" s="1126">
        <f t="shared" ca="1" si="115"/>
        <v>56731</v>
      </c>
      <c r="F361" s="1127">
        <f t="shared" ca="1" si="116"/>
        <v>10682</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56734</v>
      </c>
      <c r="E362" s="1126">
        <f t="shared" ca="1" si="115"/>
        <v>56761</v>
      </c>
      <c r="F362" s="1127">
        <f t="shared" ca="1" si="116"/>
        <v>10712</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56765</v>
      </c>
      <c r="E363" s="1126">
        <f t="shared" ca="1" si="115"/>
        <v>56793</v>
      </c>
      <c r="F363" s="1127">
        <f t="shared" ca="1" si="116"/>
        <v>10744</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56795</v>
      </c>
      <c r="E364" s="1126">
        <f t="shared" ca="1" si="115"/>
        <v>56822</v>
      </c>
      <c r="F364" s="1127">
        <f t="shared" ca="1" si="116"/>
        <v>10773</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56826</v>
      </c>
      <c r="E365" s="1126">
        <f t="shared" ca="1" si="115"/>
        <v>56853</v>
      </c>
      <c r="F365" s="1127">
        <f t="shared" ca="1" si="116"/>
        <v>10804</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56857</v>
      </c>
      <c r="E366" s="1126">
        <f t="shared" ca="1" si="115"/>
        <v>56884</v>
      </c>
      <c r="F366" s="1127">
        <f t="shared" ca="1" si="116"/>
        <v>10835</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56887</v>
      </c>
      <c r="E367" s="1126">
        <f t="shared" ca="1" si="115"/>
        <v>56914</v>
      </c>
      <c r="F367" s="1127">
        <f t="shared" ca="1" si="116"/>
        <v>10865</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56918</v>
      </c>
      <c r="E368" s="1126">
        <f t="shared" ca="1" si="115"/>
        <v>56947</v>
      </c>
      <c r="F368" s="1127">
        <f t="shared" ca="1" si="116"/>
        <v>10898</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56948</v>
      </c>
      <c r="E369" s="1126">
        <f t="shared" ca="1" si="115"/>
        <v>56975</v>
      </c>
      <c r="F369" s="1127">
        <f t="shared" ca="1" si="116"/>
        <v>10926</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56979</v>
      </c>
      <c r="E370" s="1126">
        <f t="shared" ca="1" si="115"/>
        <v>57006</v>
      </c>
      <c r="F370" s="1127">
        <f t="shared" ca="1" si="116"/>
        <v>10957</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57010</v>
      </c>
      <c r="E371" s="1126">
        <f t="shared" ca="1" si="115"/>
        <v>57038</v>
      </c>
      <c r="F371" s="1127">
        <f t="shared" ca="1" si="116"/>
        <v>10989</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57039</v>
      </c>
      <c r="E372" s="1126">
        <f t="shared" ca="1" si="115"/>
        <v>57066</v>
      </c>
      <c r="F372" s="1127">
        <f t="shared" ca="1" si="116"/>
        <v>11017</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57070</v>
      </c>
      <c r="E373" s="1126">
        <f t="shared" ca="1" si="115"/>
        <v>57097</v>
      </c>
      <c r="F373" s="1127">
        <f t="shared" ca="1" si="116"/>
        <v>11048</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57100</v>
      </c>
      <c r="E374" s="1126">
        <f t="shared" ca="1" si="115"/>
        <v>57129</v>
      </c>
      <c r="F374" s="1127">
        <f t="shared" ca="1" si="116"/>
        <v>11080</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57131</v>
      </c>
      <c r="E375" s="1126">
        <f t="shared" ca="1" si="115"/>
        <v>57158</v>
      </c>
      <c r="F375" s="1127">
        <f t="shared" ca="1" si="116"/>
        <v>11109</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57161</v>
      </c>
      <c r="E376" s="1126">
        <f t="shared" ca="1" si="115"/>
        <v>57188</v>
      </c>
      <c r="F376" s="1127">
        <f t="shared" ca="1" si="116"/>
        <v>11139</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57192</v>
      </c>
      <c r="E377" s="1126">
        <f t="shared" ca="1" si="115"/>
        <v>57220</v>
      </c>
      <c r="F377" s="1127">
        <f t="shared" ca="1" si="116"/>
        <v>11171</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57223</v>
      </c>
      <c r="E378" s="1126">
        <f t="shared" ca="1" si="115"/>
        <v>57250</v>
      </c>
      <c r="F378" s="1127">
        <f t="shared" ca="1" si="116"/>
        <v>11201</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57253</v>
      </c>
      <c r="E379" s="1126">
        <f t="shared" ca="1" si="115"/>
        <v>57280</v>
      </c>
      <c r="F379" s="1127">
        <f t="shared" ca="1" si="116"/>
        <v>11231</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57284</v>
      </c>
      <c r="E380" s="1126">
        <f t="shared" ca="1" si="115"/>
        <v>57311</v>
      </c>
      <c r="F380" s="1127">
        <f t="shared" ca="1" si="116"/>
        <v>11262</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57314</v>
      </c>
      <c r="E381" s="1126">
        <f t="shared" ca="1" si="115"/>
        <v>57341</v>
      </c>
      <c r="F381" s="1127">
        <f t="shared" ca="1" si="116"/>
        <v>11292</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57345</v>
      </c>
      <c r="E382" s="1126">
        <f t="shared" ca="1" si="115"/>
        <v>57374</v>
      </c>
      <c r="F382" s="1127">
        <f t="shared" ca="1" si="116"/>
        <v>11325</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57376</v>
      </c>
      <c r="E383" s="1126">
        <f t="shared" ca="1" si="115"/>
        <v>57403</v>
      </c>
      <c r="F383" s="1127">
        <f t="shared" ca="1" si="116"/>
        <v>11354</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57404</v>
      </c>
      <c r="E384" s="1126">
        <f t="shared" ca="1" si="115"/>
        <v>57431</v>
      </c>
      <c r="F384" s="1127">
        <f t="shared" ca="1" si="116"/>
        <v>11382</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57435</v>
      </c>
      <c r="E385" s="1126">
        <f t="shared" ca="1" si="115"/>
        <v>57462</v>
      </c>
      <c r="F385" s="1127">
        <f t="shared" ca="1" si="116"/>
        <v>11413</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57465</v>
      </c>
      <c r="E386" s="1126">
        <f t="shared" ca="1" si="115"/>
        <v>57493</v>
      </c>
      <c r="F386" s="1127">
        <f t="shared" ca="1" si="116"/>
        <v>11444</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57496</v>
      </c>
      <c r="E387" s="1126">
        <f t="shared" ca="1" si="115"/>
        <v>57523</v>
      </c>
      <c r="F387" s="1127">
        <f t="shared" ca="1" si="116"/>
        <v>11474</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57526</v>
      </c>
      <c r="E388" s="1126">
        <f t="shared" ca="1" si="115"/>
        <v>57553</v>
      </c>
      <c r="F388" s="1127">
        <f t="shared" ca="1" si="116"/>
        <v>11504</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57557</v>
      </c>
      <c r="E389" s="1126">
        <f t="shared" ca="1" si="115"/>
        <v>57584</v>
      </c>
      <c r="F389" s="1127">
        <f t="shared" ca="1" si="116"/>
        <v>11535</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57588</v>
      </c>
      <c r="E390" s="1126">
        <f t="shared" ca="1" si="115"/>
        <v>57615</v>
      </c>
      <c r="F390" s="1127">
        <f t="shared" ca="1" si="116"/>
        <v>11566</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57618</v>
      </c>
      <c r="E391" s="1126">
        <f t="shared" ca="1" si="115"/>
        <v>57647</v>
      </c>
      <c r="F391" s="1127">
        <f t="shared" ca="1" si="116"/>
        <v>11598</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57649</v>
      </c>
      <c r="E392" s="1126">
        <f t="shared" ca="1" si="115"/>
        <v>57676</v>
      </c>
      <c r="F392" s="1127">
        <f t="shared" ca="1" si="116"/>
        <v>11627</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57679</v>
      </c>
      <c r="E393" s="1126">
        <f t="shared" ca="1" si="115"/>
        <v>57706</v>
      </c>
      <c r="F393" s="1127">
        <f t="shared" ca="1" si="116"/>
        <v>11657</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57710</v>
      </c>
      <c r="E394" s="1126">
        <f t="shared" ca="1" si="115"/>
        <v>57738</v>
      </c>
      <c r="F394" s="1127">
        <f t="shared" ca="1" si="116"/>
        <v>11689</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57741</v>
      </c>
      <c r="E395" s="1126">
        <f t="shared" ca="1" si="115"/>
        <v>57768</v>
      </c>
      <c r="F395" s="1127">
        <f t="shared" ca="1" si="116"/>
        <v>11719</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57769</v>
      </c>
      <c r="E396" s="1126">
        <f t="shared" ca="1" si="115"/>
        <v>57796</v>
      </c>
      <c r="F396" s="1127">
        <f t="shared" ca="1" si="116"/>
        <v>11747</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57800</v>
      </c>
      <c r="E397" s="1126">
        <f t="shared" ca="1" si="115"/>
        <v>57829</v>
      </c>
      <c r="F397" s="1127">
        <f t="shared" ca="1" si="116"/>
        <v>11780</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57830</v>
      </c>
      <c r="E398" s="1126">
        <f t="shared" ca="1" si="115"/>
        <v>57857</v>
      </c>
      <c r="F398" s="1127">
        <f t="shared" ca="1" si="116"/>
        <v>11808</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57861</v>
      </c>
      <c r="E399" s="1126">
        <f t="shared" ca="1" si="115"/>
        <v>57888</v>
      </c>
      <c r="F399" s="1127">
        <f t="shared" ca="1" si="116"/>
        <v>11839</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57891</v>
      </c>
      <c r="E400" s="1126">
        <f t="shared" ca="1" si="115"/>
        <v>57920</v>
      </c>
      <c r="F400" s="1127">
        <f t="shared" ca="1" si="116"/>
        <v>11871</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57922</v>
      </c>
      <c r="E401" s="1126">
        <f t="shared" ca="1" si="115"/>
        <v>57949</v>
      </c>
      <c r="F401" s="1127">
        <f t="shared" ca="1" si="116"/>
        <v>11900</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57953</v>
      </c>
      <c r="E402" s="1126">
        <f t="shared" ca="1" si="115"/>
        <v>57980</v>
      </c>
      <c r="F402" s="1127">
        <f t="shared" ca="1" si="116"/>
        <v>11931</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57983</v>
      </c>
      <c r="E403" s="1126">
        <f t="shared" ca="1" si="115"/>
        <v>58011</v>
      </c>
      <c r="F403" s="1127">
        <f t="shared" ca="1" si="116"/>
        <v>11962</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58014</v>
      </c>
      <c r="E404" s="1126">
        <f t="shared" ca="1" si="115"/>
        <v>58041</v>
      </c>
      <c r="F404" s="1127">
        <f t="shared" ca="1" si="116"/>
        <v>11992</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58044</v>
      </c>
      <c r="E405" s="1126">
        <f t="shared" ca="1" si="115"/>
        <v>58071</v>
      </c>
      <c r="F405" s="1127">
        <f t="shared" ca="1" si="116"/>
        <v>12022</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58075</v>
      </c>
      <c r="E406" s="1126">
        <f t="shared" ca="1" si="115"/>
        <v>58102</v>
      </c>
      <c r="F406" s="1127">
        <f t="shared" ca="1" si="116"/>
        <v>12053</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58106</v>
      </c>
      <c r="E407" s="1126">
        <f t="shared" ca="1" si="115"/>
        <v>58133</v>
      </c>
      <c r="F407" s="1127">
        <f t="shared" ca="1" si="116"/>
        <v>12084</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58134</v>
      </c>
      <c r="E408" s="1126">
        <f t="shared" ca="1" si="115"/>
        <v>58161</v>
      </c>
      <c r="F408" s="1127">
        <f t="shared" ca="1" si="116"/>
        <v>12112</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58165</v>
      </c>
      <c r="E409" s="1126">
        <f t="shared" ca="1" si="115"/>
        <v>58193</v>
      </c>
      <c r="F409" s="1127">
        <f t="shared" ca="1" si="116"/>
        <v>12144</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58195</v>
      </c>
      <c r="E410" s="1126">
        <f t="shared" ca="1" si="115"/>
        <v>58222</v>
      </c>
      <c r="F410" s="1127">
        <f t="shared" ca="1" si="116"/>
        <v>12173</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58226</v>
      </c>
      <c r="E411" s="1126">
        <f t="shared" ca="1" si="115"/>
        <v>58253</v>
      </c>
      <c r="F411" s="1127">
        <f t="shared" ca="1" si="116"/>
        <v>12204</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58256</v>
      </c>
      <c r="E412" s="1126">
        <f t="shared" ca="1" si="115"/>
        <v>58284</v>
      </c>
      <c r="F412" s="1127">
        <f t="shared" ca="1" si="116"/>
        <v>12235</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58287</v>
      </c>
      <c r="E413" s="1126">
        <f t="shared" ca="1" si="115"/>
        <v>58314</v>
      </c>
      <c r="F413" s="1127">
        <f t="shared" ca="1" si="116"/>
        <v>12265</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58318</v>
      </c>
      <c r="E414" s="1126">
        <f t="shared" ca="1" si="115"/>
        <v>58347</v>
      </c>
      <c r="F414" s="1127">
        <f t="shared" ca="1" si="116"/>
        <v>12298</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58348</v>
      </c>
      <c r="E415" s="1126">
        <f t="shared" ca="1" si="115"/>
        <v>58375</v>
      </c>
      <c r="F415" s="1127">
        <f t="shared" ca="1" si="116"/>
        <v>12326</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58379</v>
      </c>
      <c r="E416" s="1126">
        <f t="shared" ca="1" si="115"/>
        <v>58406</v>
      </c>
      <c r="F416" s="1127">
        <f t="shared" ca="1" si="116"/>
        <v>12357</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58409</v>
      </c>
      <c r="E417" s="1126">
        <f t="shared" ca="1" si="115"/>
        <v>58438</v>
      </c>
      <c r="F417" s="1127">
        <f t="shared" ca="1" si="116"/>
        <v>12389</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58440</v>
      </c>
      <c r="E418" s="1126">
        <f t="shared" ca="1" si="115"/>
        <v>58467</v>
      </c>
      <c r="F418" s="1127">
        <f t="shared" ca="1" si="116"/>
        <v>12418</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58471</v>
      </c>
      <c r="E419" s="1126">
        <f t="shared" ref="E419:E482" ca="1" si="134">IF(INDIRECT("A"&amp;(IFERROR(MATCH(E418,A:A),999)+1))&gt;0,INDIRECT("A"&amp;(IFERROR(MATCH(E418,A:A),999)+1)),"")</f>
        <v>58498</v>
      </c>
      <c r="F419" s="1127">
        <f t="shared" ref="F419:F466" ca="1" si="135">IF(E419&lt;&gt;"",E419-$A$31,"")</f>
        <v>12449</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58500</v>
      </c>
      <c r="E420" s="1126">
        <f t="shared" ca="1" si="134"/>
        <v>58529</v>
      </c>
      <c r="F420" s="1127">
        <f t="shared" ca="1" si="135"/>
        <v>12480</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58531</v>
      </c>
      <c r="E421" s="1126">
        <f t="shared" ca="1" si="134"/>
        <v>58558</v>
      </c>
      <c r="F421" s="1127">
        <f t="shared" ca="1" si="135"/>
        <v>12509</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58561</v>
      </c>
      <c r="E422" s="1126">
        <f t="shared" ca="1" si="134"/>
        <v>58588</v>
      </c>
      <c r="F422" s="1127">
        <f t="shared" ca="1" si="135"/>
        <v>12539</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58592</v>
      </c>
      <c r="E423" s="1126">
        <f t="shared" ca="1" si="134"/>
        <v>58620</v>
      </c>
      <c r="F423" s="1127">
        <f t="shared" ca="1" si="135"/>
        <v>12571</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58622</v>
      </c>
      <c r="E424" s="1126">
        <f t="shared" ca="1" si="134"/>
        <v>58649</v>
      </c>
      <c r="F424" s="1127">
        <f t="shared" ca="1" si="135"/>
        <v>12600</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58653</v>
      </c>
      <c r="E425" s="1126">
        <f t="shared" ca="1" si="134"/>
        <v>58680</v>
      </c>
      <c r="F425" s="1127">
        <f t="shared" ca="1" si="135"/>
        <v>12631</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58684</v>
      </c>
      <c r="E426" s="1126">
        <f t="shared" ca="1" si="134"/>
        <v>58711</v>
      </c>
      <c r="F426" s="1127">
        <f t="shared" ca="1" si="135"/>
        <v>12662</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58714</v>
      </c>
      <c r="E427" s="1126">
        <f t="shared" ca="1" si="134"/>
        <v>58741</v>
      </c>
      <c r="F427" s="1127">
        <f t="shared" ca="1" si="135"/>
        <v>12692</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58745</v>
      </c>
      <c r="E428" s="1126">
        <f t="shared" ca="1" si="134"/>
        <v>58774</v>
      </c>
      <c r="F428" s="1127">
        <f t="shared" ca="1" si="135"/>
        <v>12725</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58775</v>
      </c>
      <c r="E429" s="1126">
        <f t="shared" ca="1" si="134"/>
        <v>58802</v>
      </c>
      <c r="F429" s="1127">
        <f t="shared" ca="1" si="135"/>
        <v>12753</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58806</v>
      </c>
      <c r="E430" s="1126">
        <f t="shared" ca="1" si="134"/>
        <v>58833</v>
      </c>
      <c r="F430" s="1127">
        <f t="shared" ca="1" si="135"/>
        <v>12784</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58837</v>
      </c>
      <c r="E431" s="1126">
        <f t="shared" ca="1" si="134"/>
        <v>58865</v>
      </c>
      <c r="F431" s="1127">
        <f t="shared" ca="1" si="135"/>
        <v>12816</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58865</v>
      </c>
      <c r="E432" s="1126">
        <f t="shared" ca="1" si="134"/>
        <v>58893</v>
      </c>
      <c r="F432" s="1127">
        <f t="shared" ca="1" si="135"/>
        <v>12844</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58896</v>
      </c>
      <c r="E433" s="1126">
        <f t="shared" ca="1" si="134"/>
        <v>58923</v>
      </c>
      <c r="F433" s="1127">
        <f t="shared" ca="1" si="135"/>
        <v>12874</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58926</v>
      </c>
      <c r="E434" s="1126">
        <f t="shared" ca="1" si="134"/>
        <v>58953</v>
      </c>
      <c r="F434" s="1127">
        <f t="shared" ca="1" si="135"/>
        <v>12904</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58957</v>
      </c>
      <c r="E435" s="1126">
        <f t="shared" ca="1" si="134"/>
        <v>58984</v>
      </c>
      <c r="F435" s="1127">
        <f t="shared" ca="1" si="135"/>
        <v>12935</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58987</v>
      </c>
      <c r="E436" s="1126">
        <f t="shared" ca="1" si="134"/>
        <v>59014</v>
      </c>
      <c r="F436" s="1127">
        <f t="shared" ca="1" si="135"/>
        <v>12965</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59018</v>
      </c>
      <c r="E437" s="1126">
        <f t="shared" ca="1" si="134"/>
        <v>59047</v>
      </c>
      <c r="F437" s="1127">
        <f t="shared" ca="1" si="135"/>
        <v>12998</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59049</v>
      </c>
      <c r="E438" s="1126">
        <f t="shared" ca="1" si="134"/>
        <v>59076</v>
      </c>
      <c r="F438" s="1127">
        <f t="shared" ca="1" si="135"/>
        <v>13027</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59079</v>
      </c>
      <c r="E439" s="1126">
        <f t="shared" ca="1" si="134"/>
        <v>59106</v>
      </c>
      <c r="F439" s="1127">
        <f t="shared" ca="1" si="135"/>
        <v>13057</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59110</v>
      </c>
      <c r="E440" s="1126">
        <f t="shared" ca="1" si="134"/>
        <v>59138</v>
      </c>
      <c r="F440" s="1127">
        <f t="shared" ca="1" si="135"/>
        <v>13089</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59140</v>
      </c>
      <c r="E441" s="1126">
        <f t="shared" ca="1" si="134"/>
        <v>59167</v>
      </c>
      <c r="F441" s="1127">
        <f t="shared" ca="1" si="135"/>
        <v>13118</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f t="shared" ca="1" si="133"/>
        <v>59171</v>
      </c>
      <c r="E442" s="1126">
        <f t="shared" ca="1" si="134"/>
        <v>59198</v>
      </c>
      <c r="F442" s="1127">
        <f t="shared" ca="1" si="135"/>
        <v>13149</v>
      </c>
      <c r="G442" s="1128">
        <f ca="1">IF(F442&lt;&gt;"",COUNTIF($F$11:F442,"&gt;0"),"")</f>
        <v>432</v>
      </c>
      <c r="H442" s="1129"/>
      <c r="I442" s="1073"/>
      <c r="J442" s="1130">
        <f t="shared" ca="1" si="136"/>
        <v>0</v>
      </c>
      <c r="K442" s="1131">
        <f t="shared" ca="1" si="137"/>
        <v>0</v>
      </c>
      <c r="L442" s="1130">
        <f t="shared" ca="1" si="138"/>
        <v>0</v>
      </c>
      <c r="M442" s="1130">
        <f t="shared" ca="1" si="139"/>
        <v>0</v>
      </c>
      <c r="N442" s="1130">
        <f t="shared" ca="1" si="140"/>
        <v>0</v>
      </c>
      <c r="O442" s="1073"/>
      <c r="P442" s="1130">
        <f t="shared" ca="1" si="141"/>
        <v>0</v>
      </c>
      <c r="Q442" s="1130">
        <f t="shared" ca="1" si="142"/>
        <v>0</v>
      </c>
      <c r="R442" s="1130">
        <f t="shared" ca="1" si="143"/>
        <v>0</v>
      </c>
      <c r="S442" s="1130">
        <f t="shared" ca="1" si="144"/>
        <v>0</v>
      </c>
      <c r="T442" s="1130">
        <f t="shared" ca="1" si="145"/>
        <v>0</v>
      </c>
      <c r="U442" s="1132">
        <f t="shared" ca="1" si="146"/>
        <v>0</v>
      </c>
      <c r="V442" s="1133" t="str">
        <f t="shared" ca="1" si="147"/>
        <v>n.a.</v>
      </c>
      <c r="X442" s="1134">
        <f t="shared" ca="1" si="148"/>
        <v>0</v>
      </c>
      <c r="Y442" s="1134">
        <f t="shared" ca="1" si="149"/>
        <v>0</v>
      </c>
      <c r="Z442" s="1134">
        <f t="shared" ca="1" si="150"/>
        <v>0</v>
      </c>
      <c r="AA442" s="1132">
        <f t="shared" ca="1" si="151"/>
        <v>0</v>
      </c>
      <c r="AB442" s="1105"/>
    </row>
    <row r="443" spans="1:28">
      <c r="A443" s="1144">
        <f>'AMORT. PROFILE 0% CPR'!A443</f>
        <v>58161</v>
      </c>
      <c r="C443" s="1104"/>
      <c r="D443" s="1125">
        <f t="shared" ca="1" si="133"/>
        <v>59202</v>
      </c>
      <c r="E443" s="1126">
        <f t="shared" ca="1" si="134"/>
        <v>59229</v>
      </c>
      <c r="F443" s="1127">
        <f t="shared" ca="1" si="135"/>
        <v>13180</v>
      </c>
      <c r="G443" s="1128">
        <f ca="1">IF(F443&lt;&gt;"",COUNTIF($F$11:F443,"&gt;0"),"")</f>
        <v>433</v>
      </c>
      <c r="H443" s="1129"/>
      <c r="I443" s="1073"/>
      <c r="J443" s="1130">
        <f t="shared" ca="1" si="136"/>
        <v>0</v>
      </c>
      <c r="K443" s="1131">
        <f t="shared" ca="1" si="137"/>
        <v>0</v>
      </c>
      <c r="L443" s="1130">
        <f t="shared" ca="1" si="138"/>
        <v>0</v>
      </c>
      <c r="M443" s="1130">
        <f t="shared" ca="1" si="139"/>
        <v>0</v>
      </c>
      <c r="N443" s="1130">
        <f t="shared" ca="1" si="140"/>
        <v>0</v>
      </c>
      <c r="O443" s="1073"/>
      <c r="P443" s="1130">
        <f t="shared" ca="1" si="141"/>
        <v>0</v>
      </c>
      <c r="Q443" s="1130">
        <f t="shared" ca="1" si="142"/>
        <v>0</v>
      </c>
      <c r="R443" s="1130">
        <f t="shared" ca="1" si="143"/>
        <v>0</v>
      </c>
      <c r="S443" s="1130">
        <f t="shared" ca="1" si="144"/>
        <v>0</v>
      </c>
      <c r="T443" s="1130">
        <f t="shared" ca="1" si="145"/>
        <v>0</v>
      </c>
      <c r="U443" s="1132">
        <f t="shared" ca="1" si="146"/>
        <v>0</v>
      </c>
      <c r="V443" s="1133" t="str">
        <f t="shared" ca="1" si="147"/>
        <v>n.a.</v>
      </c>
      <c r="X443" s="1134">
        <f t="shared" ca="1" si="148"/>
        <v>0</v>
      </c>
      <c r="Y443" s="1134">
        <f t="shared" ca="1" si="149"/>
        <v>0</v>
      </c>
      <c r="Z443" s="1134">
        <f t="shared" ca="1" si="150"/>
        <v>0</v>
      </c>
      <c r="AA443" s="1132">
        <f t="shared" ca="1" si="151"/>
        <v>0</v>
      </c>
      <c r="AB443" s="1105"/>
    </row>
    <row r="444" spans="1:28">
      <c r="A444" s="1144">
        <f>'AMORT. PROFILE 0% CPR'!A444</f>
        <v>58193</v>
      </c>
      <c r="C444" s="1104"/>
      <c r="D444" s="1125">
        <f t="shared" ca="1" si="133"/>
        <v>59230</v>
      </c>
      <c r="E444" s="1126">
        <f t="shared" ca="1" si="134"/>
        <v>59257</v>
      </c>
      <c r="F444" s="1127">
        <f t="shared" ca="1" si="135"/>
        <v>13208</v>
      </c>
      <c r="G444" s="1128">
        <f ca="1">IF(F444&lt;&gt;"",COUNTIF($F$11:F444,"&gt;0"),"")</f>
        <v>434</v>
      </c>
      <c r="H444" s="1129"/>
      <c r="I444" s="1073"/>
      <c r="J444" s="1130">
        <f t="shared" ca="1" si="136"/>
        <v>0</v>
      </c>
      <c r="K444" s="1131">
        <f t="shared" ca="1" si="137"/>
        <v>0</v>
      </c>
      <c r="L444" s="1130">
        <f t="shared" ca="1" si="138"/>
        <v>0</v>
      </c>
      <c r="M444" s="1130">
        <f t="shared" ca="1" si="139"/>
        <v>0</v>
      </c>
      <c r="N444" s="1130">
        <f t="shared" ca="1" si="140"/>
        <v>0</v>
      </c>
      <c r="O444" s="1073"/>
      <c r="P444" s="1130">
        <f t="shared" ca="1" si="141"/>
        <v>0</v>
      </c>
      <c r="Q444" s="1130">
        <f t="shared" ca="1" si="142"/>
        <v>0</v>
      </c>
      <c r="R444" s="1130">
        <f t="shared" ca="1" si="143"/>
        <v>0</v>
      </c>
      <c r="S444" s="1130">
        <f t="shared" ca="1" si="144"/>
        <v>0</v>
      </c>
      <c r="T444" s="1130">
        <f t="shared" ca="1" si="145"/>
        <v>0</v>
      </c>
      <c r="U444" s="1132">
        <f t="shared" ca="1" si="146"/>
        <v>0</v>
      </c>
      <c r="V444" s="1133" t="str">
        <f t="shared" ca="1" si="147"/>
        <v>n.a.</v>
      </c>
      <c r="X444" s="1134">
        <f t="shared" ca="1" si="148"/>
        <v>0</v>
      </c>
      <c r="Y444" s="1134">
        <f t="shared" ca="1" si="149"/>
        <v>0</v>
      </c>
      <c r="Z444" s="1134">
        <f t="shared" ca="1" si="150"/>
        <v>0</v>
      </c>
      <c r="AA444" s="1132">
        <f t="shared" ca="1" si="151"/>
        <v>0</v>
      </c>
      <c r="AB444" s="1105"/>
    </row>
    <row r="445" spans="1:28">
      <c r="A445" s="1144">
        <f>'AMORT. PROFILE 0% CPR'!A445</f>
        <v>58222</v>
      </c>
      <c r="C445" s="1104"/>
      <c r="D445" s="1125">
        <f t="shared" ca="1" si="133"/>
        <v>59261</v>
      </c>
      <c r="E445" s="1126">
        <f t="shared" ca="1" si="134"/>
        <v>59288</v>
      </c>
      <c r="F445" s="1127">
        <f t="shared" ca="1" si="135"/>
        <v>13239</v>
      </c>
      <c r="G445" s="1128">
        <f ca="1">IF(F445&lt;&gt;"",COUNTIF($F$11:F445,"&gt;0"),"")</f>
        <v>435</v>
      </c>
      <c r="H445" s="1129"/>
      <c r="I445" s="1073"/>
      <c r="J445" s="1130">
        <f t="shared" ca="1" si="136"/>
        <v>0</v>
      </c>
      <c r="K445" s="1131">
        <f t="shared" ca="1" si="137"/>
        <v>0</v>
      </c>
      <c r="L445" s="1130">
        <f t="shared" ca="1" si="138"/>
        <v>0</v>
      </c>
      <c r="M445" s="1130">
        <f t="shared" ca="1" si="139"/>
        <v>0</v>
      </c>
      <c r="N445" s="1130">
        <f t="shared" ca="1" si="140"/>
        <v>0</v>
      </c>
      <c r="O445" s="1073"/>
      <c r="P445" s="1130">
        <f t="shared" ca="1" si="141"/>
        <v>0</v>
      </c>
      <c r="Q445" s="1130">
        <f t="shared" ca="1" si="142"/>
        <v>0</v>
      </c>
      <c r="R445" s="1130">
        <f t="shared" ca="1" si="143"/>
        <v>0</v>
      </c>
      <c r="S445" s="1130">
        <f t="shared" ca="1" si="144"/>
        <v>0</v>
      </c>
      <c r="T445" s="1130">
        <f t="shared" ca="1" si="145"/>
        <v>0</v>
      </c>
      <c r="U445" s="1132">
        <f t="shared" ca="1" si="146"/>
        <v>0</v>
      </c>
      <c r="V445" s="1133" t="str">
        <f t="shared" ca="1" si="147"/>
        <v>n.a.</v>
      </c>
      <c r="X445" s="1134">
        <f t="shared" ca="1" si="148"/>
        <v>0</v>
      </c>
      <c r="Y445" s="1134">
        <f t="shared" ca="1" si="149"/>
        <v>0</v>
      </c>
      <c r="Z445" s="1134">
        <f t="shared" ca="1" si="150"/>
        <v>0</v>
      </c>
      <c r="AA445" s="1132">
        <f t="shared" ca="1" si="151"/>
        <v>0</v>
      </c>
      <c r="AB445" s="1105"/>
    </row>
    <row r="446" spans="1:28">
      <c r="A446" s="1144">
        <f>'AMORT. PROFILE 0% CPR'!A446</f>
        <v>58253</v>
      </c>
      <c r="C446" s="1104"/>
      <c r="D446" s="1125">
        <f t="shared" ca="1" si="133"/>
        <v>59291</v>
      </c>
      <c r="E446" s="1126">
        <f t="shared" ca="1" si="134"/>
        <v>59320</v>
      </c>
      <c r="F446" s="1127">
        <f t="shared" ca="1" si="135"/>
        <v>13271</v>
      </c>
      <c r="G446" s="1128">
        <f ca="1">IF(F446&lt;&gt;"",COUNTIF($F$11:F446,"&gt;0"),"")</f>
        <v>436</v>
      </c>
      <c r="H446" s="1129"/>
      <c r="I446" s="1073"/>
      <c r="J446" s="1130">
        <f t="shared" ca="1" si="136"/>
        <v>0</v>
      </c>
      <c r="K446" s="1131">
        <f t="shared" ca="1" si="137"/>
        <v>0</v>
      </c>
      <c r="L446" s="1130">
        <f t="shared" ca="1" si="138"/>
        <v>0</v>
      </c>
      <c r="M446" s="1130">
        <f t="shared" ca="1" si="139"/>
        <v>0</v>
      </c>
      <c r="N446" s="1130">
        <f t="shared" ca="1" si="140"/>
        <v>0</v>
      </c>
      <c r="O446" s="1073"/>
      <c r="P446" s="1130">
        <f t="shared" ca="1" si="141"/>
        <v>0</v>
      </c>
      <c r="Q446" s="1130">
        <f t="shared" ca="1" si="142"/>
        <v>0</v>
      </c>
      <c r="R446" s="1130">
        <f t="shared" ca="1" si="143"/>
        <v>0</v>
      </c>
      <c r="S446" s="1130">
        <f t="shared" ca="1" si="144"/>
        <v>0</v>
      </c>
      <c r="T446" s="1130">
        <f t="shared" ca="1" si="145"/>
        <v>0</v>
      </c>
      <c r="U446" s="1132">
        <f t="shared" ca="1" si="146"/>
        <v>0</v>
      </c>
      <c r="V446" s="1133" t="str">
        <f t="shared" ca="1" si="147"/>
        <v>n.a.</v>
      </c>
      <c r="X446" s="1134">
        <f t="shared" ca="1" si="148"/>
        <v>0</v>
      </c>
      <c r="Y446" s="1134">
        <f t="shared" ca="1" si="149"/>
        <v>0</v>
      </c>
      <c r="Z446" s="1134">
        <f t="shared" ca="1" si="150"/>
        <v>0</v>
      </c>
      <c r="AA446" s="1132">
        <f t="shared" ca="1" si="151"/>
        <v>0</v>
      </c>
      <c r="AB446" s="1105"/>
    </row>
    <row r="447" spans="1:28">
      <c r="A447" s="1144">
        <f>'AMORT. PROFILE 0% CPR'!A447</f>
        <v>58284</v>
      </c>
      <c r="C447" s="1104"/>
      <c r="D447" s="1125" t="str">
        <f t="shared" ca="1" si="133"/>
        <v/>
      </c>
      <c r="E447" s="1126" t="str">
        <f t="shared" ca="1" si="134"/>
        <v/>
      </c>
      <c r="F447" s="1127" t="str">
        <f t="shared" ca="1" si="135"/>
        <v/>
      </c>
      <c r="G447" s="1128" t="str">
        <f ca="1">IF(F447&lt;&gt;"",COUNTIF($F$11:F447,"&gt;0"),"")</f>
        <v/>
      </c>
      <c r="H447" s="1129"/>
      <c r="I447" s="1073"/>
      <c r="J447" s="1130">
        <f t="shared" ca="1" si="136"/>
        <v>0</v>
      </c>
      <c r="K447" s="1131">
        <f t="shared" ca="1" si="137"/>
        <v>0</v>
      </c>
      <c r="L447" s="1130" t="str">
        <f t="shared" ca="1" si="138"/>
        <v/>
      </c>
      <c r="M447" s="1130" t="e">
        <f t="shared" ca="1" si="139"/>
        <v>#VALUE!</v>
      </c>
      <c r="N447" s="1130" t="str">
        <f t="shared" ca="1" si="140"/>
        <v/>
      </c>
      <c r="O447" s="1073"/>
      <c r="P447" s="1130" t="str">
        <f t="shared" ca="1" si="141"/>
        <v/>
      </c>
      <c r="Q447" s="1130" t="str">
        <f t="shared" ca="1" si="142"/>
        <v/>
      </c>
      <c r="R447" s="1130" t="str">
        <f t="shared" ca="1" si="143"/>
        <v/>
      </c>
      <c r="S447" s="1130" t="str">
        <f t="shared" ca="1" si="144"/>
        <v/>
      </c>
      <c r="T447" s="1130" t="str">
        <f t="shared" ca="1" si="145"/>
        <v/>
      </c>
      <c r="U447" s="1132" t="str">
        <f t="shared" ca="1" si="146"/>
        <v/>
      </c>
      <c r="V447" s="1133" t="str">
        <f t="shared" ca="1" si="147"/>
        <v/>
      </c>
      <c r="X447" s="1134" t="str">
        <f t="shared" ca="1" si="148"/>
        <v/>
      </c>
      <c r="Y447" s="1134" t="str">
        <f t="shared" ca="1" si="149"/>
        <v/>
      </c>
      <c r="Z447" s="1134" t="str">
        <f t="shared" ca="1" si="150"/>
        <v/>
      </c>
      <c r="AA447" s="1132" t="str">
        <f t="shared" ca="1" si="151"/>
        <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t="str">
        <f t="shared" ca="1" si="136"/>
        <v/>
      </c>
      <c r="K448" s="1131" t="e">
        <f t="shared" ca="1" si="137"/>
        <v>#VALUE!</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7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defaultColWidth="9.140625" defaultRowHeight="15"/>
  <cols>
    <col min="6" max="6" width="10.710937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defaultColWidth="9.140625" defaultRowHeight="15"/>
  <cols>
    <col min="2" max="2" width="16.85546875" customWidth="1"/>
    <col min="3" max="3" width="16.85546875" style="1238"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38" bestFit="1" customWidth="1"/>
    <col min="63" max="63" width="9.140625" style="1430"/>
    <col min="65" max="65" width="12.42578125" bestFit="1" customWidth="1"/>
    <col min="68" max="69" width="10.7109375" style="1238" bestFit="1" customWidth="1"/>
    <col min="71" max="71" width="9.140625" style="1430"/>
    <col min="74" max="74" width="16" bestFit="1" customWidth="1"/>
    <col min="75" max="75" width="14.85546875" style="1465"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153" t="s">
        <v>269</v>
      </c>
      <c r="E1" s="2153"/>
      <c r="F1" s="2153"/>
      <c r="G1" s="2153"/>
      <c r="H1" s="2153"/>
      <c r="I1" s="2153"/>
      <c r="J1" s="2163" t="s">
        <v>118</v>
      </c>
      <c r="K1" s="2163"/>
      <c r="L1" s="2163"/>
      <c r="M1" s="2163"/>
      <c r="N1" s="2163"/>
      <c r="O1" s="2163"/>
      <c r="P1" s="2164"/>
      <c r="Q1" s="2165" t="s">
        <v>119</v>
      </c>
      <c r="R1" s="2163"/>
      <c r="S1" s="2163"/>
      <c r="T1" s="2163"/>
      <c r="U1" s="2163"/>
      <c r="V1" s="2164"/>
      <c r="W1" s="2165" t="s">
        <v>130</v>
      </c>
      <c r="X1" s="2163"/>
      <c r="Y1" s="2163"/>
      <c r="Z1" s="2163"/>
      <c r="AA1" s="2163"/>
      <c r="AB1" s="2163"/>
      <c r="AC1" s="2154" t="s">
        <v>1050</v>
      </c>
      <c r="AD1" s="2155"/>
      <c r="AE1" s="2156"/>
      <c r="AF1" s="2157" t="s">
        <v>247</v>
      </c>
      <c r="AG1" s="2158"/>
      <c r="AH1" s="2158"/>
      <c r="AI1" s="2158"/>
      <c r="AJ1" s="2159"/>
      <c r="AK1" s="2157" t="s">
        <v>244</v>
      </c>
      <c r="AL1" s="2158"/>
      <c r="AM1" s="2159"/>
      <c r="AN1" s="2160" t="s">
        <v>1051</v>
      </c>
      <c r="AO1" s="2161"/>
      <c r="AP1" s="2162"/>
      <c r="AQ1" s="2157" t="s">
        <v>410</v>
      </c>
      <c r="AR1" s="2158"/>
      <c r="AS1" s="2158"/>
      <c r="AT1" s="2159"/>
      <c r="AU1" s="2166" t="s">
        <v>1094</v>
      </c>
      <c r="AV1" s="2167"/>
      <c r="AW1" s="2167"/>
      <c r="AX1" s="2168"/>
      <c r="AY1" s="2157" t="s">
        <v>412</v>
      </c>
      <c r="AZ1" s="2158"/>
      <c r="BA1" s="2159"/>
      <c r="BB1" s="2166" t="s">
        <v>1100</v>
      </c>
      <c r="BC1" s="2167"/>
      <c r="BD1" s="2167"/>
      <c r="BE1" s="2168"/>
      <c r="BF1" s="2169" t="s">
        <v>118</v>
      </c>
      <c r="BG1" s="2170"/>
      <c r="BH1" s="2170"/>
      <c r="BI1" s="2170"/>
      <c r="BJ1" s="2170"/>
      <c r="BK1" s="2170"/>
      <c r="BL1" s="2170"/>
      <c r="BM1" s="2171"/>
      <c r="BN1" s="2172" t="s">
        <v>119</v>
      </c>
      <c r="BO1" s="2172"/>
      <c r="BP1" s="2172"/>
      <c r="BQ1" s="2172"/>
      <c r="BR1" s="2172"/>
      <c r="BS1" s="2172"/>
      <c r="BT1" s="2172"/>
      <c r="BU1" s="2172"/>
      <c r="BV1" s="2151" t="s">
        <v>1139</v>
      </c>
      <c r="BW1" s="2151"/>
      <c r="BX1" s="2151"/>
      <c r="BY1" s="2151"/>
      <c r="BZ1" s="2151"/>
      <c r="CA1" s="2151"/>
      <c r="CB1" s="2151"/>
      <c r="CC1" s="2151"/>
      <c r="CD1" s="2152"/>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46042</v>
      </c>
      <c r="C3" s="1238">
        <f>'00 - Cover'!F20</f>
        <v>46049</v>
      </c>
      <c r="D3" s="1239">
        <f>'09 -Principal Deficiency Amount'!C12</f>
        <v>96320114.010000229</v>
      </c>
      <c r="E3" s="1239">
        <f>'09 -Principal Deficiency Amount'!D12</f>
        <v>103874945.77000016</v>
      </c>
      <c r="F3" s="1239">
        <f>'09 -Principal Deficiency Amount'!E12</f>
        <v>112142835.83000016</v>
      </c>
      <c r="G3" s="1239">
        <f>'09 -Principal Deficiency Amount'!F12</f>
        <v>8267890.0599999996</v>
      </c>
      <c r="H3" s="1672"/>
      <c r="I3" s="1239">
        <f>'09 -Principal Deficiency Amount'!G12</f>
        <v>0</v>
      </c>
      <c r="J3" s="1239">
        <f>'11 - Notes Follow-up'!D25</f>
        <v>6876677200.6800003</v>
      </c>
      <c r="K3" s="1239">
        <f>'11 - Notes Follow-up'!E25</f>
        <v>0</v>
      </c>
      <c r="L3" s="1239">
        <f>'11 - Notes Follow-up'!F25</f>
        <v>58047925.640000001</v>
      </c>
      <c r="M3" s="1239">
        <f>'11 - Notes Follow-up'!G25</f>
        <v>6818629275.04</v>
      </c>
      <c r="N3" s="1239">
        <f>'11 - Notes Follow-up'!H25</f>
        <v>77732</v>
      </c>
      <c r="O3" s="1239">
        <f>'11 - Notes Follow-up'!I25</f>
        <v>746.77</v>
      </c>
      <c r="P3" s="1239">
        <f>'11 - Notes Follow-up'!J25</f>
        <v>87719.72</v>
      </c>
      <c r="Q3" s="1239">
        <f>'11 - Notes Follow-up'!T25</f>
        <v>570527041.92000008</v>
      </c>
      <c r="R3" s="1239">
        <f>'11 - Notes Follow-up'!U25</f>
        <v>0</v>
      </c>
      <c r="S3" s="1239">
        <f>'11 - Notes Follow-up'!V25</f>
        <v>4815993.6000000006</v>
      </c>
      <c r="T3" s="1239">
        <f>'11 - Notes Follow-up'!W25</f>
        <v>565711048.32000005</v>
      </c>
      <c r="U3" s="1239">
        <f>'11 - Notes Follow-up'!X25</f>
        <v>5808</v>
      </c>
      <c r="V3" s="1239">
        <f>'11 - Notes Follow-up'!Y25</f>
        <v>97402.040000000008</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11410540664.6</v>
      </c>
      <c r="AD3" s="1239">
        <f>'11bis - Notes Calculation'!E17</f>
        <v>11314220550.59</v>
      </c>
      <c r="AE3" s="1239">
        <f>'11bis - Notes Calculation'!F17</f>
        <v>96320114.010000229</v>
      </c>
      <c r="AF3" s="1430">
        <f>'11bis - Notes Calculation'!H17</f>
        <v>1</v>
      </c>
      <c r="AG3" s="1239">
        <f>'11bis - Notes Calculation'!I17</f>
        <v>10748510121.440001</v>
      </c>
      <c r="AH3" s="1239">
        <f>'11bis - Notes Calculation'!J17</f>
        <v>603.00550087541342</v>
      </c>
      <c r="AI3" s="1239">
        <f>'11bis - Notes Calculation'!K17</f>
        <v>11314220550.59</v>
      </c>
      <c r="AJ3" s="1417">
        <f>'11bis - Notes Calculation'!L17</f>
        <v>0.05</v>
      </c>
      <c r="AK3" s="1298">
        <f>'11bis - Notes Calculation'!N17</f>
        <v>0.05</v>
      </c>
      <c r="AL3" s="1239">
        <f>'11bis - Notes Calculation'!O17</f>
        <v>11314220550.59</v>
      </c>
      <c r="AM3" s="1239">
        <f>'11bis - Notes Calculation'!P17</f>
        <v>565711027.52950001</v>
      </c>
      <c r="AN3" s="1239">
        <f>'11bis - Notes Calculation'!R17</f>
        <v>11314220550.59</v>
      </c>
      <c r="AO3" s="1239">
        <f>'11bis - Notes Calculation'!S17</f>
        <v>565711027.52950001</v>
      </c>
      <c r="AP3" s="1239">
        <f>'11bis - Notes Calculation'!T17</f>
        <v>10748509523.060501</v>
      </c>
      <c r="AQ3" s="1239">
        <f>'11bis - Notes Calculation'!V17</f>
        <v>96320114.010000229</v>
      </c>
      <c r="AR3" s="1239">
        <f>'11bis - Notes Calculation'!W17</f>
        <v>10840013622.68</v>
      </c>
      <c r="AS3" s="1239">
        <f>'11bis - Notes Calculation'!X17</f>
        <v>565711027.52950001</v>
      </c>
      <c r="AT3" s="1239">
        <f>'11bis - Notes Calculation'!Y17</f>
        <v>58048280.890129752</v>
      </c>
      <c r="AU3" s="1241">
        <f>'11bis - Notes Calculation'!AB17</f>
        <v>77732</v>
      </c>
      <c r="AV3" s="1239">
        <f>'11bis - Notes Calculation'!AC17</f>
        <v>746.77</v>
      </c>
      <c r="AW3" s="1239">
        <f>'11bis - Notes Calculation'!AD17</f>
        <v>58047925.640000001</v>
      </c>
      <c r="AX3" s="1239">
        <f>'11bis - Notes Calculation'!AE17</f>
        <v>355.2501297518611</v>
      </c>
      <c r="AY3" s="1239">
        <f>'11bis - Notes Calculation'!AK17</f>
        <v>96320114.010000229</v>
      </c>
      <c r="AZ3" s="1239">
        <f>'11bis - Notes Calculation'!AL17</f>
        <v>91503501.24000001</v>
      </c>
      <c r="BA3" s="1239">
        <f>'11bis - Notes Calculation'!AM17</f>
        <v>4816014.3905010149</v>
      </c>
      <c r="BB3" s="1241">
        <f>'11bis - Notes Calculation'!AO17</f>
        <v>5808</v>
      </c>
      <c r="BC3" s="1239">
        <f>'11bis - Notes Calculation'!AP17</f>
        <v>829.2</v>
      </c>
      <c r="BD3" s="1239">
        <f>'11bis - Notes Calculation'!AQ17</f>
        <v>4815993.6000000006</v>
      </c>
      <c r="BE3" s="1239">
        <f>'11bis - Notes Calculation'!AR17</f>
        <v>20.790501014329493</v>
      </c>
      <c r="BF3">
        <f>'12 - Notes Interest'!D17</f>
        <v>77732</v>
      </c>
      <c r="BG3" s="1239">
        <f>'12 - Notes Interest'!E17</f>
        <v>88466.49</v>
      </c>
      <c r="BH3" s="1238">
        <f>'12 - Notes Interest'!F17</f>
        <v>46020</v>
      </c>
      <c r="BI3" s="1238">
        <f>'12 - Notes Interest'!G17</f>
        <v>46049</v>
      </c>
      <c r="BJ3">
        <f>'12 - Notes Interest'!H17</f>
        <v>29</v>
      </c>
      <c r="BK3" s="1430">
        <f>'12 - Notes Interest'!I17</f>
        <v>6.0000000000000001E-3</v>
      </c>
      <c r="BL3" s="1239">
        <f>'12 - Notes Interest'!J17</f>
        <v>42.17</v>
      </c>
      <c r="BM3" s="1239">
        <f>'12 - Notes Interest'!K17</f>
        <v>3277958.44</v>
      </c>
      <c r="BN3">
        <f>'12 - Notes Interest'!V17</f>
        <v>5808</v>
      </c>
      <c r="BO3">
        <f>'12 - Notes Interest'!W17</f>
        <v>98231.24000000002</v>
      </c>
      <c r="BP3" s="1238">
        <f>'12 - Notes Interest'!X17</f>
        <v>46020</v>
      </c>
      <c r="BQ3" s="1238">
        <f>'12 - Notes Interest'!Y17</f>
        <v>46049</v>
      </c>
      <c r="BR3">
        <f>'12 - Notes Interest'!Z17</f>
        <v>29</v>
      </c>
      <c r="BS3" s="1430">
        <f>'12 - Notes Interest'!AA17</f>
        <v>1.4999999999999999E-2</v>
      </c>
      <c r="BT3">
        <f>'12 - Notes Interest'!AB17</f>
        <v>117.07</v>
      </c>
      <c r="BU3">
        <f>'12 - Notes Interest'!AC17</f>
        <v>679942.55999999994</v>
      </c>
      <c r="BV3" s="1239">
        <f>'10 - Reserve calculation'!C12</f>
        <v>10748510121.440001</v>
      </c>
      <c r="BW3" s="1465">
        <f>'10 - Reserve calculation'!D12</f>
        <v>5.0000000000000001E-3</v>
      </c>
      <c r="BX3" s="1239">
        <f>'10 - Reserve calculation'!E12</f>
        <v>500000</v>
      </c>
      <c r="BY3" s="1239" t="str">
        <f>'10 - Reserve calculation'!F12</f>
        <v>Yes</v>
      </c>
      <c r="BZ3" s="1239" t="str">
        <f>'10 - Reserve calculation'!G12</f>
        <v>No</v>
      </c>
      <c r="CA3" s="1239">
        <f>'10 - Reserve calculation'!H12</f>
        <v>53750000</v>
      </c>
      <c r="CB3" s="1239">
        <f>'10 - Reserve calculation'!I12</f>
        <v>54210000</v>
      </c>
      <c r="CC3" s="1239">
        <f>'10 - Reserve calculation'!J12</f>
        <v>54210000</v>
      </c>
      <c r="CD3" s="1239">
        <f>'10 - Reserve calculation'!K12</f>
        <v>-460000</v>
      </c>
      <c r="CE3" s="1239">
        <f>'13 - Issuer Account'!I29</f>
        <v>95084.780007839203</v>
      </c>
      <c r="CF3" s="1239">
        <f>'13 - Issuer Account'!I41</f>
        <v>53750000</v>
      </c>
      <c r="CG3" s="1239">
        <f>'13 - Issuer Account'!I52</f>
        <v>0</v>
      </c>
      <c r="CH3" s="1239">
        <f>'15 - Priority of Payments'!J21</f>
        <v>112142835.83000016</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Y254"/>
  <sheetViews>
    <sheetView topLeftCell="DQ1" zoomScale="85" zoomScaleNormal="85" workbookViewId="0">
      <selection activeCell="DT4" sqref="DT4:DY254"/>
    </sheetView>
  </sheetViews>
  <sheetFormatPr defaultColWidth="9.140625" defaultRowHeight="15"/>
  <cols>
    <col min="1" max="1" width="16.5703125" style="1238" customWidth="1"/>
    <col min="2" max="2" width="16.5703125" customWidth="1"/>
    <col min="3" max="3" width="18.85546875" style="1239" customWidth="1"/>
    <col min="4" max="12" width="16.5703125" style="1239" customWidth="1"/>
    <col min="13" max="13" width="21.85546875" style="1239" customWidth="1"/>
    <col min="14" max="14" width="16.5703125" style="1239" customWidth="1"/>
    <col min="15" max="15" width="19.140625" style="1239" customWidth="1"/>
    <col min="16" max="67" width="16.5703125" style="1239" customWidth="1"/>
    <col min="68" max="68" width="16.5703125" style="1238" customWidth="1"/>
    <col min="69" max="69" width="16.5703125" style="1241" customWidth="1"/>
    <col min="70" max="71" width="16.5703125" style="1239" customWidth="1"/>
    <col min="72" max="72" width="16.5703125" style="1241" customWidth="1"/>
    <col min="73" max="74" width="16.5703125" style="1239" customWidth="1"/>
    <col min="75" max="75" width="16.5703125" style="1241" customWidth="1"/>
    <col min="76" max="79" width="16.5703125" style="1239" customWidth="1"/>
    <col min="80" max="80" width="20.28515625" style="1239" customWidth="1"/>
    <col min="81" max="81" width="18.7109375" style="1241" customWidth="1"/>
    <col min="82" max="83" width="16.5703125" style="1239" customWidth="1"/>
    <col min="84" max="85" width="20.140625" style="1239" customWidth="1"/>
    <col min="86" max="86" width="18.28515625" style="1241" customWidth="1"/>
    <col min="87" max="88" width="16.5703125" style="1239" customWidth="1"/>
    <col min="89" max="90" width="18.42578125" style="1239" customWidth="1"/>
    <col min="91" max="91" width="17.7109375" style="1241" customWidth="1"/>
    <col min="92" max="92" width="16.5703125" style="1238" customWidth="1"/>
    <col min="93" max="93" width="20.140625" style="1239" customWidth="1"/>
    <col min="94" max="94" width="16.5703125" style="1241" customWidth="1"/>
    <col min="95" max="95" width="16.5703125" style="1239" customWidth="1"/>
    <col min="96" max="96" width="16.5703125" style="1241" customWidth="1"/>
    <col min="97" max="97" width="16.5703125" style="1239" customWidth="1"/>
    <col min="98" max="98" width="16.5703125" style="1241" customWidth="1"/>
    <col min="99" max="99" width="16.5703125" style="1239" customWidth="1"/>
    <col min="100" max="100" width="16.5703125" style="1241" customWidth="1"/>
    <col min="101" max="101" width="16.5703125" style="1239" customWidth="1"/>
    <col min="102" max="102" width="16.5703125" style="1241" customWidth="1"/>
    <col min="103" max="103" width="16.5703125" style="1239" customWidth="1"/>
    <col min="104" max="104" width="16.5703125" style="1241" customWidth="1"/>
    <col min="105" max="105" width="16.5703125" style="1239" customWidth="1"/>
    <col min="106" max="106" width="16.5703125" style="1241" customWidth="1"/>
    <col min="107" max="107" width="16.5703125" style="1239" customWidth="1"/>
    <col min="108" max="108" width="16.5703125" style="1241" customWidth="1"/>
    <col min="109" max="109" width="16.5703125" style="1239" customWidth="1"/>
    <col min="110" max="110" width="16.5703125" style="1241" customWidth="1"/>
    <col min="111" max="111" width="16.5703125" style="1239" customWidth="1"/>
    <col min="112" max="112" width="16.5703125" style="1241" customWidth="1"/>
    <col min="113" max="113" width="16.5703125" style="1239" customWidth="1"/>
    <col min="114" max="114" width="16.5703125" style="1241" customWidth="1"/>
    <col min="115" max="115" width="16.5703125" style="1239" customWidth="1"/>
    <col min="116" max="116" width="16.5703125" style="1241" customWidth="1"/>
    <col min="117" max="117" width="16.5703125" style="1239" customWidth="1"/>
    <col min="118" max="118" width="16.5703125" style="1241" customWidth="1"/>
    <col min="119" max="119" width="32" style="1239" bestFit="1" customWidth="1"/>
    <col min="120" max="120" width="32" style="1241" customWidth="1"/>
    <col min="121" max="121" width="16.5703125" style="1239" customWidth="1"/>
    <col min="122" max="122" width="16.5703125" style="1241" customWidth="1"/>
    <col min="123" max="123" width="16.5703125" style="1651" customWidth="1"/>
    <col min="124" max="124" width="16.5703125" style="1238" customWidth="1"/>
    <col min="125" max="125" width="16.5703125" style="1329" customWidth="1"/>
    <col min="126" max="126" width="44.85546875" bestFit="1" customWidth="1"/>
    <col min="127" max="127" width="18.7109375" style="1239" customWidth="1"/>
    <col min="128" max="128" width="18.7109375" style="1241" customWidth="1"/>
    <col min="129" max="129" width="18.7109375" style="1239" customWidth="1"/>
  </cols>
  <sheetData>
    <row r="1" spans="1:129" ht="21" thickBot="1">
      <c r="A1" s="2182" t="s">
        <v>680</v>
      </c>
      <c r="B1" s="2183"/>
      <c r="C1" s="2183"/>
      <c r="D1" s="2183"/>
      <c r="E1" s="2183"/>
      <c r="F1" s="2183"/>
      <c r="G1" s="2183"/>
      <c r="H1" s="2183"/>
      <c r="I1" s="2183"/>
      <c r="J1" s="2183"/>
      <c r="K1" s="2183"/>
      <c r="L1" s="2184"/>
      <c r="M1" s="2183"/>
      <c r="N1" s="2183"/>
      <c r="O1" s="2183"/>
      <c r="P1" s="2193" t="s">
        <v>681</v>
      </c>
      <c r="Q1" s="2194"/>
      <c r="R1" s="2194"/>
      <c r="S1" s="2194"/>
      <c r="T1" s="2194"/>
      <c r="U1" s="2194"/>
      <c r="V1" s="2194"/>
      <c r="W1" s="2194"/>
      <c r="X1" s="2194"/>
      <c r="Y1" s="2194"/>
      <c r="Z1" s="2194"/>
      <c r="AA1" s="2194"/>
      <c r="AB1" s="2194"/>
      <c r="AC1" s="2194"/>
      <c r="AD1" s="2194"/>
      <c r="AE1" s="2194"/>
      <c r="AF1" s="2194"/>
      <c r="AG1" s="2194"/>
      <c r="AH1" s="2195"/>
      <c r="AI1" s="2195"/>
      <c r="AJ1" s="2195"/>
      <c r="AK1" s="2194"/>
      <c r="AL1" s="2194"/>
      <c r="AM1" s="2194"/>
      <c r="AN1" s="2194"/>
      <c r="AO1" s="2194"/>
      <c r="AP1" s="2194"/>
      <c r="AQ1" s="2194"/>
      <c r="AR1" s="2194"/>
      <c r="AS1" s="2196"/>
      <c r="AT1" s="2193" t="s">
        <v>59</v>
      </c>
      <c r="AU1" s="2194"/>
      <c r="AV1" s="2194"/>
      <c r="AW1" s="2194"/>
      <c r="AX1" s="2194"/>
      <c r="AY1" s="2194"/>
      <c r="AZ1" s="2194"/>
      <c r="BA1" s="2194"/>
      <c r="BB1" s="2194"/>
      <c r="BC1" s="2194"/>
      <c r="BD1" s="2194"/>
      <c r="BE1" s="2194"/>
      <c r="BF1" s="2194"/>
      <c r="BG1" s="2194"/>
      <c r="BH1" s="2194"/>
      <c r="BI1" s="2194"/>
      <c r="BJ1" s="2194"/>
      <c r="BK1" s="2194"/>
      <c r="BL1" s="2193" t="s">
        <v>682</v>
      </c>
      <c r="BM1" s="2194"/>
      <c r="BN1" s="2194"/>
      <c r="BO1" s="2196"/>
      <c r="BP1" s="1671"/>
      <c r="BQ1" s="1285" t="s">
        <v>779</v>
      </c>
      <c r="BR1" s="1283"/>
      <c r="BS1" s="1283"/>
      <c r="BT1" s="1285"/>
      <c r="BU1" s="1283"/>
      <c r="BV1" s="1283"/>
      <c r="BW1" s="1285"/>
      <c r="BX1" s="1283"/>
      <c r="BY1" s="1283"/>
      <c r="BZ1" s="1283"/>
      <c r="CA1" s="1283"/>
      <c r="CB1" s="1283"/>
      <c r="CC1" s="1285"/>
      <c r="CD1" s="1283"/>
      <c r="CE1" s="1283"/>
      <c r="CF1" s="1283"/>
      <c r="CG1" s="1283"/>
      <c r="CH1" s="1285"/>
      <c r="CI1" s="1283"/>
      <c r="CJ1" s="1283"/>
      <c r="CK1" s="1283"/>
      <c r="CL1" s="1283"/>
      <c r="CM1" s="1285"/>
      <c r="CN1" s="1231" t="s">
        <v>683</v>
      </c>
      <c r="CO1" s="1232"/>
      <c r="CP1" s="1240"/>
      <c r="CQ1" s="1232"/>
      <c r="CR1" s="1240"/>
      <c r="CS1" s="1232"/>
      <c r="CT1" s="1240"/>
      <c r="CU1" s="1232"/>
      <c r="CV1" s="1240"/>
      <c r="CW1" s="1232"/>
      <c r="CX1" s="1240"/>
      <c r="CY1" s="1230"/>
      <c r="CZ1" s="1242"/>
      <c r="DA1" s="1230"/>
      <c r="DB1" s="1242"/>
      <c r="DC1" s="1232"/>
      <c r="DD1" s="1240"/>
      <c r="DE1" s="1232"/>
      <c r="DF1" s="1240"/>
      <c r="DG1" s="1230"/>
      <c r="DH1" s="1242"/>
      <c r="DI1" s="1230"/>
      <c r="DJ1" s="1242"/>
      <c r="DK1" s="1232"/>
      <c r="DL1" s="1240"/>
      <c r="DM1" s="1232"/>
      <c r="DN1" s="1240"/>
      <c r="DO1" s="1232"/>
      <c r="DP1" s="1240"/>
      <c r="DQ1" s="1232"/>
      <c r="DR1" s="1732"/>
      <c r="DS1" s="1650"/>
      <c r="DT1" s="2197" t="s">
        <v>684</v>
      </c>
      <c r="DU1" s="2198"/>
      <c r="DV1" s="2198"/>
      <c r="DW1" s="2198"/>
      <c r="DX1" s="2199"/>
    </row>
    <row r="2" spans="1:129" ht="30.6" customHeight="1">
      <c r="A2" s="2174" t="s">
        <v>685</v>
      </c>
      <c r="B2" s="2176" t="s">
        <v>686</v>
      </c>
      <c r="C2" s="2178" t="s">
        <v>687</v>
      </c>
      <c r="D2" s="2180" t="s">
        <v>688</v>
      </c>
      <c r="E2" s="2185" t="s">
        <v>47</v>
      </c>
      <c r="F2" s="2185" t="s">
        <v>48</v>
      </c>
      <c r="G2" s="2187" t="s">
        <v>49</v>
      </c>
      <c r="H2" s="2188"/>
      <c r="I2" s="2189"/>
      <c r="J2" s="2185" t="s">
        <v>50</v>
      </c>
      <c r="K2" s="2185" t="s">
        <v>689</v>
      </c>
      <c r="L2" s="2185" t="s">
        <v>1160</v>
      </c>
      <c r="M2" s="2190" t="s">
        <v>52</v>
      </c>
      <c r="N2" s="2190" t="s">
        <v>67</v>
      </c>
      <c r="O2" s="2191" t="s">
        <v>690</v>
      </c>
      <c r="P2" s="2200" t="s">
        <v>691</v>
      </c>
      <c r="Q2" s="2201"/>
      <c r="R2" s="2202"/>
      <c r="S2" s="2173" t="s">
        <v>58</v>
      </c>
      <c r="T2" s="2173"/>
      <c r="U2" s="2173"/>
      <c r="V2" s="2173" t="s">
        <v>692</v>
      </c>
      <c r="W2" s="2173"/>
      <c r="X2" s="2173"/>
      <c r="Y2" s="2173" t="s">
        <v>60</v>
      </c>
      <c r="Z2" s="2173"/>
      <c r="AA2" s="2173"/>
      <c r="AB2" s="2173" t="s">
        <v>693</v>
      </c>
      <c r="AC2" s="2173"/>
      <c r="AD2" s="2173"/>
      <c r="AE2" s="2173" t="s">
        <v>694</v>
      </c>
      <c r="AF2" s="2173"/>
      <c r="AG2" s="2173"/>
      <c r="AH2" s="2173" t="s">
        <v>1161</v>
      </c>
      <c r="AI2" s="2173"/>
      <c r="AJ2" s="2173"/>
      <c r="AK2" s="2173" t="s">
        <v>63</v>
      </c>
      <c r="AL2" s="2173"/>
      <c r="AM2" s="2173"/>
      <c r="AN2" s="2173" t="s">
        <v>64</v>
      </c>
      <c r="AO2" s="2173"/>
      <c r="AP2" s="2173"/>
      <c r="AQ2" s="2173" t="s">
        <v>695</v>
      </c>
      <c r="AR2" s="2173"/>
      <c r="AS2" s="2205"/>
      <c r="AT2" s="2203" t="s">
        <v>78</v>
      </c>
      <c r="AU2" s="2203" t="s">
        <v>712</v>
      </c>
      <c r="AV2" s="2203" t="s">
        <v>80</v>
      </c>
      <c r="AW2" s="2203" t="s">
        <v>81</v>
      </c>
      <c r="AX2" s="2203" t="s">
        <v>82</v>
      </c>
      <c r="AY2" s="2203" t="s">
        <v>83</v>
      </c>
      <c r="AZ2" s="2203" t="s">
        <v>84</v>
      </c>
      <c r="BA2" s="2203" t="s">
        <v>85</v>
      </c>
      <c r="BB2" s="2203" t="s">
        <v>1117</v>
      </c>
      <c r="BC2" s="2203" t="s">
        <v>87</v>
      </c>
      <c r="BD2" s="2203" t="s">
        <v>88</v>
      </c>
      <c r="BE2" s="2203" t="s">
        <v>89</v>
      </c>
      <c r="BF2" s="2203" t="s">
        <v>90</v>
      </c>
      <c r="BG2" s="2203" t="s">
        <v>91</v>
      </c>
      <c r="BH2" s="2203" t="s">
        <v>92</v>
      </c>
      <c r="BI2" s="2203" t="s">
        <v>95</v>
      </c>
      <c r="BJ2" s="2203" t="s">
        <v>93</v>
      </c>
      <c r="BK2" s="2203" t="s">
        <v>94</v>
      </c>
      <c r="BL2" s="2203" t="s">
        <v>696</v>
      </c>
      <c r="BM2" s="2203" t="s">
        <v>697</v>
      </c>
      <c r="BN2" s="2203" t="s">
        <v>698</v>
      </c>
      <c r="BO2" s="2205" t="s">
        <v>699</v>
      </c>
      <c r="BP2" s="2209" t="s">
        <v>685</v>
      </c>
      <c r="BQ2" s="1351" t="s">
        <v>780</v>
      </c>
      <c r="BR2" s="1352"/>
      <c r="BS2" s="1353"/>
      <c r="BT2" s="1351" t="s">
        <v>782</v>
      </c>
      <c r="BU2" s="1352"/>
      <c r="BV2" s="1353"/>
      <c r="BW2" s="1351" t="s">
        <v>783</v>
      </c>
      <c r="BX2" s="1352"/>
      <c r="BY2" s="1353"/>
      <c r="BZ2" s="1844" t="s">
        <v>785</v>
      </c>
      <c r="CA2" s="1844"/>
      <c r="CB2" s="1844"/>
      <c r="CC2" s="1845"/>
      <c r="CD2" s="1844" t="s">
        <v>784</v>
      </c>
      <c r="CE2" s="1844"/>
      <c r="CF2" s="1844"/>
      <c r="CG2" s="1844"/>
      <c r="CH2" s="1845"/>
      <c r="CI2" s="1844" t="s">
        <v>1879</v>
      </c>
      <c r="CJ2" s="1844"/>
      <c r="CK2" s="1844"/>
      <c r="CL2" s="1844"/>
      <c r="CM2" s="1845"/>
      <c r="CN2" s="2209" t="s">
        <v>685</v>
      </c>
      <c r="CO2" s="2203" t="s">
        <v>700</v>
      </c>
      <c r="CP2" s="2206" t="s">
        <v>701</v>
      </c>
      <c r="CQ2" s="2203" t="s">
        <v>702</v>
      </c>
      <c r="CR2" s="2206" t="s">
        <v>703</v>
      </c>
      <c r="CS2" s="2203" t="s">
        <v>704</v>
      </c>
      <c r="CT2" s="2206" t="s">
        <v>705</v>
      </c>
      <c r="CU2" s="2203" t="s">
        <v>706</v>
      </c>
      <c r="CV2" s="2206" t="s">
        <v>707</v>
      </c>
      <c r="CW2" s="2203" t="s">
        <v>713</v>
      </c>
      <c r="CX2" s="2206" t="s">
        <v>714</v>
      </c>
      <c r="CY2" s="2203" t="s">
        <v>715</v>
      </c>
      <c r="CZ2" s="2206" t="s">
        <v>716</v>
      </c>
      <c r="DA2" s="2203" t="s">
        <v>717</v>
      </c>
      <c r="DB2" s="2206" t="s">
        <v>718</v>
      </c>
      <c r="DC2" s="2203" t="s">
        <v>719</v>
      </c>
      <c r="DD2" s="2206" t="s">
        <v>720</v>
      </c>
      <c r="DE2" s="2203" t="s">
        <v>722</v>
      </c>
      <c r="DF2" s="2206" t="s">
        <v>721</v>
      </c>
      <c r="DG2" s="2203" t="s">
        <v>723</v>
      </c>
      <c r="DH2" s="2206" t="s">
        <v>724</v>
      </c>
      <c r="DI2" s="2203" t="s">
        <v>727</v>
      </c>
      <c r="DJ2" s="2206" t="s">
        <v>725</v>
      </c>
      <c r="DK2" s="2203" t="s">
        <v>726</v>
      </c>
      <c r="DL2" s="2206" t="s">
        <v>728</v>
      </c>
      <c r="DM2" s="2203" t="s">
        <v>729</v>
      </c>
      <c r="DN2" s="2206" t="s">
        <v>731</v>
      </c>
      <c r="DO2" s="2203" t="s">
        <v>730</v>
      </c>
      <c r="DP2" s="2206" t="s">
        <v>732</v>
      </c>
      <c r="DQ2" s="2203" t="s">
        <v>733</v>
      </c>
      <c r="DR2" s="2212" t="s">
        <v>734</v>
      </c>
      <c r="DS2" s="2214" t="s">
        <v>1878</v>
      </c>
      <c r="DT2" s="2211" t="s">
        <v>685</v>
      </c>
      <c r="DU2" s="2216" t="s">
        <v>708</v>
      </c>
      <c r="DV2" s="2216" t="s">
        <v>709</v>
      </c>
      <c r="DW2" s="2218" t="s">
        <v>398</v>
      </c>
      <c r="DX2" s="2219" t="s">
        <v>710</v>
      </c>
    </row>
    <row r="3" spans="1:129" ht="30.75" thickBot="1">
      <c r="A3" s="2175"/>
      <c r="B3" s="2177"/>
      <c r="C3" s="2179"/>
      <c r="D3" s="2181"/>
      <c r="E3" s="2186"/>
      <c r="F3" s="2186"/>
      <c r="G3" s="1233" t="s">
        <v>68</v>
      </c>
      <c r="H3" s="1233" t="s">
        <v>69</v>
      </c>
      <c r="I3" s="1233" t="s">
        <v>70</v>
      </c>
      <c r="J3" s="2186"/>
      <c r="K3" s="2186"/>
      <c r="L3" s="2186"/>
      <c r="M3" s="2186"/>
      <c r="N3" s="2186"/>
      <c r="O3" s="2192"/>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204"/>
      <c r="AU3" s="2204"/>
      <c r="AV3" s="2204"/>
      <c r="AW3" s="2204"/>
      <c r="AX3" s="2204"/>
      <c r="AY3" s="2204"/>
      <c r="AZ3" s="2204"/>
      <c r="BA3" s="2204"/>
      <c r="BB3" s="2204"/>
      <c r="BC3" s="2204"/>
      <c r="BD3" s="2204"/>
      <c r="BE3" s="2204"/>
      <c r="BF3" s="2204"/>
      <c r="BG3" s="2204"/>
      <c r="BH3" s="2204"/>
      <c r="BI3" s="2204"/>
      <c r="BJ3" s="2204"/>
      <c r="BK3" s="2204"/>
      <c r="BL3" s="2204"/>
      <c r="BM3" s="2204"/>
      <c r="BN3" s="2204"/>
      <c r="BO3" s="2208"/>
      <c r="BP3" s="2210"/>
      <c r="BQ3" s="1286" t="s">
        <v>710</v>
      </c>
      <c r="BR3" s="1284" t="s">
        <v>398</v>
      </c>
      <c r="BS3" s="1237" t="s">
        <v>781</v>
      </c>
      <c r="BT3" s="1286" t="s">
        <v>710</v>
      </c>
      <c r="BU3" s="1284" t="s">
        <v>398</v>
      </c>
      <c r="BV3" s="1237" t="s">
        <v>781</v>
      </c>
      <c r="BW3" s="1286" t="s">
        <v>710</v>
      </c>
      <c r="BX3" s="1284" t="s">
        <v>398</v>
      </c>
      <c r="BY3" s="1237" t="s">
        <v>781</v>
      </c>
      <c r="BZ3" s="1287" t="s">
        <v>786</v>
      </c>
      <c r="CA3" s="1284" t="s">
        <v>787</v>
      </c>
      <c r="CB3" s="1284" t="s">
        <v>788</v>
      </c>
      <c r="CC3" s="1288" t="s">
        <v>789</v>
      </c>
      <c r="CD3" s="1287" t="s">
        <v>786</v>
      </c>
      <c r="CE3" s="1284" t="s">
        <v>787</v>
      </c>
      <c r="CF3" s="1284" t="s">
        <v>788</v>
      </c>
      <c r="CG3" s="1284" t="s">
        <v>1948</v>
      </c>
      <c r="CH3" s="1288" t="s">
        <v>789</v>
      </c>
      <c r="CI3" s="1287" t="s">
        <v>786</v>
      </c>
      <c r="CJ3" s="1284" t="s">
        <v>787</v>
      </c>
      <c r="CK3" s="1284" t="s">
        <v>788</v>
      </c>
      <c r="CL3" s="1284" t="s">
        <v>1948</v>
      </c>
      <c r="CM3" s="1288" t="s">
        <v>789</v>
      </c>
      <c r="CN3" s="2210"/>
      <c r="CO3" s="2204"/>
      <c r="CP3" s="2207"/>
      <c r="CQ3" s="2204"/>
      <c r="CR3" s="2207"/>
      <c r="CS3" s="2204"/>
      <c r="CT3" s="2207"/>
      <c r="CU3" s="2204"/>
      <c r="CV3" s="2207"/>
      <c r="CW3" s="2204"/>
      <c r="CX3" s="2207"/>
      <c r="CY3" s="2204"/>
      <c r="CZ3" s="2207"/>
      <c r="DA3" s="2204"/>
      <c r="DB3" s="2207"/>
      <c r="DC3" s="2204"/>
      <c r="DD3" s="2207"/>
      <c r="DE3" s="2204"/>
      <c r="DF3" s="2207"/>
      <c r="DG3" s="2204"/>
      <c r="DH3" s="2207"/>
      <c r="DI3" s="2204"/>
      <c r="DJ3" s="2207"/>
      <c r="DK3" s="2204"/>
      <c r="DL3" s="2207"/>
      <c r="DM3" s="2204"/>
      <c r="DN3" s="2207"/>
      <c r="DO3" s="2204"/>
      <c r="DP3" s="2207"/>
      <c r="DQ3" s="2204"/>
      <c r="DR3" s="2213"/>
      <c r="DS3" s="2215"/>
      <c r="DT3" s="2175"/>
      <c r="DU3" s="2217"/>
      <c r="DV3" s="2217"/>
      <c r="DW3" s="2204"/>
      <c r="DX3" s="2220"/>
    </row>
    <row r="4" spans="1:129">
      <c r="A4" s="1238">
        <v>46022</v>
      </c>
      <c r="B4" t="s">
        <v>711</v>
      </c>
      <c r="C4" s="1239">
        <v>11410540020.709999</v>
      </c>
      <c r="D4" s="1239">
        <v>0</v>
      </c>
      <c r="E4" s="1239">
        <v>58524038.359999999</v>
      </c>
      <c r="F4" s="1239">
        <v>28299915.91</v>
      </c>
      <c r="G4" s="1239">
        <v>0</v>
      </c>
      <c r="H4" s="1239">
        <v>0</v>
      </c>
      <c r="I4" s="1239">
        <v>0</v>
      </c>
      <c r="J4" s="1239">
        <v>0</v>
      </c>
      <c r="K4" s="1239">
        <v>998490.2</v>
      </c>
      <c r="L4" s="1239">
        <v>0</v>
      </c>
      <c r="M4" s="1239">
        <v>6666114.5899999999</v>
      </c>
      <c r="N4" s="1239">
        <v>1830911.06</v>
      </c>
      <c r="O4" s="1239">
        <v>11314220550.59</v>
      </c>
      <c r="P4" s="1239">
        <v>556760.09</v>
      </c>
      <c r="Q4" s="1239">
        <v>115694.64</v>
      </c>
      <c r="R4" s="1239">
        <v>0</v>
      </c>
      <c r="S4" s="1239">
        <v>212463.82</v>
      </c>
      <c r="T4" s="1239">
        <v>47612.74</v>
      </c>
      <c r="U4" s="1239">
        <v>0</v>
      </c>
      <c r="V4" s="1239">
        <v>202390.91</v>
      </c>
      <c r="W4" s="1239">
        <v>39626.28</v>
      </c>
      <c r="X4" s="1239">
        <v>0</v>
      </c>
      <c r="Y4" s="1239">
        <v>0</v>
      </c>
      <c r="Z4" s="1239">
        <v>0</v>
      </c>
      <c r="AA4" s="1239">
        <v>0</v>
      </c>
      <c r="AB4" s="1239">
        <v>0</v>
      </c>
      <c r="AC4" s="1239">
        <v>0</v>
      </c>
      <c r="AD4" s="1239">
        <v>0</v>
      </c>
      <c r="AE4" s="1239">
        <v>1027.08</v>
      </c>
      <c r="AF4" s="1239">
        <v>531</v>
      </c>
      <c r="AG4" s="1239">
        <v>0</v>
      </c>
      <c r="AH4" s="1239">
        <v>0</v>
      </c>
      <c r="AI4" s="1239">
        <v>0</v>
      </c>
      <c r="AJ4" s="1239">
        <v>0</v>
      </c>
      <c r="AK4" s="1239">
        <v>1669.38</v>
      </c>
      <c r="AL4" s="1239">
        <v>1130.08</v>
      </c>
      <c r="AM4" s="1239">
        <v>0</v>
      </c>
      <c r="AN4" s="1239">
        <v>0</v>
      </c>
      <c r="AO4" s="1239">
        <v>0</v>
      </c>
      <c r="AP4" s="1239">
        <v>0</v>
      </c>
      <c r="AQ4" s="1239">
        <v>564136.54</v>
      </c>
      <c r="AR4" s="1239">
        <v>122020.02</v>
      </c>
      <c r="AS4" s="1239">
        <v>0</v>
      </c>
      <c r="AT4" s="1239">
        <v>58311574.539999999</v>
      </c>
      <c r="AU4" s="1239">
        <v>202390.91</v>
      </c>
      <c r="AV4" s="1239">
        <v>28299915.91</v>
      </c>
      <c r="AW4" s="1239">
        <v>86813881.359999999</v>
      </c>
      <c r="AX4" s="1239">
        <v>15890388.619999999</v>
      </c>
      <c r="AY4" s="1239">
        <v>39626.28</v>
      </c>
      <c r="AZ4" s="1239">
        <v>0</v>
      </c>
      <c r="BA4" s="1239">
        <v>0</v>
      </c>
      <c r="BB4" s="1239">
        <v>0</v>
      </c>
      <c r="BC4" s="1239">
        <v>165882.74</v>
      </c>
      <c r="BD4" s="1239">
        <v>0</v>
      </c>
      <c r="BE4" s="1239">
        <v>0</v>
      </c>
      <c r="BF4" s="1239">
        <v>16095897.640000001</v>
      </c>
      <c r="BG4" s="1239">
        <v>0</v>
      </c>
      <c r="BH4" s="1239">
        <v>0</v>
      </c>
      <c r="BI4" s="1239">
        <v>0</v>
      </c>
      <c r="BJ4" s="1239">
        <v>102909779</v>
      </c>
      <c r="BK4" s="1239">
        <v>102909779</v>
      </c>
      <c r="BL4" s="1239">
        <v>12559387.16</v>
      </c>
      <c r="BM4" s="1239">
        <v>12559387.16</v>
      </c>
      <c r="BN4" s="1239">
        <v>6379.13</v>
      </c>
      <c r="BO4" s="1239">
        <v>1588.53</v>
      </c>
      <c r="BP4" s="1238">
        <v>46022</v>
      </c>
      <c r="BQ4" s="1241">
        <v>2</v>
      </c>
      <c r="BR4" s="1239">
        <v>94955.07</v>
      </c>
      <c r="BS4" s="1239">
        <v>68.259999999999991</v>
      </c>
      <c r="BT4" s="1241">
        <v>3</v>
      </c>
      <c r="BU4" s="1239">
        <v>2485301.84</v>
      </c>
      <c r="BV4" s="1239">
        <v>1794.97</v>
      </c>
      <c r="BW4" s="1241">
        <v>28</v>
      </c>
      <c r="BX4" s="1239">
        <v>4085857.6799999992</v>
      </c>
      <c r="BY4" s="1239">
        <v>4515.8999999999996</v>
      </c>
      <c r="BZ4" s="1239">
        <v>6314729.9999999991</v>
      </c>
      <c r="CA4" s="1239">
        <v>6141.46</v>
      </c>
      <c r="CB4" s="1239">
        <v>1206.92</v>
      </c>
      <c r="CC4" s="1241">
        <v>31</v>
      </c>
      <c r="CD4" s="1239">
        <v>351384.58999999997</v>
      </c>
      <c r="CE4" s="1239">
        <v>237.67</v>
      </c>
      <c r="CF4" s="1239">
        <v>1592.54</v>
      </c>
      <c r="CG4" s="1239">
        <v>0</v>
      </c>
      <c r="CH4" s="1241">
        <v>2</v>
      </c>
      <c r="CI4" s="1239">
        <v>253037.17</v>
      </c>
      <c r="CJ4" s="1239">
        <v>194.13</v>
      </c>
      <c r="CK4" s="1239">
        <v>1071.6600000000001</v>
      </c>
      <c r="CL4" s="1239">
        <v>0</v>
      </c>
      <c r="CM4" s="1241">
        <v>6</v>
      </c>
      <c r="CN4" s="1238">
        <v>46022</v>
      </c>
      <c r="CO4" s="1239">
        <v>11253127328.719999</v>
      </c>
      <c r="CP4" s="1241">
        <v>74804</v>
      </c>
      <c r="CQ4" s="1239">
        <v>35344558.509999998</v>
      </c>
      <c r="CR4" s="1241">
        <v>199</v>
      </c>
      <c r="CS4" s="1239">
        <v>11159368.609999999</v>
      </c>
      <c r="CT4" s="1241">
        <v>75</v>
      </c>
      <c r="CU4" s="1239">
        <v>5107537.99</v>
      </c>
      <c r="CV4" s="1241">
        <v>33</v>
      </c>
      <c r="CW4" s="1239">
        <v>3800389.08</v>
      </c>
      <c r="CX4" s="1241">
        <v>15</v>
      </c>
      <c r="CY4" s="1239">
        <v>1143184.33</v>
      </c>
      <c r="CZ4" s="1241">
        <v>11</v>
      </c>
      <c r="DA4" s="1239">
        <v>759349.86</v>
      </c>
      <c r="DB4" s="1241">
        <v>11</v>
      </c>
      <c r="DC4" s="1239">
        <v>719664.8</v>
      </c>
      <c r="DD4" s="1241">
        <v>6</v>
      </c>
      <c r="DE4" s="1239">
        <v>619500.30000000005</v>
      </c>
      <c r="DF4" s="1241">
        <v>6</v>
      </c>
      <c r="DG4" s="1239">
        <v>204882.79</v>
      </c>
      <c r="DH4" s="1241">
        <v>3</v>
      </c>
      <c r="DI4" s="1239">
        <v>148657.75</v>
      </c>
      <c r="DJ4" s="1241">
        <v>2</v>
      </c>
      <c r="DK4" s="1239">
        <v>1980339.32</v>
      </c>
      <c r="DL4" s="1241">
        <v>4</v>
      </c>
      <c r="DM4" s="1239">
        <v>105788.53</v>
      </c>
      <c r="DN4" s="1241">
        <v>2</v>
      </c>
      <c r="DO4" s="1239">
        <v>616282.82999999996</v>
      </c>
      <c r="DP4" s="1241">
        <v>7</v>
      </c>
      <c r="DQ4" s="1239">
        <v>0</v>
      </c>
      <c r="DR4" s="1768">
        <v>73</v>
      </c>
      <c r="DS4" s="1651">
        <v>1.6782999999999999E-2</v>
      </c>
      <c r="DT4" s="1238">
        <v>46022</v>
      </c>
      <c r="DU4" s="1328" t="s">
        <v>2067</v>
      </c>
      <c r="DV4" t="s">
        <v>424</v>
      </c>
      <c r="DW4" s="1239">
        <v>0</v>
      </c>
      <c r="DX4" s="1241">
        <v>62850</v>
      </c>
      <c r="DY4" s="1239">
        <v>0</v>
      </c>
    </row>
    <row r="5" spans="1:129">
      <c r="A5" s="1238">
        <v>46022</v>
      </c>
      <c r="B5" t="s">
        <v>340</v>
      </c>
      <c r="C5" s="1239">
        <v>253797.1</v>
      </c>
      <c r="D5" s="1239">
        <v>0</v>
      </c>
      <c r="E5" s="1239">
        <v>382967.3</v>
      </c>
      <c r="F5" s="1239">
        <v>0</v>
      </c>
      <c r="G5" s="1239">
        <v>0</v>
      </c>
      <c r="H5" s="1239">
        <v>0</v>
      </c>
      <c r="I5" s="1239">
        <v>0</v>
      </c>
      <c r="J5" s="1239">
        <v>0</v>
      </c>
      <c r="K5" s="1239">
        <v>998490.2</v>
      </c>
      <c r="L5" s="1239">
        <v>0</v>
      </c>
      <c r="M5" s="1239">
        <v>253037.17</v>
      </c>
      <c r="N5" s="1239">
        <v>0</v>
      </c>
      <c r="O5" s="1239">
        <v>616282.82999999996</v>
      </c>
      <c r="P5" s="1239">
        <v>5018.46</v>
      </c>
      <c r="Q5" s="1239">
        <v>1157.96</v>
      </c>
      <c r="R5" s="1239">
        <v>0</v>
      </c>
      <c r="S5" s="1239">
        <v>378732.25</v>
      </c>
      <c r="T5" s="1239">
        <v>220.5</v>
      </c>
      <c r="U5" s="1239">
        <v>0</v>
      </c>
      <c r="V5" s="1239">
        <v>3983.18</v>
      </c>
      <c r="W5" s="1239">
        <v>1123.48</v>
      </c>
      <c r="X5" s="1239">
        <v>0</v>
      </c>
      <c r="Y5" s="1239">
        <v>0</v>
      </c>
      <c r="Z5" s="1239">
        <v>0</v>
      </c>
      <c r="AA5" s="1239">
        <v>0</v>
      </c>
      <c r="AB5" s="1239">
        <v>0</v>
      </c>
      <c r="AC5" s="1239">
        <v>0</v>
      </c>
      <c r="AD5" s="1239">
        <v>0</v>
      </c>
      <c r="AE5" s="1239">
        <v>1027.08</v>
      </c>
      <c r="AF5" s="1239">
        <v>531</v>
      </c>
      <c r="AG5" s="1239">
        <v>0</v>
      </c>
      <c r="AH5" s="1239">
        <v>0</v>
      </c>
      <c r="AI5" s="1239">
        <v>0</v>
      </c>
      <c r="AJ5" s="1239">
        <v>0</v>
      </c>
      <c r="AK5" s="1239">
        <v>1035.28</v>
      </c>
      <c r="AL5" s="1239">
        <v>36.380000000000003</v>
      </c>
      <c r="AM5" s="1239">
        <v>0</v>
      </c>
      <c r="AN5" s="1239">
        <v>0</v>
      </c>
      <c r="AO5" s="1239">
        <v>0</v>
      </c>
      <c r="AP5" s="1239">
        <v>0</v>
      </c>
      <c r="AQ5" s="1239">
        <v>379759.33</v>
      </c>
      <c r="AR5" s="1239">
        <v>749.6</v>
      </c>
      <c r="AS5" s="1239">
        <v>0</v>
      </c>
      <c r="AT5" s="1239">
        <v>4235.05</v>
      </c>
      <c r="AU5" s="1239">
        <v>3983.18</v>
      </c>
      <c r="AV5" s="1239">
        <v>0</v>
      </c>
      <c r="AW5" s="1239">
        <v>8218.23</v>
      </c>
      <c r="AX5" s="1239">
        <v>975.5</v>
      </c>
      <c r="AY5" s="1239">
        <v>1123.48</v>
      </c>
      <c r="AZ5" s="1239">
        <v>0</v>
      </c>
      <c r="BA5" s="1239">
        <v>0</v>
      </c>
      <c r="BB5" s="1239">
        <v>0</v>
      </c>
      <c r="BC5" s="1239">
        <v>0</v>
      </c>
      <c r="BD5" s="1239">
        <v>0</v>
      </c>
      <c r="BE5" s="1239">
        <v>0</v>
      </c>
      <c r="BF5" s="1239">
        <v>2098.98</v>
      </c>
      <c r="BG5" s="1239">
        <v>0</v>
      </c>
      <c r="BH5" s="1239">
        <v>0</v>
      </c>
      <c r="BI5" s="1239">
        <v>0</v>
      </c>
      <c r="BJ5" s="1239">
        <v>10317.209999999999</v>
      </c>
      <c r="BK5" s="1239">
        <v>10317.209999999999</v>
      </c>
      <c r="BL5" s="1239">
        <v>860.52</v>
      </c>
      <c r="BM5" s="1239">
        <v>860.52</v>
      </c>
      <c r="BN5" s="1239">
        <v>194.13</v>
      </c>
      <c r="BO5" s="1239">
        <v>0</v>
      </c>
      <c r="BP5" s="1238">
        <v>45991</v>
      </c>
      <c r="BQ5" s="1241">
        <v>2</v>
      </c>
      <c r="BR5" s="1239">
        <v>117467.51000000001</v>
      </c>
      <c r="BS5" s="1239">
        <v>97.600000000000009</v>
      </c>
      <c r="BT5" s="1241">
        <v>3</v>
      </c>
      <c r="BU5" s="1239">
        <v>572210.66999999993</v>
      </c>
      <c r="BV5" s="1239">
        <v>557.45999999999992</v>
      </c>
      <c r="BW5" s="1241">
        <v>28</v>
      </c>
      <c r="BX5" s="1239">
        <v>3832595.1799999988</v>
      </c>
      <c r="BY5" s="1239">
        <v>4311.12</v>
      </c>
      <c r="BZ5" s="1239">
        <v>4397497.5299999984</v>
      </c>
      <c r="CA5" s="1239">
        <v>4876.8999999999996</v>
      </c>
      <c r="CB5" s="1239">
        <v>0</v>
      </c>
      <c r="CC5" s="1241">
        <v>32</v>
      </c>
      <c r="CD5" s="1239">
        <v>124775.83</v>
      </c>
      <c r="CE5" s="1239">
        <v>89.28</v>
      </c>
      <c r="CF5" s="1239">
        <v>0</v>
      </c>
      <c r="CG5" s="1239">
        <v>0</v>
      </c>
      <c r="CH5" s="1241">
        <v>1</v>
      </c>
      <c r="CI5" s="1239">
        <v>210535.09</v>
      </c>
      <c r="CJ5" s="1239">
        <v>0</v>
      </c>
      <c r="CK5" s="1239">
        <v>19588.48</v>
      </c>
      <c r="CL5" s="1239">
        <v>0</v>
      </c>
      <c r="CM5" s="1241">
        <v>3</v>
      </c>
      <c r="CN5" s="1238">
        <v>45991</v>
      </c>
      <c r="CO5" s="1239">
        <v>11346607692.01</v>
      </c>
      <c r="CP5" s="1241">
        <v>75112</v>
      </c>
      <c r="CQ5" s="1239">
        <v>39436167.170000002</v>
      </c>
      <c r="CR5" s="1241">
        <v>234</v>
      </c>
      <c r="CS5" s="1239">
        <v>11439894.35</v>
      </c>
      <c r="CT5" s="1241">
        <v>67</v>
      </c>
      <c r="CU5" s="1239">
        <v>5323863.7699999996</v>
      </c>
      <c r="CV5" s="1241">
        <v>23</v>
      </c>
      <c r="CW5" s="1239">
        <v>2391343.63</v>
      </c>
      <c r="CX5" s="1241">
        <v>20</v>
      </c>
      <c r="CY5" s="1239">
        <v>805448.37</v>
      </c>
      <c r="CZ5" s="1241">
        <v>14</v>
      </c>
      <c r="DA5" s="1239">
        <v>1071613.51</v>
      </c>
      <c r="DB5" s="1241">
        <v>9</v>
      </c>
      <c r="DC5" s="1239">
        <v>695252.28</v>
      </c>
      <c r="DD5" s="1241">
        <v>8</v>
      </c>
      <c r="DE5" s="1239">
        <v>518862.44</v>
      </c>
      <c r="DF5" s="1241">
        <v>3</v>
      </c>
      <c r="DG5" s="1239">
        <v>149956.5</v>
      </c>
      <c r="DH5" s="1241">
        <v>2</v>
      </c>
      <c r="DI5" s="1239">
        <v>2013086.36</v>
      </c>
      <c r="DJ5" s="1241">
        <v>5</v>
      </c>
      <c r="DK5" s="1239">
        <v>86840.320000000007</v>
      </c>
      <c r="DL5" s="1241">
        <v>1</v>
      </c>
      <c r="DM5" s="1239">
        <v>0</v>
      </c>
      <c r="DN5" s="1241">
        <v>0</v>
      </c>
      <c r="DO5" s="1239">
        <v>253797.1</v>
      </c>
      <c r="DP5" s="1241">
        <v>7</v>
      </c>
      <c r="DQ5" s="1239">
        <v>0</v>
      </c>
      <c r="DR5" s="1241">
        <v>66</v>
      </c>
      <c r="DS5" s="1651">
        <v>1.6775999999999999E-2</v>
      </c>
      <c r="DT5" s="1238">
        <v>46022</v>
      </c>
      <c r="DU5" s="1328" t="s">
        <v>790</v>
      </c>
      <c r="DV5" t="s">
        <v>445</v>
      </c>
      <c r="DW5" s="1239">
        <v>65368969.219999999</v>
      </c>
      <c r="DX5" s="1241">
        <v>2730</v>
      </c>
      <c r="DY5" s="1239">
        <v>100650577.04000001</v>
      </c>
    </row>
    <row r="6" spans="1:129">
      <c r="A6" s="1238">
        <v>45991</v>
      </c>
      <c r="B6" t="s">
        <v>711</v>
      </c>
      <c r="C6" s="1239">
        <v>11501221849.950001</v>
      </c>
      <c r="D6" s="1239">
        <v>0</v>
      </c>
      <c r="E6" s="1239">
        <v>59631882.020000003</v>
      </c>
      <c r="F6" s="1239">
        <v>24036133.25</v>
      </c>
      <c r="G6" s="1239">
        <v>0</v>
      </c>
      <c r="H6" s="1239">
        <v>0</v>
      </c>
      <c r="I6" s="1239">
        <v>0</v>
      </c>
      <c r="J6" s="1239">
        <v>0</v>
      </c>
      <c r="K6" s="1239">
        <v>563823.34</v>
      </c>
      <c r="L6" s="1239">
        <v>0</v>
      </c>
      <c r="M6" s="1239">
        <v>4522273.3600000003</v>
      </c>
      <c r="N6" s="1239">
        <v>1927717.27</v>
      </c>
      <c r="O6" s="1239">
        <v>11410540020.709999</v>
      </c>
      <c r="P6" s="1239">
        <v>401562.93</v>
      </c>
      <c r="Q6" s="1239">
        <v>77747.23</v>
      </c>
      <c r="R6" s="1239">
        <v>0</v>
      </c>
      <c r="S6" s="1239">
        <v>274989.53000000003</v>
      </c>
      <c r="T6" s="1239">
        <v>60552.51</v>
      </c>
      <c r="U6" s="1239">
        <v>0</v>
      </c>
      <c r="V6" s="1239">
        <v>114071.03999999999</v>
      </c>
      <c r="W6" s="1239">
        <v>21453.08</v>
      </c>
      <c r="X6" s="1239">
        <v>0</v>
      </c>
      <c r="Y6" s="1239">
        <v>0</v>
      </c>
      <c r="Z6" s="1239">
        <v>0</v>
      </c>
      <c r="AA6" s="1239">
        <v>0</v>
      </c>
      <c r="AB6" s="1239">
        <v>0</v>
      </c>
      <c r="AC6" s="1239">
        <v>0</v>
      </c>
      <c r="AD6" s="1239">
        <v>0</v>
      </c>
      <c r="AE6" s="1239">
        <v>5721.33</v>
      </c>
      <c r="AF6" s="1239">
        <v>1152.02</v>
      </c>
      <c r="AG6" s="1239">
        <v>0</v>
      </c>
      <c r="AH6" s="1239">
        <v>0</v>
      </c>
      <c r="AI6" s="1239">
        <v>0</v>
      </c>
      <c r="AJ6" s="1239">
        <v>0</v>
      </c>
      <c r="AK6" s="1239">
        <v>0</v>
      </c>
      <c r="AL6" s="1239">
        <v>0</v>
      </c>
      <c r="AM6" s="1239">
        <v>0</v>
      </c>
      <c r="AN6" s="1239">
        <v>0</v>
      </c>
      <c r="AO6" s="1239">
        <v>0</v>
      </c>
      <c r="AP6" s="1239">
        <v>0</v>
      </c>
      <c r="AQ6" s="1239">
        <v>556760.09</v>
      </c>
      <c r="AR6" s="1239">
        <v>115694.64</v>
      </c>
      <c r="AS6" s="1239">
        <v>0</v>
      </c>
      <c r="AT6" s="1239">
        <v>59356892.490000002</v>
      </c>
      <c r="AU6" s="1239">
        <v>114071.03999999999</v>
      </c>
      <c r="AV6" s="1239">
        <v>24036133.25</v>
      </c>
      <c r="AW6" s="1239">
        <v>83507096.780000001</v>
      </c>
      <c r="AX6" s="1239">
        <v>16018641.640000001</v>
      </c>
      <c r="AY6" s="1239">
        <v>21453.08</v>
      </c>
      <c r="AZ6" s="1239">
        <v>0</v>
      </c>
      <c r="BA6" s="1239">
        <v>0</v>
      </c>
      <c r="BB6" s="1239">
        <v>0</v>
      </c>
      <c r="BC6" s="1239">
        <v>171150.36</v>
      </c>
      <c r="BD6" s="1239">
        <v>0</v>
      </c>
      <c r="BE6" s="1239">
        <v>0</v>
      </c>
      <c r="BF6" s="1239">
        <v>16211245.08</v>
      </c>
      <c r="BG6" s="1239">
        <v>0</v>
      </c>
      <c r="BH6" s="1239">
        <v>0</v>
      </c>
      <c r="BI6" s="1239">
        <v>0</v>
      </c>
      <c r="BJ6" s="1239">
        <v>99718341.859999999</v>
      </c>
      <c r="BK6" s="1239">
        <v>99718341.859999999</v>
      </c>
      <c r="BL6" s="1239">
        <v>12539551.01</v>
      </c>
      <c r="BM6" s="1239">
        <v>12539551.01</v>
      </c>
      <c r="BN6" s="1239">
        <v>4966.18</v>
      </c>
      <c r="BO6" s="1239">
        <v>1664.76</v>
      </c>
      <c r="BP6" s="1238">
        <v>45961</v>
      </c>
      <c r="BQ6" s="1241">
        <v>4</v>
      </c>
      <c r="BR6" s="1239">
        <v>531251.02</v>
      </c>
      <c r="BS6" s="1239">
        <v>860.11999999999989</v>
      </c>
      <c r="BT6" s="1241">
        <v>69</v>
      </c>
      <c r="BU6" s="1239">
        <v>16480703.700000001</v>
      </c>
      <c r="BV6" s="1239">
        <v>13733.740000000002</v>
      </c>
      <c r="BW6" s="1241">
        <v>0</v>
      </c>
      <c r="BX6" s="1239">
        <v>0</v>
      </c>
      <c r="BY6" s="1239">
        <v>0</v>
      </c>
      <c r="BZ6" s="1239">
        <v>16920356.800000001</v>
      </c>
      <c r="CA6" s="1239">
        <v>14538.29</v>
      </c>
      <c r="CB6" s="1239">
        <v>3595.38</v>
      </c>
      <c r="CC6" s="1241">
        <v>72</v>
      </c>
      <c r="CD6" s="1239">
        <v>91597.92</v>
      </c>
      <c r="CE6" s="1239">
        <v>55.57</v>
      </c>
      <c r="CF6" s="1239">
        <v>0</v>
      </c>
      <c r="CG6" s="1239">
        <v>0</v>
      </c>
      <c r="CH6" s="1241">
        <v>1</v>
      </c>
      <c r="CI6" s="1239">
        <v>0</v>
      </c>
      <c r="CJ6" s="1239">
        <v>0</v>
      </c>
      <c r="CK6" s="1239">
        <v>0</v>
      </c>
      <c r="CL6" s="1239">
        <v>0</v>
      </c>
      <c r="CM6" s="1241">
        <v>0</v>
      </c>
      <c r="CN6" s="1238">
        <v>45961</v>
      </c>
      <c r="CO6" s="1239">
        <v>11450567231.139999</v>
      </c>
      <c r="CP6" s="1241">
        <v>75475</v>
      </c>
      <c r="CQ6" s="1239">
        <v>27825823.879999999</v>
      </c>
      <c r="CR6" s="1241">
        <v>159</v>
      </c>
      <c r="CS6" s="1239">
        <v>11047178.52</v>
      </c>
      <c r="CT6" s="1241">
        <v>58</v>
      </c>
      <c r="CU6" s="1239">
        <v>4763834.8499999996</v>
      </c>
      <c r="CV6" s="1241">
        <v>28</v>
      </c>
      <c r="CW6" s="1239">
        <v>1556628.24</v>
      </c>
      <c r="CX6" s="1241">
        <v>18</v>
      </c>
      <c r="CY6" s="1239">
        <v>1561937.22</v>
      </c>
      <c r="CZ6" s="1241">
        <v>13</v>
      </c>
      <c r="DA6" s="1239">
        <v>868711.64</v>
      </c>
      <c r="DB6" s="1241">
        <v>10</v>
      </c>
      <c r="DC6" s="1239">
        <v>634010.34</v>
      </c>
      <c r="DD6" s="1241">
        <v>4</v>
      </c>
      <c r="DE6" s="1239">
        <v>151253.07999999999</v>
      </c>
      <c r="DF6" s="1241">
        <v>2</v>
      </c>
      <c r="DG6" s="1239">
        <v>2026597.8</v>
      </c>
      <c r="DH6" s="1241">
        <v>5</v>
      </c>
      <c r="DI6" s="1239">
        <v>87109.5</v>
      </c>
      <c r="DJ6" s="1241">
        <v>1</v>
      </c>
      <c r="DK6" s="1239">
        <v>0</v>
      </c>
      <c r="DL6" s="1241">
        <v>0</v>
      </c>
      <c r="DM6" s="1239">
        <v>131533.74</v>
      </c>
      <c r="DN6" s="1241">
        <v>1</v>
      </c>
      <c r="DO6" s="1239">
        <v>210535.09</v>
      </c>
      <c r="DP6" s="1241">
        <v>3</v>
      </c>
      <c r="DQ6" s="1239">
        <v>0</v>
      </c>
      <c r="DR6" s="1241">
        <v>59</v>
      </c>
      <c r="DS6" s="1651">
        <v>1.6775000000000002E-2</v>
      </c>
      <c r="DT6" s="1238">
        <v>46022</v>
      </c>
      <c r="DU6" s="1328" t="s">
        <v>791</v>
      </c>
      <c r="DV6" t="s">
        <v>446</v>
      </c>
      <c r="DW6" s="1239">
        <v>626895738</v>
      </c>
      <c r="DX6" s="1241">
        <v>12913</v>
      </c>
      <c r="DY6" s="1239">
        <v>983583757.85000002</v>
      </c>
    </row>
    <row r="7" spans="1:129">
      <c r="A7" s="1238">
        <v>45991</v>
      </c>
      <c r="B7" t="s">
        <v>340</v>
      </c>
      <c r="C7" s="1239">
        <v>210535.09</v>
      </c>
      <c r="D7" s="1239">
        <v>0</v>
      </c>
      <c r="E7" s="1239">
        <v>310026.23999999999</v>
      </c>
      <c r="F7" s="1239">
        <v>0</v>
      </c>
      <c r="G7" s="1239">
        <v>0</v>
      </c>
      <c r="H7" s="1239">
        <v>0</v>
      </c>
      <c r="I7" s="1239">
        <v>0</v>
      </c>
      <c r="J7" s="1239">
        <v>0</v>
      </c>
      <c r="K7" s="1239">
        <v>563823.34</v>
      </c>
      <c r="L7" s="1239">
        <v>0</v>
      </c>
      <c r="M7" s="1239">
        <v>210535.09</v>
      </c>
      <c r="N7" s="1239">
        <v>0</v>
      </c>
      <c r="O7" s="1239">
        <v>253797.1</v>
      </c>
      <c r="P7" s="1239">
        <v>19395.57</v>
      </c>
      <c r="Q7" s="1239">
        <v>192.91</v>
      </c>
      <c r="R7" s="1239">
        <v>0</v>
      </c>
      <c r="S7" s="1239">
        <v>1321.45</v>
      </c>
      <c r="T7" s="1239">
        <v>370.57</v>
      </c>
      <c r="U7" s="1239">
        <v>0</v>
      </c>
      <c r="V7" s="1239">
        <v>2024.32</v>
      </c>
      <c r="W7" s="1239">
        <v>364.63</v>
      </c>
      <c r="X7" s="1239">
        <v>0</v>
      </c>
      <c r="Y7" s="1239">
        <v>0</v>
      </c>
      <c r="Z7" s="1239">
        <v>0</v>
      </c>
      <c r="AA7" s="1239">
        <v>0</v>
      </c>
      <c r="AB7" s="1239">
        <v>0</v>
      </c>
      <c r="AC7" s="1239">
        <v>0</v>
      </c>
      <c r="AD7" s="1239">
        <v>0</v>
      </c>
      <c r="AE7" s="1239">
        <v>5721.33</v>
      </c>
      <c r="AF7" s="1239">
        <v>1152.02</v>
      </c>
      <c r="AG7" s="1239">
        <v>0</v>
      </c>
      <c r="AH7" s="1239">
        <v>0</v>
      </c>
      <c r="AI7" s="1239">
        <v>0</v>
      </c>
      <c r="AJ7" s="1239">
        <v>0</v>
      </c>
      <c r="AK7" s="1239">
        <v>19395.57</v>
      </c>
      <c r="AL7" s="1239">
        <v>192.91</v>
      </c>
      <c r="AM7" s="1239">
        <v>0</v>
      </c>
      <c r="AN7" s="1239">
        <v>0</v>
      </c>
      <c r="AO7" s="1239">
        <v>0</v>
      </c>
      <c r="AP7" s="1239">
        <v>0</v>
      </c>
      <c r="AQ7" s="1239">
        <v>5018.46</v>
      </c>
      <c r="AR7" s="1239">
        <v>1157.96</v>
      </c>
      <c r="AS7" s="1239">
        <v>0</v>
      </c>
      <c r="AT7" s="1239">
        <v>308704.78999999998</v>
      </c>
      <c r="AU7" s="1239">
        <v>2024.32</v>
      </c>
      <c r="AV7" s="1239">
        <v>0</v>
      </c>
      <c r="AW7" s="1239">
        <v>310729.11</v>
      </c>
      <c r="AX7" s="1239">
        <v>530.45000000000005</v>
      </c>
      <c r="AY7" s="1239">
        <v>364.63</v>
      </c>
      <c r="AZ7" s="1239">
        <v>0</v>
      </c>
      <c r="BA7" s="1239">
        <v>0</v>
      </c>
      <c r="BB7" s="1239">
        <v>0</v>
      </c>
      <c r="BC7" s="1239">
        <v>0</v>
      </c>
      <c r="BD7" s="1239">
        <v>0</v>
      </c>
      <c r="BE7" s="1239">
        <v>0</v>
      </c>
      <c r="BF7" s="1239">
        <v>895.08</v>
      </c>
      <c r="BG7" s="1239">
        <v>0</v>
      </c>
      <c r="BH7" s="1239">
        <v>0</v>
      </c>
      <c r="BI7" s="1239">
        <v>0</v>
      </c>
      <c r="BJ7" s="1239">
        <v>311624.19</v>
      </c>
      <c r="BK7" s="1239">
        <v>311624.19</v>
      </c>
      <c r="BL7" s="1239">
        <v>194.86</v>
      </c>
      <c r="BM7" s="1239">
        <v>194.86</v>
      </c>
      <c r="BN7" s="1239">
        <v>0</v>
      </c>
      <c r="BO7" s="1239">
        <v>0</v>
      </c>
      <c r="BP7" s="1238">
        <v>45930</v>
      </c>
      <c r="BQ7" s="1241">
        <v>3</v>
      </c>
      <c r="BR7" s="1239">
        <v>226821.57</v>
      </c>
      <c r="BS7" s="1239">
        <v>128.74</v>
      </c>
      <c r="BT7" s="1241">
        <v>26</v>
      </c>
      <c r="BU7" s="1239">
        <v>3436121.1</v>
      </c>
      <c r="BV7" s="1239">
        <v>2889.5200000000004</v>
      </c>
      <c r="BW7" s="1241">
        <v>0</v>
      </c>
      <c r="BX7" s="1239">
        <v>0</v>
      </c>
      <c r="BY7" s="1239">
        <v>0</v>
      </c>
      <c r="BZ7" s="1239">
        <v>3615386.7300000004</v>
      </c>
      <c r="CA7" s="1239">
        <v>3000.33</v>
      </c>
      <c r="CB7" s="1239">
        <v>0</v>
      </c>
      <c r="CC7" s="1241">
        <v>28</v>
      </c>
      <c r="CD7" s="1239">
        <v>47555.94</v>
      </c>
      <c r="CE7" s="1239">
        <v>17.93</v>
      </c>
      <c r="CF7" s="1239">
        <v>1682.74</v>
      </c>
      <c r="CG7" s="1239">
        <v>0</v>
      </c>
      <c r="CH7" s="1241">
        <v>1</v>
      </c>
      <c r="CI7" s="1239">
        <v>738031.12999999989</v>
      </c>
      <c r="CJ7" s="1239">
        <v>544.57000000000005</v>
      </c>
      <c r="CK7" s="1239">
        <v>1737.02</v>
      </c>
      <c r="CL7" s="1239">
        <v>0</v>
      </c>
      <c r="CM7" s="1241">
        <v>10</v>
      </c>
      <c r="CN7" s="1238">
        <v>45930</v>
      </c>
      <c r="CO7" s="1239">
        <v>11570315320.68</v>
      </c>
      <c r="CP7" s="1241">
        <v>75865</v>
      </c>
      <c r="CQ7" s="1239">
        <v>20809808.390000001</v>
      </c>
      <c r="CR7" s="1241">
        <v>149</v>
      </c>
      <c r="CS7" s="1239">
        <v>10684438.75</v>
      </c>
      <c r="CT7" s="1241">
        <v>56</v>
      </c>
      <c r="CU7" s="1239">
        <v>3548474.18</v>
      </c>
      <c r="CV7" s="1241">
        <v>32</v>
      </c>
      <c r="CW7" s="1239">
        <v>3022878.48</v>
      </c>
      <c r="CX7" s="1241">
        <v>22</v>
      </c>
      <c r="CY7" s="1239">
        <v>1217894.76</v>
      </c>
      <c r="CZ7" s="1241">
        <v>15</v>
      </c>
      <c r="DA7" s="1239">
        <v>1982216.38</v>
      </c>
      <c r="DB7" s="1241">
        <v>7</v>
      </c>
      <c r="DC7" s="1239">
        <v>152547.49</v>
      </c>
      <c r="DD7" s="1241">
        <v>2</v>
      </c>
      <c r="DE7" s="1239">
        <v>2040091.45</v>
      </c>
      <c r="DF7" s="1241">
        <v>5</v>
      </c>
      <c r="DG7" s="1239">
        <v>87378.27</v>
      </c>
      <c r="DH7" s="1241">
        <v>1</v>
      </c>
      <c r="DI7" s="1239">
        <v>0</v>
      </c>
      <c r="DJ7" s="1241">
        <v>0</v>
      </c>
      <c r="DK7" s="1239">
        <v>132098.12</v>
      </c>
      <c r="DL7" s="1241">
        <v>1</v>
      </c>
      <c r="DM7" s="1239">
        <v>0</v>
      </c>
      <c r="DN7" s="1241">
        <v>0</v>
      </c>
      <c r="DO7" s="1239">
        <v>413299.32</v>
      </c>
      <c r="DP7" s="1241">
        <v>6</v>
      </c>
      <c r="DQ7" s="1239">
        <v>0</v>
      </c>
      <c r="DR7" s="1241">
        <v>56</v>
      </c>
      <c r="DS7" s="1651">
        <v>1.6766E-2</v>
      </c>
      <c r="DT7" s="1238">
        <v>46022</v>
      </c>
      <c r="DU7" s="1328" t="s">
        <v>792</v>
      </c>
      <c r="DV7" t="s">
        <v>447</v>
      </c>
      <c r="DW7" s="1239">
        <v>2239838310.6100001</v>
      </c>
      <c r="DX7" s="1241">
        <v>24538</v>
      </c>
      <c r="DY7" s="1239">
        <v>3167333414.9699998</v>
      </c>
    </row>
    <row r="8" spans="1:129">
      <c r="A8" s="1238">
        <v>45961</v>
      </c>
      <c r="B8" t="s">
        <v>711</v>
      </c>
      <c r="C8" s="1239">
        <v>11613993146.950001</v>
      </c>
      <c r="D8" s="1239">
        <v>0</v>
      </c>
      <c r="E8" s="1239">
        <v>60920128.090000004</v>
      </c>
      <c r="F8" s="1239">
        <v>30948441.43</v>
      </c>
      <c r="G8" s="1239">
        <v>0</v>
      </c>
      <c r="H8" s="1239">
        <v>0</v>
      </c>
      <c r="I8" s="1239">
        <v>0</v>
      </c>
      <c r="J8" s="1239">
        <v>0</v>
      </c>
      <c r="K8" s="1239">
        <v>229091.41</v>
      </c>
      <c r="L8" s="1239">
        <v>0</v>
      </c>
      <c r="M8" s="1239">
        <v>17011954.719999999</v>
      </c>
      <c r="N8" s="1239">
        <v>3661681.35</v>
      </c>
      <c r="O8" s="1239">
        <v>11501221849.950001</v>
      </c>
      <c r="P8" s="1239">
        <v>337301.18</v>
      </c>
      <c r="Q8" s="1239">
        <v>63173.58</v>
      </c>
      <c r="R8" s="1239">
        <v>0</v>
      </c>
      <c r="S8" s="1239">
        <v>218614.39</v>
      </c>
      <c r="T8" s="1239">
        <v>39904.74</v>
      </c>
      <c r="U8" s="1239">
        <v>0</v>
      </c>
      <c r="V8" s="1239">
        <v>149461.65</v>
      </c>
      <c r="W8" s="1239">
        <v>24638.29</v>
      </c>
      <c r="X8" s="1239">
        <v>0</v>
      </c>
      <c r="Y8" s="1239">
        <v>0</v>
      </c>
      <c r="Z8" s="1239">
        <v>0</v>
      </c>
      <c r="AA8" s="1239">
        <v>0</v>
      </c>
      <c r="AB8" s="1239">
        <v>0</v>
      </c>
      <c r="AC8" s="1239">
        <v>0</v>
      </c>
      <c r="AD8" s="1239">
        <v>0</v>
      </c>
      <c r="AE8" s="1239">
        <v>1821.86</v>
      </c>
      <c r="AF8" s="1239">
        <v>166.55</v>
      </c>
      <c r="AG8" s="1239">
        <v>0</v>
      </c>
      <c r="AH8" s="1239">
        <v>0</v>
      </c>
      <c r="AI8" s="1239">
        <v>0</v>
      </c>
      <c r="AJ8" s="1239">
        <v>0</v>
      </c>
      <c r="AK8" s="1239">
        <v>3069.13</v>
      </c>
      <c r="AL8" s="1239">
        <v>526.25</v>
      </c>
      <c r="AM8" s="1239">
        <v>0</v>
      </c>
      <c r="AN8" s="1239">
        <v>0</v>
      </c>
      <c r="AO8" s="1239">
        <v>0</v>
      </c>
      <c r="AP8" s="1239">
        <v>0</v>
      </c>
      <c r="AQ8" s="1239">
        <v>401562.93</v>
      </c>
      <c r="AR8" s="1239">
        <v>77747.23</v>
      </c>
      <c r="AS8" s="1239">
        <v>0</v>
      </c>
      <c r="AT8" s="1239">
        <v>60701513.700000003</v>
      </c>
      <c r="AU8" s="1239">
        <v>149461.65</v>
      </c>
      <c r="AV8" s="1239">
        <v>30948441.43</v>
      </c>
      <c r="AW8" s="1239">
        <v>91799416.780000001</v>
      </c>
      <c r="AX8" s="1239">
        <v>10924064.09</v>
      </c>
      <c r="AY8" s="1239">
        <v>24638.29</v>
      </c>
      <c r="AZ8" s="1239">
        <v>0</v>
      </c>
      <c r="BA8" s="1239">
        <v>0</v>
      </c>
      <c r="BB8" s="1239">
        <v>0</v>
      </c>
      <c r="BC8" s="1239">
        <v>193654.97</v>
      </c>
      <c r="BD8" s="1239">
        <v>0</v>
      </c>
      <c r="BE8" s="1239">
        <v>0</v>
      </c>
      <c r="BF8" s="1239">
        <v>11142357.35</v>
      </c>
      <c r="BG8" s="1239">
        <v>0</v>
      </c>
      <c r="BH8" s="1239">
        <v>0</v>
      </c>
      <c r="BI8" s="1239">
        <v>0</v>
      </c>
      <c r="BJ8" s="1239">
        <v>102941774.13</v>
      </c>
      <c r="BK8" s="1239">
        <v>102941774.13</v>
      </c>
      <c r="BL8" s="1239">
        <v>12775388.98</v>
      </c>
      <c r="BM8" s="1239">
        <v>12775388.98</v>
      </c>
      <c r="BN8" s="1239">
        <v>14593.86</v>
      </c>
      <c r="BO8" s="1239">
        <v>3195.85</v>
      </c>
      <c r="BP8" s="1238">
        <v>45900</v>
      </c>
      <c r="BQ8" s="1241">
        <v>2</v>
      </c>
      <c r="BR8" s="1239">
        <v>275408</v>
      </c>
      <c r="BS8" s="1239">
        <v>152.67000000000002</v>
      </c>
      <c r="BT8" s="1241">
        <v>22</v>
      </c>
      <c r="BU8" s="1239">
        <v>4528335.8899999997</v>
      </c>
      <c r="BV8" s="1239">
        <v>3529.58</v>
      </c>
      <c r="BW8" s="1241">
        <v>0</v>
      </c>
      <c r="BX8" s="1239">
        <v>0</v>
      </c>
      <c r="BY8" s="1239">
        <v>0</v>
      </c>
      <c r="BZ8" s="1239">
        <v>4803743.8899999997</v>
      </c>
      <c r="CA8" s="1239">
        <v>3682.25</v>
      </c>
      <c r="CB8" s="1239">
        <v>0</v>
      </c>
      <c r="CC8" s="1241">
        <v>24</v>
      </c>
      <c r="CD8" s="1239">
        <v>0</v>
      </c>
      <c r="CE8" s="1239">
        <v>0</v>
      </c>
      <c r="CF8" s="1239">
        <v>0</v>
      </c>
      <c r="CG8" s="1239">
        <v>0</v>
      </c>
      <c r="CH8" s="1241">
        <v>0</v>
      </c>
      <c r="CI8" s="1239">
        <v>615408.64000000001</v>
      </c>
      <c r="CJ8" s="1239">
        <v>467.13</v>
      </c>
      <c r="CK8" s="1239">
        <v>2943.67</v>
      </c>
      <c r="CL8" s="1239">
        <v>173771.76800000001</v>
      </c>
      <c r="CM8" s="1241">
        <v>5</v>
      </c>
      <c r="CN8" s="1238">
        <v>45900</v>
      </c>
      <c r="CO8" s="1239">
        <v>7384905193.1400003</v>
      </c>
      <c r="CP8" s="1241">
        <v>54241</v>
      </c>
      <c r="CQ8" s="1239">
        <v>24062889.48</v>
      </c>
      <c r="CR8" s="1241">
        <v>166</v>
      </c>
      <c r="CS8" s="1239">
        <v>9283792.9700000007</v>
      </c>
      <c r="CT8" s="1241">
        <v>62</v>
      </c>
      <c r="CU8" s="1239">
        <v>4698441.28</v>
      </c>
      <c r="CV8" s="1241">
        <v>35</v>
      </c>
      <c r="CW8" s="1239">
        <v>1919487.61</v>
      </c>
      <c r="CX8" s="1241">
        <v>23</v>
      </c>
      <c r="CY8" s="1239">
        <v>2386547.66</v>
      </c>
      <c r="CZ8" s="1241">
        <v>11</v>
      </c>
      <c r="DA8" s="1239">
        <v>948584.7</v>
      </c>
      <c r="DB8" s="1241">
        <v>4</v>
      </c>
      <c r="DC8" s="1239">
        <v>2236676.54</v>
      </c>
      <c r="DD8" s="1241">
        <v>7</v>
      </c>
      <c r="DE8" s="1239">
        <v>125860.31</v>
      </c>
      <c r="DF8" s="1241">
        <v>2</v>
      </c>
      <c r="DG8" s="1239">
        <v>0</v>
      </c>
      <c r="DH8" s="1241">
        <v>0</v>
      </c>
      <c r="DI8" s="1239">
        <v>132661.79</v>
      </c>
      <c r="DJ8" s="1241">
        <v>1</v>
      </c>
      <c r="DK8" s="1239">
        <v>70762.37</v>
      </c>
      <c r="DL8" s="1241">
        <v>1</v>
      </c>
      <c r="DM8" s="1239">
        <v>0</v>
      </c>
      <c r="DN8" s="1241">
        <v>0</v>
      </c>
      <c r="DO8" s="1239">
        <v>324731.81</v>
      </c>
      <c r="DP8" s="1241">
        <v>4</v>
      </c>
      <c r="DQ8" s="1239">
        <v>0</v>
      </c>
      <c r="DR8" s="1241">
        <v>50</v>
      </c>
      <c r="DS8" s="1651">
        <v>1.4878000000000001E-2</v>
      </c>
      <c r="DT8" s="1238">
        <v>46022</v>
      </c>
      <c r="DU8" s="1328" t="s">
        <v>793</v>
      </c>
      <c r="DV8" t="s">
        <v>448</v>
      </c>
      <c r="DW8" s="1239">
        <v>1385540705.4400001</v>
      </c>
      <c r="DX8" s="1241">
        <v>11175</v>
      </c>
      <c r="DY8" s="1239">
        <v>1916432196.5999999</v>
      </c>
    </row>
    <row r="9" spans="1:129">
      <c r="A9" s="1238">
        <v>45961</v>
      </c>
      <c r="B9" t="s">
        <v>340</v>
      </c>
      <c r="C9" s="1239">
        <v>0</v>
      </c>
      <c r="D9" s="1239">
        <v>0</v>
      </c>
      <c r="E9" s="1239">
        <v>18556.32</v>
      </c>
      <c r="F9" s="1239">
        <v>0</v>
      </c>
      <c r="G9" s="1239">
        <v>0</v>
      </c>
      <c r="H9" s="1239">
        <v>0</v>
      </c>
      <c r="I9" s="1239">
        <v>0</v>
      </c>
      <c r="J9" s="1239">
        <v>0</v>
      </c>
      <c r="K9" s="1239">
        <v>229091.41</v>
      </c>
      <c r="L9" s="1239">
        <v>0</v>
      </c>
      <c r="M9" s="1239">
        <v>0</v>
      </c>
      <c r="N9" s="1239">
        <v>0</v>
      </c>
      <c r="O9" s="1239">
        <v>210535.09</v>
      </c>
      <c r="P9" s="1239">
        <v>0</v>
      </c>
      <c r="Q9" s="1239">
        <v>0</v>
      </c>
      <c r="R9" s="1239">
        <v>0</v>
      </c>
      <c r="S9" s="1239">
        <v>17573.71</v>
      </c>
      <c r="T9" s="1239">
        <v>26.36</v>
      </c>
      <c r="U9" s="1239">
        <v>0</v>
      </c>
      <c r="V9" s="1239">
        <v>0</v>
      </c>
      <c r="W9" s="1239">
        <v>0</v>
      </c>
      <c r="X9" s="1239">
        <v>0</v>
      </c>
      <c r="Y9" s="1239">
        <v>0</v>
      </c>
      <c r="Z9" s="1239">
        <v>0</v>
      </c>
      <c r="AA9" s="1239">
        <v>0</v>
      </c>
      <c r="AB9" s="1239">
        <v>0</v>
      </c>
      <c r="AC9" s="1239">
        <v>0</v>
      </c>
      <c r="AD9" s="1239">
        <v>0</v>
      </c>
      <c r="AE9" s="1239">
        <v>1821.86</v>
      </c>
      <c r="AF9" s="1239">
        <v>166.55</v>
      </c>
      <c r="AG9" s="1239">
        <v>0</v>
      </c>
      <c r="AH9" s="1239">
        <v>0</v>
      </c>
      <c r="AI9" s="1239">
        <v>0</v>
      </c>
      <c r="AJ9" s="1239">
        <v>0</v>
      </c>
      <c r="AK9" s="1239">
        <v>0</v>
      </c>
      <c r="AL9" s="1239">
        <v>0</v>
      </c>
      <c r="AM9" s="1239">
        <v>0</v>
      </c>
      <c r="AN9" s="1239">
        <v>0</v>
      </c>
      <c r="AO9" s="1239">
        <v>0</v>
      </c>
      <c r="AP9" s="1239">
        <v>0</v>
      </c>
      <c r="AQ9" s="1239">
        <v>19395.57</v>
      </c>
      <c r="AR9" s="1239">
        <v>192.91</v>
      </c>
      <c r="AS9" s="1239">
        <v>0</v>
      </c>
      <c r="AT9" s="1239">
        <v>982.61</v>
      </c>
      <c r="AU9" s="1239">
        <v>0</v>
      </c>
      <c r="AV9" s="1239">
        <v>0</v>
      </c>
      <c r="AW9" s="1239">
        <v>982.61</v>
      </c>
      <c r="AX9" s="1239">
        <v>154.58000000000001</v>
      </c>
      <c r="AY9" s="1239">
        <v>0</v>
      </c>
      <c r="AZ9" s="1239">
        <v>0</v>
      </c>
      <c r="BA9" s="1239">
        <v>0</v>
      </c>
      <c r="BB9" s="1239">
        <v>0</v>
      </c>
      <c r="BC9" s="1239">
        <v>0</v>
      </c>
      <c r="BD9" s="1239">
        <v>0</v>
      </c>
      <c r="BE9" s="1239">
        <v>0</v>
      </c>
      <c r="BF9" s="1239">
        <v>154.58000000000001</v>
      </c>
      <c r="BG9" s="1239">
        <v>0</v>
      </c>
      <c r="BH9" s="1239">
        <v>0</v>
      </c>
      <c r="BI9" s="1239">
        <v>0</v>
      </c>
      <c r="BJ9" s="1239">
        <v>1137.19</v>
      </c>
      <c r="BK9" s="1239">
        <v>1137.19</v>
      </c>
      <c r="BL9" s="1239">
        <v>0</v>
      </c>
      <c r="BM9" s="1239">
        <v>0</v>
      </c>
      <c r="BN9" s="1239">
        <v>0</v>
      </c>
      <c r="BO9" s="1239">
        <v>0</v>
      </c>
      <c r="BP9" s="1238">
        <v>45869</v>
      </c>
      <c r="BQ9" s="1241">
        <v>0</v>
      </c>
      <c r="BR9" s="1239">
        <v>0</v>
      </c>
      <c r="BS9" s="1239">
        <v>0</v>
      </c>
      <c r="BT9" s="1241">
        <v>19</v>
      </c>
      <c r="BU9" s="1239">
        <v>3048750.8400000008</v>
      </c>
      <c r="BV9" s="1239">
        <v>3700.88</v>
      </c>
      <c r="BW9" s="1241">
        <v>0</v>
      </c>
      <c r="BX9" s="1239">
        <v>0</v>
      </c>
      <c r="BY9" s="1239">
        <v>0</v>
      </c>
      <c r="BZ9" s="1239">
        <v>3048750.8400000008</v>
      </c>
      <c r="CA9" s="1239">
        <v>3700.88</v>
      </c>
      <c r="CB9" s="1239">
        <v>0</v>
      </c>
      <c r="CC9" s="1241">
        <v>19</v>
      </c>
      <c r="CD9" s="1239">
        <v>0</v>
      </c>
      <c r="CE9" s="1239">
        <v>0</v>
      </c>
      <c r="CF9" s="1239">
        <v>0</v>
      </c>
      <c r="CG9" s="1239">
        <v>0</v>
      </c>
      <c r="CH9" s="1241">
        <v>0</v>
      </c>
      <c r="CI9" s="1239">
        <v>180060.56</v>
      </c>
      <c r="CJ9" s="1239">
        <v>192.42</v>
      </c>
      <c r="CK9" s="1239">
        <v>0</v>
      </c>
      <c r="CL9" s="1239">
        <v>19118.566800000001</v>
      </c>
      <c r="CM9" s="1241">
        <v>3</v>
      </c>
      <c r="CN9" s="1238">
        <v>45869</v>
      </c>
      <c r="CO9" s="1239">
        <v>7454588609.0799999</v>
      </c>
      <c r="CP9" s="1241">
        <v>54516</v>
      </c>
      <c r="CQ9" s="1239">
        <v>23850789</v>
      </c>
      <c r="CR9" s="1241">
        <v>151</v>
      </c>
      <c r="CS9" s="1239">
        <v>12696531.630000001</v>
      </c>
      <c r="CT9" s="1241">
        <v>69</v>
      </c>
      <c r="CU9" s="1239">
        <v>3191368.02</v>
      </c>
      <c r="CV9" s="1241">
        <v>34</v>
      </c>
      <c r="CW9" s="1239">
        <v>2435825.7400000002</v>
      </c>
      <c r="CX9" s="1241">
        <v>13</v>
      </c>
      <c r="CY9" s="1239">
        <v>1284920.02</v>
      </c>
      <c r="CZ9" s="1241">
        <v>7</v>
      </c>
      <c r="DA9" s="1239">
        <v>2815372.28</v>
      </c>
      <c r="DB9" s="1241">
        <v>8</v>
      </c>
      <c r="DC9" s="1239">
        <v>334090.07</v>
      </c>
      <c r="DD9" s="1241">
        <v>4</v>
      </c>
      <c r="DE9" s="1239">
        <v>0</v>
      </c>
      <c r="DF9" s="1241">
        <v>0</v>
      </c>
      <c r="DG9" s="1239">
        <v>133224.76</v>
      </c>
      <c r="DH9" s="1241">
        <v>1</v>
      </c>
      <c r="DI9" s="1239">
        <v>71349.88</v>
      </c>
      <c r="DJ9" s="1241">
        <v>1</v>
      </c>
      <c r="DK9" s="1239">
        <v>0</v>
      </c>
      <c r="DL9" s="1241">
        <v>0</v>
      </c>
      <c r="DM9" s="1239">
        <v>0</v>
      </c>
      <c r="DN9" s="1241">
        <v>0</v>
      </c>
      <c r="DO9" s="1239">
        <v>616580.66</v>
      </c>
      <c r="DP9" s="1241">
        <v>5</v>
      </c>
      <c r="DQ9" s="1239">
        <v>0</v>
      </c>
      <c r="DR9" s="1241">
        <v>46</v>
      </c>
      <c r="DS9" s="1651">
        <v>1.4878000000000001E-2</v>
      </c>
      <c r="DT9" s="1238">
        <v>46022</v>
      </c>
      <c r="DU9" s="1328" t="s">
        <v>794</v>
      </c>
      <c r="DV9" t="s">
        <v>449</v>
      </c>
      <c r="DW9" s="1239">
        <v>1232430751.8800001</v>
      </c>
      <c r="DX9" s="1241">
        <v>7414</v>
      </c>
      <c r="DY9" s="1239">
        <v>1646534975.76</v>
      </c>
    </row>
    <row r="10" spans="1:129">
      <c r="A10" s="1238">
        <v>45930</v>
      </c>
      <c r="B10" t="s">
        <v>711</v>
      </c>
      <c r="C10" s="1239">
        <v>7430770897.8500004</v>
      </c>
      <c r="D10" s="1239">
        <v>4246326267.73</v>
      </c>
      <c r="E10" s="1239">
        <v>40886125.289999999</v>
      </c>
      <c r="F10" s="1239">
        <v>18140271.010000002</v>
      </c>
      <c r="G10" s="1239">
        <v>0</v>
      </c>
      <c r="H10" s="1239">
        <v>0</v>
      </c>
      <c r="I10" s="1239">
        <v>0</v>
      </c>
      <c r="J10" s="1239">
        <v>0</v>
      </c>
      <c r="K10" s="1239">
        <v>414679.66</v>
      </c>
      <c r="L10" s="1239">
        <v>0</v>
      </c>
      <c r="M10" s="1239">
        <v>3662942.67</v>
      </c>
      <c r="N10" s="1239">
        <v>0</v>
      </c>
      <c r="O10" s="1239">
        <v>11613993146.950001</v>
      </c>
      <c r="P10" s="1239">
        <v>556818.38</v>
      </c>
      <c r="Q10" s="1239">
        <v>104028.52</v>
      </c>
      <c r="R10" s="1239">
        <v>0</v>
      </c>
      <c r="S10" s="1239">
        <v>127109.58</v>
      </c>
      <c r="T10" s="1239">
        <v>23600.81</v>
      </c>
      <c r="U10" s="1239">
        <v>0</v>
      </c>
      <c r="V10" s="1239">
        <v>343243.5</v>
      </c>
      <c r="W10" s="1239">
        <v>64031.839999999997</v>
      </c>
      <c r="X10" s="1239">
        <v>0</v>
      </c>
      <c r="Y10" s="1239">
        <v>339.56</v>
      </c>
      <c r="Z10" s="1239">
        <v>57.87</v>
      </c>
      <c r="AA10" s="1239">
        <v>0</v>
      </c>
      <c r="AB10" s="1239">
        <v>0</v>
      </c>
      <c r="AC10" s="1239">
        <v>0</v>
      </c>
      <c r="AD10" s="1239">
        <v>0</v>
      </c>
      <c r="AE10" s="1239">
        <v>1384.77</v>
      </c>
      <c r="AF10" s="1239">
        <v>342.25</v>
      </c>
      <c r="AG10" s="1239">
        <v>0</v>
      </c>
      <c r="AH10" s="1239">
        <v>0</v>
      </c>
      <c r="AI10" s="1239">
        <v>0</v>
      </c>
      <c r="AJ10" s="1239">
        <v>0</v>
      </c>
      <c r="AK10" s="1239">
        <v>1658.95</v>
      </c>
      <c r="AL10" s="1239">
        <v>23.79</v>
      </c>
      <c r="AM10" s="1239">
        <v>0</v>
      </c>
      <c r="AN10" s="1239">
        <v>0</v>
      </c>
      <c r="AO10" s="1239">
        <v>0</v>
      </c>
      <c r="AP10" s="1239">
        <v>0</v>
      </c>
      <c r="AQ10" s="1239">
        <v>337301.18</v>
      </c>
      <c r="AR10" s="1239">
        <v>63173.58</v>
      </c>
      <c r="AS10" s="1239">
        <v>0</v>
      </c>
      <c r="AT10" s="1239">
        <v>40759015.710000001</v>
      </c>
      <c r="AU10" s="1239">
        <v>343243.5</v>
      </c>
      <c r="AV10" s="1239">
        <v>18140271.010000002</v>
      </c>
      <c r="AW10" s="1239">
        <v>59242530.219999999</v>
      </c>
      <c r="AX10" s="1239">
        <v>9190680.4800000004</v>
      </c>
      <c r="AY10" s="1239">
        <v>64031.839999999997</v>
      </c>
      <c r="AZ10" s="1239">
        <v>0</v>
      </c>
      <c r="BA10" s="1239">
        <v>0</v>
      </c>
      <c r="BB10" s="1239">
        <v>0</v>
      </c>
      <c r="BC10" s="1239">
        <v>81035.69</v>
      </c>
      <c r="BD10" s="1239">
        <v>0</v>
      </c>
      <c r="BE10" s="1239">
        <v>0</v>
      </c>
      <c r="BF10" s="1239">
        <v>9335748.0099999998</v>
      </c>
      <c r="BG10" s="1239">
        <v>0</v>
      </c>
      <c r="BH10" s="1239">
        <v>0</v>
      </c>
      <c r="BI10" s="1239">
        <v>0</v>
      </c>
      <c r="BJ10" s="1239">
        <v>68578278.230000004</v>
      </c>
      <c r="BK10" s="1239">
        <v>68578278.230000004</v>
      </c>
      <c r="BL10" s="1239">
        <v>12728722.32</v>
      </c>
      <c r="BM10" s="1239">
        <v>12728722.32</v>
      </c>
      <c r="BN10" s="1239">
        <v>3334.52</v>
      </c>
      <c r="BO10" s="1239">
        <v>0</v>
      </c>
      <c r="BP10" s="1238">
        <v>45838</v>
      </c>
      <c r="BQ10" s="1241">
        <v>0</v>
      </c>
      <c r="BR10" s="1239">
        <v>0</v>
      </c>
      <c r="BS10" s="1239">
        <v>0</v>
      </c>
      <c r="BT10" s="1241">
        <v>25</v>
      </c>
      <c r="BU10" s="1239">
        <v>6188091.2599999988</v>
      </c>
      <c r="BV10" s="1239">
        <v>4150.1000000000004</v>
      </c>
      <c r="BW10" s="1241">
        <v>0</v>
      </c>
      <c r="BX10" s="1239">
        <v>0</v>
      </c>
      <c r="BY10" s="1239">
        <v>0</v>
      </c>
      <c r="BZ10" s="1239">
        <v>6188091.2599999988</v>
      </c>
      <c r="CA10" s="1239">
        <v>4150.1000000000004</v>
      </c>
      <c r="CB10" s="1239">
        <v>0</v>
      </c>
      <c r="CC10" s="1241">
        <v>25</v>
      </c>
      <c r="CD10" s="1239">
        <v>0</v>
      </c>
      <c r="CE10" s="1239">
        <v>0</v>
      </c>
      <c r="CF10" s="1239">
        <v>0</v>
      </c>
      <c r="CG10" s="1239">
        <v>0</v>
      </c>
      <c r="CH10" s="1241">
        <v>0</v>
      </c>
      <c r="CI10" s="1239">
        <v>714376.95000000007</v>
      </c>
      <c r="CJ10" s="1239">
        <v>975.79</v>
      </c>
      <c r="CK10" s="1239">
        <v>0</v>
      </c>
      <c r="CL10" s="1239">
        <v>0</v>
      </c>
      <c r="CM10" s="1241">
        <v>10</v>
      </c>
      <c r="CN10" s="1238">
        <v>45838</v>
      </c>
      <c r="CO10" s="1239">
        <v>7520827672.6000004</v>
      </c>
      <c r="CP10" s="1241">
        <v>54742</v>
      </c>
      <c r="CQ10" s="1239">
        <v>29661773.43</v>
      </c>
      <c r="CR10" s="1241">
        <v>181</v>
      </c>
      <c r="CS10" s="1239">
        <v>8846201.8499999996</v>
      </c>
      <c r="CT10" s="1241">
        <v>66</v>
      </c>
      <c r="CU10" s="1239">
        <v>4724255.96</v>
      </c>
      <c r="CV10" s="1241">
        <v>29</v>
      </c>
      <c r="CW10" s="1239">
        <v>1839709.39</v>
      </c>
      <c r="CX10" s="1241">
        <v>12</v>
      </c>
      <c r="CY10" s="1239">
        <v>3312110.58</v>
      </c>
      <c r="CZ10" s="1241">
        <v>11</v>
      </c>
      <c r="DA10" s="1239">
        <v>587739.22</v>
      </c>
      <c r="DB10" s="1241">
        <v>6</v>
      </c>
      <c r="DC10" s="1239">
        <v>0</v>
      </c>
      <c r="DD10" s="1241">
        <v>0</v>
      </c>
      <c r="DE10" s="1239">
        <v>133787.03</v>
      </c>
      <c r="DF10" s="1241">
        <v>1</v>
      </c>
      <c r="DG10" s="1239">
        <v>71936.929999999993</v>
      </c>
      <c r="DH10" s="1241">
        <v>1</v>
      </c>
      <c r="DI10" s="1239">
        <v>0</v>
      </c>
      <c r="DJ10" s="1241">
        <v>0</v>
      </c>
      <c r="DK10" s="1239">
        <v>0</v>
      </c>
      <c r="DL10" s="1241">
        <v>0</v>
      </c>
      <c r="DM10" s="1239">
        <v>0</v>
      </c>
      <c r="DN10" s="1241">
        <v>0</v>
      </c>
      <c r="DO10" s="1239">
        <v>180457.8</v>
      </c>
      <c r="DP10" s="1241">
        <v>3</v>
      </c>
      <c r="DQ10" s="1239">
        <v>0</v>
      </c>
      <c r="DR10" s="1241">
        <v>41</v>
      </c>
      <c r="DS10" s="1651">
        <v>1.4874E-2</v>
      </c>
      <c r="DT10" s="1238">
        <v>46022</v>
      </c>
      <c r="DU10" s="1328" t="s">
        <v>795</v>
      </c>
      <c r="DV10" t="s">
        <v>450</v>
      </c>
      <c r="DW10" s="1239">
        <v>1054223208.86</v>
      </c>
      <c r="DX10" s="1241">
        <v>5154</v>
      </c>
      <c r="DY10" s="1239">
        <v>1401844984.8399999</v>
      </c>
    </row>
    <row r="11" spans="1:129">
      <c r="A11" s="1238">
        <v>45930</v>
      </c>
      <c r="B11" t="s">
        <v>340</v>
      </c>
      <c r="C11" s="1239">
        <v>324731.81</v>
      </c>
      <c r="D11" s="1239">
        <v>0</v>
      </c>
      <c r="E11" s="1239">
        <v>1380.34</v>
      </c>
      <c r="F11" s="1239">
        <v>0</v>
      </c>
      <c r="G11" s="1239">
        <v>0</v>
      </c>
      <c r="H11" s="1239">
        <v>0</v>
      </c>
      <c r="I11" s="1239">
        <v>0</v>
      </c>
      <c r="J11" s="1239">
        <v>0</v>
      </c>
      <c r="K11" s="1239">
        <v>414679.66</v>
      </c>
      <c r="L11" s="1239">
        <v>0</v>
      </c>
      <c r="M11" s="1239">
        <v>738031.13</v>
      </c>
      <c r="N11" s="1239">
        <v>0</v>
      </c>
      <c r="O11" s="1239">
        <v>0</v>
      </c>
      <c r="P11" s="1239">
        <v>0</v>
      </c>
      <c r="Q11" s="1239">
        <v>0</v>
      </c>
      <c r="R11" s="1239">
        <v>0</v>
      </c>
      <c r="S11" s="1239">
        <v>119.79</v>
      </c>
      <c r="T11" s="1239">
        <v>36.96</v>
      </c>
      <c r="U11" s="1239">
        <v>0</v>
      </c>
      <c r="V11" s="1239">
        <v>81.849999999999994</v>
      </c>
      <c r="W11" s="1239">
        <v>64.900000000000006</v>
      </c>
      <c r="X11" s="1239">
        <v>0</v>
      </c>
      <c r="Y11" s="1239">
        <v>0</v>
      </c>
      <c r="Z11" s="1239">
        <v>0</v>
      </c>
      <c r="AA11" s="1239">
        <v>0</v>
      </c>
      <c r="AB11" s="1239">
        <v>0</v>
      </c>
      <c r="AC11" s="1239">
        <v>0</v>
      </c>
      <c r="AD11" s="1239">
        <v>0</v>
      </c>
      <c r="AE11" s="1239">
        <v>1384.77</v>
      </c>
      <c r="AF11" s="1239">
        <v>342.25</v>
      </c>
      <c r="AG11" s="1239">
        <v>0</v>
      </c>
      <c r="AH11" s="1239">
        <v>0</v>
      </c>
      <c r="AI11" s="1239">
        <v>0</v>
      </c>
      <c r="AJ11" s="1239">
        <v>0</v>
      </c>
      <c r="AK11" s="1239">
        <v>1422.71</v>
      </c>
      <c r="AL11" s="1239">
        <v>314.31</v>
      </c>
      <c r="AM11" s="1239">
        <v>0</v>
      </c>
      <c r="AN11" s="1239">
        <v>0</v>
      </c>
      <c r="AO11" s="1239">
        <v>0</v>
      </c>
      <c r="AP11" s="1239">
        <v>0</v>
      </c>
      <c r="AQ11" s="1239">
        <v>0</v>
      </c>
      <c r="AR11" s="1239">
        <v>0</v>
      </c>
      <c r="AS11" s="1239">
        <v>0</v>
      </c>
      <c r="AT11" s="1239">
        <v>1260.55</v>
      </c>
      <c r="AU11" s="1239">
        <v>81.849999999999994</v>
      </c>
      <c r="AV11" s="1239">
        <v>0</v>
      </c>
      <c r="AW11" s="1239">
        <v>1342.4</v>
      </c>
      <c r="AX11" s="1239">
        <v>381.28</v>
      </c>
      <c r="AY11" s="1239">
        <v>64.900000000000006</v>
      </c>
      <c r="AZ11" s="1239">
        <v>0</v>
      </c>
      <c r="BA11" s="1239">
        <v>0</v>
      </c>
      <c r="BB11" s="1239">
        <v>0</v>
      </c>
      <c r="BC11" s="1239">
        <v>0</v>
      </c>
      <c r="BD11" s="1239">
        <v>0</v>
      </c>
      <c r="BE11" s="1239">
        <v>0</v>
      </c>
      <c r="BF11" s="1239">
        <v>446.18</v>
      </c>
      <c r="BG11" s="1239">
        <v>0</v>
      </c>
      <c r="BH11" s="1239">
        <v>0</v>
      </c>
      <c r="BI11" s="1239">
        <v>0</v>
      </c>
      <c r="BJ11" s="1239">
        <v>1788.58</v>
      </c>
      <c r="BK11" s="1239">
        <v>1788.58</v>
      </c>
      <c r="BL11" s="1239">
        <v>228.31</v>
      </c>
      <c r="BM11" s="1239">
        <v>228.31</v>
      </c>
      <c r="BN11" s="1239">
        <v>228.31</v>
      </c>
      <c r="BO11" s="1239">
        <v>0</v>
      </c>
      <c r="BP11" s="1238">
        <v>45808</v>
      </c>
      <c r="BQ11" s="1241">
        <v>2</v>
      </c>
      <c r="BR11" s="1239">
        <v>322233.44</v>
      </c>
      <c r="BS11" s="1239">
        <v>284.75</v>
      </c>
      <c r="BT11" s="1241">
        <v>21</v>
      </c>
      <c r="BU11" s="1239">
        <v>3429887.7700000005</v>
      </c>
      <c r="BV11" s="1239">
        <v>2942.6600000000003</v>
      </c>
      <c r="BW11" s="1241">
        <v>0</v>
      </c>
      <c r="BX11" s="1239">
        <v>0</v>
      </c>
      <c r="BY11" s="1239">
        <v>0</v>
      </c>
      <c r="BZ11" s="1239">
        <v>3752121.2100000004</v>
      </c>
      <c r="CA11" s="1239">
        <v>3227.4100000000003</v>
      </c>
      <c r="CB11" s="1239">
        <v>1342.65</v>
      </c>
      <c r="CC11" s="1241">
        <v>23</v>
      </c>
      <c r="CD11" s="1239">
        <v>0</v>
      </c>
      <c r="CE11" s="1239">
        <v>0</v>
      </c>
      <c r="CF11" s="1239">
        <v>0</v>
      </c>
      <c r="CG11" s="1239">
        <v>0</v>
      </c>
      <c r="CH11" s="1241">
        <v>0</v>
      </c>
      <c r="CI11" s="1239">
        <v>1227113.95</v>
      </c>
      <c r="CJ11" s="1239">
        <v>1398.9199999999998</v>
      </c>
      <c r="CK11" s="1239">
        <v>0</v>
      </c>
      <c r="CL11" s="1239">
        <v>7044.9869000000008</v>
      </c>
      <c r="CM11" s="1241">
        <v>10</v>
      </c>
      <c r="CN11" s="1238">
        <v>45808</v>
      </c>
      <c r="CO11" s="1239">
        <v>7591031347.8900003</v>
      </c>
      <c r="CP11" s="1241">
        <v>54983</v>
      </c>
      <c r="CQ11" s="1239">
        <v>24995335.219999999</v>
      </c>
      <c r="CR11" s="1241">
        <v>161</v>
      </c>
      <c r="CS11" s="1239">
        <v>10648567.65</v>
      </c>
      <c r="CT11" s="1241">
        <v>67</v>
      </c>
      <c r="CU11" s="1239">
        <v>3293113.43</v>
      </c>
      <c r="CV11" s="1241">
        <v>24</v>
      </c>
      <c r="CW11" s="1239">
        <v>3890820.76</v>
      </c>
      <c r="CX11" s="1241">
        <v>15</v>
      </c>
      <c r="CY11" s="1239">
        <v>1109888.26</v>
      </c>
      <c r="CZ11" s="1241">
        <v>9</v>
      </c>
      <c r="DA11" s="1239">
        <v>0</v>
      </c>
      <c r="DB11" s="1241">
        <v>0</v>
      </c>
      <c r="DC11" s="1239">
        <v>134348.59</v>
      </c>
      <c r="DD11" s="1241">
        <v>1</v>
      </c>
      <c r="DE11" s="1239">
        <v>72523.520000000004</v>
      </c>
      <c r="DF11" s="1241">
        <v>1</v>
      </c>
      <c r="DG11" s="1239">
        <v>0</v>
      </c>
      <c r="DH11" s="1241">
        <v>0</v>
      </c>
      <c r="DI11" s="1239">
        <v>0</v>
      </c>
      <c r="DJ11" s="1241">
        <v>0</v>
      </c>
      <c r="DK11" s="1239">
        <v>0</v>
      </c>
      <c r="DL11" s="1241">
        <v>0</v>
      </c>
      <c r="DM11" s="1239">
        <v>0</v>
      </c>
      <c r="DN11" s="1241">
        <v>0</v>
      </c>
      <c r="DO11" s="1239">
        <v>719043.86</v>
      </c>
      <c r="DP11" s="1241">
        <v>10</v>
      </c>
      <c r="DQ11" s="1239">
        <v>0</v>
      </c>
      <c r="DR11" s="1241">
        <v>38</v>
      </c>
      <c r="DS11" s="1651">
        <v>1.4872E-2</v>
      </c>
      <c r="DT11" s="1238">
        <v>46022</v>
      </c>
      <c r="DU11" s="1328" t="s">
        <v>796</v>
      </c>
      <c r="DV11" t="s">
        <v>451</v>
      </c>
      <c r="DW11" s="1239">
        <v>708579506.97000003</v>
      </c>
      <c r="DX11" s="1241">
        <v>2929</v>
      </c>
      <c r="DY11" s="1239">
        <v>937439805.45000005</v>
      </c>
    </row>
    <row r="12" spans="1:129">
      <c r="A12" s="1238">
        <v>45900</v>
      </c>
      <c r="B12" t="s">
        <v>711</v>
      </c>
      <c r="C12" s="1239">
        <v>7501402080.4799995</v>
      </c>
      <c r="D12" s="1239">
        <v>0</v>
      </c>
      <c r="E12" s="1239">
        <v>41134016</v>
      </c>
      <c r="F12" s="1239">
        <v>24368146.75</v>
      </c>
      <c r="G12" s="1239">
        <v>0</v>
      </c>
      <c r="H12" s="1239">
        <v>0</v>
      </c>
      <c r="I12" s="1239">
        <v>0</v>
      </c>
      <c r="J12" s="1239">
        <v>0</v>
      </c>
      <c r="K12" s="1239">
        <v>325275.99</v>
      </c>
      <c r="L12" s="1239">
        <v>0</v>
      </c>
      <c r="M12" s="1239">
        <v>4803743.8899999997</v>
      </c>
      <c r="N12" s="1239">
        <v>0</v>
      </c>
      <c r="O12" s="1239">
        <v>7430770897.8500004</v>
      </c>
      <c r="P12" s="1239">
        <v>486832.33</v>
      </c>
      <c r="Q12" s="1239">
        <v>104936.02</v>
      </c>
      <c r="R12" s="1239">
        <v>0</v>
      </c>
      <c r="S12" s="1239">
        <v>209210.51</v>
      </c>
      <c r="T12" s="1239">
        <v>35903.72</v>
      </c>
      <c r="U12" s="1239">
        <v>0</v>
      </c>
      <c r="V12" s="1239">
        <v>139224.46</v>
      </c>
      <c r="W12" s="1239">
        <v>36811.22</v>
      </c>
      <c r="X12" s="1239">
        <v>0</v>
      </c>
      <c r="Y12" s="1239">
        <v>0</v>
      </c>
      <c r="Z12" s="1239">
        <v>0</v>
      </c>
      <c r="AA12" s="1239">
        <v>0</v>
      </c>
      <c r="AB12" s="1239">
        <v>0</v>
      </c>
      <c r="AC12" s="1239">
        <v>0</v>
      </c>
      <c r="AD12" s="1239">
        <v>0</v>
      </c>
      <c r="AE12" s="1239">
        <v>0</v>
      </c>
      <c r="AF12" s="1239">
        <v>0</v>
      </c>
      <c r="AG12" s="1239">
        <v>0</v>
      </c>
      <c r="AH12" s="1239">
        <v>0</v>
      </c>
      <c r="AI12" s="1239">
        <v>0</v>
      </c>
      <c r="AJ12" s="1239">
        <v>0</v>
      </c>
      <c r="AK12" s="1239">
        <v>0</v>
      </c>
      <c r="AL12" s="1239">
        <v>0</v>
      </c>
      <c r="AM12" s="1239">
        <v>0</v>
      </c>
      <c r="AN12" s="1239">
        <v>0</v>
      </c>
      <c r="AO12" s="1239">
        <v>0</v>
      </c>
      <c r="AP12" s="1239">
        <v>0</v>
      </c>
      <c r="AQ12" s="1239">
        <v>556818.38</v>
      </c>
      <c r="AR12" s="1239">
        <v>104028.52</v>
      </c>
      <c r="AS12" s="1239">
        <v>0</v>
      </c>
      <c r="AT12" s="1239">
        <v>40924805.490000002</v>
      </c>
      <c r="AU12" s="1239">
        <v>139224.46</v>
      </c>
      <c r="AV12" s="1239">
        <v>24368146.75</v>
      </c>
      <c r="AW12" s="1239">
        <v>65432176.700000003</v>
      </c>
      <c r="AX12" s="1239">
        <v>9263814.8399999999</v>
      </c>
      <c r="AY12" s="1239">
        <v>36811.22</v>
      </c>
      <c r="AZ12" s="1239">
        <v>0</v>
      </c>
      <c r="BA12" s="1239">
        <v>0</v>
      </c>
      <c r="BB12" s="1239">
        <v>0</v>
      </c>
      <c r="BC12" s="1239">
        <v>98997.19</v>
      </c>
      <c r="BD12" s="1239">
        <v>0</v>
      </c>
      <c r="BE12" s="1239">
        <v>0</v>
      </c>
      <c r="BF12" s="1239">
        <v>9399623.25</v>
      </c>
      <c r="BG12" s="1239">
        <v>0</v>
      </c>
      <c r="BH12" s="1239">
        <v>0</v>
      </c>
      <c r="BI12" s="1239">
        <v>0</v>
      </c>
      <c r="BJ12" s="1239">
        <v>74831799.950000003</v>
      </c>
      <c r="BK12" s="1239">
        <v>74831799.950000003</v>
      </c>
      <c r="BL12" s="1239">
        <v>7344940.4400000004</v>
      </c>
      <c r="BM12" s="1239">
        <v>7344940.4400000004</v>
      </c>
      <c r="BN12" s="1239">
        <v>3682.25</v>
      </c>
      <c r="BO12" s="1239">
        <v>0</v>
      </c>
      <c r="BP12" s="1238">
        <v>45777</v>
      </c>
      <c r="BQ12" s="1241">
        <v>1</v>
      </c>
      <c r="BR12" s="1239">
        <v>78474.25</v>
      </c>
      <c r="BS12" s="1239">
        <v>75.2</v>
      </c>
      <c r="BT12" s="1241">
        <v>21</v>
      </c>
      <c r="BU12" s="1239">
        <v>4040646.3600000003</v>
      </c>
      <c r="BV12" s="1239">
        <v>2824.41</v>
      </c>
      <c r="BW12" s="1241">
        <v>0</v>
      </c>
      <c r="BX12" s="1239">
        <v>0</v>
      </c>
      <c r="BY12" s="1239">
        <v>0</v>
      </c>
      <c r="BZ12" s="1239">
        <v>4119120.6100000003</v>
      </c>
      <c r="CA12" s="1239">
        <v>2899.6099999999997</v>
      </c>
      <c r="CB12" s="1239">
        <v>0</v>
      </c>
      <c r="CC12" s="1241">
        <v>22</v>
      </c>
      <c r="CD12" s="1239">
        <v>0</v>
      </c>
      <c r="CE12" s="1239">
        <v>0</v>
      </c>
      <c r="CF12" s="1239">
        <v>0</v>
      </c>
      <c r="CG12" s="1239">
        <v>0</v>
      </c>
      <c r="CH12" s="1241">
        <v>0</v>
      </c>
      <c r="CI12" s="1239">
        <v>279860.35000000003</v>
      </c>
      <c r="CJ12" s="1239">
        <v>140.32</v>
      </c>
      <c r="CK12" s="1239">
        <v>2841.66</v>
      </c>
      <c r="CL12" s="1239">
        <v>0</v>
      </c>
      <c r="CM12" s="1241">
        <v>4</v>
      </c>
      <c r="CN12" s="1238">
        <v>45777</v>
      </c>
      <c r="CO12" s="1239">
        <v>7661667205.3900003</v>
      </c>
      <c r="CP12" s="1241">
        <v>55229</v>
      </c>
      <c r="CQ12" s="1239">
        <v>26057469.039999999</v>
      </c>
      <c r="CR12" s="1241">
        <v>151</v>
      </c>
      <c r="CS12" s="1239">
        <v>6202320.4100000001</v>
      </c>
      <c r="CT12" s="1241">
        <v>49</v>
      </c>
      <c r="CU12" s="1239">
        <v>4750524.0199999996</v>
      </c>
      <c r="CV12" s="1241">
        <v>24</v>
      </c>
      <c r="CW12" s="1239">
        <v>1645759.45</v>
      </c>
      <c r="CX12" s="1241">
        <v>13</v>
      </c>
      <c r="CY12" s="1239">
        <v>322362.76</v>
      </c>
      <c r="CZ12" s="1241">
        <v>4</v>
      </c>
      <c r="DA12" s="1239">
        <v>134909.45000000001</v>
      </c>
      <c r="DB12" s="1241">
        <v>1</v>
      </c>
      <c r="DC12" s="1239">
        <v>93928.09</v>
      </c>
      <c r="DD12" s="1241">
        <v>2</v>
      </c>
      <c r="DE12" s="1239">
        <v>0</v>
      </c>
      <c r="DF12" s="1241">
        <v>0</v>
      </c>
      <c r="DG12" s="1239">
        <v>0</v>
      </c>
      <c r="DH12" s="1241">
        <v>0</v>
      </c>
      <c r="DI12" s="1239">
        <v>0</v>
      </c>
      <c r="DJ12" s="1241">
        <v>0</v>
      </c>
      <c r="DK12" s="1239">
        <v>0</v>
      </c>
      <c r="DL12" s="1241">
        <v>0</v>
      </c>
      <c r="DM12" s="1239">
        <v>0</v>
      </c>
      <c r="DN12" s="1241">
        <v>0</v>
      </c>
      <c r="DO12" s="1239">
        <v>1231515.1100000001</v>
      </c>
      <c r="DP12" s="1241">
        <v>10</v>
      </c>
      <c r="DQ12" s="1239">
        <v>0</v>
      </c>
      <c r="DR12" s="1241">
        <v>28</v>
      </c>
      <c r="DS12" s="1651">
        <v>1.4867999999999999E-2</v>
      </c>
      <c r="DT12" s="1238">
        <v>46022</v>
      </c>
      <c r="DU12" s="1328" t="s">
        <v>797</v>
      </c>
      <c r="DV12" t="s">
        <v>452</v>
      </c>
      <c r="DW12" s="1239">
        <v>518623493.42000002</v>
      </c>
      <c r="DX12" s="1241">
        <v>1836</v>
      </c>
      <c r="DY12" s="1239">
        <v>682344649.71000004</v>
      </c>
    </row>
    <row r="13" spans="1:129">
      <c r="A13" s="1238">
        <v>45900</v>
      </c>
      <c r="B13" t="s">
        <v>340</v>
      </c>
      <c r="C13" s="1239">
        <v>616580.66</v>
      </c>
      <c r="D13" s="1239">
        <v>0</v>
      </c>
      <c r="E13" s="1239">
        <v>1716.2</v>
      </c>
      <c r="F13" s="1239">
        <v>0</v>
      </c>
      <c r="G13" s="1239">
        <v>0</v>
      </c>
      <c r="H13" s="1239">
        <v>0</v>
      </c>
      <c r="I13" s="1239">
        <v>0</v>
      </c>
      <c r="J13" s="1239">
        <v>0</v>
      </c>
      <c r="K13" s="1239">
        <v>325275.99</v>
      </c>
      <c r="L13" s="1239">
        <v>0</v>
      </c>
      <c r="M13" s="1239">
        <v>615408.64000000001</v>
      </c>
      <c r="N13" s="1239">
        <v>0</v>
      </c>
      <c r="O13" s="1239">
        <v>324731.81</v>
      </c>
      <c r="P13" s="1239">
        <v>2694.84</v>
      </c>
      <c r="Q13" s="1239">
        <v>248.83</v>
      </c>
      <c r="R13" s="1239">
        <v>0</v>
      </c>
      <c r="S13" s="1239">
        <v>0</v>
      </c>
      <c r="T13" s="1239">
        <v>0</v>
      </c>
      <c r="U13" s="1239">
        <v>0</v>
      </c>
      <c r="V13" s="1239">
        <v>0</v>
      </c>
      <c r="W13" s="1239">
        <v>0</v>
      </c>
      <c r="X13" s="1239">
        <v>0</v>
      </c>
      <c r="Y13" s="1239">
        <v>0</v>
      </c>
      <c r="Z13" s="1239">
        <v>0</v>
      </c>
      <c r="AA13" s="1239">
        <v>0</v>
      </c>
      <c r="AB13" s="1239">
        <v>0</v>
      </c>
      <c r="AC13" s="1239">
        <v>0</v>
      </c>
      <c r="AD13" s="1239">
        <v>0</v>
      </c>
      <c r="AE13" s="1239">
        <v>0</v>
      </c>
      <c r="AF13" s="1239">
        <v>0</v>
      </c>
      <c r="AG13" s="1239">
        <v>0</v>
      </c>
      <c r="AH13" s="1239">
        <v>0</v>
      </c>
      <c r="AI13" s="1239">
        <v>0</v>
      </c>
      <c r="AJ13" s="1239">
        <v>0</v>
      </c>
      <c r="AK13" s="1239">
        <v>2694.84</v>
      </c>
      <c r="AL13" s="1239">
        <v>248.83</v>
      </c>
      <c r="AM13" s="1239">
        <v>0</v>
      </c>
      <c r="AN13" s="1239">
        <v>0</v>
      </c>
      <c r="AO13" s="1239">
        <v>0</v>
      </c>
      <c r="AP13" s="1239">
        <v>0</v>
      </c>
      <c r="AQ13" s="1239">
        <v>0</v>
      </c>
      <c r="AR13" s="1239">
        <v>0</v>
      </c>
      <c r="AS13" s="1239">
        <v>0</v>
      </c>
      <c r="AT13" s="1239">
        <v>1716.2</v>
      </c>
      <c r="AU13" s="1239">
        <v>0</v>
      </c>
      <c r="AV13" s="1239">
        <v>0</v>
      </c>
      <c r="AW13" s="1239">
        <v>1716.2</v>
      </c>
      <c r="AX13" s="1239">
        <v>756.14</v>
      </c>
      <c r="AY13" s="1239">
        <v>0</v>
      </c>
      <c r="AZ13" s="1239">
        <v>0</v>
      </c>
      <c r="BA13" s="1239">
        <v>0</v>
      </c>
      <c r="BB13" s="1239">
        <v>0</v>
      </c>
      <c r="BC13" s="1239">
        <v>0</v>
      </c>
      <c r="BD13" s="1239">
        <v>0</v>
      </c>
      <c r="BE13" s="1239">
        <v>0</v>
      </c>
      <c r="BF13" s="1239">
        <v>756.14</v>
      </c>
      <c r="BG13" s="1239">
        <v>0</v>
      </c>
      <c r="BH13" s="1239">
        <v>0</v>
      </c>
      <c r="BI13" s="1239">
        <v>0</v>
      </c>
      <c r="BJ13" s="1239">
        <v>2472.34</v>
      </c>
      <c r="BK13" s="1239">
        <v>2472.34</v>
      </c>
      <c r="BL13" s="1239">
        <v>710.4</v>
      </c>
      <c r="BM13" s="1239">
        <v>710.4</v>
      </c>
      <c r="BN13" s="1239">
        <v>467.13</v>
      </c>
      <c r="BO13" s="1239">
        <v>0</v>
      </c>
      <c r="BP13" s="1238">
        <v>45747</v>
      </c>
      <c r="BQ13" s="1241">
        <v>0</v>
      </c>
      <c r="BR13" s="1239">
        <v>0</v>
      </c>
      <c r="BS13" s="1239">
        <v>0</v>
      </c>
      <c r="BT13" s="1241">
        <v>19</v>
      </c>
      <c r="BU13" s="1239">
        <v>1994383.5400000005</v>
      </c>
      <c r="BV13" s="1239">
        <v>1968.1099999999997</v>
      </c>
      <c r="BW13" s="1241">
        <v>0</v>
      </c>
      <c r="BX13" s="1239">
        <v>0</v>
      </c>
      <c r="BY13" s="1239">
        <v>0</v>
      </c>
      <c r="BZ13" s="1239">
        <v>1994383.5400000005</v>
      </c>
      <c r="CA13" s="1239">
        <v>1968.1099999999997</v>
      </c>
      <c r="CB13" s="1239">
        <v>0</v>
      </c>
      <c r="CC13" s="1241">
        <v>19</v>
      </c>
      <c r="CD13" s="1239">
        <v>0</v>
      </c>
      <c r="CE13" s="1239">
        <v>0</v>
      </c>
      <c r="CF13" s="1239">
        <v>0</v>
      </c>
      <c r="CG13" s="1239">
        <v>0</v>
      </c>
      <c r="CH13" s="1241">
        <v>0</v>
      </c>
      <c r="CI13" s="1239">
        <v>206709.84000000003</v>
      </c>
      <c r="CJ13" s="1239">
        <v>359.76</v>
      </c>
      <c r="CK13" s="1239">
        <v>0</v>
      </c>
      <c r="CL13" s="1239">
        <v>0</v>
      </c>
      <c r="CM13" s="1241">
        <v>2</v>
      </c>
      <c r="CN13" s="1238">
        <v>45747</v>
      </c>
      <c r="CO13" s="1239">
        <v>7746846469.2600002</v>
      </c>
      <c r="CP13" s="1241">
        <v>55539</v>
      </c>
      <c r="CQ13" s="1239">
        <v>3235865.67</v>
      </c>
      <c r="CR13" s="1241">
        <v>28</v>
      </c>
      <c r="CS13" s="1239">
        <v>7173558.7999999998</v>
      </c>
      <c r="CT13" s="1241">
        <v>40</v>
      </c>
      <c r="CU13" s="1239">
        <v>2613714.33</v>
      </c>
      <c r="CV13" s="1241">
        <v>20</v>
      </c>
      <c r="CW13" s="1239">
        <v>1665753.94</v>
      </c>
      <c r="CX13" s="1241">
        <v>11</v>
      </c>
      <c r="CY13" s="1239">
        <v>954168.5</v>
      </c>
      <c r="CZ13" s="1241">
        <v>7</v>
      </c>
      <c r="DA13" s="1239">
        <v>94749.83</v>
      </c>
      <c r="DB13" s="1241">
        <v>2</v>
      </c>
      <c r="DC13" s="1239">
        <v>0</v>
      </c>
      <c r="DD13" s="1241">
        <v>0</v>
      </c>
      <c r="DE13" s="1239">
        <v>0</v>
      </c>
      <c r="DF13" s="1241">
        <v>0</v>
      </c>
      <c r="DG13" s="1239">
        <v>0</v>
      </c>
      <c r="DH13" s="1241">
        <v>0</v>
      </c>
      <c r="DI13" s="1239">
        <v>0</v>
      </c>
      <c r="DJ13" s="1241">
        <v>0</v>
      </c>
      <c r="DK13" s="1239">
        <v>0</v>
      </c>
      <c r="DL13" s="1241">
        <v>0</v>
      </c>
      <c r="DM13" s="1239">
        <v>0</v>
      </c>
      <c r="DN13" s="1241">
        <v>0</v>
      </c>
      <c r="DO13" s="1239">
        <v>279860.34999999998</v>
      </c>
      <c r="DP13" s="1241">
        <v>4</v>
      </c>
      <c r="DQ13" s="1239">
        <v>0</v>
      </c>
      <c r="DR13" s="1241">
        <v>18</v>
      </c>
      <c r="DS13" s="1651">
        <v>1.4862E-2</v>
      </c>
      <c r="DT13" s="1238">
        <v>46022</v>
      </c>
      <c r="DU13" s="1328" t="s">
        <v>798</v>
      </c>
      <c r="DV13" t="s">
        <v>453</v>
      </c>
      <c r="DW13" s="1239">
        <v>352561129.22000003</v>
      </c>
      <c r="DX13" s="1241">
        <v>1129</v>
      </c>
      <c r="DY13" s="1239">
        <v>474938629.98000002</v>
      </c>
    </row>
    <row r="14" spans="1:129">
      <c r="A14" s="1238">
        <v>45869</v>
      </c>
      <c r="B14" t="s">
        <v>711</v>
      </c>
      <c r="C14" s="1239">
        <v>7570005186.9899998</v>
      </c>
      <c r="D14" s="1239">
        <v>0</v>
      </c>
      <c r="E14" s="1239">
        <v>41404450.689999998</v>
      </c>
      <c r="F14" s="1239">
        <v>23530806</v>
      </c>
      <c r="G14" s="1239">
        <v>0</v>
      </c>
      <c r="H14" s="1239">
        <v>0</v>
      </c>
      <c r="I14" s="1239">
        <v>0</v>
      </c>
      <c r="J14" s="1239">
        <v>0</v>
      </c>
      <c r="K14" s="1239">
        <v>619098.98</v>
      </c>
      <c r="L14" s="1239">
        <v>0</v>
      </c>
      <c r="M14" s="1239">
        <v>3048750.84</v>
      </c>
      <c r="N14" s="1239">
        <v>0</v>
      </c>
      <c r="O14" s="1239">
        <v>7501402080.4799995</v>
      </c>
      <c r="P14" s="1239">
        <v>468786.21</v>
      </c>
      <c r="Q14" s="1239">
        <v>91992.76</v>
      </c>
      <c r="R14" s="1239">
        <v>0</v>
      </c>
      <c r="S14" s="1239">
        <v>185325.96</v>
      </c>
      <c r="T14" s="1239">
        <v>45370.559999999998</v>
      </c>
      <c r="U14" s="1239">
        <v>0</v>
      </c>
      <c r="V14" s="1239">
        <v>164764.35</v>
      </c>
      <c r="W14" s="1239">
        <v>32176.720000000001</v>
      </c>
      <c r="X14" s="1239">
        <v>0</v>
      </c>
      <c r="Y14" s="1239">
        <v>0</v>
      </c>
      <c r="Z14" s="1239">
        <v>0</v>
      </c>
      <c r="AA14" s="1239">
        <v>0</v>
      </c>
      <c r="AB14" s="1239">
        <v>0</v>
      </c>
      <c r="AC14" s="1239">
        <v>0</v>
      </c>
      <c r="AD14" s="1239">
        <v>0</v>
      </c>
      <c r="AE14" s="1239">
        <v>2515.4899999999998</v>
      </c>
      <c r="AF14" s="1239">
        <v>250.58</v>
      </c>
      <c r="AG14" s="1239">
        <v>0</v>
      </c>
      <c r="AH14" s="1239">
        <v>0</v>
      </c>
      <c r="AI14" s="1239">
        <v>0</v>
      </c>
      <c r="AJ14" s="1239">
        <v>0</v>
      </c>
      <c r="AK14" s="1239">
        <v>0</v>
      </c>
      <c r="AL14" s="1239">
        <v>0</v>
      </c>
      <c r="AM14" s="1239">
        <v>0</v>
      </c>
      <c r="AN14" s="1239">
        <v>0</v>
      </c>
      <c r="AO14" s="1239">
        <v>0</v>
      </c>
      <c r="AP14" s="1239">
        <v>0</v>
      </c>
      <c r="AQ14" s="1239">
        <v>486832.33</v>
      </c>
      <c r="AR14" s="1239">
        <v>104936.02</v>
      </c>
      <c r="AS14" s="1239">
        <v>0</v>
      </c>
      <c r="AT14" s="1239">
        <v>41219124.729999997</v>
      </c>
      <c r="AU14" s="1239">
        <v>164764.35</v>
      </c>
      <c r="AV14" s="1239">
        <v>23530806</v>
      </c>
      <c r="AW14" s="1239">
        <v>64914695.079999998</v>
      </c>
      <c r="AX14" s="1239">
        <v>9325630.4000000004</v>
      </c>
      <c r="AY14" s="1239">
        <v>32176.720000000001</v>
      </c>
      <c r="AZ14" s="1239">
        <v>0</v>
      </c>
      <c r="BA14" s="1239">
        <v>0</v>
      </c>
      <c r="BB14" s="1239">
        <v>0</v>
      </c>
      <c r="BC14" s="1239">
        <v>100154.2</v>
      </c>
      <c r="BD14" s="1239">
        <v>0</v>
      </c>
      <c r="BE14" s="1239">
        <v>0</v>
      </c>
      <c r="BF14" s="1239">
        <v>9457961.3200000003</v>
      </c>
      <c r="BG14" s="1239">
        <v>0</v>
      </c>
      <c r="BH14" s="1239">
        <v>0</v>
      </c>
      <c r="BI14" s="1239">
        <v>0</v>
      </c>
      <c r="BJ14" s="1239">
        <v>74372656.400000006</v>
      </c>
      <c r="BK14" s="1239">
        <v>74372656.400000006</v>
      </c>
      <c r="BL14" s="1239">
        <v>7414518.2800000003</v>
      </c>
      <c r="BM14" s="1239">
        <v>7414518.2800000003</v>
      </c>
      <c r="BN14" s="1239">
        <v>3700.88</v>
      </c>
      <c r="BO14" s="1239">
        <v>0</v>
      </c>
      <c r="BP14" s="1238">
        <v>45716</v>
      </c>
      <c r="BQ14" s="1241">
        <v>0</v>
      </c>
      <c r="BR14" s="1239">
        <v>0</v>
      </c>
      <c r="BS14" s="1239">
        <v>0</v>
      </c>
      <c r="BT14" s="1241">
        <v>20</v>
      </c>
      <c r="BU14" s="1239">
        <v>4466570.6999999993</v>
      </c>
      <c r="BV14" s="1239">
        <v>3668.8299999999995</v>
      </c>
      <c r="BW14" s="1241">
        <v>0</v>
      </c>
      <c r="BX14" s="1239">
        <v>0</v>
      </c>
      <c r="BY14" s="1239">
        <v>0</v>
      </c>
      <c r="BZ14" s="1239">
        <v>4466570.6999999993</v>
      </c>
      <c r="CA14" s="1239">
        <v>3668.8299999999995</v>
      </c>
      <c r="CB14" s="1239">
        <v>0</v>
      </c>
      <c r="CC14" s="1241">
        <v>20</v>
      </c>
      <c r="CD14" s="1239">
        <v>0</v>
      </c>
      <c r="CE14" s="1239">
        <v>0</v>
      </c>
      <c r="CF14" s="1239">
        <v>0</v>
      </c>
      <c r="CG14" s="1239">
        <v>0</v>
      </c>
      <c r="CH14" s="1241">
        <v>0</v>
      </c>
      <c r="CI14" s="1239">
        <v>409364.52000000008</v>
      </c>
      <c r="CJ14" s="1239">
        <v>168.14</v>
      </c>
      <c r="CK14" s="1239">
        <v>0</v>
      </c>
      <c r="CL14" s="1239">
        <v>0</v>
      </c>
      <c r="CM14" s="1241">
        <v>6</v>
      </c>
      <c r="CN14" s="1238">
        <v>45716</v>
      </c>
      <c r="CO14" s="1239">
        <v>7790721274.6099997</v>
      </c>
      <c r="CP14" s="1241">
        <v>55610</v>
      </c>
      <c r="CQ14" s="1239">
        <v>17680350.039999999</v>
      </c>
      <c r="CR14" s="1241">
        <v>118</v>
      </c>
      <c r="CS14" s="1239">
        <v>9154659.6799999997</v>
      </c>
      <c r="CT14" s="1241">
        <v>50</v>
      </c>
      <c r="CU14" s="1239">
        <v>2833646.73</v>
      </c>
      <c r="CV14" s="1241">
        <v>19</v>
      </c>
      <c r="CW14" s="1239">
        <v>1167432.8400000001</v>
      </c>
      <c r="CX14" s="1241">
        <v>10</v>
      </c>
      <c r="CY14" s="1239">
        <v>283323.56</v>
      </c>
      <c r="CZ14" s="1241">
        <v>4</v>
      </c>
      <c r="DA14" s="1239">
        <v>0</v>
      </c>
      <c r="DB14" s="1241">
        <v>0</v>
      </c>
      <c r="DC14" s="1239">
        <v>0</v>
      </c>
      <c r="DD14" s="1241">
        <v>0</v>
      </c>
      <c r="DE14" s="1239">
        <v>0</v>
      </c>
      <c r="DF14" s="1241">
        <v>0</v>
      </c>
      <c r="DG14" s="1239">
        <v>0</v>
      </c>
      <c r="DH14" s="1241">
        <v>0</v>
      </c>
      <c r="DI14" s="1239">
        <v>0</v>
      </c>
      <c r="DJ14" s="1241">
        <v>0</v>
      </c>
      <c r="DK14" s="1239">
        <v>0</v>
      </c>
      <c r="DL14" s="1241">
        <v>0</v>
      </c>
      <c r="DM14" s="1239">
        <v>0</v>
      </c>
      <c r="DN14" s="1241">
        <v>0</v>
      </c>
      <c r="DO14" s="1239">
        <v>207269.66</v>
      </c>
      <c r="DP14" s="1241">
        <v>2</v>
      </c>
      <c r="DQ14" s="1239">
        <v>0</v>
      </c>
      <c r="DR14" s="1241">
        <v>14</v>
      </c>
      <c r="DS14" s="1651">
        <v>1.4862999999999999E-2</v>
      </c>
      <c r="DT14" s="1238">
        <v>46022</v>
      </c>
      <c r="DU14" s="1328" t="s">
        <v>799</v>
      </c>
      <c r="DV14" t="s">
        <v>454</v>
      </c>
      <c r="DW14" s="1239">
        <v>293535286.39999998</v>
      </c>
      <c r="DX14" s="1241">
        <v>810</v>
      </c>
      <c r="DY14" s="1239">
        <v>382487522.16000003</v>
      </c>
    </row>
    <row r="15" spans="1:129">
      <c r="A15" s="1238">
        <v>45869</v>
      </c>
      <c r="B15" t="s">
        <v>340</v>
      </c>
      <c r="C15" s="1239">
        <v>180457.8</v>
      </c>
      <c r="D15" s="1239">
        <v>0</v>
      </c>
      <c r="E15" s="1239">
        <v>2915.56</v>
      </c>
      <c r="F15" s="1239">
        <v>0</v>
      </c>
      <c r="G15" s="1239">
        <v>0</v>
      </c>
      <c r="H15" s="1239">
        <v>0</v>
      </c>
      <c r="I15" s="1239">
        <v>0</v>
      </c>
      <c r="J15" s="1239">
        <v>0</v>
      </c>
      <c r="K15" s="1239">
        <v>619098.98</v>
      </c>
      <c r="L15" s="1239">
        <v>0</v>
      </c>
      <c r="M15" s="1239">
        <v>180060.56</v>
      </c>
      <c r="N15" s="1239">
        <v>0</v>
      </c>
      <c r="O15" s="1239">
        <v>616580.66</v>
      </c>
      <c r="P15" s="1239">
        <v>2013.48</v>
      </c>
      <c r="Q15" s="1239">
        <v>100.74</v>
      </c>
      <c r="R15" s="1239">
        <v>0</v>
      </c>
      <c r="S15" s="1239">
        <v>179.35</v>
      </c>
      <c r="T15" s="1239">
        <v>0</v>
      </c>
      <c r="U15" s="1239">
        <v>0</v>
      </c>
      <c r="V15" s="1239">
        <v>2013.48</v>
      </c>
      <c r="W15" s="1239">
        <v>102.49</v>
      </c>
      <c r="X15" s="1239">
        <v>0</v>
      </c>
      <c r="Y15" s="1239">
        <v>0</v>
      </c>
      <c r="Z15" s="1239">
        <v>0</v>
      </c>
      <c r="AA15" s="1239">
        <v>0</v>
      </c>
      <c r="AB15" s="1239">
        <v>0</v>
      </c>
      <c r="AC15" s="1239">
        <v>0</v>
      </c>
      <c r="AD15" s="1239">
        <v>0</v>
      </c>
      <c r="AE15" s="1239">
        <v>2515.4899999999998</v>
      </c>
      <c r="AF15" s="1239">
        <v>250.58</v>
      </c>
      <c r="AG15" s="1239">
        <v>0</v>
      </c>
      <c r="AH15" s="1239">
        <v>0</v>
      </c>
      <c r="AI15" s="1239">
        <v>0</v>
      </c>
      <c r="AJ15" s="1239">
        <v>0</v>
      </c>
      <c r="AK15" s="1239">
        <v>0</v>
      </c>
      <c r="AL15" s="1239">
        <v>0</v>
      </c>
      <c r="AM15" s="1239">
        <v>0</v>
      </c>
      <c r="AN15" s="1239">
        <v>0</v>
      </c>
      <c r="AO15" s="1239">
        <v>0</v>
      </c>
      <c r="AP15" s="1239">
        <v>0</v>
      </c>
      <c r="AQ15" s="1239">
        <v>2694.84</v>
      </c>
      <c r="AR15" s="1239">
        <v>248.83</v>
      </c>
      <c r="AS15" s="1239">
        <v>0</v>
      </c>
      <c r="AT15" s="1239">
        <v>2736.21</v>
      </c>
      <c r="AU15" s="1239">
        <v>2013.48</v>
      </c>
      <c r="AV15" s="1239">
        <v>0</v>
      </c>
      <c r="AW15" s="1239">
        <v>4749.6899999999996</v>
      </c>
      <c r="AX15" s="1239">
        <v>984.03</v>
      </c>
      <c r="AY15" s="1239">
        <v>102.49</v>
      </c>
      <c r="AZ15" s="1239">
        <v>0</v>
      </c>
      <c r="BA15" s="1239">
        <v>0</v>
      </c>
      <c r="BB15" s="1239">
        <v>0</v>
      </c>
      <c r="BC15" s="1239">
        <v>0</v>
      </c>
      <c r="BD15" s="1239">
        <v>0</v>
      </c>
      <c r="BE15" s="1239">
        <v>0</v>
      </c>
      <c r="BF15" s="1239">
        <v>1086.52</v>
      </c>
      <c r="BG15" s="1239">
        <v>0</v>
      </c>
      <c r="BH15" s="1239">
        <v>0</v>
      </c>
      <c r="BI15" s="1239">
        <v>0</v>
      </c>
      <c r="BJ15" s="1239">
        <v>5836.21</v>
      </c>
      <c r="BK15" s="1239">
        <v>5836.21</v>
      </c>
      <c r="BL15" s="1239">
        <v>664.4</v>
      </c>
      <c r="BM15" s="1239">
        <v>664.4</v>
      </c>
      <c r="BN15" s="1239">
        <v>192.42</v>
      </c>
      <c r="BO15" s="1239">
        <v>0</v>
      </c>
      <c r="BP15" s="1238">
        <v>45688</v>
      </c>
      <c r="BQ15" s="1241">
        <v>1</v>
      </c>
      <c r="BR15" s="1239">
        <v>72001.25</v>
      </c>
      <c r="BS15" s="1239">
        <v>50.4</v>
      </c>
      <c r="BT15" s="1241">
        <v>20</v>
      </c>
      <c r="BU15" s="1239">
        <v>3671628.52</v>
      </c>
      <c r="BV15" s="1239">
        <v>3756.21</v>
      </c>
      <c r="BW15" s="1241">
        <v>0</v>
      </c>
      <c r="BX15" s="1239">
        <v>0</v>
      </c>
      <c r="BY15" s="1239">
        <v>0</v>
      </c>
      <c r="BZ15" s="1239">
        <v>3743629.77</v>
      </c>
      <c r="CA15" s="1239">
        <v>3806.61</v>
      </c>
      <c r="CB15" s="1239">
        <v>0</v>
      </c>
      <c r="CC15" s="1241">
        <v>21</v>
      </c>
      <c r="CD15" s="1239">
        <v>0</v>
      </c>
      <c r="CE15" s="1239">
        <v>0</v>
      </c>
      <c r="CF15" s="1239">
        <v>0</v>
      </c>
      <c r="CG15" s="1239">
        <v>0</v>
      </c>
      <c r="CH15" s="1241">
        <v>0</v>
      </c>
      <c r="CI15" s="1239">
        <v>238668.41</v>
      </c>
      <c r="CJ15" s="1239">
        <v>90.25</v>
      </c>
      <c r="CK15" s="1239">
        <v>0</v>
      </c>
      <c r="CL15" s="1239">
        <v>0</v>
      </c>
      <c r="CM15" s="1241">
        <v>2</v>
      </c>
      <c r="CN15" s="1238">
        <v>45688</v>
      </c>
      <c r="CO15" s="1239">
        <v>7851886174.6700001</v>
      </c>
      <c r="CP15" s="1241">
        <v>55789</v>
      </c>
      <c r="CQ15" s="1239">
        <v>19070387.640000001</v>
      </c>
      <c r="CR15" s="1241">
        <v>114</v>
      </c>
      <c r="CS15" s="1239">
        <v>7512666.54</v>
      </c>
      <c r="CT15" s="1241">
        <v>47</v>
      </c>
      <c r="CU15" s="1239">
        <v>2234762.4300000002</v>
      </c>
      <c r="CV15" s="1241">
        <v>22</v>
      </c>
      <c r="CW15" s="1239">
        <v>1393735.6799999999</v>
      </c>
      <c r="CX15" s="1241">
        <v>8</v>
      </c>
      <c r="CY15" s="1239">
        <v>0</v>
      </c>
      <c r="CZ15" s="1241">
        <v>0</v>
      </c>
      <c r="DA15" s="1239">
        <v>0</v>
      </c>
      <c r="DB15" s="1241">
        <v>0</v>
      </c>
      <c r="DC15" s="1239">
        <v>0</v>
      </c>
      <c r="DD15" s="1241">
        <v>0</v>
      </c>
      <c r="DE15" s="1239">
        <v>0</v>
      </c>
      <c r="DF15" s="1241">
        <v>0</v>
      </c>
      <c r="DG15" s="1239">
        <v>0</v>
      </c>
      <c r="DH15" s="1241">
        <v>0</v>
      </c>
      <c r="DI15" s="1239">
        <v>0</v>
      </c>
      <c r="DJ15" s="1241">
        <v>0</v>
      </c>
      <c r="DK15" s="1239">
        <v>0</v>
      </c>
      <c r="DL15" s="1241">
        <v>0</v>
      </c>
      <c r="DM15" s="1239">
        <v>0</v>
      </c>
      <c r="DN15" s="1241">
        <v>0</v>
      </c>
      <c r="DO15" s="1239">
        <v>411276.35</v>
      </c>
      <c r="DP15" s="1241">
        <v>6</v>
      </c>
      <c r="DQ15" s="1239">
        <v>0</v>
      </c>
      <c r="DR15" s="1241">
        <v>12</v>
      </c>
      <c r="DS15" s="1651">
        <v>1.4859000000000001E-2</v>
      </c>
      <c r="DT15" s="1238">
        <v>46022</v>
      </c>
      <c r="DU15" s="1328" t="s">
        <v>800</v>
      </c>
      <c r="DV15" t="s">
        <v>455</v>
      </c>
      <c r="DW15" s="1239">
        <v>311752814.67000002</v>
      </c>
      <c r="DX15" s="1241">
        <v>742</v>
      </c>
      <c r="DY15" s="1239">
        <v>386518586.08999997</v>
      </c>
    </row>
    <row r="16" spans="1:129">
      <c r="A16" s="1238">
        <v>45838</v>
      </c>
      <c r="B16" t="s">
        <v>711</v>
      </c>
      <c r="C16" s="1239">
        <v>7635175945.3199997</v>
      </c>
      <c r="D16" s="1239">
        <v>0</v>
      </c>
      <c r="E16" s="1239">
        <v>41396387.259999998</v>
      </c>
      <c r="F16" s="1239">
        <v>17402933.100000001</v>
      </c>
      <c r="G16" s="1239">
        <v>0</v>
      </c>
      <c r="H16" s="1239">
        <v>0</v>
      </c>
      <c r="I16" s="1239">
        <v>0</v>
      </c>
      <c r="J16" s="1239">
        <v>0</v>
      </c>
      <c r="K16" s="1239">
        <v>183346.71</v>
      </c>
      <c r="L16" s="1239">
        <v>0</v>
      </c>
      <c r="M16" s="1239">
        <v>6188091.2599999998</v>
      </c>
      <c r="N16" s="1239">
        <v>0</v>
      </c>
      <c r="O16" s="1239">
        <v>7570005186.9899998</v>
      </c>
      <c r="P16" s="1239">
        <v>384443.79</v>
      </c>
      <c r="Q16" s="1239">
        <v>77984.66</v>
      </c>
      <c r="R16" s="1239">
        <v>0</v>
      </c>
      <c r="S16" s="1239">
        <v>215287.02</v>
      </c>
      <c r="T16" s="1239">
        <v>40982.550000000003</v>
      </c>
      <c r="U16" s="1239">
        <v>0</v>
      </c>
      <c r="V16" s="1239">
        <v>129163.94</v>
      </c>
      <c r="W16" s="1239">
        <v>26974.45</v>
      </c>
      <c r="X16" s="1239">
        <v>0</v>
      </c>
      <c r="Y16" s="1239">
        <v>0</v>
      </c>
      <c r="Z16" s="1239">
        <v>0</v>
      </c>
      <c r="AA16" s="1239">
        <v>0</v>
      </c>
      <c r="AB16" s="1239">
        <v>0</v>
      </c>
      <c r="AC16" s="1239">
        <v>0</v>
      </c>
      <c r="AD16" s="1239">
        <v>0</v>
      </c>
      <c r="AE16" s="1239">
        <v>1780.66</v>
      </c>
      <c r="AF16" s="1239">
        <v>0</v>
      </c>
      <c r="AG16" s="1239">
        <v>0</v>
      </c>
      <c r="AH16" s="1239">
        <v>0</v>
      </c>
      <c r="AI16" s="1239">
        <v>0</v>
      </c>
      <c r="AJ16" s="1239">
        <v>0</v>
      </c>
      <c r="AK16" s="1239">
        <v>0</v>
      </c>
      <c r="AL16" s="1239">
        <v>0</v>
      </c>
      <c r="AM16" s="1239">
        <v>0</v>
      </c>
      <c r="AN16" s="1239">
        <v>0</v>
      </c>
      <c r="AO16" s="1239">
        <v>0</v>
      </c>
      <c r="AP16" s="1239">
        <v>0</v>
      </c>
      <c r="AQ16" s="1239">
        <v>468786.21</v>
      </c>
      <c r="AR16" s="1239">
        <v>91992.76</v>
      </c>
      <c r="AS16" s="1239">
        <v>0</v>
      </c>
      <c r="AT16" s="1239">
        <v>41181100.240000002</v>
      </c>
      <c r="AU16" s="1239">
        <v>129163.94</v>
      </c>
      <c r="AV16" s="1239">
        <v>17402933.100000001</v>
      </c>
      <c r="AW16" s="1239">
        <v>58713197.280000001</v>
      </c>
      <c r="AX16" s="1239">
        <v>9425318.9800000004</v>
      </c>
      <c r="AY16" s="1239">
        <v>26974.45</v>
      </c>
      <c r="AZ16" s="1239">
        <v>0</v>
      </c>
      <c r="BA16" s="1239">
        <v>0</v>
      </c>
      <c r="BB16" s="1239">
        <v>0</v>
      </c>
      <c r="BC16" s="1239">
        <v>89792.07</v>
      </c>
      <c r="BD16" s="1239">
        <v>0</v>
      </c>
      <c r="BE16" s="1239">
        <v>0</v>
      </c>
      <c r="BF16" s="1239">
        <v>9542085.5</v>
      </c>
      <c r="BG16" s="1239">
        <v>0</v>
      </c>
      <c r="BH16" s="1239">
        <v>0</v>
      </c>
      <c r="BI16" s="1239">
        <v>0</v>
      </c>
      <c r="BJ16" s="1239">
        <v>68255282.780000001</v>
      </c>
      <c r="BK16" s="1239">
        <v>68255282.780000001</v>
      </c>
      <c r="BL16" s="1239">
        <v>7406086.4199999999</v>
      </c>
      <c r="BM16" s="1239">
        <v>7406086.4199999999</v>
      </c>
      <c r="BN16" s="1239">
        <v>4150.1000000000004</v>
      </c>
      <c r="BO16" s="1239">
        <v>0</v>
      </c>
      <c r="BP16" s="1238">
        <v>45657</v>
      </c>
      <c r="BQ16" s="1241">
        <v>2</v>
      </c>
      <c r="BR16" s="1239">
        <v>574406.91999999993</v>
      </c>
      <c r="BS16" s="1239">
        <v>417.5</v>
      </c>
      <c r="BT16" s="1241">
        <v>6</v>
      </c>
      <c r="BU16" s="1239">
        <v>820697.87</v>
      </c>
      <c r="BV16" s="1239">
        <v>1068.02</v>
      </c>
      <c r="BW16" s="1241">
        <v>14</v>
      </c>
      <c r="BX16" s="1239">
        <v>1995804.8499999996</v>
      </c>
      <c r="BY16" s="1239">
        <v>1808.9099999999996</v>
      </c>
      <c r="BZ16" s="1239">
        <v>3390909.6399999997</v>
      </c>
      <c r="CA16" s="1239">
        <v>3294.4299999999994</v>
      </c>
      <c r="CB16" s="1239">
        <v>0</v>
      </c>
      <c r="CC16" s="1241">
        <v>22</v>
      </c>
      <c r="CD16" s="1239">
        <v>0</v>
      </c>
      <c r="CE16" s="1239">
        <v>0</v>
      </c>
      <c r="CF16" s="1239">
        <v>0</v>
      </c>
      <c r="CG16" s="1239">
        <v>0</v>
      </c>
      <c r="CH16" s="1241">
        <v>0</v>
      </c>
      <c r="CI16" s="1239">
        <v>254831.75</v>
      </c>
      <c r="CJ16" s="1239">
        <v>459.87</v>
      </c>
      <c r="CK16" s="1239">
        <v>0</v>
      </c>
      <c r="CL16" s="1239">
        <v>10910.39</v>
      </c>
      <c r="CM16" s="1241">
        <v>2</v>
      </c>
      <c r="CN16" s="1238">
        <v>45657</v>
      </c>
      <c r="CO16" s="1239">
        <v>7913177373.5100002</v>
      </c>
      <c r="CP16" s="1241">
        <v>55965</v>
      </c>
      <c r="CQ16" s="1239">
        <v>20261511.460000001</v>
      </c>
      <c r="CR16" s="1241">
        <v>126</v>
      </c>
      <c r="CS16" s="1239">
        <v>6209398.6799999997</v>
      </c>
      <c r="CT16" s="1241">
        <v>39</v>
      </c>
      <c r="CU16" s="1239">
        <v>2583394.5499999998</v>
      </c>
      <c r="CV16" s="1241">
        <v>20</v>
      </c>
      <c r="CW16" s="1239">
        <v>0</v>
      </c>
      <c r="CX16" s="1241">
        <v>0</v>
      </c>
      <c r="CY16" s="1239">
        <v>0</v>
      </c>
      <c r="CZ16" s="1241">
        <v>0</v>
      </c>
      <c r="DA16" s="1239">
        <v>0</v>
      </c>
      <c r="DB16" s="1241">
        <v>0</v>
      </c>
      <c r="DC16" s="1239">
        <v>0</v>
      </c>
      <c r="DD16" s="1241">
        <v>0</v>
      </c>
      <c r="DE16" s="1239">
        <v>0</v>
      </c>
      <c r="DF16" s="1241">
        <v>0</v>
      </c>
      <c r="DG16" s="1239">
        <v>0</v>
      </c>
      <c r="DH16" s="1241">
        <v>0</v>
      </c>
      <c r="DI16" s="1239">
        <v>0</v>
      </c>
      <c r="DJ16" s="1241">
        <v>0</v>
      </c>
      <c r="DK16" s="1239">
        <v>0</v>
      </c>
      <c r="DL16" s="1241">
        <v>0</v>
      </c>
      <c r="DM16" s="1239">
        <v>0</v>
      </c>
      <c r="DN16" s="1241">
        <v>0</v>
      </c>
      <c r="DO16" s="1239">
        <v>238668.41</v>
      </c>
      <c r="DP16" s="1241">
        <v>3</v>
      </c>
      <c r="DQ16" s="1239">
        <v>0</v>
      </c>
      <c r="DR16" s="1241">
        <v>6</v>
      </c>
      <c r="DS16" s="1651">
        <v>1.4859000000000001E-2</v>
      </c>
      <c r="DT16" s="1238">
        <v>46022</v>
      </c>
      <c r="DU16" s="1328" t="s">
        <v>801</v>
      </c>
      <c r="DV16" t="s">
        <v>456</v>
      </c>
      <c r="DW16" s="1239">
        <v>308134815.05000001</v>
      </c>
      <c r="DX16" s="1241">
        <v>655</v>
      </c>
      <c r="DY16" s="1239">
        <v>374790887.94999999</v>
      </c>
    </row>
    <row r="17" spans="1:129">
      <c r="A17" s="1238">
        <v>45838</v>
      </c>
      <c r="B17" t="s">
        <v>340</v>
      </c>
      <c r="C17" s="1239">
        <v>719043.86</v>
      </c>
      <c r="D17" s="1239">
        <v>0</v>
      </c>
      <c r="E17" s="1239">
        <v>7555.82</v>
      </c>
      <c r="F17" s="1239">
        <v>0</v>
      </c>
      <c r="G17" s="1239">
        <v>0</v>
      </c>
      <c r="H17" s="1239">
        <v>0</v>
      </c>
      <c r="I17" s="1239">
        <v>0</v>
      </c>
      <c r="J17" s="1239">
        <v>0</v>
      </c>
      <c r="K17" s="1239">
        <v>183346.71</v>
      </c>
      <c r="L17" s="1239">
        <v>0</v>
      </c>
      <c r="M17" s="1239">
        <v>714376.95</v>
      </c>
      <c r="N17" s="1239">
        <v>0</v>
      </c>
      <c r="O17" s="1239">
        <v>180457.8</v>
      </c>
      <c r="P17" s="1239">
        <v>0</v>
      </c>
      <c r="Q17" s="1239">
        <v>0</v>
      </c>
      <c r="R17" s="1239">
        <v>0</v>
      </c>
      <c r="S17" s="1239">
        <v>232.82</v>
      </c>
      <c r="T17" s="1239">
        <v>100.74</v>
      </c>
      <c r="U17" s="1239">
        <v>0</v>
      </c>
      <c r="V17" s="1239">
        <v>0</v>
      </c>
      <c r="W17" s="1239">
        <v>0</v>
      </c>
      <c r="X17" s="1239">
        <v>0</v>
      </c>
      <c r="Y17" s="1239">
        <v>0</v>
      </c>
      <c r="Z17" s="1239">
        <v>0</v>
      </c>
      <c r="AA17" s="1239">
        <v>0</v>
      </c>
      <c r="AB17" s="1239">
        <v>0</v>
      </c>
      <c r="AC17" s="1239">
        <v>0</v>
      </c>
      <c r="AD17" s="1239">
        <v>0</v>
      </c>
      <c r="AE17" s="1239">
        <v>1780.66</v>
      </c>
      <c r="AF17" s="1239">
        <v>0</v>
      </c>
      <c r="AG17" s="1239">
        <v>0</v>
      </c>
      <c r="AH17" s="1239">
        <v>0</v>
      </c>
      <c r="AI17" s="1239">
        <v>0</v>
      </c>
      <c r="AJ17" s="1239">
        <v>0</v>
      </c>
      <c r="AK17" s="1239">
        <v>0</v>
      </c>
      <c r="AL17" s="1239">
        <v>0</v>
      </c>
      <c r="AM17" s="1239">
        <v>0</v>
      </c>
      <c r="AN17" s="1239">
        <v>0</v>
      </c>
      <c r="AO17" s="1239">
        <v>0</v>
      </c>
      <c r="AP17" s="1239">
        <v>0</v>
      </c>
      <c r="AQ17" s="1239">
        <v>2013.48</v>
      </c>
      <c r="AR17" s="1239">
        <v>100.74</v>
      </c>
      <c r="AS17" s="1239">
        <v>0</v>
      </c>
      <c r="AT17" s="1239">
        <v>7323</v>
      </c>
      <c r="AU17" s="1239">
        <v>0</v>
      </c>
      <c r="AV17" s="1239">
        <v>0</v>
      </c>
      <c r="AW17" s="1239">
        <v>7323</v>
      </c>
      <c r="AX17" s="1239">
        <v>1442.27</v>
      </c>
      <c r="AY17" s="1239">
        <v>0</v>
      </c>
      <c r="AZ17" s="1239">
        <v>0</v>
      </c>
      <c r="BA17" s="1239">
        <v>0</v>
      </c>
      <c r="BB17" s="1239">
        <v>0</v>
      </c>
      <c r="BC17" s="1239">
        <v>0</v>
      </c>
      <c r="BD17" s="1239">
        <v>0</v>
      </c>
      <c r="BE17" s="1239">
        <v>0</v>
      </c>
      <c r="BF17" s="1239">
        <v>1442.27</v>
      </c>
      <c r="BG17" s="1239">
        <v>0</v>
      </c>
      <c r="BH17" s="1239">
        <v>0</v>
      </c>
      <c r="BI17" s="1239">
        <v>0</v>
      </c>
      <c r="BJ17" s="1239">
        <v>8765.27</v>
      </c>
      <c r="BK17" s="1239">
        <v>8765.27</v>
      </c>
      <c r="BL17" s="1239">
        <v>1168.56</v>
      </c>
      <c r="BM17" s="1239">
        <v>1168.56</v>
      </c>
      <c r="BN17" s="1239">
        <v>975.79</v>
      </c>
      <c r="BO17" s="1239">
        <v>0</v>
      </c>
      <c r="BP17" s="1238">
        <v>45626</v>
      </c>
      <c r="BQ17" s="1241">
        <v>4</v>
      </c>
      <c r="BR17" s="1239">
        <v>408945.69999999995</v>
      </c>
      <c r="BS17" s="1239">
        <v>436.15000000000003</v>
      </c>
      <c r="BT17" s="1241">
        <v>22</v>
      </c>
      <c r="BU17" s="1239">
        <v>2678021.54</v>
      </c>
      <c r="BV17" s="1239">
        <v>1937.04</v>
      </c>
      <c r="BW17" s="1241">
        <v>0</v>
      </c>
      <c r="BX17" s="1239">
        <v>0</v>
      </c>
      <c r="BY17" s="1239">
        <v>0</v>
      </c>
      <c r="BZ17" s="1239">
        <v>3086967.2399999998</v>
      </c>
      <c r="CA17" s="1239">
        <v>2373.19</v>
      </c>
      <c r="CB17" s="1239">
        <v>0</v>
      </c>
      <c r="CC17" s="1241">
        <v>26</v>
      </c>
      <c r="CD17" s="1239">
        <v>0</v>
      </c>
      <c r="CE17" s="1239">
        <v>0</v>
      </c>
      <c r="CF17" s="1239">
        <v>0</v>
      </c>
      <c r="CG17" s="1239">
        <v>0</v>
      </c>
      <c r="CH17" s="1241">
        <v>0</v>
      </c>
      <c r="CI17" s="1239">
        <v>63768.42</v>
      </c>
      <c r="CJ17" s="1239">
        <v>101.85</v>
      </c>
      <c r="CK17" s="1239">
        <v>0</v>
      </c>
      <c r="CL17" s="1239">
        <v>0</v>
      </c>
      <c r="CM17" s="1241">
        <v>1</v>
      </c>
      <c r="CN17" s="1238">
        <v>45626</v>
      </c>
      <c r="CO17" s="1239">
        <v>8038993600.0500002</v>
      </c>
      <c r="CP17" s="1241">
        <v>56548</v>
      </c>
      <c r="CQ17" s="1239">
        <v>17650355.260000002</v>
      </c>
      <c r="CR17" s="1241">
        <v>111</v>
      </c>
      <c r="CS17" s="1239">
        <v>6034476.1200000001</v>
      </c>
      <c r="CT17" s="1241">
        <v>31</v>
      </c>
      <c r="CU17" s="1239">
        <v>0</v>
      </c>
      <c r="CV17" s="1241">
        <v>0</v>
      </c>
      <c r="CW17" s="1239">
        <v>0</v>
      </c>
      <c r="CX17" s="1241">
        <v>0</v>
      </c>
      <c r="CY17" s="1239">
        <v>0</v>
      </c>
      <c r="CZ17" s="1241">
        <v>0</v>
      </c>
      <c r="DA17" s="1239">
        <v>0</v>
      </c>
      <c r="DB17" s="1241">
        <v>0</v>
      </c>
      <c r="DC17" s="1239">
        <v>0</v>
      </c>
      <c r="DD17" s="1241">
        <v>0</v>
      </c>
      <c r="DE17" s="1239">
        <v>0</v>
      </c>
      <c r="DF17" s="1241">
        <v>0</v>
      </c>
      <c r="DG17" s="1239">
        <v>0</v>
      </c>
      <c r="DH17" s="1241">
        <v>0</v>
      </c>
      <c r="DI17" s="1239">
        <v>0</v>
      </c>
      <c r="DJ17" s="1241">
        <v>0</v>
      </c>
      <c r="DK17" s="1239">
        <v>0</v>
      </c>
      <c r="DL17" s="1241">
        <v>0</v>
      </c>
      <c r="DM17" s="1239">
        <v>0</v>
      </c>
      <c r="DN17" s="1241">
        <v>0</v>
      </c>
      <c r="DO17" s="1239">
        <v>256996.09</v>
      </c>
      <c r="DP17" s="1241">
        <v>2</v>
      </c>
      <c r="DQ17" s="1239">
        <v>0</v>
      </c>
      <c r="DR17" s="1241">
        <v>3</v>
      </c>
      <c r="DS17" s="1651">
        <v>1.4836999999999999E-2</v>
      </c>
      <c r="DT17" s="1238">
        <v>46022</v>
      </c>
      <c r="DU17" s="1328" t="s">
        <v>802</v>
      </c>
      <c r="DV17" t="s">
        <v>457</v>
      </c>
      <c r="DW17" s="1239">
        <v>347495988.94</v>
      </c>
      <c r="DX17" s="1241">
        <v>687</v>
      </c>
      <c r="DY17" s="1239">
        <v>425486542.02999997</v>
      </c>
    </row>
    <row r="18" spans="1:129">
      <c r="A18" s="1238">
        <v>45808</v>
      </c>
      <c r="B18" t="s">
        <v>711</v>
      </c>
      <c r="C18" s="1239">
        <v>7700874478.6099997</v>
      </c>
      <c r="D18" s="1239">
        <v>0</v>
      </c>
      <c r="E18" s="1239">
        <v>41702863.289999999</v>
      </c>
      <c r="F18" s="1239">
        <v>19519847.550000001</v>
      </c>
      <c r="G18" s="1239">
        <v>0</v>
      </c>
      <c r="H18" s="1239">
        <v>0</v>
      </c>
      <c r="I18" s="1239">
        <v>0</v>
      </c>
      <c r="J18" s="1239">
        <v>0</v>
      </c>
      <c r="K18" s="1239">
        <v>723701.24</v>
      </c>
      <c r="L18" s="1239">
        <v>0</v>
      </c>
      <c r="M18" s="1239">
        <v>3752121.21</v>
      </c>
      <c r="N18" s="1239">
        <v>0</v>
      </c>
      <c r="O18" s="1239">
        <v>7635175945.3199997</v>
      </c>
      <c r="P18" s="1239">
        <v>301091.21000000002</v>
      </c>
      <c r="Q18" s="1239">
        <v>58617.81</v>
      </c>
      <c r="R18" s="1239">
        <v>0</v>
      </c>
      <c r="S18" s="1239">
        <v>188255.53</v>
      </c>
      <c r="T18" s="1239">
        <v>37467.33</v>
      </c>
      <c r="U18" s="1239">
        <v>0</v>
      </c>
      <c r="V18" s="1239">
        <v>103621.29</v>
      </c>
      <c r="W18" s="1239">
        <v>18039.490000000002</v>
      </c>
      <c r="X18" s="1239">
        <v>0</v>
      </c>
      <c r="Y18" s="1239">
        <v>0</v>
      </c>
      <c r="Z18" s="1239">
        <v>0</v>
      </c>
      <c r="AA18" s="1239">
        <v>0</v>
      </c>
      <c r="AB18" s="1239">
        <v>0</v>
      </c>
      <c r="AC18" s="1239">
        <v>0</v>
      </c>
      <c r="AD18" s="1239">
        <v>0</v>
      </c>
      <c r="AE18" s="1239">
        <v>0</v>
      </c>
      <c r="AF18" s="1239">
        <v>0</v>
      </c>
      <c r="AG18" s="1239">
        <v>0</v>
      </c>
      <c r="AH18" s="1239">
        <v>0</v>
      </c>
      <c r="AI18" s="1239">
        <v>0</v>
      </c>
      <c r="AJ18" s="1239">
        <v>0</v>
      </c>
      <c r="AK18" s="1239">
        <v>1281.6600000000001</v>
      </c>
      <c r="AL18" s="1239">
        <v>60.99</v>
      </c>
      <c r="AM18" s="1239">
        <v>0</v>
      </c>
      <c r="AN18" s="1239">
        <v>0</v>
      </c>
      <c r="AO18" s="1239">
        <v>0</v>
      </c>
      <c r="AP18" s="1239">
        <v>0</v>
      </c>
      <c r="AQ18" s="1239">
        <v>384443.79</v>
      </c>
      <c r="AR18" s="1239">
        <v>77984.66</v>
      </c>
      <c r="AS18" s="1239">
        <v>0</v>
      </c>
      <c r="AT18" s="1239">
        <v>41514607.759999998</v>
      </c>
      <c r="AU18" s="1239">
        <v>103621.29</v>
      </c>
      <c r="AV18" s="1239">
        <v>19519847.550000001</v>
      </c>
      <c r="AW18" s="1239">
        <v>61138076.600000001</v>
      </c>
      <c r="AX18" s="1239">
        <v>9486828.6500000004</v>
      </c>
      <c r="AY18" s="1239">
        <v>18039.490000000002</v>
      </c>
      <c r="AZ18" s="1239">
        <v>0</v>
      </c>
      <c r="BA18" s="1239">
        <v>0</v>
      </c>
      <c r="BB18" s="1239">
        <v>0</v>
      </c>
      <c r="BC18" s="1239">
        <v>66814.11</v>
      </c>
      <c r="BD18" s="1239">
        <v>0</v>
      </c>
      <c r="BE18" s="1239">
        <v>0</v>
      </c>
      <c r="BF18" s="1239">
        <v>9571682.25</v>
      </c>
      <c r="BG18" s="1239">
        <v>0</v>
      </c>
      <c r="BH18" s="1239">
        <v>0</v>
      </c>
      <c r="BI18" s="1239">
        <v>0</v>
      </c>
      <c r="BJ18" s="1239">
        <v>70709758.849999994</v>
      </c>
      <c r="BK18" s="1239">
        <v>70709758.849999994</v>
      </c>
      <c r="BL18" s="1239">
        <v>7545687.3099999996</v>
      </c>
      <c r="BM18" s="1239">
        <v>7545687.3099999996</v>
      </c>
      <c r="BN18" s="1239">
        <v>3227.41</v>
      </c>
      <c r="BO18" s="1239">
        <v>0</v>
      </c>
      <c r="BP18" s="1238">
        <v>45596</v>
      </c>
      <c r="BQ18" s="1241">
        <v>0</v>
      </c>
      <c r="BR18" s="1239">
        <v>0</v>
      </c>
      <c r="BS18" s="1239">
        <v>0</v>
      </c>
      <c r="BT18" s="1241">
        <v>2</v>
      </c>
      <c r="BU18" s="1239">
        <v>262375.61</v>
      </c>
      <c r="BV18" s="1239">
        <v>232.45</v>
      </c>
      <c r="BW18" s="1241">
        <v>10</v>
      </c>
      <c r="BX18" s="1239">
        <v>1276580.07</v>
      </c>
      <c r="BY18" s="1239">
        <v>1196.04</v>
      </c>
      <c r="BZ18" s="1239">
        <v>1538955.6800000002</v>
      </c>
      <c r="CA18" s="1239">
        <v>1428.49</v>
      </c>
      <c r="CB18" s="1239">
        <v>0</v>
      </c>
      <c r="CC18" s="1241">
        <v>12</v>
      </c>
      <c r="CD18" s="1239">
        <v>0</v>
      </c>
      <c r="CE18" s="1239">
        <v>0</v>
      </c>
      <c r="CF18" s="1239">
        <v>0</v>
      </c>
      <c r="CG18" s="1239">
        <v>0</v>
      </c>
      <c r="CH18" s="1241">
        <v>0</v>
      </c>
      <c r="CI18" s="1239">
        <v>0</v>
      </c>
      <c r="CJ18" s="1239">
        <v>0</v>
      </c>
      <c r="CK18" s="1239">
        <v>0</v>
      </c>
      <c r="CL18" s="1239">
        <v>0</v>
      </c>
      <c r="CM18" s="1241">
        <v>0</v>
      </c>
      <c r="CN18" s="1238">
        <v>45596</v>
      </c>
      <c r="CO18" s="1239">
        <v>8120798931.6599998</v>
      </c>
      <c r="CP18" s="1241">
        <v>56839</v>
      </c>
      <c r="CQ18" s="1239">
        <v>0</v>
      </c>
      <c r="CR18" s="1241">
        <v>0</v>
      </c>
      <c r="CS18" s="1239">
        <v>0</v>
      </c>
      <c r="CT18" s="1241">
        <v>0</v>
      </c>
      <c r="CU18" s="1239">
        <v>0</v>
      </c>
      <c r="CV18" s="1241">
        <v>0</v>
      </c>
      <c r="CW18" s="1239">
        <v>0</v>
      </c>
      <c r="CX18" s="1241">
        <v>0</v>
      </c>
      <c r="CY18" s="1239">
        <v>0</v>
      </c>
      <c r="CZ18" s="1241">
        <v>0</v>
      </c>
      <c r="DA18" s="1239">
        <v>0</v>
      </c>
      <c r="DB18" s="1241">
        <v>0</v>
      </c>
      <c r="DC18" s="1239">
        <v>0</v>
      </c>
      <c r="DD18" s="1241">
        <v>0</v>
      </c>
      <c r="DE18" s="1239">
        <v>0</v>
      </c>
      <c r="DF18" s="1241">
        <v>0</v>
      </c>
      <c r="DG18" s="1239">
        <v>0</v>
      </c>
      <c r="DH18" s="1241">
        <v>0</v>
      </c>
      <c r="DI18" s="1239">
        <v>0</v>
      </c>
      <c r="DJ18" s="1241">
        <v>0</v>
      </c>
      <c r="DK18" s="1239">
        <v>0</v>
      </c>
      <c r="DL18" s="1241">
        <v>0</v>
      </c>
      <c r="DM18" s="1239">
        <v>0</v>
      </c>
      <c r="DN18" s="1241">
        <v>0</v>
      </c>
      <c r="DO18" s="1239">
        <v>65384.86</v>
      </c>
      <c r="DP18" s="1241">
        <v>1</v>
      </c>
      <c r="DQ18" s="1239">
        <v>0</v>
      </c>
      <c r="DR18" s="1241">
        <v>1</v>
      </c>
      <c r="DS18" s="1651">
        <v>1.4827809999999999E-2</v>
      </c>
      <c r="DT18" s="1238">
        <v>46022</v>
      </c>
      <c r="DU18" s="1328" t="s">
        <v>803</v>
      </c>
      <c r="DV18" t="s">
        <v>458</v>
      </c>
      <c r="DW18" s="1239">
        <v>259204770.33000001</v>
      </c>
      <c r="DX18" s="1241">
        <v>475</v>
      </c>
      <c r="DY18" s="1239">
        <v>318578852.75</v>
      </c>
    </row>
    <row r="19" spans="1:129">
      <c r="A19" s="1238">
        <v>45808</v>
      </c>
      <c r="B19" t="s">
        <v>340</v>
      </c>
      <c r="C19" s="1239">
        <v>1231515.1100000001</v>
      </c>
      <c r="D19" s="1239">
        <v>0</v>
      </c>
      <c r="E19" s="1239">
        <v>9058.5400000000009</v>
      </c>
      <c r="F19" s="1239">
        <v>0</v>
      </c>
      <c r="G19" s="1239">
        <v>0</v>
      </c>
      <c r="H19" s="1239">
        <v>0</v>
      </c>
      <c r="I19" s="1239">
        <v>0</v>
      </c>
      <c r="J19" s="1239">
        <v>0</v>
      </c>
      <c r="K19" s="1239">
        <v>723701.24</v>
      </c>
      <c r="L19" s="1239">
        <v>0</v>
      </c>
      <c r="M19" s="1239">
        <v>1227113.95</v>
      </c>
      <c r="N19" s="1239">
        <v>0</v>
      </c>
      <c r="O19" s="1239">
        <v>719043.86</v>
      </c>
      <c r="P19" s="1239">
        <v>1846.72</v>
      </c>
      <c r="Q19" s="1239">
        <v>375.72</v>
      </c>
      <c r="R19" s="1239">
        <v>0</v>
      </c>
      <c r="S19" s="1239">
        <v>0</v>
      </c>
      <c r="T19" s="1239">
        <v>0</v>
      </c>
      <c r="U19" s="1239">
        <v>0</v>
      </c>
      <c r="V19" s="1239">
        <v>1846.72</v>
      </c>
      <c r="W19" s="1239">
        <v>375.72</v>
      </c>
      <c r="X19" s="1239">
        <v>0</v>
      </c>
      <c r="Y19" s="1239">
        <v>0</v>
      </c>
      <c r="Z19" s="1239">
        <v>0</v>
      </c>
      <c r="AA19" s="1239">
        <v>0</v>
      </c>
      <c r="AB19" s="1239">
        <v>0</v>
      </c>
      <c r="AC19" s="1239">
        <v>0</v>
      </c>
      <c r="AD19" s="1239">
        <v>0</v>
      </c>
      <c r="AE19" s="1239">
        <v>0</v>
      </c>
      <c r="AF19" s="1239">
        <v>0</v>
      </c>
      <c r="AG19" s="1239">
        <v>0</v>
      </c>
      <c r="AH19" s="1239">
        <v>0</v>
      </c>
      <c r="AI19" s="1239">
        <v>0</v>
      </c>
      <c r="AJ19" s="1239">
        <v>0</v>
      </c>
      <c r="AK19" s="1239">
        <v>0</v>
      </c>
      <c r="AL19" s="1239">
        <v>0</v>
      </c>
      <c r="AM19" s="1239">
        <v>0</v>
      </c>
      <c r="AN19" s="1239">
        <v>0</v>
      </c>
      <c r="AO19" s="1239">
        <v>0</v>
      </c>
      <c r="AP19" s="1239">
        <v>0</v>
      </c>
      <c r="AQ19" s="1239">
        <v>0</v>
      </c>
      <c r="AR19" s="1239">
        <v>0</v>
      </c>
      <c r="AS19" s="1239">
        <v>0</v>
      </c>
      <c r="AT19" s="1239">
        <v>9058.5400000000009</v>
      </c>
      <c r="AU19" s="1239">
        <v>1846.72</v>
      </c>
      <c r="AV19" s="1239">
        <v>0</v>
      </c>
      <c r="AW19" s="1239">
        <v>10905.26</v>
      </c>
      <c r="AX19" s="1239">
        <v>2777.64</v>
      </c>
      <c r="AY19" s="1239">
        <v>375.72</v>
      </c>
      <c r="AZ19" s="1239">
        <v>0</v>
      </c>
      <c r="BA19" s="1239">
        <v>0</v>
      </c>
      <c r="BB19" s="1239">
        <v>0</v>
      </c>
      <c r="BC19" s="1239">
        <v>0</v>
      </c>
      <c r="BD19" s="1239">
        <v>0</v>
      </c>
      <c r="BE19" s="1239">
        <v>0</v>
      </c>
      <c r="BF19" s="1239">
        <v>3153.36</v>
      </c>
      <c r="BG19" s="1239">
        <v>0</v>
      </c>
      <c r="BH19" s="1239">
        <v>0</v>
      </c>
      <c r="BI19" s="1239">
        <v>0</v>
      </c>
      <c r="BJ19" s="1239">
        <v>14058.62</v>
      </c>
      <c r="BK19" s="1239">
        <v>14058.62</v>
      </c>
      <c r="BL19" s="1239">
        <v>2433.9</v>
      </c>
      <c r="BM19" s="1239">
        <v>2433.9</v>
      </c>
      <c r="BN19" s="1239">
        <v>1398.92</v>
      </c>
      <c r="BO19" s="1239">
        <v>0</v>
      </c>
      <c r="BP19" s="1238">
        <v>45565</v>
      </c>
      <c r="BQ19" s="1241">
        <v>0</v>
      </c>
      <c r="BR19" s="1239">
        <v>0</v>
      </c>
      <c r="BS19" s="1239">
        <v>0</v>
      </c>
      <c r="BT19" s="1241">
        <v>0</v>
      </c>
      <c r="BU19" s="1239">
        <v>0</v>
      </c>
      <c r="BV19" s="1239">
        <v>0</v>
      </c>
      <c r="BW19" s="1241">
        <v>0</v>
      </c>
      <c r="BX19" s="1239">
        <v>0</v>
      </c>
      <c r="BY19" s="1239">
        <v>0</v>
      </c>
      <c r="BZ19" s="1239">
        <v>0</v>
      </c>
      <c r="CA19" s="1239">
        <v>0</v>
      </c>
      <c r="CB19" s="1239">
        <v>0</v>
      </c>
      <c r="CC19" s="1241">
        <v>0</v>
      </c>
      <c r="CD19" s="1239">
        <v>0</v>
      </c>
      <c r="CE19" s="1239">
        <v>0</v>
      </c>
      <c r="CF19" s="1239">
        <v>0</v>
      </c>
      <c r="CG19" s="1239">
        <v>0</v>
      </c>
      <c r="CH19" s="1241">
        <v>0</v>
      </c>
      <c r="CI19" s="1239">
        <v>0</v>
      </c>
      <c r="CJ19" s="1239">
        <v>0</v>
      </c>
      <c r="CK19" s="1239">
        <v>0</v>
      </c>
      <c r="CL19" s="1239">
        <v>0</v>
      </c>
      <c r="CM19" s="1241">
        <v>0</v>
      </c>
      <c r="CN19" s="1238">
        <v>45565</v>
      </c>
      <c r="CO19" s="1239">
        <v>8182368484.4700003</v>
      </c>
      <c r="CP19" s="1241">
        <v>56971</v>
      </c>
      <c r="CQ19" s="1239">
        <v>0</v>
      </c>
      <c r="CR19" s="1241">
        <v>0</v>
      </c>
      <c r="CS19" s="1239">
        <v>0</v>
      </c>
      <c r="CT19" s="1241">
        <v>0</v>
      </c>
      <c r="CU19" s="1239">
        <v>0</v>
      </c>
      <c r="CV19" s="1241">
        <v>0</v>
      </c>
      <c r="CW19" s="1239">
        <v>0</v>
      </c>
      <c r="CX19" s="1241">
        <v>0</v>
      </c>
      <c r="CY19" s="1239">
        <v>0</v>
      </c>
      <c r="CZ19" s="1241">
        <v>0</v>
      </c>
      <c r="DA19" s="1239">
        <v>0</v>
      </c>
      <c r="DB19" s="1241">
        <v>0</v>
      </c>
      <c r="DC19" s="1239">
        <v>0</v>
      </c>
      <c r="DD19" s="1241">
        <v>0</v>
      </c>
      <c r="DE19" s="1239">
        <v>0</v>
      </c>
      <c r="DF19" s="1241">
        <v>0</v>
      </c>
      <c r="DG19" s="1239">
        <v>0</v>
      </c>
      <c r="DH19" s="1241">
        <v>0</v>
      </c>
      <c r="DI19" s="1239">
        <v>0</v>
      </c>
      <c r="DJ19" s="1241">
        <v>0</v>
      </c>
      <c r="DK19" s="1239">
        <v>0</v>
      </c>
      <c r="DL19" s="1241">
        <v>0</v>
      </c>
      <c r="DM19" s="1239">
        <v>0</v>
      </c>
      <c r="DN19" s="1241">
        <v>0</v>
      </c>
      <c r="DO19" s="1239">
        <v>0</v>
      </c>
      <c r="DP19" s="1241">
        <v>0</v>
      </c>
      <c r="DQ19" s="1239">
        <v>0</v>
      </c>
      <c r="DR19" s="1241">
        <v>0</v>
      </c>
      <c r="DS19" s="1651">
        <v>1.4832E-2</v>
      </c>
      <c r="DT19" s="1238">
        <v>46022</v>
      </c>
      <c r="DU19" s="1328" t="s">
        <v>804</v>
      </c>
      <c r="DV19" t="s">
        <v>459</v>
      </c>
      <c r="DW19" s="1239">
        <v>210814864.19999999</v>
      </c>
      <c r="DX19" s="1241">
        <v>356</v>
      </c>
      <c r="DY19" s="1239">
        <v>256495931.08000001</v>
      </c>
    </row>
    <row r="20" spans="1:129">
      <c r="A20" s="1238">
        <v>45777</v>
      </c>
      <c r="B20" t="s">
        <v>711</v>
      </c>
      <c r="C20" s="1239">
        <v>7762584280.3299999</v>
      </c>
      <c r="D20" s="1239">
        <v>0</v>
      </c>
      <c r="E20" s="1239">
        <v>41510862.210000001</v>
      </c>
      <c r="F20" s="1239">
        <v>14842897.939999999</v>
      </c>
      <c r="G20" s="1239">
        <v>0</v>
      </c>
      <c r="H20" s="1239">
        <v>0</v>
      </c>
      <c r="I20" s="1239">
        <v>0</v>
      </c>
      <c r="J20" s="1239">
        <v>0</v>
      </c>
      <c r="K20" s="1239">
        <v>1236920.96</v>
      </c>
      <c r="L20" s="1239">
        <v>0</v>
      </c>
      <c r="M20" s="1239">
        <v>4119120.61</v>
      </c>
      <c r="N20" s="1239">
        <v>0</v>
      </c>
      <c r="O20" s="1239">
        <v>7700874478.6099997</v>
      </c>
      <c r="P20" s="1239">
        <v>163151.37</v>
      </c>
      <c r="Q20" s="1239">
        <v>48664.54</v>
      </c>
      <c r="R20" s="1239">
        <v>0</v>
      </c>
      <c r="S20" s="1239">
        <v>203012.38</v>
      </c>
      <c r="T20" s="1239">
        <v>37302.400000000001</v>
      </c>
      <c r="U20" s="1239">
        <v>0</v>
      </c>
      <c r="V20" s="1239">
        <v>63727.519999999997</v>
      </c>
      <c r="W20" s="1239">
        <v>27098.03</v>
      </c>
      <c r="X20" s="1239">
        <v>0</v>
      </c>
      <c r="Y20" s="1239">
        <v>0</v>
      </c>
      <c r="Z20" s="1239">
        <v>0</v>
      </c>
      <c r="AA20" s="1239">
        <v>0</v>
      </c>
      <c r="AB20" s="1239">
        <v>0</v>
      </c>
      <c r="AC20" s="1239">
        <v>0</v>
      </c>
      <c r="AD20" s="1239">
        <v>0</v>
      </c>
      <c r="AE20" s="1239">
        <v>1345.02</v>
      </c>
      <c r="AF20" s="1239">
        <v>251.1</v>
      </c>
      <c r="AG20" s="1239">
        <v>0</v>
      </c>
      <c r="AH20" s="1239">
        <v>0</v>
      </c>
      <c r="AI20" s="1239">
        <v>0</v>
      </c>
      <c r="AJ20" s="1239">
        <v>0</v>
      </c>
      <c r="AK20" s="1239">
        <v>0</v>
      </c>
      <c r="AL20" s="1239">
        <v>0</v>
      </c>
      <c r="AM20" s="1239">
        <v>0</v>
      </c>
      <c r="AN20" s="1239">
        <v>0</v>
      </c>
      <c r="AO20" s="1239">
        <v>0</v>
      </c>
      <c r="AP20" s="1239">
        <v>0</v>
      </c>
      <c r="AQ20" s="1239">
        <v>301091.21000000002</v>
      </c>
      <c r="AR20" s="1239">
        <v>58617.81</v>
      </c>
      <c r="AS20" s="1239">
        <v>0</v>
      </c>
      <c r="AT20" s="1239">
        <v>41307849.829999998</v>
      </c>
      <c r="AU20" s="1239">
        <v>63727.519999999997</v>
      </c>
      <c r="AV20" s="1239">
        <v>14842897.939999999</v>
      </c>
      <c r="AW20" s="1239">
        <v>56214475.289999999</v>
      </c>
      <c r="AX20" s="1239">
        <v>9577619.2100000009</v>
      </c>
      <c r="AY20" s="1239">
        <v>27098.03</v>
      </c>
      <c r="AZ20" s="1239">
        <v>0</v>
      </c>
      <c r="BA20" s="1239">
        <v>0</v>
      </c>
      <c r="BB20" s="1239">
        <v>0</v>
      </c>
      <c r="BC20" s="1239">
        <v>63036.82</v>
      </c>
      <c r="BD20" s="1239">
        <v>0</v>
      </c>
      <c r="BE20" s="1239">
        <v>0</v>
      </c>
      <c r="BF20" s="1239">
        <v>9667754.0600000005</v>
      </c>
      <c r="BG20" s="1239">
        <v>0</v>
      </c>
      <c r="BH20" s="1239">
        <v>0</v>
      </c>
      <c r="BI20" s="1239">
        <v>0</v>
      </c>
      <c r="BJ20" s="1239">
        <v>65882229.350000001</v>
      </c>
      <c r="BK20" s="1239">
        <v>65882229.350000001</v>
      </c>
      <c r="BL20" s="1239">
        <v>7532055.3600000003</v>
      </c>
      <c r="BM20" s="1239">
        <v>7532055.3600000003</v>
      </c>
      <c r="BN20" s="1239">
        <v>2899.61</v>
      </c>
      <c r="BO20" s="1239">
        <v>0</v>
      </c>
      <c r="DT20" s="1238">
        <v>46022</v>
      </c>
      <c r="DU20" s="1328" t="s">
        <v>805</v>
      </c>
      <c r="DV20" t="s">
        <v>460</v>
      </c>
      <c r="DW20" s="1239">
        <v>178245309.03</v>
      </c>
      <c r="DX20" s="1241">
        <v>287</v>
      </c>
      <c r="DY20" s="1239">
        <v>220849889.91</v>
      </c>
    </row>
    <row r="21" spans="1:129">
      <c r="A21" s="1238">
        <v>45777</v>
      </c>
      <c r="B21" t="s">
        <v>340</v>
      </c>
      <c r="C21" s="1239">
        <v>279860.34999999998</v>
      </c>
      <c r="D21" s="1239">
        <v>0</v>
      </c>
      <c r="E21" s="1239">
        <v>5405.85</v>
      </c>
      <c r="F21" s="1239">
        <v>0</v>
      </c>
      <c r="G21" s="1239">
        <v>0</v>
      </c>
      <c r="H21" s="1239">
        <v>0</v>
      </c>
      <c r="I21" s="1239">
        <v>0</v>
      </c>
      <c r="J21" s="1239">
        <v>0</v>
      </c>
      <c r="K21" s="1239">
        <v>1236920.96</v>
      </c>
      <c r="L21" s="1239">
        <v>0</v>
      </c>
      <c r="M21" s="1239">
        <v>279860.34999999998</v>
      </c>
      <c r="N21" s="1239">
        <v>0</v>
      </c>
      <c r="O21" s="1239">
        <v>1231515.1100000001</v>
      </c>
      <c r="P21" s="1239">
        <v>1664.98</v>
      </c>
      <c r="Q21" s="1239">
        <v>438.03</v>
      </c>
      <c r="R21" s="1239">
        <v>0</v>
      </c>
      <c r="S21" s="1239">
        <v>1057.32</v>
      </c>
      <c r="T21" s="1239">
        <v>307.64999999999998</v>
      </c>
      <c r="U21" s="1239">
        <v>0</v>
      </c>
      <c r="V21" s="1239">
        <v>0</v>
      </c>
      <c r="W21" s="1239">
        <v>0</v>
      </c>
      <c r="X21" s="1239">
        <v>0</v>
      </c>
      <c r="Y21" s="1239">
        <v>0</v>
      </c>
      <c r="Z21" s="1239">
        <v>0</v>
      </c>
      <c r="AA21" s="1239">
        <v>0</v>
      </c>
      <c r="AB21" s="1239">
        <v>0</v>
      </c>
      <c r="AC21" s="1239">
        <v>0</v>
      </c>
      <c r="AD21" s="1239">
        <v>0</v>
      </c>
      <c r="AE21" s="1239">
        <v>1345.02</v>
      </c>
      <c r="AF21" s="1239">
        <v>251.1</v>
      </c>
      <c r="AG21" s="1239">
        <v>0</v>
      </c>
      <c r="AH21" s="1239">
        <v>0</v>
      </c>
      <c r="AI21" s="1239">
        <v>0</v>
      </c>
      <c r="AJ21" s="1239">
        <v>0</v>
      </c>
      <c r="AK21" s="1239">
        <v>2220.6</v>
      </c>
      <c r="AL21" s="1239">
        <v>621.05999999999995</v>
      </c>
      <c r="AM21" s="1239">
        <v>0</v>
      </c>
      <c r="AN21" s="1239">
        <v>0</v>
      </c>
      <c r="AO21" s="1239">
        <v>0</v>
      </c>
      <c r="AP21" s="1239">
        <v>0</v>
      </c>
      <c r="AQ21" s="1239">
        <v>1846.72</v>
      </c>
      <c r="AR21" s="1239">
        <v>375.72</v>
      </c>
      <c r="AS21" s="1239">
        <v>0</v>
      </c>
      <c r="AT21" s="1239">
        <v>4348.53</v>
      </c>
      <c r="AU21" s="1239">
        <v>0</v>
      </c>
      <c r="AV21" s="1239">
        <v>0</v>
      </c>
      <c r="AW21" s="1239">
        <v>4348.53</v>
      </c>
      <c r="AX21" s="1239">
        <v>1458.97</v>
      </c>
      <c r="AY21" s="1239">
        <v>0</v>
      </c>
      <c r="AZ21" s="1239">
        <v>0</v>
      </c>
      <c r="BA21" s="1239">
        <v>0</v>
      </c>
      <c r="BB21" s="1239">
        <v>0</v>
      </c>
      <c r="BC21" s="1239">
        <v>0</v>
      </c>
      <c r="BD21" s="1239">
        <v>0</v>
      </c>
      <c r="BE21" s="1239">
        <v>0</v>
      </c>
      <c r="BF21" s="1239">
        <v>1458.97</v>
      </c>
      <c r="BG21" s="1239">
        <v>0</v>
      </c>
      <c r="BH21" s="1239">
        <v>0</v>
      </c>
      <c r="BI21" s="1239">
        <v>0</v>
      </c>
      <c r="BJ21" s="1239">
        <v>5807.5</v>
      </c>
      <c r="BK21" s="1239">
        <v>5807.5</v>
      </c>
      <c r="BL21" s="1239">
        <v>1545.96</v>
      </c>
      <c r="BM21" s="1239">
        <v>1545.96</v>
      </c>
      <c r="BN21" s="1239">
        <v>140.32</v>
      </c>
      <c r="BO21" s="1239">
        <v>0</v>
      </c>
      <c r="DT21" s="1238">
        <v>46022</v>
      </c>
      <c r="DU21" s="1328" t="s">
        <v>806</v>
      </c>
      <c r="DV21" t="s">
        <v>461</v>
      </c>
      <c r="DW21" s="1239">
        <v>154070938.88</v>
      </c>
      <c r="DX21" s="1241">
        <v>235</v>
      </c>
      <c r="DY21" s="1239">
        <v>192233199.65000001</v>
      </c>
    </row>
    <row r="22" spans="1:129">
      <c r="A22" s="1238">
        <v>45747</v>
      </c>
      <c r="B22" t="s">
        <v>711</v>
      </c>
      <c r="C22" s="1239">
        <v>7821840687.46</v>
      </c>
      <c r="D22" s="1239">
        <v>0</v>
      </c>
      <c r="E22" s="1239">
        <v>41439704.270000003</v>
      </c>
      <c r="F22" s="1239">
        <v>15107591.52</v>
      </c>
      <c r="G22" s="1239">
        <v>0</v>
      </c>
      <c r="H22" s="1239">
        <v>0</v>
      </c>
      <c r="I22" s="1239">
        <v>0</v>
      </c>
      <c r="J22" s="1239">
        <v>0</v>
      </c>
      <c r="K22" s="1239">
        <v>394532.89</v>
      </c>
      <c r="L22" s="1239">
        <v>0</v>
      </c>
      <c r="M22" s="1239">
        <v>1994383.54</v>
      </c>
      <c r="N22" s="1239">
        <v>320194.90999999997</v>
      </c>
      <c r="O22" s="1239">
        <v>7762584280.3299999</v>
      </c>
      <c r="P22" s="1239">
        <v>236010.43</v>
      </c>
      <c r="Q22" s="1239">
        <v>48694.12</v>
      </c>
      <c r="R22" s="1239">
        <v>0</v>
      </c>
      <c r="S22" s="1239">
        <v>38751.35</v>
      </c>
      <c r="T22" s="1239">
        <v>26348.73</v>
      </c>
      <c r="U22" s="1239">
        <v>0</v>
      </c>
      <c r="V22" s="1239">
        <v>110479.05</v>
      </c>
      <c r="W22" s="1239">
        <v>26077.64</v>
      </c>
      <c r="X22" s="1239">
        <v>0</v>
      </c>
      <c r="Y22" s="1239">
        <v>0</v>
      </c>
      <c r="Z22" s="1239">
        <v>0</v>
      </c>
      <c r="AA22" s="1239">
        <v>0</v>
      </c>
      <c r="AB22" s="1239">
        <v>0</v>
      </c>
      <c r="AC22" s="1239">
        <v>0</v>
      </c>
      <c r="AD22" s="1239">
        <v>0</v>
      </c>
      <c r="AE22" s="1239">
        <v>1131.3599999999999</v>
      </c>
      <c r="AF22" s="1239">
        <v>300.67</v>
      </c>
      <c r="AG22" s="1239">
        <v>0</v>
      </c>
      <c r="AH22" s="1239">
        <v>0</v>
      </c>
      <c r="AI22" s="1239">
        <v>0</v>
      </c>
      <c r="AJ22" s="1239">
        <v>0</v>
      </c>
      <c r="AK22" s="1239">
        <v>0</v>
      </c>
      <c r="AL22" s="1239">
        <v>0</v>
      </c>
      <c r="AM22" s="1239">
        <v>0</v>
      </c>
      <c r="AN22" s="1239">
        <v>0</v>
      </c>
      <c r="AO22" s="1239">
        <v>0</v>
      </c>
      <c r="AP22" s="1239">
        <v>0</v>
      </c>
      <c r="AQ22" s="1239">
        <v>163151.37</v>
      </c>
      <c r="AR22" s="1239">
        <v>48664.54</v>
      </c>
      <c r="AS22" s="1239">
        <v>0</v>
      </c>
      <c r="AT22" s="1239">
        <v>41400952.920000002</v>
      </c>
      <c r="AU22" s="1239">
        <v>110479.05</v>
      </c>
      <c r="AV22" s="1239">
        <v>15107591.52</v>
      </c>
      <c r="AW22" s="1239">
        <v>56619023.490000002</v>
      </c>
      <c r="AX22" s="1239">
        <v>9615918.6699999999</v>
      </c>
      <c r="AY22" s="1239">
        <v>26077.64</v>
      </c>
      <c r="AZ22" s="1239">
        <v>0</v>
      </c>
      <c r="BA22" s="1239">
        <v>0</v>
      </c>
      <c r="BB22" s="1239">
        <v>0</v>
      </c>
      <c r="BC22" s="1239">
        <v>76072.649999999994</v>
      </c>
      <c r="BD22" s="1239">
        <v>0</v>
      </c>
      <c r="BE22" s="1239">
        <v>0</v>
      </c>
      <c r="BF22" s="1239">
        <v>9718068.9600000009</v>
      </c>
      <c r="BG22" s="1239">
        <v>0</v>
      </c>
      <c r="BH22" s="1239">
        <v>0</v>
      </c>
      <c r="BI22" s="1239">
        <v>0</v>
      </c>
      <c r="BJ22" s="1239">
        <v>66337092.450000003</v>
      </c>
      <c r="BK22" s="1239">
        <v>66337092.450000003</v>
      </c>
      <c r="BL22" s="1239">
        <v>7640469.7000000002</v>
      </c>
      <c r="BM22" s="1239">
        <v>7640469.7000000002</v>
      </c>
      <c r="BN22" s="1239">
        <v>1968.11</v>
      </c>
      <c r="BO22" s="1239">
        <v>170.77</v>
      </c>
      <c r="DT22" s="1238">
        <v>46022</v>
      </c>
      <c r="DU22" s="1328" t="s">
        <v>807</v>
      </c>
      <c r="DV22" t="s">
        <v>462</v>
      </c>
      <c r="DW22" s="1239">
        <v>114570715.38</v>
      </c>
      <c r="DX22" s="1241">
        <v>162</v>
      </c>
      <c r="DY22" s="1239">
        <v>141290701.62</v>
      </c>
    </row>
    <row r="23" spans="1:129">
      <c r="A23" s="1238">
        <v>45747</v>
      </c>
      <c r="B23" t="s">
        <v>340</v>
      </c>
      <c r="C23" s="1239">
        <v>207269.66</v>
      </c>
      <c r="D23" s="1239">
        <v>0</v>
      </c>
      <c r="E23" s="1239">
        <v>115232.36</v>
      </c>
      <c r="F23" s="1239">
        <v>0</v>
      </c>
      <c r="G23" s="1239">
        <v>0</v>
      </c>
      <c r="H23" s="1239">
        <v>0</v>
      </c>
      <c r="I23" s="1239">
        <v>0</v>
      </c>
      <c r="J23" s="1239">
        <v>0</v>
      </c>
      <c r="K23" s="1239">
        <v>394532.89</v>
      </c>
      <c r="L23" s="1239">
        <v>0</v>
      </c>
      <c r="M23" s="1239">
        <v>206709.84</v>
      </c>
      <c r="N23" s="1239">
        <v>0</v>
      </c>
      <c r="O23" s="1239">
        <v>279860.34999999998</v>
      </c>
      <c r="P23" s="1239">
        <v>0</v>
      </c>
      <c r="Q23" s="1239">
        <v>0</v>
      </c>
      <c r="R23" s="1239">
        <v>0</v>
      </c>
      <c r="S23" s="1239">
        <v>533.62</v>
      </c>
      <c r="T23" s="1239">
        <v>137.36000000000001</v>
      </c>
      <c r="U23" s="1239">
        <v>0</v>
      </c>
      <c r="V23" s="1239">
        <v>0</v>
      </c>
      <c r="W23" s="1239">
        <v>0</v>
      </c>
      <c r="X23" s="1239">
        <v>0</v>
      </c>
      <c r="Y23" s="1239">
        <v>0</v>
      </c>
      <c r="Z23" s="1239">
        <v>0</v>
      </c>
      <c r="AA23" s="1239">
        <v>0</v>
      </c>
      <c r="AB23" s="1239">
        <v>0</v>
      </c>
      <c r="AC23" s="1239">
        <v>0</v>
      </c>
      <c r="AD23" s="1239">
        <v>0</v>
      </c>
      <c r="AE23" s="1239">
        <v>1131.3599999999999</v>
      </c>
      <c r="AF23" s="1239">
        <v>300.67</v>
      </c>
      <c r="AG23" s="1239">
        <v>0</v>
      </c>
      <c r="AH23" s="1239">
        <v>0</v>
      </c>
      <c r="AI23" s="1239">
        <v>0</v>
      </c>
      <c r="AJ23" s="1239">
        <v>0</v>
      </c>
      <c r="AK23" s="1239">
        <v>0</v>
      </c>
      <c r="AL23" s="1239">
        <v>0</v>
      </c>
      <c r="AM23" s="1239">
        <v>0</v>
      </c>
      <c r="AN23" s="1239">
        <v>0</v>
      </c>
      <c r="AO23" s="1239">
        <v>0</v>
      </c>
      <c r="AP23" s="1239">
        <v>0</v>
      </c>
      <c r="AQ23" s="1239">
        <v>1664.98</v>
      </c>
      <c r="AR23" s="1239">
        <v>438.03</v>
      </c>
      <c r="AS23" s="1239">
        <v>0</v>
      </c>
      <c r="AT23" s="1239">
        <v>114698.74</v>
      </c>
      <c r="AU23" s="1239">
        <v>0</v>
      </c>
      <c r="AV23" s="1239">
        <v>0</v>
      </c>
      <c r="AW23" s="1239">
        <v>114698.74</v>
      </c>
      <c r="AX23" s="1239">
        <v>883.23</v>
      </c>
      <c r="AY23" s="1239">
        <v>0</v>
      </c>
      <c r="AZ23" s="1239">
        <v>0</v>
      </c>
      <c r="BA23" s="1239">
        <v>0</v>
      </c>
      <c r="BB23" s="1239">
        <v>0</v>
      </c>
      <c r="BC23" s="1239">
        <v>0</v>
      </c>
      <c r="BD23" s="1239">
        <v>0</v>
      </c>
      <c r="BE23" s="1239">
        <v>0</v>
      </c>
      <c r="BF23" s="1239">
        <v>883.23</v>
      </c>
      <c r="BG23" s="1239">
        <v>0</v>
      </c>
      <c r="BH23" s="1239">
        <v>0</v>
      </c>
      <c r="BI23" s="1239">
        <v>0</v>
      </c>
      <c r="BJ23" s="1239">
        <v>115581.97</v>
      </c>
      <c r="BK23" s="1239">
        <v>115581.97</v>
      </c>
      <c r="BL23" s="1239">
        <v>507.36</v>
      </c>
      <c r="BM23" s="1239">
        <v>507.36</v>
      </c>
      <c r="BN23" s="1239">
        <v>359.76</v>
      </c>
      <c r="BO23" s="1239">
        <v>0</v>
      </c>
      <c r="DT23" s="1238">
        <v>46022</v>
      </c>
      <c r="DU23" s="1328" t="s">
        <v>808</v>
      </c>
      <c r="DV23" t="s">
        <v>463</v>
      </c>
      <c r="DW23" s="1239">
        <v>99917110.269999996</v>
      </c>
      <c r="DX23" s="1241">
        <v>134</v>
      </c>
      <c r="DY23" s="1239">
        <v>122967167.25</v>
      </c>
    </row>
    <row r="24" spans="1:129">
      <c r="A24" s="1238">
        <v>45716</v>
      </c>
      <c r="B24" t="s">
        <v>711</v>
      </c>
      <c r="C24" s="1239">
        <v>7882097726.96</v>
      </c>
      <c r="D24" s="1239">
        <v>0</v>
      </c>
      <c r="E24" s="1239">
        <v>41925555.68</v>
      </c>
      <c r="F24" s="1239">
        <v>13656654.539999999</v>
      </c>
      <c r="G24" s="1239">
        <v>0</v>
      </c>
      <c r="H24" s="1239">
        <v>0</v>
      </c>
      <c r="I24" s="1239">
        <v>0</v>
      </c>
      <c r="J24" s="1239">
        <v>0</v>
      </c>
      <c r="K24" s="1239">
        <v>208258.58</v>
      </c>
      <c r="L24" s="1239">
        <v>0</v>
      </c>
      <c r="M24" s="1239">
        <v>4466570.7</v>
      </c>
      <c r="N24" s="1239">
        <v>0</v>
      </c>
      <c r="O24" s="1239">
        <v>7821840687.46</v>
      </c>
      <c r="P24" s="1239">
        <v>206735.54</v>
      </c>
      <c r="Q24" s="1239">
        <v>41688.910000000003</v>
      </c>
      <c r="R24" s="1239">
        <v>0</v>
      </c>
      <c r="S24" s="1239">
        <v>128060.42</v>
      </c>
      <c r="T24" s="1239">
        <v>27565.85</v>
      </c>
      <c r="U24" s="1239">
        <v>0</v>
      </c>
      <c r="V24" s="1239">
        <v>98785.53</v>
      </c>
      <c r="W24" s="1239">
        <v>20560.64</v>
      </c>
      <c r="X24" s="1239">
        <v>0</v>
      </c>
      <c r="Y24" s="1239">
        <v>0</v>
      </c>
      <c r="Z24" s="1239">
        <v>0</v>
      </c>
      <c r="AA24" s="1239">
        <v>0</v>
      </c>
      <c r="AB24" s="1239">
        <v>0</v>
      </c>
      <c r="AC24" s="1239">
        <v>0</v>
      </c>
      <c r="AD24" s="1239">
        <v>0</v>
      </c>
      <c r="AE24" s="1239">
        <v>0</v>
      </c>
      <c r="AF24" s="1239">
        <v>0</v>
      </c>
      <c r="AG24" s="1239">
        <v>0</v>
      </c>
      <c r="AH24" s="1239">
        <v>0</v>
      </c>
      <c r="AI24" s="1239">
        <v>0</v>
      </c>
      <c r="AJ24" s="1239">
        <v>0</v>
      </c>
      <c r="AK24" s="1239">
        <v>0</v>
      </c>
      <c r="AL24" s="1239">
        <v>0</v>
      </c>
      <c r="AM24" s="1239">
        <v>0</v>
      </c>
      <c r="AN24" s="1239">
        <v>0</v>
      </c>
      <c r="AO24" s="1239">
        <v>0</v>
      </c>
      <c r="AP24" s="1239">
        <v>0</v>
      </c>
      <c r="AQ24" s="1239">
        <v>236010.43</v>
      </c>
      <c r="AR24" s="1239">
        <v>48694.12</v>
      </c>
      <c r="AS24" s="1239">
        <v>0</v>
      </c>
      <c r="AT24" s="1239">
        <v>41797495.259999998</v>
      </c>
      <c r="AU24" s="1239">
        <v>98785.53</v>
      </c>
      <c r="AV24" s="1239">
        <v>13656654.539999999</v>
      </c>
      <c r="AW24" s="1239">
        <v>55552935.329999998</v>
      </c>
      <c r="AX24" s="1239">
        <v>9736215.1199999992</v>
      </c>
      <c r="AY24" s="1239">
        <v>20560.64</v>
      </c>
      <c r="AZ24" s="1239">
        <v>0</v>
      </c>
      <c r="BA24" s="1239">
        <v>0</v>
      </c>
      <c r="BB24" s="1239">
        <v>0</v>
      </c>
      <c r="BC24" s="1239">
        <v>55144.93</v>
      </c>
      <c r="BD24" s="1239">
        <v>0</v>
      </c>
      <c r="BE24" s="1239">
        <v>0</v>
      </c>
      <c r="BF24" s="1239">
        <v>9811920.6899999995</v>
      </c>
      <c r="BG24" s="1239">
        <v>0</v>
      </c>
      <c r="BH24" s="1239">
        <v>0</v>
      </c>
      <c r="BI24" s="1239">
        <v>0</v>
      </c>
      <c r="BJ24" s="1239">
        <v>65364856.020000003</v>
      </c>
      <c r="BK24" s="1239">
        <v>65364856.020000003</v>
      </c>
      <c r="BL24" s="1239">
        <v>7458308.79</v>
      </c>
      <c r="BM24" s="1239">
        <v>7458308.79</v>
      </c>
      <c r="BN24" s="1239">
        <v>3668.83</v>
      </c>
      <c r="BO24" s="1239">
        <v>0</v>
      </c>
      <c r="DT24" s="1238">
        <v>46022</v>
      </c>
      <c r="DU24" s="1328" t="s">
        <v>809</v>
      </c>
      <c r="DV24" t="s">
        <v>464</v>
      </c>
      <c r="DW24" s="1239">
        <v>78090891.340000004</v>
      </c>
      <c r="DX24" s="1241">
        <v>101</v>
      </c>
      <c r="DY24" s="1239">
        <v>98116801.579999998</v>
      </c>
    </row>
    <row r="25" spans="1:129">
      <c r="A25" s="1238">
        <v>45716</v>
      </c>
      <c r="B25" t="s">
        <v>340</v>
      </c>
      <c r="C25" s="1239">
        <v>411276.35</v>
      </c>
      <c r="D25" s="1239">
        <v>0</v>
      </c>
      <c r="E25" s="1239">
        <v>2900.75</v>
      </c>
      <c r="F25" s="1239">
        <v>0</v>
      </c>
      <c r="G25" s="1239">
        <v>0</v>
      </c>
      <c r="H25" s="1239">
        <v>0</v>
      </c>
      <c r="I25" s="1239">
        <v>0</v>
      </c>
      <c r="J25" s="1239">
        <v>0</v>
      </c>
      <c r="K25" s="1239">
        <v>208258.58</v>
      </c>
      <c r="L25" s="1239">
        <v>0</v>
      </c>
      <c r="M25" s="1239">
        <v>409364.52</v>
      </c>
      <c r="N25" s="1239">
        <v>0</v>
      </c>
      <c r="O25" s="1239">
        <v>207269.66</v>
      </c>
      <c r="P25" s="1239">
        <v>0</v>
      </c>
      <c r="Q25" s="1239">
        <v>0</v>
      </c>
      <c r="R25" s="1239">
        <v>0</v>
      </c>
      <c r="S25" s="1239">
        <v>0</v>
      </c>
      <c r="T25" s="1239">
        <v>0</v>
      </c>
      <c r="U25" s="1239">
        <v>0</v>
      </c>
      <c r="V25" s="1239">
        <v>0</v>
      </c>
      <c r="W25" s="1239">
        <v>0</v>
      </c>
      <c r="X25" s="1239">
        <v>0</v>
      </c>
      <c r="Y25" s="1239">
        <v>0</v>
      </c>
      <c r="Z25" s="1239">
        <v>0</v>
      </c>
      <c r="AA25" s="1239">
        <v>0</v>
      </c>
      <c r="AB25" s="1239">
        <v>0</v>
      </c>
      <c r="AC25" s="1239">
        <v>0</v>
      </c>
      <c r="AD25" s="1239">
        <v>0</v>
      </c>
      <c r="AE25" s="1239">
        <v>0</v>
      </c>
      <c r="AF25" s="1239">
        <v>0</v>
      </c>
      <c r="AG25" s="1239">
        <v>0</v>
      </c>
      <c r="AH25" s="1239">
        <v>0</v>
      </c>
      <c r="AI25" s="1239">
        <v>0</v>
      </c>
      <c r="AJ25" s="1239">
        <v>0</v>
      </c>
      <c r="AK25" s="1239">
        <v>0</v>
      </c>
      <c r="AL25" s="1239">
        <v>0</v>
      </c>
      <c r="AM25" s="1239">
        <v>0</v>
      </c>
      <c r="AN25" s="1239">
        <v>0</v>
      </c>
      <c r="AO25" s="1239">
        <v>0</v>
      </c>
      <c r="AP25" s="1239">
        <v>0</v>
      </c>
      <c r="AQ25" s="1239">
        <v>0</v>
      </c>
      <c r="AR25" s="1239">
        <v>0</v>
      </c>
      <c r="AS25" s="1239">
        <v>0</v>
      </c>
      <c r="AT25" s="1239">
        <v>2900.75</v>
      </c>
      <c r="AU25" s="1239">
        <v>0</v>
      </c>
      <c r="AV25" s="1239">
        <v>0</v>
      </c>
      <c r="AW25" s="1239">
        <v>2900.75</v>
      </c>
      <c r="AX25" s="1239">
        <v>689.6</v>
      </c>
      <c r="AY25" s="1239">
        <v>0</v>
      </c>
      <c r="AZ25" s="1239">
        <v>0</v>
      </c>
      <c r="BA25" s="1239">
        <v>0</v>
      </c>
      <c r="BB25" s="1239">
        <v>0</v>
      </c>
      <c r="BC25" s="1239">
        <v>0</v>
      </c>
      <c r="BD25" s="1239">
        <v>0</v>
      </c>
      <c r="BE25" s="1239">
        <v>0</v>
      </c>
      <c r="BF25" s="1239">
        <v>689.6</v>
      </c>
      <c r="BG25" s="1239">
        <v>0</v>
      </c>
      <c r="BH25" s="1239">
        <v>0</v>
      </c>
      <c r="BI25" s="1239">
        <v>0</v>
      </c>
      <c r="BJ25" s="1239">
        <v>3590.35</v>
      </c>
      <c r="BK25" s="1239">
        <v>3590.35</v>
      </c>
      <c r="BL25" s="1239">
        <v>522.92999999999995</v>
      </c>
      <c r="BM25" s="1239">
        <v>522.92999999999995</v>
      </c>
      <c r="BN25" s="1239">
        <v>168.14</v>
      </c>
      <c r="BO25" s="1239">
        <v>0</v>
      </c>
      <c r="DT25" s="1238">
        <v>46022</v>
      </c>
      <c r="DU25" s="1328" t="s">
        <v>810</v>
      </c>
      <c r="DV25" t="s">
        <v>465</v>
      </c>
      <c r="DW25" s="1239">
        <v>88214699.019999996</v>
      </c>
      <c r="DX25" s="1241">
        <v>110</v>
      </c>
      <c r="DY25" s="1239">
        <v>111536735.29000001</v>
      </c>
    </row>
    <row r="26" spans="1:129">
      <c r="A26" s="1238">
        <v>45688</v>
      </c>
      <c r="B26" t="s">
        <v>711</v>
      </c>
      <c r="C26" s="1239">
        <v>7942231678.1999998</v>
      </c>
      <c r="D26" s="1239">
        <v>0</v>
      </c>
      <c r="E26" s="1239">
        <v>42177775.649999999</v>
      </c>
      <c r="F26" s="1239">
        <v>13800626.789999999</v>
      </c>
      <c r="G26" s="1239">
        <v>0</v>
      </c>
      <c r="H26" s="1239">
        <v>0</v>
      </c>
      <c r="I26" s="1239">
        <v>0</v>
      </c>
      <c r="J26" s="1239">
        <v>0</v>
      </c>
      <c r="K26" s="1239">
        <v>411919.03</v>
      </c>
      <c r="L26" s="1239">
        <v>0</v>
      </c>
      <c r="M26" s="1239">
        <v>3743629.77</v>
      </c>
      <c r="N26" s="1239">
        <v>0</v>
      </c>
      <c r="O26" s="1239">
        <v>7882097726.96</v>
      </c>
      <c r="P26" s="1239">
        <v>172771.65</v>
      </c>
      <c r="Q26" s="1239">
        <v>38241.730000000003</v>
      </c>
      <c r="R26" s="1239">
        <v>0</v>
      </c>
      <c r="S26" s="1239">
        <v>106679.76</v>
      </c>
      <c r="T26" s="1239">
        <v>21253.25</v>
      </c>
      <c r="U26" s="1239">
        <v>0</v>
      </c>
      <c r="V26" s="1239">
        <v>71746.8</v>
      </c>
      <c r="W26" s="1239">
        <v>17792.560000000001</v>
      </c>
      <c r="X26" s="1239">
        <v>0</v>
      </c>
      <c r="Y26" s="1239">
        <v>0</v>
      </c>
      <c r="Z26" s="1239">
        <v>0</v>
      </c>
      <c r="AA26" s="1239">
        <v>0</v>
      </c>
      <c r="AB26" s="1239">
        <v>0</v>
      </c>
      <c r="AC26" s="1239">
        <v>0</v>
      </c>
      <c r="AD26" s="1239">
        <v>0</v>
      </c>
      <c r="AE26" s="1239">
        <v>969.07</v>
      </c>
      <c r="AF26" s="1239">
        <v>13.51</v>
      </c>
      <c r="AG26" s="1239">
        <v>0</v>
      </c>
      <c r="AH26" s="1239">
        <v>0</v>
      </c>
      <c r="AI26" s="1239">
        <v>0</v>
      </c>
      <c r="AJ26" s="1239">
        <v>0</v>
      </c>
      <c r="AK26" s="1239">
        <v>0</v>
      </c>
      <c r="AL26" s="1239">
        <v>0</v>
      </c>
      <c r="AM26" s="1239">
        <v>0</v>
      </c>
      <c r="AN26" s="1239">
        <v>0</v>
      </c>
      <c r="AO26" s="1239">
        <v>0</v>
      </c>
      <c r="AP26" s="1239">
        <v>0</v>
      </c>
      <c r="AQ26" s="1239">
        <v>206735.54</v>
      </c>
      <c r="AR26" s="1239">
        <v>41688.910000000003</v>
      </c>
      <c r="AS26" s="1239">
        <v>0</v>
      </c>
      <c r="AT26" s="1239">
        <v>42071095.890000001</v>
      </c>
      <c r="AU26" s="1239">
        <v>71746.8</v>
      </c>
      <c r="AV26" s="1239">
        <v>13800626.789999999</v>
      </c>
      <c r="AW26" s="1239">
        <v>55943469.479999997</v>
      </c>
      <c r="AX26" s="1239">
        <v>9811566.0999999996</v>
      </c>
      <c r="AY26" s="1239">
        <v>17792.560000000001</v>
      </c>
      <c r="AZ26" s="1239">
        <v>0</v>
      </c>
      <c r="BA26" s="1239">
        <v>0</v>
      </c>
      <c r="BB26" s="1239">
        <v>0</v>
      </c>
      <c r="BC26" s="1239">
        <v>75181.8</v>
      </c>
      <c r="BD26" s="1239">
        <v>0</v>
      </c>
      <c r="BE26" s="1239">
        <v>0</v>
      </c>
      <c r="BF26" s="1239">
        <v>9904540.4600000009</v>
      </c>
      <c r="BG26" s="1239">
        <v>0</v>
      </c>
      <c r="BH26" s="1239">
        <v>0</v>
      </c>
      <c r="BI26" s="1239">
        <v>0</v>
      </c>
      <c r="BJ26" s="1239">
        <v>65848009.939999998</v>
      </c>
      <c r="BK26" s="1239">
        <v>65848009.939999998</v>
      </c>
      <c r="BL26" s="1239">
        <v>7755240.1500000004</v>
      </c>
      <c r="BM26" s="1239">
        <v>7755240.1500000004</v>
      </c>
      <c r="BN26" s="1239">
        <v>3806.61</v>
      </c>
      <c r="BO26" s="1239">
        <v>0</v>
      </c>
      <c r="DT26" s="1238">
        <v>46022</v>
      </c>
      <c r="DU26" s="1328" t="s">
        <v>811</v>
      </c>
      <c r="DV26" t="s">
        <v>466</v>
      </c>
      <c r="DW26" s="1239">
        <v>52410595.649999999</v>
      </c>
      <c r="DX26" s="1241">
        <v>60</v>
      </c>
      <c r="DY26" s="1239">
        <v>64283811.439999998</v>
      </c>
    </row>
    <row r="27" spans="1:129">
      <c r="A27" s="1238">
        <v>45688</v>
      </c>
      <c r="B27" t="s">
        <v>340</v>
      </c>
      <c r="C27" s="1239">
        <v>238668.41</v>
      </c>
      <c r="D27" s="1239">
        <v>0</v>
      </c>
      <c r="E27" s="1239">
        <v>642.67999999999995</v>
      </c>
      <c r="F27" s="1239">
        <v>0</v>
      </c>
      <c r="G27" s="1239">
        <v>0</v>
      </c>
      <c r="H27" s="1239">
        <v>0</v>
      </c>
      <c r="I27" s="1239">
        <v>0</v>
      </c>
      <c r="J27" s="1239">
        <v>0</v>
      </c>
      <c r="K27" s="1239">
        <v>411919.03</v>
      </c>
      <c r="L27" s="1239">
        <v>0</v>
      </c>
      <c r="M27" s="1239">
        <v>238668.41</v>
      </c>
      <c r="N27" s="1239">
        <v>0</v>
      </c>
      <c r="O27" s="1239">
        <v>411276.35</v>
      </c>
      <c r="P27" s="1239">
        <v>0</v>
      </c>
      <c r="Q27" s="1239">
        <v>0</v>
      </c>
      <c r="R27" s="1239">
        <v>0</v>
      </c>
      <c r="S27" s="1239">
        <v>0</v>
      </c>
      <c r="T27" s="1239">
        <v>0</v>
      </c>
      <c r="U27" s="1239">
        <v>0</v>
      </c>
      <c r="V27" s="1239">
        <v>969.07</v>
      </c>
      <c r="W27" s="1239">
        <v>13.51</v>
      </c>
      <c r="X27" s="1239">
        <v>0</v>
      </c>
      <c r="Y27" s="1239">
        <v>0</v>
      </c>
      <c r="Z27" s="1239">
        <v>0</v>
      </c>
      <c r="AA27" s="1239">
        <v>0</v>
      </c>
      <c r="AB27" s="1239">
        <v>0</v>
      </c>
      <c r="AC27" s="1239">
        <v>0</v>
      </c>
      <c r="AD27" s="1239">
        <v>0</v>
      </c>
      <c r="AE27" s="1239">
        <v>969.07</v>
      </c>
      <c r="AF27" s="1239">
        <v>13.51</v>
      </c>
      <c r="AG27" s="1239">
        <v>0</v>
      </c>
      <c r="AH27" s="1239">
        <v>0</v>
      </c>
      <c r="AI27" s="1239">
        <v>0</v>
      </c>
      <c r="AJ27" s="1239">
        <v>0</v>
      </c>
      <c r="AK27" s="1239">
        <v>0</v>
      </c>
      <c r="AL27" s="1239">
        <v>0</v>
      </c>
      <c r="AM27" s="1239">
        <v>0</v>
      </c>
      <c r="AN27" s="1239">
        <v>0</v>
      </c>
      <c r="AO27" s="1239">
        <v>0</v>
      </c>
      <c r="AP27" s="1239">
        <v>0</v>
      </c>
      <c r="AQ27" s="1239">
        <v>0</v>
      </c>
      <c r="AR27" s="1239">
        <v>0</v>
      </c>
      <c r="AS27" s="1239">
        <v>0</v>
      </c>
      <c r="AT27" s="1239">
        <v>642.67999999999995</v>
      </c>
      <c r="AU27" s="1239">
        <v>969.07</v>
      </c>
      <c r="AV27" s="1239">
        <v>0</v>
      </c>
      <c r="AW27" s="1239">
        <v>1611.75</v>
      </c>
      <c r="AX27" s="1239">
        <v>12.58</v>
      </c>
      <c r="AY27" s="1239">
        <v>13.51</v>
      </c>
      <c r="AZ27" s="1239">
        <v>0</v>
      </c>
      <c r="BA27" s="1239">
        <v>0</v>
      </c>
      <c r="BB27" s="1239">
        <v>0</v>
      </c>
      <c r="BC27" s="1239">
        <v>0</v>
      </c>
      <c r="BD27" s="1239">
        <v>0</v>
      </c>
      <c r="BE27" s="1239">
        <v>0</v>
      </c>
      <c r="BF27" s="1239">
        <v>26.09</v>
      </c>
      <c r="BG27" s="1239">
        <v>0</v>
      </c>
      <c r="BH27" s="1239">
        <v>0</v>
      </c>
      <c r="BI27" s="1239">
        <v>0</v>
      </c>
      <c r="BJ27" s="1239">
        <v>1637.84</v>
      </c>
      <c r="BK27" s="1239">
        <v>1637.84</v>
      </c>
      <c r="BL27" s="1239">
        <v>284.77999999999997</v>
      </c>
      <c r="BM27" s="1239">
        <v>284.77999999999997</v>
      </c>
      <c r="BN27" s="1239">
        <v>90.25</v>
      </c>
      <c r="BO27" s="1239">
        <v>0</v>
      </c>
      <c r="DT27" s="1238">
        <v>46022</v>
      </c>
      <c r="DU27" s="1328" t="s">
        <v>812</v>
      </c>
      <c r="DV27" t="s">
        <v>467</v>
      </c>
      <c r="DW27" s="1239">
        <v>56948273.609999999</v>
      </c>
      <c r="DX27" s="1241">
        <v>67</v>
      </c>
      <c r="DY27" s="1239">
        <v>74746557.75</v>
      </c>
    </row>
    <row r="28" spans="1:129">
      <c r="A28" s="1238">
        <v>45657</v>
      </c>
      <c r="B28" t="s">
        <v>711</v>
      </c>
      <c r="C28" s="1239">
        <v>8062678431.4300003</v>
      </c>
      <c r="D28" s="1239">
        <v>0</v>
      </c>
      <c r="E28" s="1239">
        <v>41765874.259999998</v>
      </c>
      <c r="F28" s="1239">
        <v>14770590.32</v>
      </c>
      <c r="G28" s="1239">
        <v>0</v>
      </c>
      <c r="H28" s="1239">
        <v>0</v>
      </c>
      <c r="I28" s="1239">
        <v>0</v>
      </c>
      <c r="J28" s="1239">
        <v>0</v>
      </c>
      <c r="K28" s="1239">
        <v>282412.90999999997</v>
      </c>
      <c r="L28" s="1239">
        <v>0</v>
      </c>
      <c r="M28" s="1239">
        <v>3390909.64</v>
      </c>
      <c r="N28" s="1239">
        <v>60236966.100000001</v>
      </c>
      <c r="O28" s="1239">
        <v>7942231678.1999998</v>
      </c>
      <c r="P28" s="1239">
        <v>129108.29</v>
      </c>
      <c r="Q28" s="1239">
        <v>24117.33</v>
      </c>
      <c r="R28" s="1239">
        <v>0</v>
      </c>
      <c r="S28" s="1239">
        <v>122480.08</v>
      </c>
      <c r="T28" s="1239">
        <v>29989.43</v>
      </c>
      <c r="U28" s="1239">
        <v>0</v>
      </c>
      <c r="V28" s="1239">
        <v>77115.009999999995</v>
      </c>
      <c r="W28" s="1239">
        <v>15738.69</v>
      </c>
      <c r="X28" s="1239">
        <v>0</v>
      </c>
      <c r="Y28" s="1239">
        <v>0</v>
      </c>
      <c r="Z28" s="1239">
        <v>0</v>
      </c>
      <c r="AA28" s="1239">
        <v>0</v>
      </c>
      <c r="AB28" s="1239">
        <v>0</v>
      </c>
      <c r="AC28" s="1239">
        <v>0</v>
      </c>
      <c r="AD28" s="1239">
        <v>0</v>
      </c>
      <c r="AE28" s="1239">
        <v>0</v>
      </c>
      <c r="AF28" s="1239">
        <v>0</v>
      </c>
      <c r="AG28" s="1239">
        <v>0</v>
      </c>
      <c r="AH28" s="1239">
        <v>0</v>
      </c>
      <c r="AI28" s="1239">
        <v>0</v>
      </c>
      <c r="AJ28" s="1239">
        <v>0</v>
      </c>
      <c r="AK28" s="1239">
        <v>0</v>
      </c>
      <c r="AL28" s="1239">
        <v>0</v>
      </c>
      <c r="AM28" s="1239">
        <v>0</v>
      </c>
      <c r="AN28" s="1239">
        <v>1701.71</v>
      </c>
      <c r="AO28" s="1239">
        <v>126.34</v>
      </c>
      <c r="AP28" s="1239">
        <v>0</v>
      </c>
      <c r="AQ28" s="1239">
        <v>172771.65</v>
      </c>
      <c r="AR28" s="1239">
        <v>38241.730000000003</v>
      </c>
      <c r="AS28" s="1239">
        <v>0</v>
      </c>
      <c r="AT28" s="1239">
        <v>41643394.18</v>
      </c>
      <c r="AU28" s="1239">
        <v>77115.009999999995</v>
      </c>
      <c r="AV28" s="1239">
        <v>14770590.32</v>
      </c>
      <c r="AW28" s="1239">
        <v>56491099.509999998</v>
      </c>
      <c r="AX28" s="1239">
        <v>9926226.8000000007</v>
      </c>
      <c r="AY28" s="1239">
        <v>15738.69</v>
      </c>
      <c r="AZ28" s="1239">
        <v>0</v>
      </c>
      <c r="BA28" s="1239">
        <v>0</v>
      </c>
      <c r="BB28" s="1239">
        <v>0</v>
      </c>
      <c r="BC28" s="1239">
        <v>68938.8</v>
      </c>
      <c r="BD28" s="1239">
        <v>0</v>
      </c>
      <c r="BE28" s="1239">
        <v>0</v>
      </c>
      <c r="BF28" s="1239">
        <v>10010904.289999999</v>
      </c>
      <c r="BG28" s="1239">
        <v>0</v>
      </c>
      <c r="BH28" s="1239">
        <v>0</v>
      </c>
      <c r="BI28" s="1239">
        <v>0</v>
      </c>
      <c r="BJ28" s="1239">
        <v>66502003.799999997</v>
      </c>
      <c r="BK28" s="1239">
        <v>66502003.799999997</v>
      </c>
      <c r="BL28" s="1239">
        <v>7868933.2199999997</v>
      </c>
      <c r="BM28" s="1239">
        <v>7868933.2199999997</v>
      </c>
      <c r="BN28" s="1239">
        <v>3294.4299999999994</v>
      </c>
      <c r="BO28" s="1239">
        <v>55421.15999999996</v>
      </c>
      <c r="DT28" s="1238">
        <v>46022</v>
      </c>
      <c r="DU28" s="1328" t="s">
        <v>813</v>
      </c>
      <c r="DV28" t="s">
        <v>468</v>
      </c>
      <c r="DW28" s="1239">
        <v>43824176.32</v>
      </c>
      <c r="DX28" s="1241">
        <v>46</v>
      </c>
      <c r="DY28" s="1239">
        <v>53802893.189999998</v>
      </c>
    </row>
    <row r="29" spans="1:129">
      <c r="A29" s="1238">
        <v>45657</v>
      </c>
      <c r="B29" t="s">
        <v>340</v>
      </c>
      <c r="C29" s="1239">
        <v>256996.09</v>
      </c>
      <c r="D29" s="1239">
        <v>0</v>
      </c>
      <c r="E29" s="1239">
        <v>45908.84</v>
      </c>
      <c r="F29" s="1239">
        <v>0</v>
      </c>
      <c r="G29" s="1239">
        <v>0</v>
      </c>
      <c r="H29" s="1239">
        <v>0</v>
      </c>
      <c r="I29" s="1239">
        <v>0</v>
      </c>
      <c r="J29" s="1239">
        <v>0</v>
      </c>
      <c r="K29" s="1239">
        <v>282412.90999999997</v>
      </c>
      <c r="L29" s="1239">
        <v>0</v>
      </c>
      <c r="M29" s="1239">
        <v>254831.75</v>
      </c>
      <c r="N29" s="1239">
        <v>0</v>
      </c>
      <c r="O29" s="1239">
        <v>238668.41</v>
      </c>
      <c r="P29" s="1239">
        <v>3909.79</v>
      </c>
      <c r="Q29" s="1239">
        <v>230.22</v>
      </c>
      <c r="R29" s="1239">
        <v>0</v>
      </c>
      <c r="S29" s="1239">
        <v>0</v>
      </c>
      <c r="T29" s="1239">
        <v>0</v>
      </c>
      <c r="U29" s="1239">
        <v>0</v>
      </c>
      <c r="V29" s="1239">
        <v>3909.79</v>
      </c>
      <c r="W29" s="1239">
        <v>230.22</v>
      </c>
      <c r="X29" s="1239">
        <v>0</v>
      </c>
      <c r="Y29" s="1239">
        <v>0</v>
      </c>
      <c r="Z29" s="1239">
        <v>0</v>
      </c>
      <c r="AA29" s="1239">
        <v>0</v>
      </c>
      <c r="AB29" s="1239">
        <v>0</v>
      </c>
      <c r="AC29" s="1239">
        <v>0</v>
      </c>
      <c r="AD29" s="1239">
        <v>0</v>
      </c>
      <c r="AE29" s="1239">
        <v>0</v>
      </c>
      <c r="AF29" s="1239">
        <v>0</v>
      </c>
      <c r="AG29" s="1239">
        <v>0</v>
      </c>
      <c r="AH29" s="1239">
        <v>0</v>
      </c>
      <c r="AI29" s="1239">
        <v>0</v>
      </c>
      <c r="AJ29" s="1239">
        <v>0</v>
      </c>
      <c r="AK29" s="1239">
        <v>0</v>
      </c>
      <c r="AL29" s="1239">
        <v>0</v>
      </c>
      <c r="AM29" s="1239">
        <v>0</v>
      </c>
      <c r="AN29" s="1239">
        <v>0</v>
      </c>
      <c r="AO29" s="1239">
        <v>0</v>
      </c>
      <c r="AP29" s="1239">
        <v>0</v>
      </c>
      <c r="AQ29" s="1239">
        <v>0</v>
      </c>
      <c r="AR29" s="1239">
        <v>0</v>
      </c>
      <c r="AS29" s="1239">
        <v>0</v>
      </c>
      <c r="AT29" s="1239">
        <v>45908.84</v>
      </c>
      <c r="AU29" s="1239">
        <v>3909.79</v>
      </c>
      <c r="AV29" s="1239">
        <v>0</v>
      </c>
      <c r="AW29" s="1239">
        <v>49818.63</v>
      </c>
      <c r="AX29" s="1239">
        <v>866</v>
      </c>
      <c r="AY29" s="1239">
        <v>230.22</v>
      </c>
      <c r="AZ29" s="1239">
        <v>0</v>
      </c>
      <c r="BA29" s="1239">
        <v>0</v>
      </c>
      <c r="BB29" s="1239">
        <v>0</v>
      </c>
      <c r="BC29" s="1239">
        <v>0</v>
      </c>
      <c r="BD29" s="1239">
        <v>0</v>
      </c>
      <c r="BE29" s="1239">
        <v>0</v>
      </c>
      <c r="BF29" s="1239">
        <v>1096.22</v>
      </c>
      <c r="BG29" s="1239">
        <v>0</v>
      </c>
      <c r="BH29" s="1239">
        <v>0</v>
      </c>
      <c r="BI29" s="1239">
        <v>0</v>
      </c>
      <c r="BJ29" s="1239">
        <v>50914.85</v>
      </c>
      <c r="BK29" s="1239">
        <v>50914.85</v>
      </c>
      <c r="BL29" s="1239">
        <v>555.51</v>
      </c>
      <c r="BM29" s="1239">
        <v>555.51</v>
      </c>
      <c r="BN29" s="1239">
        <v>459.87</v>
      </c>
      <c r="BO29" s="1239">
        <v>0</v>
      </c>
      <c r="DT29" s="1238">
        <v>46022</v>
      </c>
      <c r="DU29" s="1328" t="s">
        <v>814</v>
      </c>
      <c r="DV29" t="s">
        <v>469</v>
      </c>
      <c r="DW29" s="1239">
        <v>49031419.75</v>
      </c>
      <c r="DX29" s="1241">
        <v>55</v>
      </c>
      <c r="DY29" s="1239">
        <v>66650436.490000002</v>
      </c>
    </row>
    <row r="30" spans="1:129">
      <c r="A30" s="1238">
        <v>45626</v>
      </c>
      <c r="B30" t="s">
        <v>711</v>
      </c>
      <c r="C30" s="1239">
        <v>8120798931.6599998</v>
      </c>
      <c r="D30" s="1239">
        <v>0</v>
      </c>
      <c r="E30" s="1239">
        <v>41993813.539999999</v>
      </c>
      <c r="F30" s="1239">
        <v>12780562.119999999</v>
      </c>
      <c r="G30" s="1239">
        <v>0</v>
      </c>
      <c r="H30" s="1239">
        <v>0</v>
      </c>
      <c r="I30" s="1239">
        <v>0</v>
      </c>
      <c r="J30" s="1239">
        <v>0</v>
      </c>
      <c r="K30" s="1239">
        <v>259157.33</v>
      </c>
      <c r="L30" s="1239">
        <v>0</v>
      </c>
      <c r="M30" s="1239">
        <v>3086967.24</v>
      </c>
      <c r="N30" s="1239">
        <v>0</v>
      </c>
      <c r="O30" s="1239">
        <v>8062678431.4300003</v>
      </c>
      <c r="P30" s="1239">
        <v>0</v>
      </c>
      <c r="Q30" s="1239">
        <v>0</v>
      </c>
      <c r="R30" s="1239">
        <v>0</v>
      </c>
      <c r="S30" s="1239">
        <v>129108.29</v>
      </c>
      <c r="T30" s="1239">
        <v>24117.33</v>
      </c>
      <c r="U30" s="1239">
        <v>0</v>
      </c>
      <c r="V30" s="1239">
        <v>0</v>
      </c>
      <c r="W30" s="1239">
        <v>0</v>
      </c>
      <c r="X30" s="1239">
        <v>0</v>
      </c>
      <c r="Y30" s="1239">
        <v>0</v>
      </c>
      <c r="Z30" s="1239">
        <v>0</v>
      </c>
      <c r="AA30" s="1239">
        <v>0</v>
      </c>
      <c r="AB30" s="1239">
        <v>0</v>
      </c>
      <c r="AC30" s="1239">
        <v>0</v>
      </c>
      <c r="AD30" s="1239">
        <v>0</v>
      </c>
      <c r="AE30" s="1239">
        <v>0</v>
      </c>
      <c r="AF30" s="1239">
        <v>0</v>
      </c>
      <c r="AG30" s="1239">
        <v>0</v>
      </c>
      <c r="AH30" s="1239">
        <v>0</v>
      </c>
      <c r="AI30" s="1239">
        <v>0</v>
      </c>
      <c r="AJ30" s="1239">
        <v>0</v>
      </c>
      <c r="AK30" s="1239">
        <v>0</v>
      </c>
      <c r="AL30" s="1239">
        <v>0</v>
      </c>
      <c r="AM30" s="1239">
        <v>0</v>
      </c>
      <c r="AN30" s="1239">
        <v>0</v>
      </c>
      <c r="AO30" s="1239">
        <v>0</v>
      </c>
      <c r="AP30" s="1239">
        <v>0</v>
      </c>
      <c r="AQ30" s="1239">
        <v>129108.29</v>
      </c>
      <c r="AR30" s="1239">
        <v>24117.33</v>
      </c>
      <c r="AS30" s="1239">
        <v>0</v>
      </c>
      <c r="AT30" s="1239">
        <v>41864705.25</v>
      </c>
      <c r="AU30" s="1239">
        <v>0</v>
      </c>
      <c r="AV30" s="1239">
        <v>12780562.119999999</v>
      </c>
      <c r="AW30" s="1239">
        <v>54645267.369999997</v>
      </c>
      <c r="AX30" s="1239">
        <v>10017515.09</v>
      </c>
      <c r="AY30" s="1239">
        <v>0</v>
      </c>
      <c r="AZ30" s="1239">
        <v>0</v>
      </c>
      <c r="BA30" s="1239">
        <v>0</v>
      </c>
      <c r="BB30" s="1239">
        <v>0</v>
      </c>
      <c r="BC30" s="1239">
        <v>56405.84</v>
      </c>
      <c r="BD30" s="1239">
        <v>0</v>
      </c>
      <c r="BE30" s="1239">
        <v>0</v>
      </c>
      <c r="BF30" s="1239">
        <v>10073920.93</v>
      </c>
      <c r="BG30" s="1239">
        <v>0</v>
      </c>
      <c r="BH30" s="1239">
        <v>0</v>
      </c>
      <c r="BI30" s="1239">
        <v>0</v>
      </c>
      <c r="BJ30" s="1239">
        <v>64719188.299999997</v>
      </c>
      <c r="BK30" s="1239">
        <v>64719188.299999997</v>
      </c>
      <c r="BL30" s="1239">
        <v>7863322.6900000004</v>
      </c>
      <c r="BM30" s="1239">
        <v>7863322.6900000004</v>
      </c>
      <c r="BN30" s="1239">
        <v>2373.19</v>
      </c>
      <c r="BO30" s="1239">
        <v>0</v>
      </c>
      <c r="DT30" s="1238">
        <v>46022</v>
      </c>
      <c r="DU30" s="1328" t="s">
        <v>815</v>
      </c>
      <c r="DV30" t="s">
        <v>470</v>
      </c>
      <c r="DW30" s="1239">
        <v>38230926.880000003</v>
      </c>
      <c r="DX30" s="1241">
        <v>39</v>
      </c>
      <c r="DY30" s="1239">
        <v>49507707.43</v>
      </c>
    </row>
    <row r="31" spans="1:129">
      <c r="A31" s="1238">
        <v>45626</v>
      </c>
      <c r="B31" t="s">
        <v>340</v>
      </c>
      <c r="C31" s="1239">
        <v>64473.05</v>
      </c>
      <c r="D31" s="1239">
        <v>0</v>
      </c>
      <c r="E31" s="1239">
        <v>2865.87</v>
      </c>
      <c r="F31" s="1239">
        <v>0</v>
      </c>
      <c r="G31" s="1239">
        <v>0</v>
      </c>
      <c r="H31" s="1239">
        <v>0</v>
      </c>
      <c r="I31" s="1239">
        <v>0</v>
      </c>
      <c r="J31" s="1239">
        <v>0</v>
      </c>
      <c r="K31" s="1239">
        <v>259157.33</v>
      </c>
      <c r="L31" s="1239">
        <v>0</v>
      </c>
      <c r="M31" s="1239">
        <v>63768.42</v>
      </c>
      <c r="N31" s="1239">
        <v>0</v>
      </c>
      <c r="O31" s="1239">
        <v>256996.09</v>
      </c>
      <c r="P31" s="1239">
        <v>0</v>
      </c>
      <c r="Q31" s="1239">
        <v>0</v>
      </c>
      <c r="R31" s="1239">
        <v>0</v>
      </c>
      <c r="S31" s="1239">
        <v>3909.79</v>
      </c>
      <c r="T31" s="1239">
        <v>230.22</v>
      </c>
      <c r="U31" s="1239">
        <v>0</v>
      </c>
      <c r="V31" s="1239">
        <v>0</v>
      </c>
      <c r="W31" s="1239">
        <v>0</v>
      </c>
      <c r="X31" s="1239">
        <v>0</v>
      </c>
      <c r="Y31" s="1239">
        <v>0</v>
      </c>
      <c r="Z31" s="1239">
        <v>0</v>
      </c>
      <c r="AA31" s="1239">
        <v>0</v>
      </c>
      <c r="AB31" s="1239">
        <v>0</v>
      </c>
      <c r="AC31" s="1239">
        <v>0</v>
      </c>
      <c r="AD31" s="1239">
        <v>0</v>
      </c>
      <c r="AE31" s="1239">
        <v>0</v>
      </c>
      <c r="AF31" s="1239">
        <v>0</v>
      </c>
      <c r="AG31" s="1239">
        <v>0</v>
      </c>
      <c r="AH31" s="1239">
        <v>0</v>
      </c>
      <c r="AI31" s="1239">
        <v>0</v>
      </c>
      <c r="AJ31" s="1239">
        <v>0</v>
      </c>
      <c r="AK31" s="1239">
        <v>0</v>
      </c>
      <c r="AL31" s="1239">
        <v>0</v>
      </c>
      <c r="AM31" s="1239">
        <v>0</v>
      </c>
      <c r="AN31" s="1239">
        <v>0</v>
      </c>
      <c r="AO31" s="1239">
        <v>0</v>
      </c>
      <c r="AP31" s="1239">
        <v>0</v>
      </c>
      <c r="AQ31" s="1239">
        <v>3909.79</v>
      </c>
      <c r="AR31" s="1239">
        <v>230.22</v>
      </c>
      <c r="AS31" s="1239">
        <v>0</v>
      </c>
      <c r="AT31" s="1239">
        <v>-1043.92</v>
      </c>
      <c r="AU31" s="1239">
        <v>0</v>
      </c>
      <c r="AV31" s="1239">
        <v>0</v>
      </c>
      <c r="AW31" s="1239">
        <v>-1043.92</v>
      </c>
      <c r="AX31" s="1239">
        <v>485.35</v>
      </c>
      <c r="AY31" s="1239">
        <v>0</v>
      </c>
      <c r="AZ31" s="1239">
        <v>0</v>
      </c>
      <c r="BA31" s="1239">
        <v>0</v>
      </c>
      <c r="BB31" s="1239">
        <v>0</v>
      </c>
      <c r="BC31" s="1239">
        <v>0</v>
      </c>
      <c r="BD31" s="1239">
        <v>0</v>
      </c>
      <c r="BE31" s="1239">
        <v>0</v>
      </c>
      <c r="BF31" s="1239">
        <v>485.35</v>
      </c>
      <c r="BG31" s="1239">
        <v>0</v>
      </c>
      <c r="BH31" s="1239">
        <v>0</v>
      </c>
      <c r="BI31" s="1239">
        <v>0</v>
      </c>
      <c r="BJ31" s="1239">
        <v>-558.57000000000005</v>
      </c>
      <c r="BK31" s="1239">
        <v>-558.57000000000005</v>
      </c>
      <c r="BL31" s="1239">
        <v>568.62</v>
      </c>
      <c r="BM31" s="1239">
        <v>568.62</v>
      </c>
      <c r="BN31" s="1239">
        <v>101.85</v>
      </c>
      <c r="BO31" s="1239">
        <v>0</v>
      </c>
      <c r="DT31" s="1238">
        <v>46022</v>
      </c>
      <c r="DU31" s="1328" t="s">
        <v>816</v>
      </c>
      <c r="DV31" t="s">
        <v>471</v>
      </c>
      <c r="DW31" s="1239">
        <v>53292753.32</v>
      </c>
      <c r="DX31" s="1241">
        <v>49</v>
      </c>
      <c r="DY31" s="1239">
        <v>64448357.460000001</v>
      </c>
    </row>
    <row r="32" spans="1:129">
      <c r="A32" s="1238">
        <v>45596</v>
      </c>
      <c r="B32" t="s">
        <v>711</v>
      </c>
      <c r="C32" s="1239">
        <v>8182368484.4700003</v>
      </c>
      <c r="D32" s="1239">
        <v>0</v>
      </c>
      <c r="E32" s="1239">
        <v>42217161.75</v>
      </c>
      <c r="F32" s="1239">
        <v>12577297.26</v>
      </c>
      <c r="G32" s="1239">
        <v>0</v>
      </c>
      <c r="H32" s="1239">
        <v>0</v>
      </c>
      <c r="I32" s="1239">
        <v>0</v>
      </c>
      <c r="J32" s="1239">
        <v>0</v>
      </c>
      <c r="K32" s="1239">
        <v>65384.86</v>
      </c>
      <c r="L32" s="1239">
        <v>0</v>
      </c>
      <c r="M32" s="1239">
        <v>1682935.28</v>
      </c>
      <c r="N32" s="1239">
        <v>5026773.66</v>
      </c>
      <c r="O32" s="1239">
        <v>8120798931.6599998</v>
      </c>
      <c r="P32" s="1239">
        <v>0</v>
      </c>
      <c r="Q32" s="1239">
        <v>0</v>
      </c>
      <c r="R32" s="1239">
        <v>0</v>
      </c>
      <c r="S32" s="1239">
        <v>0</v>
      </c>
      <c r="T32" s="1239">
        <v>0</v>
      </c>
      <c r="U32" s="1239">
        <v>0</v>
      </c>
      <c r="V32" s="1239">
        <v>0</v>
      </c>
      <c r="W32" s="1239">
        <v>0</v>
      </c>
      <c r="X32" s="1239">
        <v>0</v>
      </c>
      <c r="Y32" s="1239">
        <v>0</v>
      </c>
      <c r="Z32" s="1239">
        <v>0</v>
      </c>
      <c r="AA32" s="1239">
        <v>0</v>
      </c>
      <c r="AB32" s="1239">
        <v>0</v>
      </c>
      <c r="AC32" s="1239">
        <v>0</v>
      </c>
      <c r="AD32" s="1239">
        <v>0</v>
      </c>
      <c r="AE32" s="1239">
        <v>0</v>
      </c>
      <c r="AF32" s="1239">
        <v>0</v>
      </c>
      <c r="AG32" s="1239">
        <v>0</v>
      </c>
      <c r="AH32" s="1239">
        <v>0</v>
      </c>
      <c r="AI32" s="1239">
        <v>0</v>
      </c>
      <c r="AJ32" s="1239">
        <v>0</v>
      </c>
      <c r="AK32" s="1239">
        <v>0</v>
      </c>
      <c r="AL32" s="1239">
        <v>0</v>
      </c>
      <c r="AM32" s="1239">
        <v>0</v>
      </c>
      <c r="AN32" s="1239">
        <v>0</v>
      </c>
      <c r="AO32" s="1239">
        <v>0</v>
      </c>
      <c r="AP32" s="1239">
        <v>0</v>
      </c>
      <c r="AQ32" s="1239">
        <v>0</v>
      </c>
      <c r="AR32" s="1239">
        <v>0</v>
      </c>
      <c r="AS32" s="1239">
        <v>0</v>
      </c>
      <c r="AT32" s="1239">
        <v>42217161.75</v>
      </c>
      <c r="AU32" s="1239">
        <v>0</v>
      </c>
      <c r="AV32" s="1239">
        <v>12577297.26</v>
      </c>
      <c r="AW32" s="1239">
        <v>54794459.009999998</v>
      </c>
      <c r="AX32" s="1239">
        <v>2544753.75</v>
      </c>
      <c r="AY32" s="1239">
        <v>0</v>
      </c>
      <c r="AZ32" s="1239">
        <v>0</v>
      </c>
      <c r="BA32" s="1239">
        <v>0</v>
      </c>
      <c r="BB32" s="1239">
        <v>0</v>
      </c>
      <c r="BC32" s="1239">
        <v>52923.47</v>
      </c>
      <c r="BD32" s="1239">
        <v>0</v>
      </c>
      <c r="BE32" s="1239">
        <v>0</v>
      </c>
      <c r="BF32" s="1239">
        <v>2597677.2200000002</v>
      </c>
      <c r="BG32" s="1239">
        <v>0</v>
      </c>
      <c r="BH32" s="1239">
        <v>0</v>
      </c>
      <c r="BI32" s="1239">
        <v>0</v>
      </c>
      <c r="BJ32" s="1239">
        <v>57392136.229999997</v>
      </c>
      <c r="BK32" s="1239">
        <v>57392136.229999997</v>
      </c>
      <c r="BL32" s="1239">
        <v>8000386.2400000002</v>
      </c>
      <c r="BM32" s="1239">
        <v>8000386.2400000002</v>
      </c>
      <c r="BN32" s="1239">
        <v>1527.8999999999999</v>
      </c>
      <c r="BO32" s="1239">
        <v>4927.7599999999993</v>
      </c>
      <c r="DT32" s="1238">
        <v>46022</v>
      </c>
      <c r="DU32" s="1328" t="s">
        <v>817</v>
      </c>
      <c r="DV32" t="s">
        <v>472</v>
      </c>
      <c r="DW32" s="1239">
        <v>31765601.989999998</v>
      </c>
      <c r="DX32" s="1241">
        <v>30</v>
      </c>
      <c r="DY32" s="1239">
        <v>41213010.939999998</v>
      </c>
    </row>
    <row r="33" spans="1:129">
      <c r="A33" s="1238">
        <v>45596</v>
      </c>
      <c r="B33" t="s">
        <v>340</v>
      </c>
      <c r="C33" s="1239">
        <v>0</v>
      </c>
      <c r="D33" s="1239">
        <v>0</v>
      </c>
      <c r="E33" s="1239">
        <v>911.81</v>
      </c>
      <c r="F33" s="1239">
        <v>0</v>
      </c>
      <c r="G33" s="1239">
        <v>0</v>
      </c>
      <c r="H33" s="1239">
        <v>0</v>
      </c>
      <c r="I33" s="1239">
        <v>0</v>
      </c>
      <c r="J33" s="1239">
        <v>0</v>
      </c>
      <c r="K33" s="1239">
        <v>65384.86</v>
      </c>
      <c r="L33" s="1239">
        <v>0</v>
      </c>
      <c r="M33" s="1239">
        <v>0</v>
      </c>
      <c r="N33" s="1239">
        <v>0</v>
      </c>
      <c r="O33" s="1239">
        <v>64473.05</v>
      </c>
      <c r="P33" s="1239">
        <v>0</v>
      </c>
      <c r="Q33" s="1239">
        <v>0</v>
      </c>
      <c r="R33" s="1239">
        <v>0</v>
      </c>
      <c r="S33" s="1239">
        <v>0</v>
      </c>
      <c r="T33" s="1239">
        <v>0</v>
      </c>
      <c r="U33" s="1239">
        <v>0</v>
      </c>
      <c r="V33" s="1239">
        <v>0</v>
      </c>
      <c r="W33" s="1239">
        <v>0</v>
      </c>
      <c r="X33" s="1239">
        <v>0</v>
      </c>
      <c r="Y33" s="1239">
        <v>0</v>
      </c>
      <c r="Z33" s="1239">
        <v>0</v>
      </c>
      <c r="AA33" s="1239">
        <v>0</v>
      </c>
      <c r="AB33" s="1239">
        <v>0</v>
      </c>
      <c r="AC33" s="1239">
        <v>0</v>
      </c>
      <c r="AD33" s="1239">
        <v>0</v>
      </c>
      <c r="AE33" s="1239">
        <v>0</v>
      </c>
      <c r="AF33" s="1239">
        <v>0</v>
      </c>
      <c r="AG33" s="1239">
        <v>0</v>
      </c>
      <c r="AH33" s="1239">
        <v>0</v>
      </c>
      <c r="AI33" s="1239">
        <v>0</v>
      </c>
      <c r="AJ33" s="1239">
        <v>0</v>
      </c>
      <c r="AK33" s="1239">
        <v>0</v>
      </c>
      <c r="AL33" s="1239">
        <v>0</v>
      </c>
      <c r="AM33" s="1239">
        <v>0</v>
      </c>
      <c r="AN33" s="1239">
        <v>0</v>
      </c>
      <c r="AO33" s="1239">
        <v>0</v>
      </c>
      <c r="AP33" s="1239">
        <v>0</v>
      </c>
      <c r="AQ33" s="1239">
        <v>0</v>
      </c>
      <c r="AR33" s="1239">
        <v>0</v>
      </c>
      <c r="AS33" s="1239">
        <v>0</v>
      </c>
      <c r="AT33" s="1239">
        <v>911.81</v>
      </c>
      <c r="AU33" s="1239">
        <v>0</v>
      </c>
      <c r="AV33" s="1239">
        <v>0</v>
      </c>
      <c r="AW33" s="1239">
        <v>911.81</v>
      </c>
      <c r="AX33" s="1239">
        <v>31.79</v>
      </c>
      <c r="AY33" s="1239">
        <v>0</v>
      </c>
      <c r="AZ33" s="1239">
        <v>0</v>
      </c>
      <c r="BA33" s="1239">
        <v>0</v>
      </c>
      <c r="BB33" s="1239">
        <v>0</v>
      </c>
      <c r="BC33" s="1239">
        <v>0</v>
      </c>
      <c r="BD33" s="1239">
        <v>0</v>
      </c>
      <c r="BE33" s="1239">
        <v>0</v>
      </c>
      <c r="BF33" s="1239">
        <v>0</v>
      </c>
      <c r="BG33" s="1239">
        <v>0</v>
      </c>
      <c r="BH33" s="1239">
        <v>0</v>
      </c>
      <c r="BI33" s="1239">
        <v>0</v>
      </c>
      <c r="BJ33" s="1239">
        <v>943.6</v>
      </c>
      <c r="BK33" s="1239">
        <v>943.6</v>
      </c>
      <c r="BL33" s="1239">
        <v>0</v>
      </c>
      <c r="BM33" s="1239">
        <v>0</v>
      </c>
      <c r="BN33" s="1239">
        <v>0</v>
      </c>
      <c r="BO33" s="1239">
        <v>0</v>
      </c>
      <c r="DT33" s="1238">
        <v>46022</v>
      </c>
      <c r="DU33" s="1328" t="s">
        <v>818</v>
      </c>
      <c r="DV33" t="s">
        <v>473</v>
      </c>
      <c r="DW33" s="1239">
        <v>24320906.649999999</v>
      </c>
      <c r="DX33" s="1241">
        <v>21</v>
      </c>
      <c r="DY33" s="1239">
        <v>29769442.82</v>
      </c>
    </row>
    <row r="34" spans="1:129">
      <c r="A34" s="1238">
        <v>45565</v>
      </c>
      <c r="B34" t="s">
        <v>711</v>
      </c>
      <c r="C34" s="1239">
        <v>0</v>
      </c>
      <c r="D34" s="1239">
        <v>8182368484.4700003</v>
      </c>
      <c r="E34" s="1239">
        <v>0</v>
      </c>
      <c r="F34" s="1239">
        <v>0</v>
      </c>
      <c r="G34" s="1239">
        <v>0</v>
      </c>
      <c r="H34" s="1239">
        <v>0</v>
      </c>
      <c r="I34" s="1239">
        <v>0</v>
      </c>
      <c r="J34" s="1239">
        <v>0</v>
      </c>
      <c r="K34" s="1239">
        <v>0</v>
      </c>
      <c r="L34" s="1239">
        <v>0</v>
      </c>
      <c r="M34" s="1239">
        <v>0</v>
      </c>
      <c r="N34" s="1239">
        <v>0</v>
      </c>
      <c r="O34" s="1239">
        <v>8182368484.4700003</v>
      </c>
      <c r="P34" s="1239">
        <v>0</v>
      </c>
      <c r="Q34" s="1239">
        <v>0</v>
      </c>
      <c r="R34" s="1239">
        <v>0</v>
      </c>
      <c r="S34" s="1239">
        <v>0</v>
      </c>
      <c r="T34" s="1239">
        <v>0</v>
      </c>
      <c r="U34" s="1239">
        <v>0</v>
      </c>
      <c r="V34" s="1239">
        <v>0</v>
      </c>
      <c r="W34" s="1239">
        <v>0</v>
      </c>
      <c r="X34" s="1239">
        <v>0</v>
      </c>
      <c r="Y34" s="1239">
        <v>0</v>
      </c>
      <c r="Z34" s="1239">
        <v>0</v>
      </c>
      <c r="AA34" s="1239">
        <v>0</v>
      </c>
      <c r="AB34" s="1239">
        <v>0</v>
      </c>
      <c r="AC34" s="1239">
        <v>0</v>
      </c>
      <c r="AD34" s="1239">
        <v>0</v>
      </c>
      <c r="AE34" s="1239">
        <v>0</v>
      </c>
      <c r="AF34" s="1239">
        <v>0</v>
      </c>
      <c r="AG34" s="1239">
        <v>0</v>
      </c>
      <c r="AH34" s="1239">
        <v>0</v>
      </c>
      <c r="AI34" s="1239">
        <v>0</v>
      </c>
      <c r="AJ34" s="1239">
        <v>0</v>
      </c>
      <c r="AK34" s="1239">
        <v>0</v>
      </c>
      <c r="AL34" s="1239">
        <v>0</v>
      </c>
      <c r="AM34" s="1239">
        <v>0</v>
      </c>
      <c r="AN34" s="1239">
        <v>0</v>
      </c>
      <c r="AO34" s="1239">
        <v>0</v>
      </c>
      <c r="AP34" s="1239">
        <v>0</v>
      </c>
      <c r="AQ34" s="1239">
        <v>0</v>
      </c>
      <c r="AR34" s="1239">
        <v>0</v>
      </c>
      <c r="AS34" s="1239">
        <v>0</v>
      </c>
      <c r="AT34" s="1239">
        <v>0</v>
      </c>
      <c r="AU34" s="1239">
        <v>0</v>
      </c>
      <c r="AV34" s="1239">
        <v>0</v>
      </c>
      <c r="AW34" s="1239">
        <v>0</v>
      </c>
      <c r="AX34" s="1239">
        <v>0</v>
      </c>
      <c r="AY34" s="1239">
        <v>0</v>
      </c>
      <c r="AZ34" s="1239">
        <v>0</v>
      </c>
      <c r="BA34" s="1239">
        <v>0</v>
      </c>
      <c r="BB34" s="1239">
        <v>0</v>
      </c>
      <c r="BC34" s="1239">
        <v>0</v>
      </c>
      <c r="BD34" s="1239">
        <v>0</v>
      </c>
      <c r="BE34" s="1239">
        <v>0</v>
      </c>
      <c r="BF34" s="1239">
        <v>0</v>
      </c>
      <c r="BG34" s="1239">
        <v>0</v>
      </c>
      <c r="BH34" s="1239">
        <v>0</v>
      </c>
      <c r="BI34" s="1239">
        <v>0</v>
      </c>
      <c r="BJ34" s="1239">
        <v>0</v>
      </c>
      <c r="BK34" s="1239">
        <v>0</v>
      </c>
      <c r="BL34" s="1239">
        <v>8022567.3799999999</v>
      </c>
      <c r="BM34" s="1239">
        <v>8022567.3799999999</v>
      </c>
      <c r="BN34" s="1239">
        <v>0</v>
      </c>
      <c r="BO34" s="1239">
        <v>0</v>
      </c>
      <c r="DT34" s="1238">
        <v>46022</v>
      </c>
      <c r="DU34" s="1328" t="s">
        <v>819</v>
      </c>
      <c r="DV34" t="s">
        <v>474</v>
      </c>
      <c r="DW34" s="1239">
        <v>24114089.210000001</v>
      </c>
      <c r="DX34" s="1241">
        <v>21</v>
      </c>
      <c r="DY34" s="1239">
        <v>30888712.059999999</v>
      </c>
    </row>
    <row r="35" spans="1:129">
      <c r="A35" s="1238">
        <v>45565</v>
      </c>
      <c r="B35" t="s">
        <v>340</v>
      </c>
      <c r="C35" s="1239">
        <v>0</v>
      </c>
      <c r="D35" s="1239">
        <v>0</v>
      </c>
      <c r="E35" s="1239">
        <v>0</v>
      </c>
      <c r="F35" s="1239">
        <v>0</v>
      </c>
      <c r="G35" s="1239">
        <v>0</v>
      </c>
      <c r="H35" s="1239">
        <v>0</v>
      </c>
      <c r="I35" s="1239">
        <v>0</v>
      </c>
      <c r="J35" s="1239">
        <v>0</v>
      </c>
      <c r="K35" s="1239">
        <v>0</v>
      </c>
      <c r="L35" s="1239">
        <v>0</v>
      </c>
      <c r="M35" s="1239">
        <v>0</v>
      </c>
      <c r="N35" s="1239">
        <v>0</v>
      </c>
      <c r="O35" s="1239">
        <v>0</v>
      </c>
      <c r="P35" s="1239">
        <v>0</v>
      </c>
      <c r="Q35" s="1239">
        <v>0</v>
      </c>
      <c r="R35" s="1239">
        <v>0</v>
      </c>
      <c r="S35" s="1239">
        <v>0</v>
      </c>
      <c r="T35" s="1239">
        <v>0</v>
      </c>
      <c r="U35" s="1239">
        <v>0</v>
      </c>
      <c r="V35" s="1239">
        <v>0</v>
      </c>
      <c r="W35" s="1239">
        <v>0</v>
      </c>
      <c r="X35" s="1239">
        <v>0</v>
      </c>
      <c r="Y35" s="1239">
        <v>0</v>
      </c>
      <c r="Z35" s="1239">
        <v>0</v>
      </c>
      <c r="AA35" s="1239">
        <v>0</v>
      </c>
      <c r="AB35" s="1239">
        <v>0</v>
      </c>
      <c r="AC35" s="1239">
        <v>0</v>
      </c>
      <c r="AD35" s="1239">
        <v>0</v>
      </c>
      <c r="AE35" s="1239">
        <v>0</v>
      </c>
      <c r="AF35" s="1239">
        <v>0</v>
      </c>
      <c r="AG35" s="1239">
        <v>0</v>
      </c>
      <c r="AH35" s="1239">
        <v>0</v>
      </c>
      <c r="AI35" s="1239">
        <v>0</v>
      </c>
      <c r="AJ35" s="1239">
        <v>0</v>
      </c>
      <c r="AK35" s="1239">
        <v>0</v>
      </c>
      <c r="AL35" s="1239">
        <v>0</v>
      </c>
      <c r="AM35" s="1239">
        <v>0</v>
      </c>
      <c r="AN35" s="1239">
        <v>0</v>
      </c>
      <c r="AO35" s="1239">
        <v>0</v>
      </c>
      <c r="AP35" s="1239">
        <v>0</v>
      </c>
      <c r="AQ35" s="1239">
        <v>0</v>
      </c>
      <c r="AR35" s="1239">
        <v>0</v>
      </c>
      <c r="AS35" s="1239">
        <v>0</v>
      </c>
      <c r="AT35" s="1239">
        <v>0</v>
      </c>
      <c r="AU35" s="1239">
        <v>0</v>
      </c>
      <c r="AV35" s="1239">
        <v>0</v>
      </c>
      <c r="AW35" s="1239">
        <v>0</v>
      </c>
      <c r="AX35" s="1239">
        <v>0</v>
      </c>
      <c r="AY35" s="1239">
        <v>0</v>
      </c>
      <c r="AZ35" s="1239">
        <v>0</v>
      </c>
      <c r="BA35" s="1239">
        <v>0</v>
      </c>
      <c r="BB35" s="1239">
        <v>0</v>
      </c>
      <c r="BC35" s="1239">
        <v>0</v>
      </c>
      <c r="BD35" s="1239">
        <v>0</v>
      </c>
      <c r="BE35" s="1239">
        <v>0</v>
      </c>
      <c r="BF35" s="1239">
        <v>0</v>
      </c>
      <c r="BG35" s="1239">
        <v>0</v>
      </c>
      <c r="BH35" s="1239">
        <v>0</v>
      </c>
      <c r="BI35" s="1239">
        <v>0</v>
      </c>
      <c r="BJ35" s="1239">
        <v>0</v>
      </c>
      <c r="BK35" s="1239">
        <v>0</v>
      </c>
      <c r="BL35" s="1239">
        <v>0</v>
      </c>
      <c r="BM35" s="1239">
        <v>0</v>
      </c>
      <c r="BN35" s="1239">
        <v>0</v>
      </c>
      <c r="BO35" s="1239">
        <v>0</v>
      </c>
      <c r="DT35" s="1238">
        <v>46022</v>
      </c>
      <c r="DU35" s="1328" t="s">
        <v>820</v>
      </c>
      <c r="DV35" t="s">
        <v>475</v>
      </c>
      <c r="DW35" s="1239">
        <v>312171790.07999998</v>
      </c>
      <c r="DX35" s="1241">
        <v>211</v>
      </c>
      <c r="DY35" s="1239">
        <v>399511524.06999999</v>
      </c>
    </row>
    <row r="36" spans="1:129">
      <c r="DT36" s="1238">
        <v>46022</v>
      </c>
      <c r="DU36" s="1328" t="s">
        <v>2068</v>
      </c>
      <c r="DV36" t="s">
        <v>2069</v>
      </c>
      <c r="DW36" s="1239">
        <v>10270.41</v>
      </c>
      <c r="DX36" s="1241">
        <v>0</v>
      </c>
      <c r="DY36" s="1239">
        <v>0</v>
      </c>
    </row>
    <row r="37" spans="1:129">
      <c r="DT37" s="1238">
        <v>46022</v>
      </c>
      <c r="DU37" s="1328" t="s">
        <v>2070</v>
      </c>
      <c r="DV37" t="s">
        <v>2071</v>
      </c>
      <c r="DW37" s="1239">
        <v>202435.49</v>
      </c>
      <c r="DX37" s="1241">
        <v>0</v>
      </c>
      <c r="DY37" s="1239">
        <v>0</v>
      </c>
    </row>
    <row r="38" spans="1:129">
      <c r="DT38" s="1238">
        <v>46022</v>
      </c>
      <c r="DU38" s="1328" t="s">
        <v>2072</v>
      </c>
      <c r="DV38" t="s">
        <v>432</v>
      </c>
      <c r="DW38" s="1239">
        <v>3400000</v>
      </c>
      <c r="DX38" s="1241">
        <v>0</v>
      </c>
      <c r="DY38" s="1239">
        <v>0</v>
      </c>
    </row>
    <row r="39" spans="1:129">
      <c r="DT39" s="1238">
        <v>46022</v>
      </c>
      <c r="DU39" s="1328" t="s">
        <v>821</v>
      </c>
      <c r="DV39" t="s">
        <v>445</v>
      </c>
      <c r="DW39" s="1239">
        <v>416663453.86000001</v>
      </c>
      <c r="DX39" s="1241">
        <v>13884</v>
      </c>
      <c r="DY39" s="1239">
        <v>1203387192.26</v>
      </c>
    </row>
    <row r="40" spans="1:129">
      <c r="DT40" s="1238">
        <v>46022</v>
      </c>
      <c r="DU40" s="1328" t="s">
        <v>822</v>
      </c>
      <c r="DV40" t="s">
        <v>446</v>
      </c>
      <c r="DW40" s="1239">
        <v>1466283718.79</v>
      </c>
      <c r="DX40" s="1241">
        <v>19465</v>
      </c>
      <c r="DY40" s="1239">
        <v>2408286181.8800001</v>
      </c>
    </row>
    <row r="41" spans="1:129">
      <c r="DT41" s="1238">
        <v>46022</v>
      </c>
      <c r="DU41" s="1328" t="s">
        <v>823</v>
      </c>
      <c r="DV41" t="s">
        <v>447</v>
      </c>
      <c r="DW41" s="1239">
        <v>2299443961.3699999</v>
      </c>
      <c r="DX41" s="1241">
        <v>18612</v>
      </c>
      <c r="DY41" s="1239">
        <v>2944556651.9699998</v>
      </c>
    </row>
    <row r="42" spans="1:129">
      <c r="DT42" s="1238">
        <v>46022</v>
      </c>
      <c r="DU42" s="1328" t="s">
        <v>824</v>
      </c>
      <c r="DV42" t="s">
        <v>448</v>
      </c>
      <c r="DW42" s="1239">
        <v>1375942842.4400001</v>
      </c>
      <c r="DX42" s="1241">
        <v>7940</v>
      </c>
      <c r="DY42" s="1239">
        <v>1764004861.9000001</v>
      </c>
    </row>
    <row r="43" spans="1:129">
      <c r="DT43" s="1238">
        <v>46022</v>
      </c>
      <c r="DU43" s="1328" t="s">
        <v>825</v>
      </c>
      <c r="DV43" t="s">
        <v>449</v>
      </c>
      <c r="DW43" s="1239">
        <v>1137137460.6800001</v>
      </c>
      <c r="DX43" s="1241">
        <v>5101</v>
      </c>
      <c r="DY43" s="1239">
        <v>1393354983.4000001</v>
      </c>
    </row>
    <row r="44" spans="1:129">
      <c r="DT44" s="1238">
        <v>46022</v>
      </c>
      <c r="DU44" s="1328" t="s">
        <v>826</v>
      </c>
      <c r="DV44" t="s">
        <v>450</v>
      </c>
      <c r="DW44" s="1239">
        <v>829156570.5</v>
      </c>
      <c r="DX44" s="1241">
        <v>3047</v>
      </c>
      <c r="DY44" s="1239">
        <v>997060515.95000005</v>
      </c>
    </row>
    <row r="45" spans="1:129">
      <c r="DT45" s="1238">
        <v>46022</v>
      </c>
      <c r="DU45" s="1328" t="s">
        <v>827</v>
      </c>
      <c r="DV45" t="s">
        <v>451</v>
      </c>
      <c r="DW45" s="1239">
        <v>537208900.86000001</v>
      </c>
      <c r="DX45" s="1241">
        <v>1665</v>
      </c>
      <c r="DY45" s="1239">
        <v>650056773.96000004</v>
      </c>
    </row>
    <row r="46" spans="1:129">
      <c r="DT46" s="1238">
        <v>46022</v>
      </c>
      <c r="DU46" s="1328" t="s">
        <v>828</v>
      </c>
      <c r="DV46" t="s">
        <v>452</v>
      </c>
      <c r="DW46" s="1239">
        <v>367146120.94999999</v>
      </c>
      <c r="DX46" s="1241">
        <v>987</v>
      </c>
      <c r="DY46" s="1239">
        <v>439902285.56</v>
      </c>
    </row>
    <row r="47" spans="1:129">
      <c r="DT47" s="1238">
        <v>46022</v>
      </c>
      <c r="DU47" s="1328" t="s">
        <v>829</v>
      </c>
      <c r="DV47" t="s">
        <v>453</v>
      </c>
      <c r="DW47" s="1239">
        <v>262450801.66999999</v>
      </c>
      <c r="DX47" s="1241">
        <v>618</v>
      </c>
      <c r="DY47" s="1239">
        <v>318694347.64999998</v>
      </c>
    </row>
    <row r="48" spans="1:129">
      <c r="DT48" s="1238">
        <v>46022</v>
      </c>
      <c r="DU48" s="1328" t="s">
        <v>830</v>
      </c>
      <c r="DV48" t="s">
        <v>454</v>
      </c>
      <c r="DW48" s="1239">
        <v>372556210.87</v>
      </c>
      <c r="DX48" s="1241">
        <v>780</v>
      </c>
      <c r="DY48" s="1239">
        <v>451646750.85000002</v>
      </c>
    </row>
    <row r="49" spans="124:129">
      <c r="DT49" s="1238">
        <v>46022</v>
      </c>
      <c r="DU49" s="1328" t="s">
        <v>831</v>
      </c>
      <c r="DV49" t="s">
        <v>455</v>
      </c>
      <c r="DW49" s="1239">
        <v>382376922.67000002</v>
      </c>
      <c r="DX49" s="1241">
        <v>730</v>
      </c>
      <c r="DY49" s="1239">
        <v>451355407.24000001</v>
      </c>
    </row>
    <row r="50" spans="124:129">
      <c r="DT50" s="1238">
        <v>46022</v>
      </c>
      <c r="DU50" s="1328" t="s">
        <v>832</v>
      </c>
      <c r="DV50" t="s">
        <v>456</v>
      </c>
      <c r="DW50" s="1239">
        <v>304796797.72000003</v>
      </c>
      <c r="DX50" s="1241">
        <v>530</v>
      </c>
      <c r="DY50" s="1239">
        <v>359853237.81999999</v>
      </c>
    </row>
    <row r="51" spans="124:129">
      <c r="DT51" s="1238">
        <v>46022</v>
      </c>
      <c r="DU51" s="1328" t="s">
        <v>833</v>
      </c>
      <c r="DV51" t="s">
        <v>457</v>
      </c>
      <c r="DW51" s="1239">
        <v>261917422.38999999</v>
      </c>
      <c r="DX51" s="1241">
        <v>419</v>
      </c>
      <c r="DY51" s="1239">
        <v>305943942.23000002</v>
      </c>
    </row>
    <row r="52" spans="124:129">
      <c r="DT52" s="1238">
        <v>46022</v>
      </c>
      <c r="DU52" s="1328" t="s">
        <v>834</v>
      </c>
      <c r="DV52" t="s">
        <v>458</v>
      </c>
      <c r="DW52" s="1239">
        <v>189565382.58000001</v>
      </c>
      <c r="DX52" s="1241">
        <v>282</v>
      </c>
      <c r="DY52" s="1239">
        <v>221949653.50999999</v>
      </c>
    </row>
    <row r="53" spans="124:129">
      <c r="DT53" s="1238">
        <v>46022</v>
      </c>
      <c r="DU53" s="1328" t="s">
        <v>835</v>
      </c>
      <c r="DV53" t="s">
        <v>459</v>
      </c>
      <c r="DW53" s="1239">
        <v>138933684.66</v>
      </c>
      <c r="DX53" s="1241">
        <v>192</v>
      </c>
      <c r="DY53" s="1239">
        <v>157478118.05000001</v>
      </c>
    </row>
    <row r="54" spans="124:129">
      <c r="DT54" s="1238">
        <v>46022</v>
      </c>
      <c r="DU54" s="1328" t="s">
        <v>836</v>
      </c>
      <c r="DV54" t="s">
        <v>460</v>
      </c>
      <c r="DW54" s="1239">
        <v>122366347.09999999</v>
      </c>
      <c r="DX54" s="1241">
        <v>158</v>
      </c>
      <c r="DY54" s="1239">
        <v>141033654.77000001</v>
      </c>
    </row>
    <row r="55" spans="124:129">
      <c r="DT55" s="1238">
        <v>46022</v>
      </c>
      <c r="DU55" s="1328" t="s">
        <v>837</v>
      </c>
      <c r="DV55" t="s">
        <v>461</v>
      </c>
      <c r="DW55" s="1239">
        <v>91472255.760000005</v>
      </c>
      <c r="DX55" s="1241">
        <v>111</v>
      </c>
      <c r="DY55" s="1239">
        <v>105871848.12</v>
      </c>
    </row>
    <row r="56" spans="124:129">
      <c r="DT56" s="1238">
        <v>46022</v>
      </c>
      <c r="DU56" s="1328" t="s">
        <v>838</v>
      </c>
      <c r="DV56" t="s">
        <v>462</v>
      </c>
      <c r="DW56" s="1239">
        <v>97072348.769999996</v>
      </c>
      <c r="DX56" s="1241">
        <v>111</v>
      </c>
      <c r="DY56" s="1239">
        <v>116507001.81</v>
      </c>
    </row>
    <row r="57" spans="124:129">
      <c r="DT57" s="1238">
        <v>46022</v>
      </c>
      <c r="DU57" s="1328" t="s">
        <v>839</v>
      </c>
      <c r="DV57" t="s">
        <v>463</v>
      </c>
      <c r="DW57" s="1239">
        <v>64458492.960000001</v>
      </c>
      <c r="DX57" s="1241">
        <v>70</v>
      </c>
      <c r="DY57" s="1239">
        <v>74766994.040000007</v>
      </c>
    </row>
    <row r="58" spans="124:129">
      <c r="DT58" s="1238">
        <v>46022</v>
      </c>
      <c r="DU58" s="1328" t="s">
        <v>840</v>
      </c>
      <c r="DV58" t="s">
        <v>464</v>
      </c>
      <c r="DW58" s="1239">
        <v>77936300.359999999</v>
      </c>
      <c r="DX58" s="1241">
        <v>80</v>
      </c>
      <c r="DY58" s="1239">
        <v>90418654.400000006</v>
      </c>
    </row>
    <row r="59" spans="124:129">
      <c r="DT59" s="1238">
        <v>46022</v>
      </c>
      <c r="DU59" s="1328" t="s">
        <v>841</v>
      </c>
      <c r="DV59" t="s">
        <v>465</v>
      </c>
      <c r="DW59" s="1239">
        <v>47053571.590000004</v>
      </c>
      <c r="DX59" s="1241">
        <v>46</v>
      </c>
      <c r="DY59" s="1239">
        <v>56752969.060000002</v>
      </c>
    </row>
    <row r="60" spans="124:129">
      <c r="DT60" s="1238">
        <v>46022</v>
      </c>
      <c r="DU60" s="1328" t="s">
        <v>842</v>
      </c>
      <c r="DV60" t="s">
        <v>466</v>
      </c>
      <c r="DW60" s="1239">
        <v>42984571.600000001</v>
      </c>
      <c r="DX60" s="1241">
        <v>40</v>
      </c>
      <c r="DY60" s="1239">
        <v>50136074.780000001</v>
      </c>
    </row>
    <row r="61" spans="124:129">
      <c r="DT61" s="1238">
        <v>46022</v>
      </c>
      <c r="DU61" s="1328" t="s">
        <v>843</v>
      </c>
      <c r="DV61" t="s">
        <v>467</v>
      </c>
      <c r="DW61" s="1239">
        <v>42814335.170000002</v>
      </c>
      <c r="DX61" s="1241">
        <v>38</v>
      </c>
      <c r="DY61" s="1239">
        <v>50391955.289999999</v>
      </c>
    </row>
    <row r="62" spans="124:129">
      <c r="DT62" s="1238">
        <v>46022</v>
      </c>
      <c r="DU62" s="1328" t="s">
        <v>844</v>
      </c>
      <c r="DV62" t="s">
        <v>468</v>
      </c>
      <c r="DW62" s="1239">
        <v>31703992.359999999</v>
      </c>
      <c r="DX62" s="1241">
        <v>27</v>
      </c>
      <c r="DY62" s="1239">
        <v>36968203.950000003</v>
      </c>
    </row>
    <row r="63" spans="124:129">
      <c r="DT63" s="1238">
        <v>46022</v>
      </c>
      <c r="DU63" s="1328" t="s">
        <v>845</v>
      </c>
      <c r="DV63" t="s">
        <v>469</v>
      </c>
      <c r="DW63" s="1239">
        <v>25640461.760000002</v>
      </c>
      <c r="DX63" s="1241">
        <v>21</v>
      </c>
      <c r="DY63" s="1239">
        <v>28868779.670000002</v>
      </c>
    </row>
    <row r="64" spans="124:129">
      <c r="DT64" s="1238">
        <v>46022</v>
      </c>
      <c r="DU64" s="1328" t="s">
        <v>846</v>
      </c>
      <c r="DV64" t="s">
        <v>470</v>
      </c>
      <c r="DW64" s="1239">
        <v>47095808.289999999</v>
      </c>
      <c r="DX64" s="1241">
        <v>37</v>
      </c>
      <c r="DY64" s="1239">
        <v>56980013.039999999</v>
      </c>
    </row>
    <row r="65" spans="124:129">
      <c r="DT65" s="1238">
        <v>46022</v>
      </c>
      <c r="DU65" s="1328" t="s">
        <v>847</v>
      </c>
      <c r="DV65" t="s">
        <v>471</v>
      </c>
      <c r="DW65" s="1239">
        <v>30384112.84</v>
      </c>
      <c r="DX65" s="1241">
        <v>23</v>
      </c>
      <c r="DY65" s="1239">
        <v>37090019.259999998</v>
      </c>
    </row>
    <row r="66" spans="124:129">
      <c r="DT66" s="1238">
        <v>46022</v>
      </c>
      <c r="DU66" s="1328" t="s">
        <v>848</v>
      </c>
      <c r="DV66" t="s">
        <v>472</v>
      </c>
      <c r="DW66" s="1239">
        <v>33029718.359999999</v>
      </c>
      <c r="DX66" s="1241">
        <v>24</v>
      </c>
      <c r="DY66" s="1239">
        <v>39524926.079999998</v>
      </c>
    </row>
    <row r="67" spans="124:129">
      <c r="DT67" s="1238">
        <v>46022</v>
      </c>
      <c r="DU67" s="1328" t="s">
        <v>849</v>
      </c>
      <c r="DV67" t="s">
        <v>473</v>
      </c>
      <c r="DW67" s="1239">
        <v>27054943.510000002</v>
      </c>
      <c r="DX67" s="1241">
        <v>19</v>
      </c>
      <c r="DY67" s="1239">
        <v>31583958.09</v>
      </c>
    </row>
    <row r="68" spans="124:129">
      <c r="DT68" s="1238">
        <v>46022</v>
      </c>
      <c r="DU68" s="1328" t="s">
        <v>850</v>
      </c>
      <c r="DV68" t="s">
        <v>474</v>
      </c>
      <c r="DW68" s="1239">
        <v>31025962.710000001</v>
      </c>
      <c r="DX68" s="1241">
        <v>21</v>
      </c>
      <c r="DY68" s="1239">
        <v>36573675.469999999</v>
      </c>
    </row>
    <row r="69" spans="124:129">
      <c r="DT69" s="1238">
        <v>46022</v>
      </c>
      <c r="DU69" s="1328" t="s">
        <v>851</v>
      </c>
      <c r="DV69" t="s">
        <v>475</v>
      </c>
      <c r="DW69" s="1239">
        <v>160547075.44</v>
      </c>
      <c r="DX69" s="1241">
        <v>93</v>
      </c>
      <c r="DY69" s="1239">
        <v>196278631.15000001</v>
      </c>
    </row>
    <row r="70" spans="124:129">
      <c r="DT70" s="1238">
        <v>46022</v>
      </c>
      <c r="DU70" s="1328" t="s">
        <v>2073</v>
      </c>
      <c r="DV70" t="s">
        <v>2069</v>
      </c>
      <c r="DW70" s="1239">
        <v>86.37</v>
      </c>
      <c r="DX70" s="1241">
        <v>0</v>
      </c>
      <c r="DY70" s="1239">
        <v>0</v>
      </c>
    </row>
    <row r="71" spans="124:129">
      <c r="DT71" s="1238">
        <v>46022</v>
      </c>
      <c r="DU71" s="1328" t="s">
        <v>2074</v>
      </c>
      <c r="DV71" t="s">
        <v>2071</v>
      </c>
      <c r="DW71" s="1239">
        <v>150520.60999999999</v>
      </c>
      <c r="DX71" s="1241">
        <v>0</v>
      </c>
      <c r="DY71" s="1239">
        <v>0</v>
      </c>
    </row>
    <row r="72" spans="124:129">
      <c r="DT72" s="1238">
        <v>46022</v>
      </c>
      <c r="DU72" s="1328" t="s">
        <v>2075</v>
      </c>
      <c r="DV72" t="s">
        <v>432</v>
      </c>
      <c r="DW72" s="1239">
        <v>2379118.71</v>
      </c>
      <c r="DX72" s="1241">
        <v>0</v>
      </c>
      <c r="DY72" s="1239">
        <v>0</v>
      </c>
    </row>
    <row r="73" spans="124:129">
      <c r="DT73" s="1238">
        <v>46022</v>
      </c>
      <c r="DU73" s="1328" t="s">
        <v>852</v>
      </c>
      <c r="DV73" t="s">
        <v>480</v>
      </c>
      <c r="DW73" s="1239">
        <v>1384385.89</v>
      </c>
      <c r="DX73" s="1241">
        <v>26</v>
      </c>
      <c r="DY73" s="1239">
        <v>2139462.25</v>
      </c>
    </row>
    <row r="74" spans="124:129">
      <c r="DT74" s="1238">
        <v>46022</v>
      </c>
      <c r="DU74" s="1328" t="s">
        <v>853</v>
      </c>
      <c r="DV74" t="s">
        <v>481</v>
      </c>
      <c r="DW74" s="1239">
        <v>12275101.43</v>
      </c>
      <c r="DX74" s="1241">
        <v>222</v>
      </c>
      <c r="DY74" s="1239">
        <v>21362329.870000001</v>
      </c>
    </row>
    <row r="75" spans="124:129">
      <c r="DT75" s="1238">
        <v>46022</v>
      </c>
      <c r="DU75" s="1328" t="s">
        <v>854</v>
      </c>
      <c r="DV75" t="s">
        <v>482</v>
      </c>
      <c r="DW75" s="1239">
        <v>48932376.939999998</v>
      </c>
      <c r="DX75" s="1241">
        <v>629</v>
      </c>
      <c r="DY75" s="1239">
        <v>75390107.280000001</v>
      </c>
    </row>
    <row r="76" spans="124:129">
      <c r="DT76" s="1238">
        <v>46022</v>
      </c>
      <c r="DU76" s="1328" t="s">
        <v>855</v>
      </c>
      <c r="DV76" t="s">
        <v>483</v>
      </c>
      <c r="DW76" s="1239">
        <v>125801574.04000001</v>
      </c>
      <c r="DX76" s="1241">
        <v>1237</v>
      </c>
      <c r="DY76" s="1239">
        <v>185712458.53</v>
      </c>
    </row>
    <row r="77" spans="124:129">
      <c r="DT77" s="1238">
        <v>46022</v>
      </c>
      <c r="DU77" s="1328" t="s">
        <v>856</v>
      </c>
      <c r="DV77" t="s">
        <v>484</v>
      </c>
      <c r="DW77" s="1239">
        <v>198810864.36000001</v>
      </c>
      <c r="DX77" s="1241">
        <v>1766</v>
      </c>
      <c r="DY77" s="1239">
        <v>292837783.75</v>
      </c>
    </row>
    <row r="78" spans="124:129">
      <c r="DT78" s="1238">
        <v>46022</v>
      </c>
      <c r="DU78" s="1328" t="s">
        <v>857</v>
      </c>
      <c r="DV78" t="s">
        <v>485</v>
      </c>
      <c r="DW78" s="1239">
        <v>363994523.36000001</v>
      </c>
      <c r="DX78" s="1241">
        <v>2835</v>
      </c>
      <c r="DY78" s="1239">
        <v>517338213.69999999</v>
      </c>
    </row>
    <row r="79" spans="124:129">
      <c r="DT79" s="1238">
        <v>46022</v>
      </c>
      <c r="DU79" s="1328" t="s">
        <v>858</v>
      </c>
      <c r="DV79" t="s">
        <v>486</v>
      </c>
      <c r="DW79" s="1239">
        <v>558494188.90999997</v>
      </c>
      <c r="DX79" s="1241">
        <v>3851</v>
      </c>
      <c r="DY79" s="1239">
        <v>775403163.09000003</v>
      </c>
    </row>
    <row r="80" spans="124:129">
      <c r="DT80" s="1238">
        <v>46022</v>
      </c>
      <c r="DU80" s="1328" t="s">
        <v>859</v>
      </c>
      <c r="DV80" t="s">
        <v>487</v>
      </c>
      <c r="DW80" s="1239">
        <v>839265444.12</v>
      </c>
      <c r="DX80" s="1241">
        <v>5173</v>
      </c>
      <c r="DY80" s="1239">
        <v>1128064308.6800001</v>
      </c>
    </row>
    <row r="81" spans="124:129">
      <c r="DT81" s="1238">
        <v>46022</v>
      </c>
      <c r="DU81" s="1328" t="s">
        <v>860</v>
      </c>
      <c r="DV81" t="s">
        <v>488</v>
      </c>
      <c r="DW81" s="1239">
        <v>1342039634.28</v>
      </c>
      <c r="DX81" s="1241">
        <v>7760</v>
      </c>
      <c r="DY81" s="1239">
        <v>1790263744.8900001</v>
      </c>
    </row>
    <row r="82" spans="124:129">
      <c r="DT82" s="1238">
        <v>46022</v>
      </c>
      <c r="DU82" s="1328" t="s">
        <v>861</v>
      </c>
      <c r="DV82" t="s">
        <v>489</v>
      </c>
      <c r="DW82" s="1239">
        <v>2543539232.4899998</v>
      </c>
      <c r="DX82" s="1241">
        <v>14085</v>
      </c>
      <c r="DY82" s="1239">
        <v>3241267100.8000002</v>
      </c>
    </row>
    <row r="83" spans="124:129">
      <c r="DT83" s="1238">
        <v>46022</v>
      </c>
      <c r="DU83" s="1328" t="s">
        <v>862</v>
      </c>
      <c r="DV83" t="s">
        <v>490</v>
      </c>
      <c r="DW83" s="1239">
        <v>4406420003.0299997</v>
      </c>
      <c r="DX83" s="1241">
        <v>29903</v>
      </c>
      <c r="DY83" s="1239">
        <v>5933355583.4200001</v>
      </c>
    </row>
    <row r="84" spans="124:129">
      <c r="DT84" s="1238">
        <v>46022</v>
      </c>
      <c r="DU84" s="1328" t="s">
        <v>863</v>
      </c>
      <c r="DV84" t="s">
        <v>1198</v>
      </c>
      <c r="DW84" s="1239">
        <v>873263221.74000001</v>
      </c>
      <c r="DX84" s="1241">
        <v>7684</v>
      </c>
      <c r="DY84" s="1239">
        <v>1254144006.95</v>
      </c>
    </row>
    <row r="85" spans="124:129">
      <c r="DT85" s="1238">
        <v>46022</v>
      </c>
      <c r="DU85" s="1328" t="s">
        <v>2076</v>
      </c>
      <c r="DV85" t="s">
        <v>2069</v>
      </c>
      <c r="DW85" s="1239">
        <v>3.2</v>
      </c>
      <c r="DX85" s="1241">
        <v>0</v>
      </c>
      <c r="DY85" s="1239">
        <v>0</v>
      </c>
    </row>
    <row r="86" spans="124:129">
      <c r="DT86" s="1238">
        <v>46022</v>
      </c>
      <c r="DU86" s="1328" t="s">
        <v>2077</v>
      </c>
      <c r="DV86" t="s">
        <v>2071</v>
      </c>
      <c r="DW86" s="1239">
        <v>92.37</v>
      </c>
      <c r="DX86" s="1241">
        <v>0</v>
      </c>
      <c r="DY86" s="1239">
        <v>0</v>
      </c>
    </row>
    <row r="87" spans="124:129">
      <c r="DT87" s="1238">
        <v>46022</v>
      </c>
      <c r="DU87" s="1328" t="s">
        <v>2078</v>
      </c>
      <c r="DV87" t="s">
        <v>432</v>
      </c>
      <c r="DW87" s="1239">
        <v>120</v>
      </c>
      <c r="DX87" s="1241">
        <v>0</v>
      </c>
      <c r="DY87" s="1239">
        <v>0</v>
      </c>
    </row>
    <row r="88" spans="124:129">
      <c r="DT88" s="1238">
        <v>46022</v>
      </c>
      <c r="DU88" s="1328" t="s">
        <v>864</v>
      </c>
      <c r="DV88" t="s">
        <v>480</v>
      </c>
      <c r="DW88" s="1239">
        <v>43081623.310000002</v>
      </c>
      <c r="DX88" s="1241">
        <v>1912</v>
      </c>
      <c r="DY88" s="1239">
        <v>265736659.38</v>
      </c>
    </row>
    <row r="89" spans="124:129">
      <c r="DT89" s="1238">
        <v>46022</v>
      </c>
      <c r="DU89" s="1328" t="s">
        <v>865</v>
      </c>
      <c r="DV89" t="s">
        <v>481</v>
      </c>
      <c r="DW89" s="1239">
        <v>166106022.13999999</v>
      </c>
      <c r="DX89" s="1241">
        <v>3321</v>
      </c>
      <c r="DY89" s="1239">
        <v>489507676.61000001</v>
      </c>
    </row>
    <row r="90" spans="124:129">
      <c r="DT90" s="1238">
        <v>46022</v>
      </c>
      <c r="DU90" s="1328" t="s">
        <v>866</v>
      </c>
      <c r="DV90" t="s">
        <v>482</v>
      </c>
      <c r="DW90" s="1239">
        <v>355776619.5</v>
      </c>
      <c r="DX90" s="1241">
        <v>4664</v>
      </c>
      <c r="DY90" s="1239">
        <v>756383643.33000004</v>
      </c>
    </row>
    <row r="91" spans="124:129">
      <c r="DT91" s="1238">
        <v>46022</v>
      </c>
      <c r="DU91" s="1328" t="s">
        <v>867</v>
      </c>
      <c r="DV91" t="s">
        <v>483</v>
      </c>
      <c r="DW91" s="1239">
        <v>638232122.30999994</v>
      </c>
      <c r="DX91" s="1241">
        <v>6014</v>
      </c>
      <c r="DY91" s="1239">
        <v>1114179995.6900001</v>
      </c>
    </row>
    <row r="92" spans="124:129">
      <c r="DT92" s="1238">
        <v>46022</v>
      </c>
      <c r="DU92" s="1328" t="s">
        <v>868</v>
      </c>
      <c r="DV92" t="s">
        <v>484</v>
      </c>
      <c r="DW92" s="1239">
        <v>975820084.11000001</v>
      </c>
      <c r="DX92" s="1241">
        <v>7403</v>
      </c>
      <c r="DY92" s="1239">
        <v>1492981609.0899999</v>
      </c>
    </row>
    <row r="93" spans="124:129">
      <c r="DT93" s="1238">
        <v>46022</v>
      </c>
      <c r="DU93" s="1328" t="s">
        <v>869</v>
      </c>
      <c r="DV93" t="s">
        <v>485</v>
      </c>
      <c r="DW93" s="1239">
        <v>1262651511.75</v>
      </c>
      <c r="DX93" s="1241">
        <v>8571</v>
      </c>
      <c r="DY93" s="1239">
        <v>1781197938.8099999</v>
      </c>
    </row>
    <row r="94" spans="124:129">
      <c r="DT94" s="1238">
        <v>46022</v>
      </c>
      <c r="DU94" s="1328" t="s">
        <v>870</v>
      </c>
      <c r="DV94" t="s">
        <v>486</v>
      </c>
      <c r="DW94" s="1239">
        <v>1558678748.5699999</v>
      </c>
      <c r="DX94" s="1241">
        <v>9302</v>
      </c>
      <c r="DY94" s="1239">
        <v>2058732649.1800001</v>
      </c>
    </row>
    <row r="95" spans="124:129">
      <c r="DT95" s="1238">
        <v>46022</v>
      </c>
      <c r="DU95" s="1328" t="s">
        <v>871</v>
      </c>
      <c r="DV95" t="s">
        <v>487</v>
      </c>
      <c r="DW95" s="1239">
        <v>1835237326.8</v>
      </c>
      <c r="DX95" s="1241">
        <v>10358</v>
      </c>
      <c r="DY95" s="1239">
        <v>2279903697.1500001</v>
      </c>
    </row>
    <row r="96" spans="124:129">
      <c r="DT96" s="1238">
        <v>46022</v>
      </c>
      <c r="DU96" s="1328" t="s">
        <v>872</v>
      </c>
      <c r="DV96" t="s">
        <v>488</v>
      </c>
      <c r="DW96" s="1239">
        <v>2064207466.78</v>
      </c>
      <c r="DX96" s="1241">
        <v>10936</v>
      </c>
      <c r="DY96" s="1239">
        <v>2398669535.4000001</v>
      </c>
    </row>
    <row r="97" spans="124:129">
      <c r="DT97" s="1238">
        <v>46022</v>
      </c>
      <c r="DU97" s="1328" t="s">
        <v>873</v>
      </c>
      <c r="DV97" t="s">
        <v>489</v>
      </c>
      <c r="DW97" s="1239">
        <v>1887745084.8699999</v>
      </c>
      <c r="DX97" s="1241">
        <v>9757</v>
      </c>
      <c r="DY97" s="1239">
        <v>2034280966.8199999</v>
      </c>
    </row>
    <row r="98" spans="124:129">
      <c r="DT98" s="1238">
        <v>46022</v>
      </c>
      <c r="DU98" s="1328" t="s">
        <v>874</v>
      </c>
      <c r="DV98" t="s">
        <v>490</v>
      </c>
      <c r="DW98" s="1239">
        <v>526683940.44999999</v>
      </c>
      <c r="DX98" s="1241">
        <v>2933</v>
      </c>
      <c r="DY98" s="1239">
        <v>545703891.75</v>
      </c>
    </row>
    <row r="99" spans="124:129">
      <c r="DT99" s="1238">
        <v>46022</v>
      </c>
      <c r="DU99" s="1328" t="s">
        <v>875</v>
      </c>
      <c r="DV99" t="s">
        <v>1198</v>
      </c>
      <c r="DW99" s="1239">
        <v>0</v>
      </c>
      <c r="DX99" s="1241">
        <v>0</v>
      </c>
      <c r="DY99" s="1239">
        <v>0</v>
      </c>
    </row>
    <row r="100" spans="124:129">
      <c r="DT100" s="1238">
        <v>46022</v>
      </c>
      <c r="DU100" s="1328" t="s">
        <v>2079</v>
      </c>
      <c r="DV100" t="s">
        <v>2069</v>
      </c>
      <c r="DW100" s="1239">
        <v>0.01</v>
      </c>
      <c r="DX100" s="1241">
        <v>0</v>
      </c>
      <c r="DY100" s="1239">
        <v>0</v>
      </c>
    </row>
    <row r="101" spans="124:129">
      <c r="DT101" s="1238">
        <v>46022</v>
      </c>
      <c r="DU101" s="1328" t="s">
        <v>2080</v>
      </c>
      <c r="DV101" t="s">
        <v>2071</v>
      </c>
      <c r="DW101" s="1239">
        <v>70.47</v>
      </c>
      <c r="DX101" s="1241">
        <v>0</v>
      </c>
      <c r="DY101" s="1239">
        <v>0</v>
      </c>
    </row>
    <row r="102" spans="124:129">
      <c r="DT102" s="1238">
        <v>46022</v>
      </c>
      <c r="DU102" s="1328" t="s">
        <v>2081</v>
      </c>
      <c r="DV102" t="s">
        <v>432</v>
      </c>
      <c r="DW102" s="1239">
        <v>119.76</v>
      </c>
      <c r="DX102" s="1241">
        <v>0</v>
      </c>
      <c r="DY102" s="1239">
        <v>0</v>
      </c>
    </row>
    <row r="103" spans="124:129">
      <c r="DT103" s="1238">
        <v>46022</v>
      </c>
      <c r="DU103" s="1328" t="s">
        <v>876</v>
      </c>
      <c r="DV103" t="s">
        <v>492</v>
      </c>
      <c r="DW103" s="1239">
        <v>889173.09</v>
      </c>
      <c r="DX103" s="1241">
        <v>9</v>
      </c>
      <c r="DY103" s="1239">
        <v>1106752</v>
      </c>
    </row>
    <row r="104" spans="124:129">
      <c r="DT104" s="1238">
        <v>46022</v>
      </c>
      <c r="DU104" s="1328" t="s">
        <v>877</v>
      </c>
      <c r="DV104" t="s">
        <v>493</v>
      </c>
      <c r="DW104" s="1239">
        <v>1711664.81</v>
      </c>
      <c r="DX104" s="1241">
        <v>44</v>
      </c>
      <c r="DY104" s="1239">
        <v>3831642.92</v>
      </c>
    </row>
    <row r="105" spans="124:129">
      <c r="DT105" s="1238">
        <v>46022</v>
      </c>
      <c r="DU105" s="1328" t="s">
        <v>878</v>
      </c>
      <c r="DV105" t="s">
        <v>494</v>
      </c>
      <c r="DW105" s="1239">
        <v>3085086.49</v>
      </c>
      <c r="DX105" s="1241">
        <v>86</v>
      </c>
      <c r="DY105" s="1239">
        <v>7446096.1200000001</v>
      </c>
    </row>
    <row r="106" spans="124:129">
      <c r="DT106" s="1238">
        <v>46022</v>
      </c>
      <c r="DU106" s="1328" t="s">
        <v>879</v>
      </c>
      <c r="DV106" t="s">
        <v>495</v>
      </c>
      <c r="DW106" s="1239">
        <v>13658092.48</v>
      </c>
      <c r="DX106" s="1241">
        <v>320</v>
      </c>
      <c r="DY106" s="1239">
        <v>29950935.809999999</v>
      </c>
    </row>
    <row r="107" spans="124:129">
      <c r="DT107" s="1238">
        <v>46022</v>
      </c>
      <c r="DU107" s="1328" t="s">
        <v>880</v>
      </c>
      <c r="DV107" t="s">
        <v>496</v>
      </c>
      <c r="DW107" s="1239">
        <v>11892901.060000001</v>
      </c>
      <c r="DX107" s="1241">
        <v>254</v>
      </c>
      <c r="DY107" s="1239">
        <v>30713815.27</v>
      </c>
    </row>
    <row r="108" spans="124:129">
      <c r="DT108" s="1238">
        <v>46022</v>
      </c>
      <c r="DU108" s="1328" t="s">
        <v>881</v>
      </c>
      <c r="DV108" t="s">
        <v>497</v>
      </c>
      <c r="DW108" s="1239">
        <v>17012515.18</v>
      </c>
      <c r="DX108" s="1241">
        <v>395</v>
      </c>
      <c r="DY108" s="1239">
        <v>47378743.450000003</v>
      </c>
    </row>
    <row r="109" spans="124:129">
      <c r="DT109" s="1238">
        <v>46022</v>
      </c>
      <c r="DU109" s="1328" t="s">
        <v>882</v>
      </c>
      <c r="DV109" t="s">
        <v>498</v>
      </c>
      <c r="DW109" s="1239">
        <v>158143784.49000001</v>
      </c>
      <c r="DX109" s="1241">
        <v>2537</v>
      </c>
      <c r="DY109" s="1239">
        <v>325330567.35000002</v>
      </c>
    </row>
    <row r="110" spans="124:129">
      <c r="DT110" s="1238">
        <v>46022</v>
      </c>
      <c r="DU110" s="1328" t="s">
        <v>883</v>
      </c>
      <c r="DV110" t="s">
        <v>499</v>
      </c>
      <c r="DW110" s="1239">
        <v>38266255.689999998</v>
      </c>
      <c r="DX110" s="1241">
        <v>641</v>
      </c>
      <c r="DY110" s="1239">
        <v>94186631.450000003</v>
      </c>
    </row>
    <row r="111" spans="124:129">
      <c r="DT111" s="1238">
        <v>46022</v>
      </c>
      <c r="DU111" s="1328" t="s">
        <v>884</v>
      </c>
      <c r="DV111" t="s">
        <v>500</v>
      </c>
      <c r="DW111" s="1239">
        <v>176545858.88999999</v>
      </c>
      <c r="DX111" s="1241">
        <v>2449</v>
      </c>
      <c r="DY111" s="1239">
        <v>347064326.83999997</v>
      </c>
    </row>
    <row r="112" spans="124:129">
      <c r="DT112" s="1238">
        <v>46022</v>
      </c>
      <c r="DU112" s="1328" t="s">
        <v>885</v>
      </c>
      <c r="DV112" t="s">
        <v>501</v>
      </c>
      <c r="DW112" s="1239">
        <v>80681642.75</v>
      </c>
      <c r="DX112" s="1241">
        <v>982</v>
      </c>
      <c r="DY112" s="1239">
        <v>158877905.47</v>
      </c>
    </row>
    <row r="113" spans="124:129">
      <c r="DT113" s="1238">
        <v>46022</v>
      </c>
      <c r="DU113" s="1328" t="s">
        <v>886</v>
      </c>
      <c r="DV113" t="s">
        <v>502</v>
      </c>
      <c r="DW113" s="1239">
        <v>113536167.23</v>
      </c>
      <c r="DX113" s="1241">
        <v>1281</v>
      </c>
      <c r="DY113" s="1239">
        <v>214231365.88</v>
      </c>
    </row>
    <row r="114" spans="124:129">
      <c r="DT114" s="1238">
        <v>46022</v>
      </c>
      <c r="DU114" s="1328" t="s">
        <v>887</v>
      </c>
      <c r="DV114" t="s">
        <v>503</v>
      </c>
      <c r="DW114" s="1239">
        <v>867075327.72000003</v>
      </c>
      <c r="DX114" s="1241">
        <v>9159</v>
      </c>
      <c r="DY114" s="1239">
        <v>1478407314.3399999</v>
      </c>
    </row>
    <row r="115" spans="124:129">
      <c r="DT115" s="1238">
        <v>46022</v>
      </c>
      <c r="DU115" s="1328" t="s">
        <v>888</v>
      </c>
      <c r="DV115" t="s">
        <v>504</v>
      </c>
      <c r="DW115" s="1239">
        <v>160027260.81999999</v>
      </c>
      <c r="DX115" s="1241">
        <v>1461</v>
      </c>
      <c r="DY115" s="1239">
        <v>261551202.33000001</v>
      </c>
    </row>
    <row r="116" spans="124:129">
      <c r="DT116" s="1238">
        <v>46022</v>
      </c>
      <c r="DU116" s="1328" t="s">
        <v>889</v>
      </c>
      <c r="DV116" t="s">
        <v>505</v>
      </c>
      <c r="DW116" s="1239">
        <v>346775776.52999997</v>
      </c>
      <c r="DX116" s="1241">
        <v>2973</v>
      </c>
      <c r="DY116" s="1239">
        <v>540907462.01999998</v>
      </c>
    </row>
    <row r="117" spans="124:129">
      <c r="DT117" s="1238">
        <v>46022</v>
      </c>
      <c r="DU117" s="1328" t="s">
        <v>890</v>
      </c>
      <c r="DV117" t="s">
        <v>506</v>
      </c>
      <c r="DW117" s="1239">
        <v>245774689.40000001</v>
      </c>
      <c r="DX117" s="1241">
        <v>1748</v>
      </c>
      <c r="DY117" s="1239">
        <v>371180157.58999997</v>
      </c>
    </row>
    <row r="118" spans="124:129">
      <c r="DT118" s="1238">
        <v>46022</v>
      </c>
      <c r="DU118" s="1328" t="s">
        <v>891</v>
      </c>
      <c r="DV118" t="s">
        <v>507</v>
      </c>
      <c r="DW118" s="1239">
        <v>219073475.13</v>
      </c>
      <c r="DX118" s="1241">
        <v>1442</v>
      </c>
      <c r="DY118" s="1239">
        <v>319328982.07999998</v>
      </c>
    </row>
    <row r="119" spans="124:129">
      <c r="DT119" s="1238">
        <v>46022</v>
      </c>
      <c r="DU119" s="1328" t="s">
        <v>892</v>
      </c>
      <c r="DV119" t="s">
        <v>508</v>
      </c>
      <c r="DW119" s="1239">
        <v>2824768056.8000002</v>
      </c>
      <c r="DX119" s="1241">
        <v>19146</v>
      </c>
      <c r="DY119" s="1239">
        <v>3837760443.54</v>
      </c>
    </row>
    <row r="120" spans="124:129">
      <c r="DT120" s="1238">
        <v>46022</v>
      </c>
      <c r="DU120" s="1328" t="s">
        <v>893</v>
      </c>
      <c r="DV120" t="s">
        <v>509</v>
      </c>
      <c r="DW120" s="1239">
        <v>310691730.67000002</v>
      </c>
      <c r="DX120" s="1241">
        <v>1872</v>
      </c>
      <c r="DY120" s="1239">
        <v>418520997.64999998</v>
      </c>
    </row>
    <row r="121" spans="124:129">
      <c r="DT121" s="1238">
        <v>46022</v>
      </c>
      <c r="DU121" s="1328" t="s">
        <v>894</v>
      </c>
      <c r="DV121" t="s">
        <v>510</v>
      </c>
      <c r="DW121" s="1239">
        <v>488524627.29000002</v>
      </c>
      <c r="DX121" s="1241">
        <v>2706</v>
      </c>
      <c r="DY121" s="1239">
        <v>619514766.33000004</v>
      </c>
    </row>
    <row r="122" spans="124:129">
      <c r="DT122" s="1238">
        <v>46022</v>
      </c>
      <c r="DU122" s="1328" t="s">
        <v>895</v>
      </c>
      <c r="DV122" t="s">
        <v>511</v>
      </c>
      <c r="DW122" s="1239">
        <v>214163730.75</v>
      </c>
      <c r="DX122" s="1241">
        <v>1131</v>
      </c>
      <c r="DY122" s="1239">
        <v>258335825.28999999</v>
      </c>
    </row>
    <row r="123" spans="124:129">
      <c r="DT123" s="1238">
        <v>46022</v>
      </c>
      <c r="DU123" s="1328" t="s">
        <v>896</v>
      </c>
      <c r="DV123" t="s">
        <v>512</v>
      </c>
      <c r="DW123" s="1239">
        <v>162817466.66</v>
      </c>
      <c r="DX123" s="1241">
        <v>800</v>
      </c>
      <c r="DY123" s="1239">
        <v>196418833.15000001</v>
      </c>
    </row>
    <row r="124" spans="124:129">
      <c r="DT124" s="1238">
        <v>46022</v>
      </c>
      <c r="DU124" s="1328" t="s">
        <v>897</v>
      </c>
      <c r="DV124" t="s">
        <v>513</v>
      </c>
      <c r="DW124" s="1239">
        <v>4265685605.2199998</v>
      </c>
      <c r="DX124" s="1241">
        <v>20649</v>
      </c>
      <c r="DY124" s="1239">
        <v>4945357251.7399998</v>
      </c>
    </row>
    <row r="125" spans="124:129">
      <c r="DT125" s="1238">
        <v>46022</v>
      </c>
      <c r="DU125" s="1328" t="s">
        <v>898</v>
      </c>
      <c r="DV125" t="s">
        <v>514</v>
      </c>
      <c r="DW125" s="1239">
        <v>182239122.58000001</v>
      </c>
      <c r="DX125" s="1241">
        <v>967</v>
      </c>
      <c r="DY125" s="1239">
        <v>222768709.19</v>
      </c>
    </row>
    <row r="126" spans="124:129">
      <c r="DT126" s="1238">
        <v>46022</v>
      </c>
      <c r="DU126" s="1328" t="s">
        <v>899</v>
      </c>
      <c r="DV126" t="s">
        <v>515</v>
      </c>
      <c r="DW126" s="1239">
        <v>351862336.04000002</v>
      </c>
      <c r="DX126" s="1241">
        <v>1638</v>
      </c>
      <c r="DY126" s="1239">
        <v>409777046.63999999</v>
      </c>
    </row>
    <row r="127" spans="124:129">
      <c r="DT127" s="1238">
        <v>46022</v>
      </c>
      <c r="DU127" s="1328" t="s">
        <v>900</v>
      </c>
      <c r="DV127" t="s">
        <v>516</v>
      </c>
      <c r="DW127" s="1239">
        <v>30016673.059999999</v>
      </c>
      <c r="DX127" s="1241">
        <v>179</v>
      </c>
      <c r="DY127" s="1239">
        <v>34838345.299999997</v>
      </c>
    </row>
    <row r="128" spans="124:129">
      <c r="DT128" s="1238">
        <v>46022</v>
      </c>
      <c r="DU128" s="1328" t="s">
        <v>901</v>
      </c>
      <c r="DV128" t="s">
        <v>517</v>
      </c>
      <c r="DW128" s="1239">
        <v>3247905.07</v>
      </c>
      <c r="DX128" s="1241">
        <v>28</v>
      </c>
      <c r="DY128" s="1239">
        <v>4315648.33</v>
      </c>
    </row>
    <row r="129" spans="124:129">
      <c r="DT129" s="1238">
        <v>46022</v>
      </c>
      <c r="DU129" s="1328" t="s">
        <v>902</v>
      </c>
      <c r="DV129" t="s">
        <v>518</v>
      </c>
      <c r="DW129" s="1239">
        <v>26053624.690000001</v>
      </c>
      <c r="DX129" s="1241">
        <v>274</v>
      </c>
      <c r="DY129" s="1239">
        <v>38176495.130000003</v>
      </c>
    </row>
    <row r="130" spans="124:129">
      <c r="DT130" s="1238">
        <v>46022</v>
      </c>
      <c r="DU130" s="1328" t="s">
        <v>2082</v>
      </c>
      <c r="DV130" t="s">
        <v>2069</v>
      </c>
      <c r="DW130" s="1239">
        <v>0</v>
      </c>
      <c r="DX130" s="1241">
        <v>0</v>
      </c>
      <c r="DY130" s="1239">
        <v>0</v>
      </c>
    </row>
    <row r="131" spans="124:129">
      <c r="DT131" s="1238">
        <v>46022</v>
      </c>
      <c r="DU131" s="1328" t="s">
        <v>2083</v>
      </c>
      <c r="DV131" t="s">
        <v>2071</v>
      </c>
      <c r="DW131" s="1239">
        <v>21.51</v>
      </c>
      <c r="DX131" s="1241">
        <v>0</v>
      </c>
      <c r="DY131" s="1239">
        <v>0</v>
      </c>
    </row>
    <row r="132" spans="124:129">
      <c r="DT132" s="1238">
        <v>46022</v>
      </c>
      <c r="DU132" s="1328" t="s">
        <v>2084</v>
      </c>
      <c r="DV132" t="s">
        <v>432</v>
      </c>
      <c r="DW132" s="1239">
        <v>32.83</v>
      </c>
      <c r="DX132" s="1241">
        <v>0</v>
      </c>
      <c r="DY132" s="1239">
        <v>0</v>
      </c>
    </row>
    <row r="133" spans="124:129">
      <c r="DT133" s="1238">
        <v>46022</v>
      </c>
      <c r="DU133" s="1328" t="s">
        <v>903</v>
      </c>
      <c r="DV133" t="s">
        <v>520</v>
      </c>
      <c r="DW133" s="1239">
        <v>7657094.6399999997</v>
      </c>
      <c r="DX133" s="1241">
        <v>909</v>
      </c>
      <c r="DY133" s="1239">
        <v>124108387.02</v>
      </c>
    </row>
    <row r="134" spans="124:129">
      <c r="DT134" s="1238">
        <v>46022</v>
      </c>
      <c r="DU134" s="1328" t="s">
        <v>904</v>
      </c>
      <c r="DV134" t="s">
        <v>521</v>
      </c>
      <c r="DW134" s="1239">
        <v>26587906.300000001</v>
      </c>
      <c r="DX134" s="1241">
        <v>1384</v>
      </c>
      <c r="DY134" s="1239">
        <v>175331316.41999999</v>
      </c>
    </row>
    <row r="135" spans="124:129">
      <c r="DT135" s="1238">
        <v>46022</v>
      </c>
      <c r="DU135" s="1328" t="s">
        <v>905</v>
      </c>
      <c r="DV135" t="s">
        <v>522</v>
      </c>
      <c r="DW135" s="1239">
        <v>50509109.57</v>
      </c>
      <c r="DX135" s="1241">
        <v>1661</v>
      </c>
      <c r="DY135" s="1239">
        <v>216149120.97</v>
      </c>
    </row>
    <row r="136" spans="124:129">
      <c r="DT136" s="1238">
        <v>46022</v>
      </c>
      <c r="DU136" s="1328" t="s">
        <v>906</v>
      </c>
      <c r="DV136" t="s">
        <v>523</v>
      </c>
      <c r="DW136" s="1239">
        <v>79689449.019999996</v>
      </c>
      <c r="DX136" s="1241">
        <v>1880</v>
      </c>
      <c r="DY136" s="1239">
        <v>255332351.63</v>
      </c>
    </row>
    <row r="137" spans="124:129">
      <c r="DT137" s="1238">
        <v>46022</v>
      </c>
      <c r="DU137" s="1328" t="s">
        <v>907</v>
      </c>
      <c r="DV137" t="s">
        <v>524</v>
      </c>
      <c r="DW137" s="1239">
        <v>121332948.3</v>
      </c>
      <c r="DX137" s="1241">
        <v>2332</v>
      </c>
      <c r="DY137" s="1239">
        <v>326547054.06</v>
      </c>
    </row>
    <row r="138" spans="124:129">
      <c r="DT138" s="1238">
        <v>46022</v>
      </c>
      <c r="DU138" s="1328" t="s">
        <v>908</v>
      </c>
      <c r="DV138" t="s">
        <v>493</v>
      </c>
      <c r="DW138" s="1239">
        <v>168434817.91999999</v>
      </c>
      <c r="DX138" s="1241">
        <v>2694</v>
      </c>
      <c r="DY138" s="1239">
        <v>384522714.23000002</v>
      </c>
    </row>
    <row r="139" spans="124:129">
      <c r="DT139" s="1238">
        <v>46022</v>
      </c>
      <c r="DU139" s="1328" t="s">
        <v>909</v>
      </c>
      <c r="DV139" t="s">
        <v>494</v>
      </c>
      <c r="DW139" s="1239">
        <v>202783394.91</v>
      </c>
      <c r="DX139" s="1241">
        <v>2882</v>
      </c>
      <c r="DY139" s="1239">
        <v>411653790.89999998</v>
      </c>
    </row>
    <row r="140" spans="124:129">
      <c r="DT140" s="1238">
        <v>46022</v>
      </c>
      <c r="DU140" s="1328" t="s">
        <v>910</v>
      </c>
      <c r="DV140" t="s">
        <v>495</v>
      </c>
      <c r="DW140" s="1239">
        <v>254661611.71000001</v>
      </c>
      <c r="DX140" s="1241">
        <v>2982</v>
      </c>
      <c r="DY140" s="1239">
        <v>468052834.25999999</v>
      </c>
    </row>
    <row r="141" spans="124:129">
      <c r="DT141" s="1238">
        <v>46022</v>
      </c>
      <c r="DU141" s="1328" t="s">
        <v>911</v>
      </c>
      <c r="DV141" t="s">
        <v>496</v>
      </c>
      <c r="DW141" s="1239">
        <v>317036588.85000002</v>
      </c>
      <c r="DX141" s="1241">
        <v>3337</v>
      </c>
      <c r="DY141" s="1239">
        <v>528741404.67000002</v>
      </c>
    </row>
    <row r="142" spans="124:129">
      <c r="DT142" s="1238">
        <v>46022</v>
      </c>
      <c r="DU142" s="1328" t="s">
        <v>912</v>
      </c>
      <c r="DV142" t="s">
        <v>497</v>
      </c>
      <c r="DW142" s="1239">
        <v>383214195.94999999</v>
      </c>
      <c r="DX142" s="1241">
        <v>3627</v>
      </c>
      <c r="DY142" s="1239">
        <v>615070301.38999999</v>
      </c>
    </row>
    <row r="143" spans="124:129">
      <c r="DT143" s="1238">
        <v>46022</v>
      </c>
      <c r="DU143" s="1328" t="s">
        <v>913</v>
      </c>
      <c r="DV143" t="s">
        <v>498</v>
      </c>
      <c r="DW143" s="1239">
        <v>410949814.54000002</v>
      </c>
      <c r="DX143" s="1241">
        <v>3563</v>
      </c>
      <c r="DY143" s="1239">
        <v>629114480.70000005</v>
      </c>
    </row>
    <row r="144" spans="124:129">
      <c r="DT144" s="1238">
        <v>46022</v>
      </c>
      <c r="DU144" s="1328" t="s">
        <v>914</v>
      </c>
      <c r="DV144" t="s">
        <v>499</v>
      </c>
      <c r="DW144" s="1239">
        <v>473321968.76999998</v>
      </c>
      <c r="DX144" s="1241">
        <v>3668</v>
      </c>
      <c r="DY144" s="1239">
        <v>701712288.69000006</v>
      </c>
    </row>
    <row r="145" spans="124:129">
      <c r="DT145" s="1238">
        <v>46022</v>
      </c>
      <c r="DU145" s="1328" t="s">
        <v>1199</v>
      </c>
      <c r="DV145" t="s">
        <v>500</v>
      </c>
      <c r="DW145" s="1239">
        <v>484306048.68000001</v>
      </c>
      <c r="DX145" s="1241">
        <v>3439</v>
      </c>
      <c r="DY145" s="1239">
        <v>680291536.08000004</v>
      </c>
    </row>
    <row r="146" spans="124:129">
      <c r="DT146" s="1238">
        <v>46022</v>
      </c>
      <c r="DU146" s="1328" t="s">
        <v>1200</v>
      </c>
      <c r="DV146" t="s">
        <v>501</v>
      </c>
      <c r="DW146" s="1239">
        <v>578957530.61000001</v>
      </c>
      <c r="DX146" s="1241">
        <v>3862</v>
      </c>
      <c r="DY146" s="1239">
        <v>777944125.39999998</v>
      </c>
    </row>
    <row r="147" spans="124:129">
      <c r="DT147" s="1238">
        <v>46022</v>
      </c>
      <c r="DU147" s="1328" t="s">
        <v>1201</v>
      </c>
      <c r="DV147" t="s">
        <v>502</v>
      </c>
      <c r="DW147" s="1239">
        <v>636906988.5</v>
      </c>
      <c r="DX147" s="1241">
        <v>3832</v>
      </c>
      <c r="DY147" s="1239">
        <v>825740576.70000005</v>
      </c>
    </row>
    <row r="148" spans="124:129">
      <c r="DT148" s="1238">
        <v>46022</v>
      </c>
      <c r="DU148" s="1328" t="s">
        <v>1202</v>
      </c>
      <c r="DV148" t="s">
        <v>503</v>
      </c>
      <c r="DW148" s="1239">
        <v>673950207.28999996</v>
      </c>
      <c r="DX148" s="1241">
        <v>3823</v>
      </c>
      <c r="DY148" s="1239">
        <v>845247365.48000002</v>
      </c>
    </row>
    <row r="149" spans="124:129">
      <c r="DT149" s="1238">
        <v>46022</v>
      </c>
      <c r="DU149" s="1328" t="s">
        <v>1203</v>
      </c>
      <c r="DV149" t="s">
        <v>504</v>
      </c>
      <c r="DW149" s="1239">
        <v>715314999.16999996</v>
      </c>
      <c r="DX149" s="1241">
        <v>3874</v>
      </c>
      <c r="DY149" s="1239">
        <v>863082172.36000001</v>
      </c>
    </row>
    <row r="150" spans="124:129">
      <c r="DT150" s="1238">
        <v>46022</v>
      </c>
      <c r="DU150" s="1328" t="s">
        <v>1204</v>
      </c>
      <c r="DV150" t="s">
        <v>505</v>
      </c>
      <c r="DW150" s="1239">
        <v>632195622.79999995</v>
      </c>
      <c r="DX150" s="1241">
        <v>3388</v>
      </c>
      <c r="DY150" s="1239">
        <v>744377825.80999994</v>
      </c>
    </row>
    <row r="151" spans="124:129">
      <c r="DT151" s="1238">
        <v>46022</v>
      </c>
      <c r="DU151" s="1328" t="s">
        <v>1205</v>
      </c>
      <c r="DV151" t="s">
        <v>506</v>
      </c>
      <c r="DW151" s="1239">
        <v>737311880.84000003</v>
      </c>
      <c r="DX151" s="1241">
        <v>3831</v>
      </c>
      <c r="DY151" s="1239">
        <v>860375890.55999994</v>
      </c>
    </row>
    <row r="152" spans="124:129">
      <c r="DT152" s="1238">
        <v>46022</v>
      </c>
      <c r="DU152" s="1328" t="s">
        <v>1206</v>
      </c>
      <c r="DV152" t="s">
        <v>507</v>
      </c>
      <c r="DW152" s="1239">
        <v>673438263.70000005</v>
      </c>
      <c r="DX152" s="1241">
        <v>3282</v>
      </c>
      <c r="DY152" s="1239">
        <v>763938504.72000003</v>
      </c>
    </row>
    <row r="153" spans="124:129">
      <c r="DT153" s="1238">
        <v>46022</v>
      </c>
      <c r="DU153" s="1328" t="s">
        <v>1207</v>
      </c>
      <c r="DV153" s="1330" t="s">
        <v>508</v>
      </c>
      <c r="DW153" s="1239">
        <v>729684022.01999998</v>
      </c>
      <c r="DX153" s="1241">
        <v>3100</v>
      </c>
      <c r="DY153" s="1239">
        <v>849938715.75999999</v>
      </c>
    </row>
    <row r="154" spans="124:129">
      <c r="DT154" s="1238">
        <v>46022</v>
      </c>
      <c r="DU154" s="1328" t="s">
        <v>1208</v>
      </c>
      <c r="DV154" s="1330" t="s">
        <v>509</v>
      </c>
      <c r="DW154" s="1239">
        <v>1067006049.25</v>
      </c>
      <c r="DX154" s="1241">
        <v>4040</v>
      </c>
      <c r="DY154" s="1239">
        <v>1192823306.22</v>
      </c>
    </row>
    <row r="155" spans="124:129">
      <c r="DT155" s="1238">
        <v>46022</v>
      </c>
      <c r="DU155" s="1328" t="s">
        <v>1209</v>
      </c>
      <c r="DV155" s="1330" t="s">
        <v>510</v>
      </c>
      <c r="DW155" s="1239">
        <v>611314272.63</v>
      </c>
      <c r="DX155" s="1241">
        <v>2627</v>
      </c>
      <c r="DY155" s="1239">
        <v>660841241.00999999</v>
      </c>
    </row>
    <row r="156" spans="124:129">
      <c r="DT156" s="1238">
        <v>46022</v>
      </c>
      <c r="DU156" s="1328" t="s">
        <v>1210</v>
      </c>
      <c r="DV156" s="1330" t="s">
        <v>511</v>
      </c>
      <c r="DW156" s="1239">
        <v>573761352.72000003</v>
      </c>
      <c r="DX156" s="1241">
        <v>2499</v>
      </c>
      <c r="DY156" s="1239">
        <v>598848639.03999996</v>
      </c>
    </row>
    <row r="157" spans="124:129">
      <c r="DT157" s="1238">
        <v>46022</v>
      </c>
      <c r="DU157" s="1328" t="s">
        <v>1211</v>
      </c>
      <c r="DV157" s="1330" t="s">
        <v>512</v>
      </c>
      <c r="DW157" s="1239">
        <v>702157905.87</v>
      </c>
      <c r="DX157" s="1241">
        <v>2649</v>
      </c>
      <c r="DY157" s="1239">
        <v>715718319.13</v>
      </c>
    </row>
    <row r="158" spans="124:129">
      <c r="DT158" s="1238">
        <v>46022</v>
      </c>
      <c r="DU158" s="1328" t="s">
        <v>1212</v>
      </c>
      <c r="DV158" s="1330" t="s">
        <v>1213</v>
      </c>
      <c r="DW158" s="1239">
        <v>1736506.03</v>
      </c>
      <c r="DX158" s="1241">
        <v>6</v>
      </c>
      <c r="DY158" s="1239">
        <v>1774000</v>
      </c>
    </row>
    <row r="159" spans="124:129">
      <c r="DT159" s="1238">
        <v>46022</v>
      </c>
      <c r="DU159" s="1328" t="s">
        <v>2085</v>
      </c>
      <c r="DV159" s="1330" t="s">
        <v>2069</v>
      </c>
      <c r="DW159" s="1239">
        <v>-0.5</v>
      </c>
      <c r="DX159" s="1241">
        <v>0</v>
      </c>
      <c r="DY159" s="1239">
        <v>0</v>
      </c>
    </row>
    <row r="160" spans="124:129">
      <c r="DT160" s="1238">
        <v>46022</v>
      </c>
      <c r="DU160" s="1328" t="s">
        <v>2086</v>
      </c>
      <c r="DV160" s="1330" t="s">
        <v>2071</v>
      </c>
      <c r="DW160" s="1239">
        <v>16.559999999999999</v>
      </c>
      <c r="DX160" s="1241">
        <v>0</v>
      </c>
      <c r="DY160" s="1239">
        <v>0</v>
      </c>
    </row>
    <row r="161" spans="124:129">
      <c r="DT161" s="1238">
        <v>46022</v>
      </c>
      <c r="DU161" s="1328" t="s">
        <v>2087</v>
      </c>
      <c r="DV161" s="1330" t="s">
        <v>432</v>
      </c>
      <c r="DW161" s="1239">
        <v>25.67</v>
      </c>
      <c r="DX161" s="1241">
        <v>0</v>
      </c>
      <c r="DY161" s="1239">
        <v>0</v>
      </c>
    </row>
    <row r="162" spans="124:129">
      <c r="DT162" s="1238">
        <v>46022</v>
      </c>
      <c r="DU162" s="1328" t="s">
        <v>915</v>
      </c>
      <c r="DV162" s="1330">
        <v>2010</v>
      </c>
      <c r="DW162" s="1239">
        <v>90416927.609999999</v>
      </c>
      <c r="DX162" s="1241">
        <v>1694</v>
      </c>
      <c r="DY162" s="1239">
        <v>232501049.96000001</v>
      </c>
    </row>
    <row r="163" spans="124:129">
      <c r="DT163" s="1238">
        <v>46022</v>
      </c>
      <c r="DU163" s="1328" t="s">
        <v>916</v>
      </c>
      <c r="DV163" s="1330">
        <v>2011</v>
      </c>
      <c r="DW163" s="1239">
        <v>79362486.200000003</v>
      </c>
      <c r="DX163" s="1241">
        <v>1512</v>
      </c>
      <c r="DY163" s="1239">
        <v>183664397.61000001</v>
      </c>
    </row>
    <row r="164" spans="124:129">
      <c r="DT164" s="1238">
        <v>46022</v>
      </c>
      <c r="DU164" s="1328" t="s">
        <v>1214</v>
      </c>
      <c r="DV164" s="1330">
        <v>2012</v>
      </c>
      <c r="DW164" s="1239">
        <v>93766550.780000001</v>
      </c>
      <c r="DX164" s="1241">
        <v>1778</v>
      </c>
      <c r="DY164" s="1239">
        <v>221468778.56999999</v>
      </c>
    </row>
    <row r="165" spans="124:129">
      <c r="DT165" s="1238">
        <v>46022</v>
      </c>
      <c r="DU165" s="1328" t="s">
        <v>1215</v>
      </c>
      <c r="DV165">
        <v>2013</v>
      </c>
      <c r="DW165" s="1239">
        <v>97632966.870000005</v>
      </c>
      <c r="DX165" s="1241">
        <v>1631</v>
      </c>
      <c r="DY165" s="1239">
        <v>245331571.81999999</v>
      </c>
    </row>
    <row r="166" spans="124:129">
      <c r="DT166" s="1238">
        <v>46022</v>
      </c>
      <c r="DU166" s="1328" t="s">
        <v>1216</v>
      </c>
      <c r="DV166">
        <v>2014</v>
      </c>
      <c r="DW166" s="1239">
        <v>137217175.34999999</v>
      </c>
      <c r="DX166" s="1241">
        <v>2095</v>
      </c>
      <c r="DY166" s="1239">
        <v>316901477.95999998</v>
      </c>
    </row>
    <row r="167" spans="124:129">
      <c r="DT167" s="1238">
        <v>46022</v>
      </c>
      <c r="DU167" s="1328" t="s">
        <v>1217</v>
      </c>
      <c r="DV167">
        <v>2015</v>
      </c>
      <c r="DW167" s="1239">
        <v>320994861.30000001</v>
      </c>
      <c r="DX167" s="1241">
        <v>4017</v>
      </c>
      <c r="DY167" s="1239">
        <v>666424429.40999997</v>
      </c>
    </row>
    <row r="168" spans="124:129">
      <c r="DT168" s="1238">
        <v>46022</v>
      </c>
      <c r="DU168" s="1328" t="s">
        <v>1218</v>
      </c>
      <c r="DV168">
        <v>2016</v>
      </c>
      <c r="DW168" s="1239">
        <v>346814467.51999998</v>
      </c>
      <c r="DX168" s="1241">
        <v>4082</v>
      </c>
      <c r="DY168" s="1239">
        <v>667958516.52999997</v>
      </c>
    </row>
    <row r="169" spans="124:129">
      <c r="DT169" s="1238">
        <v>46022</v>
      </c>
      <c r="DU169" s="1328" t="s">
        <v>1219</v>
      </c>
      <c r="DV169">
        <v>2017</v>
      </c>
      <c r="DW169" s="1239">
        <v>578857519.19000006</v>
      </c>
      <c r="DX169" s="1241">
        <v>5639</v>
      </c>
      <c r="DY169" s="1239">
        <v>1010779792.9400001</v>
      </c>
    </row>
    <row r="170" spans="124:129">
      <c r="DT170" s="1238">
        <v>46022</v>
      </c>
      <c r="DU170" s="1328" t="s">
        <v>1220</v>
      </c>
      <c r="DV170">
        <v>2018</v>
      </c>
      <c r="DW170" s="1239">
        <v>671914311.85000002</v>
      </c>
      <c r="DX170" s="1241">
        <v>5569</v>
      </c>
      <c r="DY170" s="1239">
        <v>1050244984.77</v>
      </c>
    </row>
    <row r="171" spans="124:129">
      <c r="DT171" s="1238">
        <v>46022</v>
      </c>
      <c r="DU171" s="1328" t="s">
        <v>1221</v>
      </c>
      <c r="DV171">
        <v>2019</v>
      </c>
      <c r="DW171" s="1239">
        <v>1172552377.75</v>
      </c>
      <c r="DX171" s="1241">
        <v>8076</v>
      </c>
      <c r="DY171" s="1239">
        <v>1661938926.45</v>
      </c>
    </row>
    <row r="172" spans="124:129">
      <c r="DT172" s="1238">
        <v>46022</v>
      </c>
      <c r="DU172" s="1328" t="s">
        <v>1222</v>
      </c>
      <c r="DV172">
        <v>2020</v>
      </c>
      <c r="DW172" s="1239">
        <v>1119561437.8299999</v>
      </c>
      <c r="DX172" s="1241">
        <v>6796</v>
      </c>
      <c r="DY172" s="1239">
        <v>1483978401.8399999</v>
      </c>
    </row>
    <row r="173" spans="124:129">
      <c r="DT173" s="1238">
        <v>46022</v>
      </c>
      <c r="DU173" s="1328" t="s">
        <v>1223</v>
      </c>
      <c r="DV173">
        <v>2021</v>
      </c>
      <c r="DW173" s="1239">
        <v>1961235320.8</v>
      </c>
      <c r="DX173" s="1241">
        <v>9820</v>
      </c>
      <c r="DY173" s="1239">
        <v>2390639969.1399999</v>
      </c>
    </row>
    <row r="174" spans="124:129">
      <c r="DT174" s="1238">
        <v>46022</v>
      </c>
      <c r="DU174" s="1328" t="s">
        <v>1224</v>
      </c>
      <c r="DV174">
        <v>2022</v>
      </c>
      <c r="DW174" s="1239">
        <v>2092301189.97</v>
      </c>
      <c r="DX174" s="1241">
        <v>9680</v>
      </c>
      <c r="DY174" s="1239">
        <v>2388998100.1100001</v>
      </c>
    </row>
    <row r="175" spans="124:129">
      <c r="DT175" s="1238">
        <v>46022</v>
      </c>
      <c r="DU175" s="1328" t="s">
        <v>1281</v>
      </c>
      <c r="DV175">
        <v>2023</v>
      </c>
      <c r="DW175" s="1239">
        <v>750522811.59000003</v>
      </c>
      <c r="DX175" s="1241">
        <v>4189</v>
      </c>
      <c r="DY175" s="1239">
        <v>828954262.98000002</v>
      </c>
    </row>
    <row r="176" spans="124:129">
      <c r="DT176" s="1238">
        <v>46022</v>
      </c>
      <c r="DU176" s="1328" t="s">
        <v>1282</v>
      </c>
      <c r="DV176">
        <v>2024</v>
      </c>
      <c r="DW176" s="1239">
        <v>805052915.58000004</v>
      </c>
      <c r="DX176" s="1241">
        <v>4352</v>
      </c>
      <c r="DY176" s="1239">
        <v>850418918.76999998</v>
      </c>
    </row>
    <row r="177" spans="124:129">
      <c r="DT177" s="1238">
        <v>46022</v>
      </c>
      <c r="DU177" s="1328" t="s">
        <v>2052</v>
      </c>
      <c r="DV177">
        <v>2025</v>
      </c>
      <c r="DW177" s="1239">
        <v>996017230.39999998</v>
      </c>
      <c r="DX177" s="1241">
        <v>4241</v>
      </c>
      <c r="DY177" s="1239">
        <v>1017074684.35</v>
      </c>
    </row>
    <row r="178" spans="124:129">
      <c r="DT178" s="1238">
        <v>46022</v>
      </c>
      <c r="DU178" s="1328" t="s">
        <v>917</v>
      </c>
      <c r="DV178" t="s">
        <v>148</v>
      </c>
      <c r="DW178" s="1239">
        <v>11314220550.59</v>
      </c>
      <c r="DX178" s="1241">
        <v>75171</v>
      </c>
      <c r="DY178" s="1239">
        <v>15217278263.209999</v>
      </c>
    </row>
    <row r="179" spans="124:129">
      <c r="DT179" s="1238">
        <v>46022</v>
      </c>
      <c r="DU179" s="1328" t="s">
        <v>918</v>
      </c>
      <c r="DV179" t="s">
        <v>1118</v>
      </c>
      <c r="DW179" s="1239">
        <v>2788946456.54</v>
      </c>
      <c r="DX179" s="1241">
        <v>18945</v>
      </c>
      <c r="DY179" s="1239">
        <v>3947678191.9699998</v>
      </c>
    </row>
    <row r="180" spans="124:129">
      <c r="DT180" s="1238">
        <v>46022</v>
      </c>
      <c r="DU180" s="1328" t="s">
        <v>919</v>
      </c>
      <c r="DV180" t="s">
        <v>1119</v>
      </c>
      <c r="DW180" s="1239">
        <v>3822329882.0900002</v>
      </c>
      <c r="DX180" s="1241">
        <v>24016</v>
      </c>
      <c r="DY180" s="1239">
        <v>5244475676.4399996</v>
      </c>
    </row>
    <row r="181" spans="124:129">
      <c r="DT181" s="1238">
        <v>46022</v>
      </c>
      <c r="DU181" s="1328" t="s">
        <v>920</v>
      </c>
      <c r="DV181" t="s">
        <v>1120</v>
      </c>
      <c r="DW181" s="1239">
        <v>1641959501.6800001</v>
      </c>
      <c r="DX181" s="1241">
        <v>12822</v>
      </c>
      <c r="DY181" s="1239">
        <v>2400398859.79</v>
      </c>
    </row>
    <row r="182" spans="124:129">
      <c r="DT182" s="1238">
        <v>46022</v>
      </c>
      <c r="DU182" s="1328" t="s">
        <v>921</v>
      </c>
      <c r="DV182" t="s">
        <v>1121</v>
      </c>
      <c r="DW182" s="1239">
        <v>652882196.66999996</v>
      </c>
      <c r="DX182" s="1241">
        <v>5499</v>
      </c>
      <c r="DY182" s="1239">
        <v>923313080.32000005</v>
      </c>
    </row>
    <row r="183" spans="124:129">
      <c r="DT183" s="1238">
        <v>46022</v>
      </c>
      <c r="DU183" s="1328" t="s">
        <v>922</v>
      </c>
      <c r="DV183" t="s">
        <v>1122</v>
      </c>
      <c r="DW183" s="1239">
        <v>860531674.54999995</v>
      </c>
      <c r="DX183" s="1241">
        <v>4910</v>
      </c>
      <c r="DY183" s="1239">
        <v>992962794.67999995</v>
      </c>
    </row>
    <row r="184" spans="124:129">
      <c r="DT184" s="1238">
        <v>46022</v>
      </c>
      <c r="DU184" s="1328" t="s">
        <v>923</v>
      </c>
      <c r="DV184" t="s">
        <v>1123</v>
      </c>
      <c r="DW184" s="1239">
        <v>765046091.37</v>
      </c>
      <c r="DX184" s="1241">
        <v>4209</v>
      </c>
      <c r="DY184" s="1239">
        <v>842906223.00999999</v>
      </c>
    </row>
    <row r="185" spans="124:129">
      <c r="DT185" s="1238">
        <v>46022</v>
      </c>
      <c r="DU185" s="1328" t="s">
        <v>924</v>
      </c>
      <c r="DV185" t="s">
        <v>1124</v>
      </c>
      <c r="DW185" s="1239">
        <v>545220472.5</v>
      </c>
      <c r="DX185" s="1241">
        <v>3023</v>
      </c>
      <c r="DY185" s="1239">
        <v>601083042.29999995</v>
      </c>
    </row>
    <row r="186" spans="124:129">
      <c r="DT186" s="1238">
        <v>46022</v>
      </c>
      <c r="DU186" s="1328" t="s">
        <v>925</v>
      </c>
      <c r="DV186" t="s">
        <v>1125</v>
      </c>
      <c r="DW186" s="1239">
        <v>187342237.06</v>
      </c>
      <c r="DX186" s="1241">
        <v>1355</v>
      </c>
      <c r="DY186" s="1239">
        <v>209616018.93000001</v>
      </c>
    </row>
    <row r="187" spans="124:129">
      <c r="DT187" s="1238">
        <v>46022</v>
      </c>
      <c r="DU187" s="1328" t="s">
        <v>926</v>
      </c>
      <c r="DV187" t="s">
        <v>1126</v>
      </c>
      <c r="DW187" s="1239">
        <v>49523377.920000002</v>
      </c>
      <c r="DX187" s="1241">
        <v>386</v>
      </c>
      <c r="DY187" s="1239">
        <v>54390019.619999997</v>
      </c>
    </row>
    <row r="188" spans="124:129">
      <c r="DT188" s="1238">
        <v>46022</v>
      </c>
      <c r="DU188" s="1328" t="s">
        <v>927</v>
      </c>
      <c r="DV188" t="s">
        <v>1127</v>
      </c>
      <c r="DW188" s="1239">
        <v>438660.21</v>
      </c>
      <c r="DX188" s="1241">
        <v>6</v>
      </c>
      <c r="DY188" s="1239">
        <v>454356.15</v>
      </c>
    </row>
    <row r="189" spans="124:129">
      <c r="DT189" s="1238">
        <v>46022</v>
      </c>
      <c r="DU189" s="1328" t="s">
        <v>2088</v>
      </c>
      <c r="DV189" t="s">
        <v>2069</v>
      </c>
      <c r="DW189" s="1239">
        <v>0</v>
      </c>
      <c r="DX189" s="1241">
        <v>0</v>
      </c>
      <c r="DY189" s="1239">
        <v>0</v>
      </c>
    </row>
    <row r="190" spans="124:129">
      <c r="DT190" s="1238">
        <v>46022</v>
      </c>
      <c r="DU190" s="1328" t="s">
        <v>2089</v>
      </c>
      <c r="DV190" t="s">
        <v>2071</v>
      </c>
      <c r="DW190" s="1239">
        <v>1.68</v>
      </c>
      <c r="DX190" s="1241">
        <v>0</v>
      </c>
      <c r="DY190" s="1239">
        <v>0</v>
      </c>
    </row>
    <row r="191" spans="124:129">
      <c r="DT191" s="1238">
        <v>46022</v>
      </c>
      <c r="DU191" s="1328" t="s">
        <v>2090</v>
      </c>
      <c r="DV191" t="s">
        <v>432</v>
      </c>
      <c r="DW191" s="1239">
        <v>5.0999999999999996</v>
      </c>
      <c r="DX191" s="1241">
        <v>0</v>
      </c>
      <c r="DY191" s="1239">
        <v>0</v>
      </c>
    </row>
    <row r="192" spans="124:129">
      <c r="DT192" s="1238">
        <v>46022</v>
      </c>
      <c r="DU192" s="1328" t="s">
        <v>928</v>
      </c>
      <c r="DV192" t="s">
        <v>1225</v>
      </c>
      <c r="DW192" s="1239">
        <v>56796496.799999997</v>
      </c>
      <c r="DX192" s="1241">
        <v>659</v>
      </c>
      <c r="DY192" s="1239">
        <v>88081721.019999996</v>
      </c>
    </row>
    <row r="193" spans="124:129">
      <c r="DT193" s="1238">
        <v>46022</v>
      </c>
      <c r="DU193" s="1328" t="s">
        <v>929</v>
      </c>
      <c r="DV193" t="s">
        <v>1226</v>
      </c>
      <c r="DW193" s="1239">
        <v>174620258.38</v>
      </c>
      <c r="DX193" s="1241">
        <v>1655</v>
      </c>
      <c r="DY193" s="1239">
        <v>260109680.83000001</v>
      </c>
    </row>
    <row r="194" spans="124:129">
      <c r="DT194" s="1238">
        <v>46022</v>
      </c>
      <c r="DU194" s="1328" t="s">
        <v>930</v>
      </c>
      <c r="DV194" t="s">
        <v>1227</v>
      </c>
      <c r="DW194" s="1239">
        <v>442390067.38999999</v>
      </c>
      <c r="DX194" s="1241">
        <v>3775</v>
      </c>
      <c r="DY194" s="1239">
        <v>633146951.39999998</v>
      </c>
    </row>
    <row r="195" spans="124:129">
      <c r="DT195" s="1238">
        <v>46022</v>
      </c>
      <c r="DU195" s="1328" t="s">
        <v>931</v>
      </c>
      <c r="DV195" t="s">
        <v>1228</v>
      </c>
      <c r="DW195" s="1239">
        <v>1061839516.13</v>
      </c>
      <c r="DX195" s="1241">
        <v>8417</v>
      </c>
      <c r="DY195" s="1239">
        <v>1466085541.46</v>
      </c>
    </row>
    <row r="196" spans="124:129">
      <c r="DT196" s="1238">
        <v>46022</v>
      </c>
      <c r="DU196" s="1328" t="s">
        <v>1229</v>
      </c>
      <c r="DV196" t="s">
        <v>1230</v>
      </c>
      <c r="DW196" s="1239">
        <v>2109506021.0699999</v>
      </c>
      <c r="DX196" s="1241">
        <v>15038</v>
      </c>
      <c r="DY196" s="1239">
        <v>2804388385.4899998</v>
      </c>
    </row>
    <row r="197" spans="124:129">
      <c r="DT197" s="1238">
        <v>46022</v>
      </c>
      <c r="DU197" s="1328" t="s">
        <v>1231</v>
      </c>
      <c r="DV197" t="s">
        <v>1232</v>
      </c>
      <c r="DW197" s="1239">
        <v>3999880787.4099998</v>
      </c>
      <c r="DX197" s="1241">
        <v>24475</v>
      </c>
      <c r="DY197" s="1239">
        <v>5002287576.0100002</v>
      </c>
    </row>
    <row r="198" spans="124:129">
      <c r="DT198" s="1238">
        <v>46022</v>
      </c>
      <c r="DU198" s="1328" t="s">
        <v>1233</v>
      </c>
      <c r="DV198" t="s">
        <v>1234</v>
      </c>
      <c r="DW198" s="1239">
        <v>1747776952.24</v>
      </c>
      <c r="DX198" s="1241">
        <v>10822</v>
      </c>
      <c r="DY198" s="1239">
        <v>2397667930.4099998</v>
      </c>
    </row>
    <row r="199" spans="124:129">
      <c r="DT199" s="1238">
        <v>46022</v>
      </c>
      <c r="DU199" s="1328" t="s">
        <v>1235</v>
      </c>
      <c r="DV199" t="s">
        <v>1236</v>
      </c>
      <c r="DW199" s="1239">
        <v>874962384.67999995</v>
      </c>
      <c r="DX199" s="1241">
        <v>5022</v>
      </c>
      <c r="DY199" s="1239">
        <v>1254879179.5799999</v>
      </c>
    </row>
    <row r="200" spans="124:129">
      <c r="DT200" s="1238">
        <v>46022</v>
      </c>
      <c r="DU200" s="1328" t="s">
        <v>1237</v>
      </c>
      <c r="DV200" t="s">
        <v>1238</v>
      </c>
      <c r="DW200" s="1239">
        <v>477439309.13</v>
      </c>
      <c r="DX200" s="1241">
        <v>2938</v>
      </c>
      <c r="DY200" s="1239">
        <v>726488287.88</v>
      </c>
    </row>
    <row r="201" spans="124:129">
      <c r="DT201" s="1238">
        <v>46022</v>
      </c>
      <c r="DU201" s="1328" t="s">
        <v>1239</v>
      </c>
      <c r="DV201" t="s">
        <v>1240</v>
      </c>
      <c r="DW201" s="1239">
        <v>224546483.38</v>
      </c>
      <c r="DX201" s="1241">
        <v>1417</v>
      </c>
      <c r="DY201" s="1239">
        <v>351972636.25</v>
      </c>
    </row>
    <row r="202" spans="124:129">
      <c r="DT202" s="1238">
        <v>46022</v>
      </c>
      <c r="DU202" s="1328" t="s">
        <v>1241</v>
      </c>
      <c r="DV202" t="s">
        <v>1242</v>
      </c>
      <c r="DW202" s="1239">
        <v>144462273.97999999</v>
      </c>
      <c r="DX202" s="1241">
        <v>953</v>
      </c>
      <c r="DY202" s="1239">
        <v>232170372.88</v>
      </c>
    </row>
    <row r="203" spans="124:129">
      <c r="DT203" s="1238">
        <v>46022</v>
      </c>
      <c r="DU203" s="1328" t="s">
        <v>2091</v>
      </c>
      <c r="DV203" t="s">
        <v>2069</v>
      </c>
      <c r="DW203" s="1239">
        <v>0.34</v>
      </c>
      <c r="DX203" s="1241">
        <v>0</v>
      </c>
      <c r="DY203" s="1239">
        <v>0</v>
      </c>
    </row>
    <row r="204" spans="124:129">
      <c r="DT204" s="1238">
        <v>46022</v>
      </c>
      <c r="DU204" s="1328" t="s">
        <v>2092</v>
      </c>
      <c r="DV204" t="s">
        <v>2071</v>
      </c>
      <c r="DW204" s="1239">
        <v>32.700000000000003</v>
      </c>
      <c r="DX204" s="1241">
        <v>0</v>
      </c>
      <c r="DY204" s="1239">
        <v>0</v>
      </c>
    </row>
    <row r="205" spans="124:129">
      <c r="DT205" s="1238">
        <v>46022</v>
      </c>
      <c r="DU205" s="1328" t="s">
        <v>2093</v>
      </c>
      <c r="DV205" t="s">
        <v>432</v>
      </c>
      <c r="DW205" s="1239">
        <v>59.99</v>
      </c>
      <c r="DX205" s="1241">
        <v>0</v>
      </c>
      <c r="DY205" s="1239">
        <v>0</v>
      </c>
    </row>
    <row r="206" spans="124:129">
      <c r="DT206" s="1238">
        <v>46022</v>
      </c>
      <c r="DU206" s="1328" t="s">
        <v>932</v>
      </c>
      <c r="DV206" t="s">
        <v>530</v>
      </c>
      <c r="DW206" s="1239">
        <v>4273811381.96</v>
      </c>
      <c r="DX206" s="1241">
        <v>23829</v>
      </c>
      <c r="DY206" s="1239">
        <v>5774718646.4300003</v>
      </c>
    </row>
    <row r="207" spans="124:129">
      <c r="DT207" s="1238">
        <v>46022</v>
      </c>
      <c r="DU207" s="1328" t="s">
        <v>933</v>
      </c>
      <c r="DV207" t="s">
        <v>531</v>
      </c>
      <c r="DW207" s="1239">
        <v>338726016.22000003</v>
      </c>
      <c r="DX207" s="1241">
        <v>2908</v>
      </c>
      <c r="DY207" s="1239">
        <v>477268078.57999998</v>
      </c>
    </row>
    <row r="208" spans="124:129">
      <c r="DT208" s="1238">
        <v>46022</v>
      </c>
      <c r="DU208" s="1328" t="s">
        <v>934</v>
      </c>
      <c r="DV208" t="s">
        <v>532</v>
      </c>
      <c r="DW208" s="1239">
        <v>1336794404.5</v>
      </c>
      <c r="DX208" s="1241">
        <v>10573</v>
      </c>
      <c r="DY208" s="1239">
        <v>1830878250.75</v>
      </c>
    </row>
    <row r="209" spans="124:129">
      <c r="DT209" s="1238">
        <v>46022</v>
      </c>
      <c r="DU209" s="1328" t="s">
        <v>935</v>
      </c>
      <c r="DV209" t="s">
        <v>533</v>
      </c>
      <c r="DW209" s="1239">
        <v>491797943.69</v>
      </c>
      <c r="DX209" s="1241">
        <v>4103</v>
      </c>
      <c r="DY209" s="1239">
        <v>655969866.07000005</v>
      </c>
    </row>
    <row r="210" spans="124:129">
      <c r="DT210" s="1238">
        <v>46022</v>
      </c>
      <c r="DU210" s="1328" t="s">
        <v>936</v>
      </c>
      <c r="DV210" t="s">
        <v>534</v>
      </c>
      <c r="DW210" s="1239">
        <v>144138523.94</v>
      </c>
      <c r="DX210" s="1241">
        <v>1334</v>
      </c>
      <c r="DY210" s="1239">
        <v>194984131.46000001</v>
      </c>
    </row>
    <row r="211" spans="124:129">
      <c r="DT211" s="1238">
        <v>46022</v>
      </c>
      <c r="DU211" s="1328" t="s">
        <v>937</v>
      </c>
      <c r="DV211" t="s">
        <v>535</v>
      </c>
      <c r="DW211" s="1239">
        <v>365035449.76999998</v>
      </c>
      <c r="DX211" s="1241">
        <v>2795</v>
      </c>
      <c r="DY211" s="1239">
        <v>483916464.75</v>
      </c>
    </row>
    <row r="212" spans="124:129">
      <c r="DT212" s="1238">
        <v>46022</v>
      </c>
      <c r="DU212" s="1328" t="s">
        <v>938</v>
      </c>
      <c r="DV212" t="s">
        <v>536</v>
      </c>
      <c r="DW212" s="1239">
        <v>287925662.74000001</v>
      </c>
      <c r="DX212" s="1241">
        <v>2027</v>
      </c>
      <c r="DY212" s="1239">
        <v>370924430.12</v>
      </c>
    </row>
    <row r="213" spans="124:129">
      <c r="DT213" s="1238">
        <v>46022</v>
      </c>
      <c r="DU213" s="1328" t="s">
        <v>939</v>
      </c>
      <c r="DV213" t="s">
        <v>537</v>
      </c>
      <c r="DW213" s="1239">
        <v>811473321.12</v>
      </c>
      <c r="DX213" s="1241">
        <v>5588</v>
      </c>
      <c r="DY213" s="1239">
        <v>1069441052.05</v>
      </c>
    </row>
    <row r="214" spans="124:129">
      <c r="DT214" s="1238">
        <v>46022</v>
      </c>
      <c r="DU214" s="1328" t="s">
        <v>940</v>
      </c>
      <c r="DV214" t="s">
        <v>538</v>
      </c>
      <c r="DW214" s="1239">
        <v>1085812776.8599999</v>
      </c>
      <c r="DX214" s="1241">
        <v>7064</v>
      </c>
      <c r="DY214" s="1239">
        <v>1449643653.01</v>
      </c>
    </row>
    <row r="215" spans="124:129">
      <c r="DT215" s="1238">
        <v>46022</v>
      </c>
      <c r="DU215" s="1328" t="s">
        <v>941</v>
      </c>
      <c r="DV215" t="s">
        <v>539</v>
      </c>
      <c r="DW215" s="1239">
        <v>1226217868.1400001</v>
      </c>
      <c r="DX215" s="1241">
        <v>7346</v>
      </c>
      <c r="DY215" s="1239">
        <v>1620368177.0899999</v>
      </c>
    </row>
    <row r="216" spans="124:129">
      <c r="DT216" s="1238">
        <v>46022</v>
      </c>
      <c r="DU216" s="1328" t="s">
        <v>942</v>
      </c>
      <c r="DV216" t="s">
        <v>540</v>
      </c>
      <c r="DW216" s="1239">
        <v>89485061.430000007</v>
      </c>
      <c r="DX216" s="1241">
        <v>588</v>
      </c>
      <c r="DY216" s="1239">
        <v>124436199.47</v>
      </c>
    </row>
    <row r="217" spans="124:129">
      <c r="DT217" s="1238">
        <v>46022</v>
      </c>
      <c r="DU217" s="1328" t="s">
        <v>943</v>
      </c>
      <c r="DV217" t="s">
        <v>541</v>
      </c>
      <c r="DW217" s="1239">
        <v>168334613.38</v>
      </c>
      <c r="DX217" s="1241">
        <v>1598</v>
      </c>
      <c r="DY217" s="1239">
        <v>229443441.59</v>
      </c>
    </row>
    <row r="218" spans="124:129">
      <c r="DT218" s="1238">
        <v>46022</v>
      </c>
      <c r="DU218" s="1328" t="s">
        <v>944</v>
      </c>
      <c r="DV218" t="s">
        <v>542</v>
      </c>
      <c r="DW218" s="1239">
        <v>694667526.84000003</v>
      </c>
      <c r="DX218" s="1241">
        <v>5418</v>
      </c>
      <c r="DY218" s="1239">
        <v>935285871.84000003</v>
      </c>
    </row>
    <row r="219" spans="124:129">
      <c r="DT219" s="1238">
        <v>46022</v>
      </c>
      <c r="DU219" s="1328" t="s">
        <v>945</v>
      </c>
      <c r="DV219" t="s">
        <v>544</v>
      </c>
      <c r="DW219" s="1239">
        <v>2013907945.25</v>
      </c>
      <c r="DX219" s="1241">
        <v>15525</v>
      </c>
      <c r="DY219" s="1239">
        <v>2864744983.7199998</v>
      </c>
    </row>
    <row r="220" spans="124:129">
      <c r="DT220" s="1238">
        <v>46022</v>
      </c>
      <c r="DU220" s="1328" t="s">
        <v>946</v>
      </c>
      <c r="DV220" t="s">
        <v>545</v>
      </c>
      <c r="DW220" s="1239">
        <v>1413224842.5599999</v>
      </c>
      <c r="DX220" s="1241">
        <v>10581</v>
      </c>
      <c r="DY220" s="1239">
        <v>2070377248.3800001</v>
      </c>
    </row>
    <row r="221" spans="124:129">
      <c r="DT221" s="1238">
        <v>46022</v>
      </c>
      <c r="DU221" s="1328" t="s">
        <v>947</v>
      </c>
      <c r="DV221" t="s">
        <v>546</v>
      </c>
      <c r="DW221" s="1239">
        <v>7887087762.7799997</v>
      </c>
      <c r="DX221" s="1241">
        <v>49065</v>
      </c>
      <c r="DY221" s="1239">
        <v>10282156031.110001</v>
      </c>
    </row>
    <row r="222" spans="124:129">
      <c r="DT222" s="1238">
        <v>46022</v>
      </c>
      <c r="DU222" s="1328" t="s">
        <v>948</v>
      </c>
      <c r="DV222" t="s">
        <v>1243</v>
      </c>
      <c r="DW222" s="1239">
        <v>1202499157.6600001</v>
      </c>
      <c r="DX222" s="1241">
        <v>8689</v>
      </c>
      <c r="DY222" s="1239">
        <v>1813888085.5599999</v>
      </c>
    </row>
    <row r="223" spans="124:129">
      <c r="DT223" s="1238">
        <v>46022</v>
      </c>
      <c r="DU223" s="1328" t="s">
        <v>949</v>
      </c>
      <c r="DV223" t="s">
        <v>547</v>
      </c>
      <c r="DW223" s="1239">
        <v>10111721392.93</v>
      </c>
      <c r="DX223" s="1241">
        <v>66482</v>
      </c>
      <c r="DY223" s="1239">
        <v>13403390177.65</v>
      </c>
    </row>
    <row r="224" spans="124:129">
      <c r="DT224" s="1238">
        <v>46022</v>
      </c>
      <c r="DU224" s="1328" t="s">
        <v>1244</v>
      </c>
      <c r="DV224" t="s">
        <v>549</v>
      </c>
      <c r="DW224" s="1239">
        <v>2503654.71</v>
      </c>
      <c r="DX224" s="1241">
        <v>2</v>
      </c>
      <c r="DY224" s="1239">
        <v>2700000</v>
      </c>
    </row>
    <row r="225" spans="124:129">
      <c r="DT225" s="1238">
        <v>46022</v>
      </c>
      <c r="DU225" s="1328" t="s">
        <v>1245</v>
      </c>
      <c r="DV225" t="s">
        <v>550</v>
      </c>
      <c r="DW225" s="1239">
        <v>2379118.71</v>
      </c>
      <c r="DX225" s="1241">
        <v>1</v>
      </c>
      <c r="DY225" s="1239">
        <v>2697000</v>
      </c>
    </row>
    <row r="226" spans="124:129">
      <c r="DT226" s="1238">
        <v>46022</v>
      </c>
      <c r="DU226" s="1328" t="s">
        <v>1246</v>
      </c>
      <c r="DV226" t="s">
        <v>551</v>
      </c>
      <c r="DW226" s="1239">
        <v>2349925.7799999998</v>
      </c>
      <c r="DX226" s="1241">
        <v>1</v>
      </c>
      <c r="DY226" s="1239">
        <v>2350000</v>
      </c>
    </row>
    <row r="227" spans="124:129">
      <c r="DT227" s="1238">
        <v>46022</v>
      </c>
      <c r="DU227" s="1328" t="s">
        <v>1247</v>
      </c>
      <c r="DV227" t="s">
        <v>552</v>
      </c>
      <c r="DW227" s="1239">
        <v>2296347.37</v>
      </c>
      <c r="DX227" s="1241">
        <v>1</v>
      </c>
      <c r="DY227" s="1239">
        <v>2300000</v>
      </c>
    </row>
    <row r="228" spans="124:129">
      <c r="DT228" s="1238">
        <v>46022</v>
      </c>
      <c r="DU228" s="1328" t="s">
        <v>1248</v>
      </c>
      <c r="DV228" t="s">
        <v>553</v>
      </c>
      <c r="DW228" s="1239">
        <v>2283325.11</v>
      </c>
      <c r="DX228" s="1241">
        <v>1</v>
      </c>
      <c r="DY228" s="1239">
        <v>2366816</v>
      </c>
    </row>
    <row r="229" spans="124:129">
      <c r="DT229" s="1238">
        <v>46022</v>
      </c>
      <c r="DU229" s="1328" t="s">
        <v>1249</v>
      </c>
      <c r="DV229" t="s">
        <v>554</v>
      </c>
      <c r="DW229" s="1239">
        <v>2191949.15</v>
      </c>
      <c r="DX229" s="1241">
        <v>1</v>
      </c>
      <c r="DY229" s="1239">
        <v>2669400</v>
      </c>
    </row>
    <row r="230" spans="124:129">
      <c r="DT230" s="1238">
        <v>46022</v>
      </c>
      <c r="DU230" s="1328" t="s">
        <v>1250</v>
      </c>
      <c r="DV230" t="s">
        <v>555</v>
      </c>
      <c r="DW230" s="1239">
        <v>2159938.62</v>
      </c>
      <c r="DX230" s="1241">
        <v>1</v>
      </c>
      <c r="DY230" s="1239">
        <v>2200000</v>
      </c>
    </row>
    <row r="231" spans="124:129">
      <c r="DT231" s="1238">
        <v>46022</v>
      </c>
      <c r="DU231" s="1328" t="s">
        <v>1251</v>
      </c>
      <c r="DV231" t="s">
        <v>556</v>
      </c>
      <c r="DW231" s="1239">
        <v>2102473.64</v>
      </c>
      <c r="DX231" s="1241">
        <v>1</v>
      </c>
      <c r="DY231" s="1239">
        <v>2126000</v>
      </c>
    </row>
    <row r="232" spans="124:129">
      <c r="DT232" s="1238">
        <v>46022</v>
      </c>
      <c r="DU232" s="1328" t="s">
        <v>1252</v>
      </c>
      <c r="DV232" t="s">
        <v>557</v>
      </c>
      <c r="DW232" s="1239">
        <v>2099428.86</v>
      </c>
      <c r="DX232" s="1241">
        <v>1</v>
      </c>
      <c r="DY232" s="1239">
        <v>2190000</v>
      </c>
    </row>
    <row r="233" spans="124:129">
      <c r="DT233" s="1238">
        <v>46022</v>
      </c>
      <c r="DU233" s="1328" t="s">
        <v>1253</v>
      </c>
      <c r="DV233" t="s">
        <v>558</v>
      </c>
      <c r="DW233" s="1239">
        <v>2050657.95</v>
      </c>
      <c r="DX233" s="1241">
        <v>1</v>
      </c>
      <c r="DY233" s="1239">
        <v>2238286</v>
      </c>
    </row>
    <row r="234" spans="124:129">
      <c r="DT234" s="1238">
        <v>46022</v>
      </c>
      <c r="DU234" s="1328" t="s">
        <v>1254</v>
      </c>
      <c r="DV234" t="s">
        <v>559</v>
      </c>
      <c r="DW234" s="1239">
        <v>2046438.9</v>
      </c>
      <c r="DX234" s="1241">
        <v>7</v>
      </c>
      <c r="DY234" s="1239">
        <v>2428700</v>
      </c>
    </row>
    <row r="235" spans="124:129">
      <c r="DT235" s="1238">
        <v>46022</v>
      </c>
      <c r="DU235" s="1328" t="s">
        <v>1255</v>
      </c>
      <c r="DV235" t="s">
        <v>560</v>
      </c>
      <c r="DW235" s="1239">
        <v>2037935.42</v>
      </c>
      <c r="DX235" s="1241">
        <v>1</v>
      </c>
      <c r="DY235" s="1239">
        <v>2488271</v>
      </c>
    </row>
    <row r="236" spans="124:129">
      <c r="DT236" s="1238">
        <v>46022</v>
      </c>
      <c r="DU236" s="1328" t="s">
        <v>1256</v>
      </c>
      <c r="DV236" t="s">
        <v>561</v>
      </c>
      <c r="DW236" s="1239">
        <v>2025726.91</v>
      </c>
      <c r="DX236" s="1241">
        <v>1</v>
      </c>
      <c r="DY236" s="1239">
        <v>2318124</v>
      </c>
    </row>
    <row r="237" spans="124:129">
      <c r="DT237" s="1238">
        <v>46022</v>
      </c>
      <c r="DU237" s="1328" t="s">
        <v>1257</v>
      </c>
      <c r="DV237" t="s">
        <v>562</v>
      </c>
      <c r="DW237" s="1239">
        <v>2025594.97</v>
      </c>
      <c r="DX237" s="1241">
        <v>1</v>
      </c>
      <c r="DY237" s="1239">
        <v>2452107.0499999998</v>
      </c>
    </row>
    <row r="238" spans="124:129">
      <c r="DT238" s="1238">
        <v>46022</v>
      </c>
      <c r="DU238" s="1328" t="s">
        <v>1258</v>
      </c>
      <c r="DV238" t="s">
        <v>563</v>
      </c>
      <c r="DW238" s="1239">
        <v>1990556.92</v>
      </c>
      <c r="DX238" s="1241">
        <v>1</v>
      </c>
      <c r="DY238" s="1239">
        <v>2268500</v>
      </c>
    </row>
    <row r="239" spans="124:129">
      <c r="DT239" s="1238">
        <v>46022</v>
      </c>
      <c r="DU239" s="1328" t="s">
        <v>1259</v>
      </c>
      <c r="DV239" t="s">
        <v>564</v>
      </c>
      <c r="DW239" s="1239">
        <v>1985595.75</v>
      </c>
      <c r="DX239" s="1241">
        <v>1</v>
      </c>
      <c r="DY239" s="1239">
        <v>2116445.09</v>
      </c>
    </row>
    <row r="240" spans="124:129">
      <c r="DT240" s="1238">
        <v>46022</v>
      </c>
      <c r="DU240" s="1328" t="s">
        <v>1260</v>
      </c>
      <c r="DV240" t="s">
        <v>565</v>
      </c>
      <c r="DW240" s="1239">
        <v>1980441.34</v>
      </c>
      <c r="DX240" s="1241">
        <v>1</v>
      </c>
      <c r="DY240" s="1239">
        <v>2259000</v>
      </c>
    </row>
    <row r="241" spans="124:129">
      <c r="DT241" s="1238">
        <v>46022</v>
      </c>
      <c r="DU241" s="1328" t="s">
        <v>1261</v>
      </c>
      <c r="DV241" t="s">
        <v>566</v>
      </c>
      <c r="DW241" s="1239">
        <v>1972214.64</v>
      </c>
      <c r="DX241" s="1241">
        <v>2</v>
      </c>
      <c r="DY241" s="1239">
        <v>2000000</v>
      </c>
    </row>
    <row r="242" spans="124:129">
      <c r="DT242" s="1238">
        <v>46022</v>
      </c>
      <c r="DU242" s="1328" t="s">
        <v>1262</v>
      </c>
      <c r="DV242" t="s">
        <v>567</v>
      </c>
      <c r="DW242" s="1239">
        <v>1955849.93</v>
      </c>
      <c r="DX242" s="1241">
        <v>1</v>
      </c>
      <c r="DY242" s="1239">
        <v>2339000</v>
      </c>
    </row>
    <row r="243" spans="124:129">
      <c r="DT243" s="1238">
        <v>46022</v>
      </c>
      <c r="DU243" s="1328" t="s">
        <v>1263</v>
      </c>
      <c r="DV243" t="s">
        <v>568</v>
      </c>
      <c r="DW243" s="1239">
        <v>1938627.56</v>
      </c>
      <c r="DX243" s="1241">
        <v>2</v>
      </c>
      <c r="DY243" s="1239">
        <v>2780000</v>
      </c>
    </row>
    <row r="244" spans="124:129">
      <c r="DT244" s="1238">
        <v>46022</v>
      </c>
      <c r="DU244" s="1328" t="s">
        <v>106</v>
      </c>
      <c r="DV244" t="s">
        <v>1264</v>
      </c>
      <c r="DW244" s="1239">
        <v>11314220550.59</v>
      </c>
      <c r="DX244" s="1241">
        <v>75171</v>
      </c>
      <c r="DY244" s="1239">
        <v>15217278263.209999</v>
      </c>
    </row>
    <row r="245" spans="124:129">
      <c r="DT245" s="1238">
        <v>46022</v>
      </c>
      <c r="DU245" s="1328" t="s">
        <v>1265</v>
      </c>
      <c r="DV245" t="s">
        <v>1266</v>
      </c>
      <c r="DW245" s="1239">
        <v>8322724815.8999996</v>
      </c>
      <c r="DX245" s="1241">
        <v>50457</v>
      </c>
      <c r="DY245" s="1239">
        <v>10965477202.370001</v>
      </c>
    </row>
    <row r="246" spans="124:129">
      <c r="DT246" s="1238">
        <v>46022</v>
      </c>
      <c r="DU246" s="1328" t="s">
        <v>1267</v>
      </c>
      <c r="DV246" t="s">
        <v>1268</v>
      </c>
      <c r="DW246" s="1239">
        <v>550927714.40999997</v>
      </c>
      <c r="DX246" s="1241">
        <v>3486</v>
      </c>
      <c r="DY246" s="1239">
        <v>778731136.85000002</v>
      </c>
    </row>
    <row r="247" spans="124:129">
      <c r="DT247" s="1238">
        <v>46022</v>
      </c>
      <c r="DU247" s="1328" t="s">
        <v>1269</v>
      </c>
      <c r="DV247" t="s">
        <v>1270</v>
      </c>
      <c r="DW247" s="1239">
        <v>2440568020.2800002</v>
      </c>
      <c r="DX247" s="1241">
        <v>21228</v>
      </c>
      <c r="DY247" s="1239">
        <v>3473069923.9899998</v>
      </c>
    </row>
    <row r="248" spans="124:129">
      <c r="DT248" s="1238">
        <v>46022</v>
      </c>
      <c r="DU248" s="1328" t="s">
        <v>1271</v>
      </c>
      <c r="DV248" t="s">
        <v>570</v>
      </c>
      <c r="DW248" s="1239">
        <v>9499085100.2000008</v>
      </c>
      <c r="DX248" s="1241">
        <v>60883</v>
      </c>
      <c r="DY248" s="1239">
        <v>12616972257.200001</v>
      </c>
    </row>
    <row r="249" spans="124:129">
      <c r="DT249" s="1238">
        <v>46022</v>
      </c>
      <c r="DU249" s="1328" t="s">
        <v>1272</v>
      </c>
      <c r="DV249" t="s">
        <v>571</v>
      </c>
      <c r="DW249" s="1239">
        <v>1154692176.9100001</v>
      </c>
      <c r="DX249" s="1241">
        <v>7672</v>
      </c>
      <c r="DY249" s="1239">
        <v>1479048064.99</v>
      </c>
    </row>
    <row r="250" spans="124:129">
      <c r="DT250" s="1238">
        <v>46022</v>
      </c>
      <c r="DU250" s="1328" t="s">
        <v>1273</v>
      </c>
      <c r="DV250" t="s">
        <v>572</v>
      </c>
      <c r="DW250" s="1239">
        <v>0</v>
      </c>
      <c r="DX250" s="1241">
        <v>0</v>
      </c>
      <c r="DY250" s="1239">
        <v>0</v>
      </c>
    </row>
    <row r="251" spans="124:129">
      <c r="DT251" s="1238">
        <v>46022</v>
      </c>
      <c r="DU251" s="1328" t="s">
        <v>1276</v>
      </c>
      <c r="DV251" t="s">
        <v>547</v>
      </c>
      <c r="DW251" s="1239">
        <v>660443273.48000002</v>
      </c>
      <c r="DX251" s="1241">
        <v>6616</v>
      </c>
      <c r="DY251" s="1239">
        <v>1121257941.02</v>
      </c>
    </row>
    <row r="252" spans="124:129">
      <c r="DT252" s="1238">
        <v>46022</v>
      </c>
      <c r="DU252" s="1328" t="s">
        <v>2094</v>
      </c>
      <c r="DV252" t="s">
        <v>2069</v>
      </c>
      <c r="DW252" s="1239">
        <v>0.42</v>
      </c>
      <c r="DX252" s="1241">
        <v>0</v>
      </c>
      <c r="DY252" s="1239">
        <v>0</v>
      </c>
    </row>
    <row r="253" spans="124:129">
      <c r="DT253" s="1238">
        <v>46022</v>
      </c>
      <c r="DU253" s="1328" t="s">
        <v>2095</v>
      </c>
      <c r="DV253" t="s">
        <v>2071</v>
      </c>
      <c r="DW253" s="1239">
        <v>5.05</v>
      </c>
      <c r="DX253" s="1241">
        <v>0</v>
      </c>
      <c r="DY253" s="1239">
        <v>0</v>
      </c>
    </row>
    <row r="254" spans="124:129">
      <c r="DT254" s="1238">
        <v>46022</v>
      </c>
      <c r="DU254" s="1328" t="s">
        <v>2096</v>
      </c>
      <c r="DV254" t="s">
        <v>432</v>
      </c>
      <c r="DW254" s="1239">
        <v>16</v>
      </c>
      <c r="DX254" s="1241">
        <v>0</v>
      </c>
      <c r="DY254" s="1239">
        <v>0</v>
      </c>
    </row>
  </sheetData>
  <mergeCells count="88">
    <mergeCell ref="DU2:DU3"/>
    <mergeCell ref="DV2:DV3"/>
    <mergeCell ref="DW2:DW3"/>
    <mergeCell ref="DX2:DX3"/>
    <mergeCell ref="CY2:CY3"/>
    <mergeCell ref="CZ2:CZ3"/>
    <mergeCell ref="DA2:DA3"/>
    <mergeCell ref="DB2:DB3"/>
    <mergeCell ref="DE2:DE3"/>
    <mergeCell ref="DM2:DM3"/>
    <mergeCell ref="DN2:DN3"/>
    <mergeCell ref="DG2:DG3"/>
    <mergeCell ref="DH2:DH3"/>
    <mergeCell ref="DI2:DI3"/>
    <mergeCell ref="DJ2:DJ3"/>
    <mergeCell ref="DK2:DK3"/>
    <mergeCell ref="DT2:DT3"/>
    <mergeCell ref="CU2:CU3"/>
    <mergeCell ref="CV2:CV3"/>
    <mergeCell ref="DO2:DO3"/>
    <mergeCell ref="DP2:DP3"/>
    <mergeCell ref="DQ2:DQ3"/>
    <mergeCell ref="DR2:DR3"/>
    <mergeCell ref="DC2:DC3"/>
    <mergeCell ref="DD2:DD3"/>
    <mergeCell ref="CW2:CW3"/>
    <mergeCell ref="CX2:CX3"/>
    <mergeCell ref="DF2:DF3"/>
    <mergeCell ref="DL2:DL3"/>
    <mergeCell ref="DS2:DS3"/>
    <mergeCell ref="CT2:CT3"/>
    <mergeCell ref="BK2:BK3"/>
    <mergeCell ref="BL2:BL3"/>
    <mergeCell ref="BM2:BM3"/>
    <mergeCell ref="BN2:BN3"/>
    <mergeCell ref="BO2:BO3"/>
    <mergeCell ref="CN2:CN3"/>
    <mergeCell ref="BP2:BP3"/>
    <mergeCell ref="CO2:CO3"/>
    <mergeCell ref="CP2:CP3"/>
    <mergeCell ref="CQ2:CQ3"/>
    <mergeCell ref="CR2:CR3"/>
    <mergeCell ref="CS2:CS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T1:DX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zoomScale="85" zoomScaleNormal="85" workbookViewId="0"/>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221" t="s">
        <v>959</v>
      </c>
      <c r="C5" s="2222"/>
      <c r="D5" s="2222"/>
      <c r="E5" s="2222"/>
      <c r="F5" s="2222"/>
      <c r="G5" s="2222"/>
      <c r="H5" s="2222"/>
      <c r="I5" s="2222"/>
      <c r="J5" s="2222"/>
      <c r="K5" s="2222"/>
      <c r="L5" s="2222"/>
      <c r="M5" s="2222"/>
      <c r="N5" s="2222"/>
      <c r="O5" s="2222"/>
      <c r="P5" s="2222"/>
      <c r="Q5" s="2222"/>
    </row>
    <row r="7" spans="2:17" ht="15.75" thickBot="1"/>
    <row r="8" spans="2:17" ht="16.5" thickTop="1" thickBot="1">
      <c r="B8" s="1334" t="s">
        <v>960</v>
      </c>
      <c r="D8" s="2226" t="s">
        <v>955</v>
      </c>
      <c r="E8" s="2227"/>
      <c r="F8" s="2227"/>
      <c r="G8" s="2227"/>
      <c r="H8" s="2228"/>
    </row>
    <row r="9" spans="2:17" ht="16.5" thickTop="1" thickBot="1">
      <c r="B9" s="1333"/>
      <c r="D9" s="1330"/>
      <c r="E9" s="1330"/>
      <c r="F9" s="1330"/>
      <c r="G9" s="1330"/>
      <c r="H9" s="1330"/>
    </row>
    <row r="10" spans="2:17" ht="16.5" thickTop="1" thickBot="1">
      <c r="B10" s="1334" t="s">
        <v>99</v>
      </c>
      <c r="D10" s="2226" t="s">
        <v>956</v>
      </c>
      <c r="E10" s="2227"/>
      <c r="F10" s="2227"/>
      <c r="G10" s="2227"/>
      <c r="H10" s="2228"/>
    </row>
    <row r="11" spans="2:17" ht="16.5" thickTop="1" thickBot="1">
      <c r="B11" s="1333"/>
      <c r="D11" s="1330"/>
      <c r="E11" s="1330"/>
      <c r="F11" s="1330"/>
      <c r="G11" s="1330"/>
      <c r="H11" s="1330"/>
    </row>
    <row r="12" spans="2:17" ht="16.5" thickTop="1" thickBot="1">
      <c r="B12" s="1334" t="s">
        <v>3</v>
      </c>
      <c r="D12" s="2226" t="s">
        <v>957</v>
      </c>
      <c r="E12" s="2227"/>
      <c r="F12" s="2227"/>
      <c r="G12" s="2227"/>
      <c r="H12" s="2228"/>
    </row>
    <row r="13" spans="2:17" ht="16.5" thickTop="1" thickBot="1">
      <c r="B13" s="1333"/>
      <c r="D13" s="1330"/>
      <c r="E13" s="1330"/>
      <c r="F13" s="1330"/>
      <c r="G13" s="1330"/>
      <c r="H13" s="1330"/>
    </row>
    <row r="14" spans="2:17" ht="16.5" thickTop="1" thickBot="1">
      <c r="B14" s="1334" t="s">
        <v>4</v>
      </c>
      <c r="D14" s="2226" t="s">
        <v>961</v>
      </c>
      <c r="E14" s="2227"/>
      <c r="F14" s="2227"/>
      <c r="G14" s="2227"/>
      <c r="H14" s="2228"/>
    </row>
    <row r="15" spans="2:17" ht="16.5" thickTop="1" thickBot="1"/>
    <row r="16" spans="2:17" ht="16.5" thickTop="1" thickBot="1">
      <c r="B16" s="1334" t="s">
        <v>958</v>
      </c>
      <c r="D16" s="2226" t="s">
        <v>962</v>
      </c>
      <c r="E16" s="2227"/>
      <c r="F16" s="2227"/>
      <c r="G16" s="2227"/>
      <c r="H16" s="2228"/>
    </row>
    <row r="17" spans="2:11" ht="16.5" thickTop="1" thickBot="1"/>
    <row r="18" spans="2:11" ht="36.75" customHeight="1" thickTop="1" thickBot="1">
      <c r="B18" s="1334" t="s">
        <v>304</v>
      </c>
      <c r="D18" s="2223" t="s">
        <v>1310</v>
      </c>
      <c r="E18" s="2224"/>
      <c r="F18" s="2224"/>
      <c r="G18" s="2224"/>
      <c r="H18" s="2225"/>
    </row>
    <row r="19" spans="2:11" ht="15.75" thickTop="1"/>
    <row r="21" spans="2:11" ht="15.75" thickBot="1">
      <c r="G21" s="1703">
        <v>10</v>
      </c>
      <c r="H21" s="1703">
        <v>-5</v>
      </c>
      <c r="I21" s="1703">
        <v>-3</v>
      </c>
      <c r="J21" s="1703">
        <v>27</v>
      </c>
    </row>
    <row r="22" spans="2:11" ht="26.2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5">
        <f t="shared" si="8"/>
        <v>50010</v>
      </c>
      <c r="E169" s="1706">
        <f t="shared" si="6"/>
        <v>50040</v>
      </c>
      <c r="F169" s="1706">
        <f t="shared" si="7"/>
        <v>50040</v>
      </c>
      <c r="G169" s="1706">
        <f>WORKDAY(F169,$G$21,'Business Day Paris'!F148:F342)</f>
        <v>50054</v>
      </c>
      <c r="H169" s="1706">
        <f>WORKDAY(J169,$H$21,'Business Day Paris'!F148:F342)</f>
        <v>50060</v>
      </c>
      <c r="I169" s="1706">
        <f>WORKDAY(J169,$I$21,'Business Day Paris'!F148:F342)</f>
        <v>50062</v>
      </c>
      <c r="J169" s="1707">
        <f>IF(WORKDAY(EOMONTH(F169,0)+$J$21-1,1,'Business Day Paris'!F148:F342)&lt;=EOMONTH(Calendar!F170,0),WORKDAY(EOMONTH(F169,0)+$J$21-1,1,'Business Day Paris'!F148:F342),WORKDAY(EOMONTH(F169,0)+$J$21+1,-1,'Business Day Paris'!F148:F342))</f>
        <v>50067</v>
      </c>
      <c r="K169" s="1238"/>
    </row>
    <row r="170" spans="2:11">
      <c r="B170" s="1248">
        <v>148</v>
      </c>
      <c r="C170" s="2"/>
      <c r="D170" s="1705">
        <f t="shared" si="8"/>
        <v>50041</v>
      </c>
      <c r="E170" s="1706">
        <f t="shared" si="6"/>
        <v>50071</v>
      </c>
      <c r="F170" s="1706">
        <f t="shared" si="7"/>
        <v>50071</v>
      </c>
      <c r="G170" s="1706">
        <f>WORKDAY(F170,$G$21,'Business Day Paris'!F149:F343)</f>
        <v>50084</v>
      </c>
      <c r="H170" s="1706">
        <f>WORKDAY(J170,$H$21,'Business Day Paris'!F149:F343)</f>
        <v>50091</v>
      </c>
      <c r="I170" s="1706">
        <f>WORKDAY(J170,$I$21,'Business Day Paris'!F149:F343)</f>
        <v>50095</v>
      </c>
      <c r="J170" s="1707">
        <f>IF(WORKDAY(EOMONTH(F170,0)+$J$21-1,1,'Business Day Paris'!F149:F343)&lt;=EOMONTH(Calendar!F171,0),WORKDAY(EOMONTH(F170,0)+$J$21-1,1,'Business Day Paris'!F149:F343),WORKDAY(EOMONTH(F170,0)+$J$21+1,-1,'Business Day Paris'!F149:F343))</f>
        <v>50098</v>
      </c>
      <c r="K170" s="1238"/>
    </row>
    <row r="171" spans="2:11">
      <c r="B171" s="1248">
        <v>149</v>
      </c>
      <c r="C171" s="2"/>
      <c r="D171" s="1705">
        <f t="shared" si="8"/>
        <v>50072</v>
      </c>
      <c r="E171" s="1706">
        <f t="shared" si="6"/>
        <v>50099</v>
      </c>
      <c r="F171" s="1706">
        <f t="shared" si="7"/>
        <v>50099</v>
      </c>
      <c r="G171" s="1706">
        <f>WORKDAY(F171,$G$21,'Business Day Paris'!F150:F344)</f>
        <v>50112</v>
      </c>
      <c r="H171" s="1706">
        <f>WORKDAY(J171,$H$21,'Business Day Paris'!F150:F344)</f>
        <v>50119</v>
      </c>
      <c r="I171" s="1706">
        <f>WORKDAY(J171,$I$21,'Business Day Paris'!F150:F344)</f>
        <v>50123</v>
      </c>
      <c r="J171" s="1707">
        <f>IF(WORKDAY(EOMONTH(F171,0)+$J$21-1,1,'Business Day Paris'!F150:F344)&lt;=EOMONTH(Calendar!F172,0),WORKDAY(EOMONTH(F171,0)+$J$21-1,1,'Business Day Paris'!F150:F344),WORKDAY(EOMONTH(F171,0)+$J$21+1,-1,'Business Day Paris'!F150:F344))</f>
        <v>50126</v>
      </c>
      <c r="K171" s="1238"/>
    </row>
    <row r="172" spans="2:11">
      <c r="B172" s="1248">
        <v>150</v>
      </c>
      <c r="C172" s="2"/>
      <c r="D172" s="1705">
        <f t="shared" si="8"/>
        <v>50100</v>
      </c>
      <c r="E172" s="1706">
        <f t="shared" si="6"/>
        <v>50130</v>
      </c>
      <c r="F172" s="1706">
        <f t="shared" si="7"/>
        <v>50130</v>
      </c>
      <c r="G172" s="1706">
        <f>WORKDAY(F172,$G$21,'Business Day Paris'!F151:F345)</f>
        <v>50144</v>
      </c>
      <c r="H172" s="1706">
        <f>WORKDAY(J172,$H$21,'Business Day Paris'!F151:F345)</f>
        <v>50150</v>
      </c>
      <c r="I172" s="1706">
        <f>WORKDAY(J172,$I$21,'Business Day Paris'!F151:F345)</f>
        <v>50152</v>
      </c>
      <c r="J172" s="1707">
        <f>IF(WORKDAY(EOMONTH(F172,0)+$J$21-1,1,'Business Day Paris'!F151:F345)&lt;=EOMONTH(Calendar!F173,0),WORKDAY(EOMONTH(F172,0)+$J$21-1,1,'Business Day Paris'!F151:F345),WORKDAY(EOMONTH(F172,0)+$J$21+1,-1,'Business Day Paris'!F151:F345))</f>
        <v>50157</v>
      </c>
      <c r="K172" s="1238"/>
    </row>
    <row r="173" spans="2:11">
      <c r="B173" s="1248">
        <v>151</v>
      </c>
      <c r="C173" s="2"/>
      <c r="D173" s="1705">
        <f t="shared" si="8"/>
        <v>50131</v>
      </c>
      <c r="E173" s="1706">
        <f t="shared" si="6"/>
        <v>50160</v>
      </c>
      <c r="F173" s="1706">
        <f t="shared" si="7"/>
        <v>50160</v>
      </c>
      <c r="G173" s="1706">
        <f>WORKDAY(F173,$G$21,'Business Day Paris'!F152:F346)</f>
        <v>50174</v>
      </c>
      <c r="H173" s="1706">
        <f>WORKDAY(J173,$H$21,'Business Day Paris'!F152:F346)</f>
        <v>50180</v>
      </c>
      <c r="I173" s="1706">
        <f>WORKDAY(J173,$I$21,'Business Day Paris'!F152:F346)</f>
        <v>50182</v>
      </c>
      <c r="J173" s="1707">
        <f>IF(WORKDAY(EOMONTH(F173,0)+$J$21-1,1,'Business Day Paris'!F152:F346)&lt;=EOMONTH(Calendar!F174,0),WORKDAY(EOMONTH(F173,0)+$J$21-1,1,'Business Day Paris'!F152:F346),WORKDAY(EOMONTH(F173,0)+$J$21+1,-1,'Business Day Paris'!F152:F346))</f>
        <v>50187</v>
      </c>
      <c r="K173" s="1238"/>
    </row>
    <row r="174" spans="2:11">
      <c r="B174" s="1248">
        <v>152</v>
      </c>
      <c r="C174" s="2"/>
      <c r="D174" s="1705">
        <f t="shared" si="8"/>
        <v>50161</v>
      </c>
      <c r="E174" s="1706">
        <f t="shared" si="6"/>
        <v>50191</v>
      </c>
      <c r="F174" s="1706">
        <f t="shared" si="7"/>
        <v>50191</v>
      </c>
      <c r="G174" s="1706">
        <f>WORKDAY(F174,$G$21,'Business Day Paris'!F153:F347)</f>
        <v>50203</v>
      </c>
      <c r="H174" s="1706">
        <f>WORKDAY(J174,$H$21,'Business Day Paris'!F153:F347)</f>
        <v>50213</v>
      </c>
      <c r="I174" s="1706">
        <f>WORKDAY(J174,$I$21,'Business Day Paris'!F153:F347)</f>
        <v>50215</v>
      </c>
      <c r="J174" s="1707">
        <f>IF(WORKDAY(EOMONTH(F174,0)+$J$21-1,1,'Business Day Paris'!F153:F347)&lt;=EOMONTH(Calendar!F175,0),WORKDAY(EOMONTH(F174,0)+$J$21-1,1,'Business Day Paris'!F153:F347),WORKDAY(EOMONTH(F174,0)+$J$21+1,-1,'Business Day Paris'!F153:F347))</f>
        <v>50220</v>
      </c>
      <c r="K174" s="1238"/>
    </row>
    <row r="175" spans="2:11">
      <c r="B175" s="1248">
        <v>153</v>
      </c>
      <c r="C175" s="2"/>
      <c r="D175" s="1705">
        <f t="shared" si="8"/>
        <v>50192</v>
      </c>
      <c r="E175" s="1706">
        <f t="shared" si="6"/>
        <v>50221</v>
      </c>
      <c r="F175" s="1706">
        <f t="shared" si="7"/>
        <v>50221</v>
      </c>
      <c r="G175" s="1706">
        <f>WORKDAY(F175,$G$21,'Business Day Paris'!F154:F348)</f>
        <v>50235</v>
      </c>
      <c r="H175" s="1706">
        <f>WORKDAY(J175,$H$21,'Business Day Paris'!F154:F348)</f>
        <v>50241</v>
      </c>
      <c r="I175" s="1706">
        <f>WORKDAY(J175,$I$21,'Business Day Paris'!F154:F348)</f>
        <v>50243</v>
      </c>
      <c r="J175" s="1707">
        <f>IF(WORKDAY(EOMONTH(F175,0)+$J$21-1,1,'Business Day Paris'!F154:F348)&lt;=EOMONTH(Calendar!F176,0),WORKDAY(EOMONTH(F175,0)+$J$21-1,1,'Business Day Paris'!F154:F348),WORKDAY(EOMONTH(F175,0)+$J$21+1,-1,'Business Day Paris'!F154:F348))</f>
        <v>50248</v>
      </c>
      <c r="K175" s="1238"/>
    </row>
    <row r="176" spans="2:11">
      <c r="B176" s="1248">
        <v>154</v>
      </c>
      <c r="C176" s="2"/>
      <c r="D176" s="1705">
        <f t="shared" si="8"/>
        <v>50222</v>
      </c>
      <c r="E176" s="1706">
        <f t="shared" si="6"/>
        <v>50252</v>
      </c>
      <c r="F176" s="1706">
        <f t="shared" si="7"/>
        <v>50252</v>
      </c>
      <c r="G176" s="1706">
        <f>WORKDAY(F176,$G$21,'Business Day Paris'!F155:F349)</f>
        <v>50266</v>
      </c>
      <c r="H176" s="1706">
        <f>WORKDAY(J176,$H$21,'Business Day Paris'!F155:F349)</f>
        <v>50272</v>
      </c>
      <c r="I176" s="1706">
        <f>WORKDAY(J176,$I$21,'Business Day Paris'!F155:F349)</f>
        <v>50276</v>
      </c>
      <c r="J176" s="1707">
        <f>IF(WORKDAY(EOMONTH(F176,0)+$J$21-1,1,'Business Day Paris'!F155:F349)&lt;=EOMONTH(Calendar!F177,0),WORKDAY(EOMONTH(F176,0)+$J$21-1,1,'Business Day Paris'!F155:F349),WORKDAY(EOMONTH(F176,0)+$J$21+1,-1,'Business Day Paris'!F155:F349))</f>
        <v>50279</v>
      </c>
      <c r="K176" s="1238"/>
    </row>
    <row r="177" spans="2:11">
      <c r="B177" s="1248">
        <v>155</v>
      </c>
      <c r="C177" s="2"/>
      <c r="D177" s="1705">
        <f t="shared" si="8"/>
        <v>50253</v>
      </c>
      <c r="E177" s="1706">
        <f t="shared" si="6"/>
        <v>50283</v>
      </c>
      <c r="F177" s="1706">
        <f t="shared" si="7"/>
        <v>50283</v>
      </c>
      <c r="G177" s="1706">
        <f>WORKDAY(F177,$G$21,'Business Day Paris'!F156:F350)</f>
        <v>50297</v>
      </c>
      <c r="H177" s="1706">
        <f>WORKDAY(J177,$H$21,'Business Day Paris'!F156:F350)</f>
        <v>50304</v>
      </c>
      <c r="I177" s="1706">
        <f>WORKDAY(J177,$I$21,'Business Day Paris'!F156:F350)</f>
        <v>50306</v>
      </c>
      <c r="J177" s="1707">
        <f>IF(WORKDAY(EOMONTH(F177,0)+$J$21-1,1,'Business Day Paris'!F156:F350)&lt;=EOMONTH(Calendar!F178,0),WORKDAY(EOMONTH(F177,0)+$J$21-1,1,'Business Day Paris'!F156:F350),WORKDAY(EOMONTH(F177,0)+$J$21+1,-1,'Business Day Paris'!F156:F350))</f>
        <v>50311</v>
      </c>
      <c r="K177" s="1238"/>
    </row>
    <row r="178" spans="2:11">
      <c r="B178" s="1248">
        <v>156</v>
      </c>
      <c r="C178" s="2"/>
      <c r="D178" s="1705">
        <f t="shared" si="8"/>
        <v>50284</v>
      </c>
      <c r="E178" s="1706">
        <f t="shared" si="6"/>
        <v>50313</v>
      </c>
      <c r="F178" s="1706">
        <f t="shared" si="7"/>
        <v>50313</v>
      </c>
      <c r="G178" s="1706">
        <f>WORKDAY(F178,$G$21,'Business Day Paris'!F157:F351)</f>
        <v>50327</v>
      </c>
      <c r="H178" s="1706">
        <f>WORKDAY(J178,$H$21,'Business Day Paris'!F157:F351)</f>
        <v>50333</v>
      </c>
      <c r="I178" s="1706">
        <f>WORKDAY(J178,$I$21,'Business Day Paris'!F157:F351)</f>
        <v>50335</v>
      </c>
      <c r="J178" s="1707">
        <f>IF(WORKDAY(EOMONTH(F178,0)+$J$21-1,1,'Business Day Paris'!F157:F351)&lt;=EOMONTH(Calendar!F179,0),WORKDAY(EOMONTH(F178,0)+$J$21-1,1,'Business Day Paris'!F157:F351),WORKDAY(EOMONTH(F178,0)+$J$21+1,-1,'Business Day Paris'!F157:F351))</f>
        <v>50340</v>
      </c>
      <c r="K178" s="1238"/>
    </row>
    <row r="179" spans="2:11">
      <c r="B179" s="1248">
        <v>157</v>
      </c>
      <c r="C179" s="2"/>
      <c r="D179" s="1705">
        <f t="shared" si="8"/>
        <v>50314</v>
      </c>
      <c r="E179" s="1706">
        <f t="shared" si="6"/>
        <v>50344</v>
      </c>
      <c r="F179" s="1706">
        <f t="shared" si="7"/>
        <v>50344</v>
      </c>
      <c r="G179" s="1706">
        <f>WORKDAY(F179,$G$21,'Business Day Paris'!F158:F352)</f>
        <v>50357</v>
      </c>
      <c r="H179" s="1706">
        <f>WORKDAY(J179,$H$21,'Business Day Paris'!F158:F352)</f>
        <v>50364</v>
      </c>
      <c r="I179" s="1706">
        <f>WORKDAY(J179,$I$21,'Business Day Paris'!F158:F352)</f>
        <v>50368</v>
      </c>
      <c r="J179" s="1707">
        <f>IF(WORKDAY(EOMONTH(F179,0)+$J$21-1,1,'Business Day Paris'!F158:F352)&lt;=EOMONTH(Calendar!F180,0),WORKDAY(EOMONTH(F179,0)+$J$21-1,1,'Business Day Paris'!F158:F352),WORKDAY(EOMONTH(F179,0)+$J$21+1,-1,'Business Day Paris'!F158:F352))</f>
        <v>50371</v>
      </c>
      <c r="K179" s="1238"/>
    </row>
    <row r="180" spans="2:11">
      <c r="B180" s="1248">
        <v>158</v>
      </c>
      <c r="C180" s="2"/>
      <c r="D180" s="1705">
        <f t="shared" si="8"/>
        <v>50345</v>
      </c>
      <c r="E180" s="1706">
        <f t="shared" si="6"/>
        <v>50374</v>
      </c>
      <c r="F180" s="1706">
        <f t="shared" si="7"/>
        <v>50374</v>
      </c>
      <c r="G180" s="1706">
        <f>WORKDAY(F180,$G$21,'Business Day Paris'!F159:F353)</f>
        <v>50388</v>
      </c>
      <c r="H180" s="1706">
        <f>WORKDAY(J180,$H$21,'Business Day Paris'!F159:F353)</f>
        <v>50395</v>
      </c>
      <c r="I180" s="1706">
        <f>WORKDAY(J180,$I$21,'Business Day Paris'!F159:F353)</f>
        <v>50397</v>
      </c>
      <c r="J180" s="1707">
        <f>IF(WORKDAY(EOMONTH(F180,0)+$J$21-1,1,'Business Day Paris'!F159:F353)&lt;=EOMONTH(Calendar!F181,0),WORKDAY(EOMONTH(F180,0)+$J$21-1,1,'Business Day Paris'!F159:F353),WORKDAY(EOMONTH(F180,0)+$J$21+1,-1,'Business Day Paris'!F159:F353))</f>
        <v>50402</v>
      </c>
      <c r="K180" s="1238"/>
    </row>
    <row r="181" spans="2:11">
      <c r="B181" s="1248">
        <v>159</v>
      </c>
      <c r="C181" s="2"/>
      <c r="D181" s="1705">
        <f t="shared" si="8"/>
        <v>50375</v>
      </c>
      <c r="E181" s="1706">
        <f t="shared" si="6"/>
        <v>50405</v>
      </c>
      <c r="F181" s="1706">
        <f t="shared" si="7"/>
        <v>50405</v>
      </c>
      <c r="G181" s="1706">
        <f>WORKDAY(F181,$G$21,'Business Day Paris'!F160:F354)</f>
        <v>50419</v>
      </c>
      <c r="H181" s="1706">
        <f>WORKDAY(J181,$H$21,'Business Day Paris'!F160:F354)</f>
        <v>50425</v>
      </c>
      <c r="I181" s="1706">
        <f>WORKDAY(J181,$I$21,'Business Day Paris'!F160:F354)</f>
        <v>50427</v>
      </c>
      <c r="J181" s="1707">
        <f>IF(WORKDAY(EOMONTH(F181,0)+$J$21-1,1,'Business Day Paris'!F160:F354)&lt;=EOMONTH(Calendar!F182,0),WORKDAY(EOMONTH(F181,0)+$J$21-1,1,'Business Day Paris'!F160:F354),WORKDAY(EOMONTH(F181,0)+$J$21+1,-1,'Business Day Paris'!F160:F354))</f>
        <v>50432</v>
      </c>
      <c r="K181" s="1238"/>
    </row>
    <row r="182" spans="2:11">
      <c r="B182" s="1248">
        <v>160</v>
      </c>
      <c r="C182" s="2"/>
      <c r="D182" s="1705">
        <f t="shared" si="8"/>
        <v>50406</v>
      </c>
      <c r="E182" s="1706">
        <f t="shared" si="6"/>
        <v>50436</v>
      </c>
      <c r="F182" s="1706">
        <f t="shared" si="7"/>
        <v>50436</v>
      </c>
      <c r="G182" s="1706">
        <f>WORKDAY(F182,$G$21,'Business Day Paris'!F161:F355)</f>
        <v>50448</v>
      </c>
      <c r="H182" s="1706">
        <f>WORKDAY(J182,$H$21,'Business Day Paris'!F161:F355)</f>
        <v>50455</v>
      </c>
      <c r="I182" s="1706">
        <f>WORKDAY(J182,$I$21,'Business Day Paris'!F161:F355)</f>
        <v>50459</v>
      </c>
      <c r="J182" s="1707">
        <f>IF(WORKDAY(EOMONTH(F182,0)+$J$21-1,1,'Business Day Paris'!F161:F355)&lt;=EOMONTH(Calendar!F183,0),WORKDAY(EOMONTH(F182,0)+$J$21-1,1,'Business Day Paris'!F161:F355),WORKDAY(EOMONTH(F182,0)+$J$21+1,-1,'Business Day Paris'!F161:F355))</f>
        <v>50462</v>
      </c>
      <c r="K182" s="1238"/>
    </row>
    <row r="183" spans="2:11">
      <c r="B183" s="1248">
        <v>161</v>
      </c>
      <c r="C183" s="2"/>
      <c r="D183" s="1705">
        <f t="shared" si="8"/>
        <v>50437</v>
      </c>
      <c r="E183" s="1706">
        <f t="shared" si="6"/>
        <v>50464</v>
      </c>
      <c r="F183" s="1706">
        <f t="shared" si="7"/>
        <v>50464</v>
      </c>
      <c r="G183" s="1706">
        <f>WORKDAY(F183,$G$21,'Business Day Paris'!F162:F356)</f>
        <v>50476</v>
      </c>
      <c r="H183" s="1706">
        <f>WORKDAY(J183,$H$21,'Business Day Paris'!F162:F356)</f>
        <v>50486</v>
      </c>
      <c r="I183" s="1706">
        <f>WORKDAY(J183,$I$21,'Business Day Paris'!F162:F356)</f>
        <v>50488</v>
      </c>
      <c r="J183" s="1707">
        <f>IF(WORKDAY(EOMONTH(F183,0)+$J$21-1,1,'Business Day Paris'!F162:F356)&lt;=EOMONTH(Calendar!F184,0),WORKDAY(EOMONTH(F183,0)+$J$21-1,1,'Business Day Paris'!F162:F356),WORKDAY(EOMONTH(F183,0)+$J$21+1,-1,'Business Day Paris'!F162:F356))</f>
        <v>50493</v>
      </c>
      <c r="K183" s="1238"/>
    </row>
    <row r="184" spans="2:11">
      <c r="B184" s="1248">
        <v>162</v>
      </c>
      <c r="C184" s="2"/>
      <c r="D184" s="1705">
        <f t="shared" si="8"/>
        <v>50465</v>
      </c>
      <c r="E184" s="1706">
        <f t="shared" si="6"/>
        <v>50495</v>
      </c>
      <c r="F184" s="1706">
        <f t="shared" si="7"/>
        <v>50495</v>
      </c>
      <c r="G184" s="1706">
        <f>WORKDAY(F184,$G$21,'Business Day Paris'!F163:F357)</f>
        <v>50509</v>
      </c>
      <c r="H184" s="1706">
        <f>WORKDAY(J184,$H$21,'Business Day Paris'!F163:F357)</f>
        <v>50515</v>
      </c>
      <c r="I184" s="1706">
        <f>WORKDAY(J184,$I$21,'Business Day Paris'!F163:F357)</f>
        <v>50517</v>
      </c>
      <c r="J184" s="1707">
        <f>IF(WORKDAY(EOMONTH(F184,0)+$J$21-1,1,'Business Day Paris'!F163:F357)&lt;=EOMONTH(Calendar!F185,0),WORKDAY(EOMONTH(F184,0)+$J$21-1,1,'Business Day Paris'!F163:F357),WORKDAY(EOMONTH(F184,0)+$J$21+1,-1,'Business Day Paris'!F163:F357))</f>
        <v>50522</v>
      </c>
      <c r="K184" s="1238"/>
    </row>
    <row r="185" spans="2:11">
      <c r="B185" s="1248">
        <v>163</v>
      </c>
      <c r="C185" s="2"/>
      <c r="D185" s="1705">
        <f t="shared" si="8"/>
        <v>50496</v>
      </c>
      <c r="E185" s="1706">
        <f t="shared" si="6"/>
        <v>50525</v>
      </c>
      <c r="F185" s="1706">
        <f t="shared" si="7"/>
        <v>50525</v>
      </c>
      <c r="G185" s="1706">
        <f>WORKDAY(F185,$G$21,'Business Day Paris'!F164:F358)</f>
        <v>50539</v>
      </c>
      <c r="H185" s="1706">
        <f>WORKDAY(J185,$H$21,'Business Day Paris'!F164:F358)</f>
        <v>50545</v>
      </c>
      <c r="I185" s="1706">
        <f>WORKDAY(J185,$I$21,'Business Day Paris'!F164:F358)</f>
        <v>50549</v>
      </c>
      <c r="J185" s="1707">
        <f>IF(WORKDAY(EOMONTH(F185,0)+$J$21-1,1,'Business Day Paris'!F164:F358)&lt;=EOMONTH(Calendar!F186,0),WORKDAY(EOMONTH(F185,0)+$J$21-1,1,'Business Day Paris'!F164:F358),WORKDAY(EOMONTH(F185,0)+$J$21+1,-1,'Business Day Paris'!F164:F358))</f>
        <v>50552</v>
      </c>
      <c r="K185" s="1238"/>
    </row>
    <row r="186" spans="2:11">
      <c r="B186" s="1248">
        <v>164</v>
      </c>
      <c r="C186" s="2"/>
      <c r="D186" s="1705">
        <f t="shared" si="8"/>
        <v>50526</v>
      </c>
      <c r="E186" s="1706">
        <f t="shared" si="6"/>
        <v>50556</v>
      </c>
      <c r="F186" s="1706">
        <f t="shared" si="7"/>
        <v>50556</v>
      </c>
      <c r="G186" s="1706">
        <f>WORKDAY(F186,$G$21,'Business Day Paris'!F165:F359)</f>
        <v>50570</v>
      </c>
      <c r="H186" s="1706">
        <f>WORKDAY(J186,$H$21,'Business Day Paris'!F165:F359)</f>
        <v>50577</v>
      </c>
      <c r="I186" s="1706">
        <f>WORKDAY(J186,$I$21,'Business Day Paris'!F165:F359)</f>
        <v>50579</v>
      </c>
      <c r="J186" s="1707">
        <f>IF(WORKDAY(EOMONTH(F186,0)+$J$21-1,1,'Business Day Paris'!F165:F359)&lt;=EOMONTH(Calendar!F187,0),WORKDAY(EOMONTH(F186,0)+$J$21-1,1,'Business Day Paris'!F165:F359),WORKDAY(EOMONTH(F186,0)+$J$21+1,-1,'Business Day Paris'!F165:F359))</f>
        <v>50584</v>
      </c>
      <c r="K186" s="1238"/>
    </row>
    <row r="187" spans="2:11">
      <c r="B187" s="1248">
        <v>165</v>
      </c>
      <c r="C187" s="2"/>
      <c r="D187" s="1705">
        <f t="shared" si="8"/>
        <v>50557</v>
      </c>
      <c r="E187" s="1706">
        <f t="shared" si="6"/>
        <v>50586</v>
      </c>
      <c r="F187" s="1706">
        <f t="shared" si="7"/>
        <v>50586</v>
      </c>
      <c r="G187" s="1706">
        <f>WORKDAY(F187,$G$21,'Business Day Paris'!F166:F360)</f>
        <v>50600</v>
      </c>
      <c r="H187" s="1706">
        <f>WORKDAY(J187,$H$21,'Business Day Paris'!F166:F360)</f>
        <v>50606</v>
      </c>
      <c r="I187" s="1706">
        <f>WORKDAY(J187,$I$21,'Business Day Paris'!F166:F360)</f>
        <v>50608</v>
      </c>
      <c r="J187" s="1707">
        <f>IF(WORKDAY(EOMONTH(F187,0)+$J$21-1,1,'Business Day Paris'!F166:F360)&lt;=EOMONTH(Calendar!F188,0),WORKDAY(EOMONTH(F187,0)+$J$21-1,1,'Business Day Paris'!F166:F360),WORKDAY(EOMONTH(F187,0)+$J$21+1,-1,'Business Day Paris'!F166:F360))</f>
        <v>50613</v>
      </c>
      <c r="K187" s="1238"/>
    </row>
    <row r="188" spans="2:11">
      <c r="B188" s="1248">
        <v>166</v>
      </c>
      <c r="C188" s="2"/>
      <c r="D188" s="1705">
        <f t="shared" si="8"/>
        <v>50587</v>
      </c>
      <c r="E188" s="1706">
        <f t="shared" si="6"/>
        <v>50617</v>
      </c>
      <c r="F188" s="1706">
        <f t="shared" si="7"/>
        <v>50617</v>
      </c>
      <c r="G188" s="1706">
        <f>WORKDAY(F188,$G$21,'Business Day Paris'!F167:F361)</f>
        <v>50630</v>
      </c>
      <c r="H188" s="1706">
        <f>WORKDAY(J188,$H$21,'Business Day Paris'!F167:F361)</f>
        <v>50637</v>
      </c>
      <c r="I188" s="1706">
        <f>WORKDAY(J188,$I$21,'Business Day Paris'!F167:F361)</f>
        <v>50641</v>
      </c>
      <c r="J188" s="1707">
        <f>IF(WORKDAY(EOMONTH(F188,0)+$J$21-1,1,'Business Day Paris'!F167:F361)&lt;=EOMONTH(Calendar!F189,0),WORKDAY(EOMONTH(F188,0)+$J$21-1,1,'Business Day Paris'!F167:F361),WORKDAY(EOMONTH(F188,0)+$J$21+1,-1,'Business Day Paris'!F167:F361))</f>
        <v>50644</v>
      </c>
      <c r="K188" s="1238"/>
    </row>
    <row r="189" spans="2:11">
      <c r="B189" s="1248">
        <v>167</v>
      </c>
      <c r="C189" s="2"/>
      <c r="D189" s="1705">
        <f t="shared" si="8"/>
        <v>50618</v>
      </c>
      <c r="E189" s="1706">
        <f t="shared" si="6"/>
        <v>50648</v>
      </c>
      <c r="F189" s="1706">
        <f t="shared" si="7"/>
        <v>50648</v>
      </c>
      <c r="G189" s="1706">
        <f>WORKDAY(F189,$G$21,'Business Day Paris'!F168:F362)</f>
        <v>50662</v>
      </c>
      <c r="H189" s="1706">
        <f>WORKDAY(J189,$H$21,'Business Day Paris'!F168:F362)</f>
        <v>50668</v>
      </c>
      <c r="I189" s="1706">
        <f>WORKDAY(J189,$I$21,'Business Day Paris'!F168:F362)</f>
        <v>50670</v>
      </c>
      <c r="J189" s="1707">
        <f>IF(WORKDAY(EOMONTH(F189,0)+$J$21-1,1,'Business Day Paris'!F168:F362)&lt;=EOMONTH(Calendar!F190,0),WORKDAY(EOMONTH(F189,0)+$J$21-1,1,'Business Day Paris'!F168:F362),WORKDAY(EOMONTH(F189,0)+$J$21+1,-1,'Business Day Paris'!F168:F362))</f>
        <v>50675</v>
      </c>
      <c r="K189" s="1238"/>
    </row>
    <row r="190" spans="2:11">
      <c r="B190" s="1248">
        <v>168</v>
      </c>
      <c r="C190" s="2"/>
      <c r="D190" s="1705">
        <f t="shared" si="8"/>
        <v>50649</v>
      </c>
      <c r="E190" s="1706">
        <f t="shared" si="6"/>
        <v>50678</v>
      </c>
      <c r="F190" s="1706">
        <f t="shared" si="7"/>
        <v>50678</v>
      </c>
      <c r="G190" s="1706">
        <f>WORKDAY(F190,$G$21,'Business Day Paris'!F169:F363)</f>
        <v>50692</v>
      </c>
      <c r="H190" s="1706">
        <f>WORKDAY(J190,$H$21,'Business Day Paris'!F169:F363)</f>
        <v>50698</v>
      </c>
      <c r="I190" s="1706">
        <f>WORKDAY(J190,$I$21,'Business Day Paris'!F169:F363)</f>
        <v>50700</v>
      </c>
      <c r="J190" s="1707">
        <f>IF(WORKDAY(EOMONTH(F190,0)+$J$21-1,1,'Business Day Paris'!F169:F363)&lt;=EOMONTH(Calendar!F191,0),WORKDAY(EOMONTH(F190,0)+$J$21-1,1,'Business Day Paris'!F169:F363),WORKDAY(EOMONTH(F190,0)+$J$21+1,-1,'Business Day Paris'!F169:F363))</f>
        <v>50705</v>
      </c>
      <c r="K190" s="1238"/>
    </row>
    <row r="191" spans="2:11">
      <c r="B191" s="1248">
        <v>169</v>
      </c>
      <c r="C191" s="2"/>
      <c r="D191" s="1705">
        <f t="shared" si="8"/>
        <v>50679</v>
      </c>
      <c r="E191" s="1706">
        <f t="shared" si="6"/>
        <v>50709</v>
      </c>
      <c r="F191" s="1706">
        <f t="shared" si="7"/>
        <v>50709</v>
      </c>
      <c r="G191" s="1706">
        <f>WORKDAY(F191,$G$21,'Business Day Paris'!F170:F364)</f>
        <v>50721</v>
      </c>
      <c r="H191" s="1706">
        <f>WORKDAY(J191,$H$21,'Business Day Paris'!F170:F364)</f>
        <v>50731</v>
      </c>
      <c r="I191" s="1706">
        <f>WORKDAY(J191,$I$21,'Business Day Paris'!F170:F364)</f>
        <v>50733</v>
      </c>
      <c r="J191" s="1707">
        <f>IF(WORKDAY(EOMONTH(F191,0)+$J$21-1,1,'Business Day Paris'!F170:F364)&lt;=EOMONTH(Calendar!F192,0),WORKDAY(EOMONTH(F191,0)+$J$21-1,1,'Business Day Paris'!F170:F364),WORKDAY(EOMONTH(F191,0)+$J$21+1,-1,'Business Day Paris'!F170:F364))</f>
        <v>50738</v>
      </c>
      <c r="K191" s="1238"/>
    </row>
    <row r="192" spans="2:11">
      <c r="B192" s="1248">
        <v>170</v>
      </c>
      <c r="C192" s="2"/>
      <c r="D192" s="1705">
        <f t="shared" si="8"/>
        <v>50710</v>
      </c>
      <c r="E192" s="1706">
        <f t="shared" si="6"/>
        <v>50739</v>
      </c>
      <c r="F192" s="1706">
        <f t="shared" si="7"/>
        <v>50739</v>
      </c>
      <c r="G192" s="1706">
        <f>WORKDAY(F192,$G$21,'Business Day Paris'!F171:F365)</f>
        <v>50753</v>
      </c>
      <c r="H192" s="1706">
        <f>WORKDAY(J192,$H$21,'Business Day Paris'!F171:F365)</f>
        <v>50759</v>
      </c>
      <c r="I192" s="1706">
        <f>WORKDAY(J192,$I$21,'Business Day Paris'!F171:F365)</f>
        <v>50761</v>
      </c>
      <c r="J192" s="1707">
        <f>IF(WORKDAY(EOMONTH(F192,0)+$J$21-1,1,'Business Day Paris'!F171:F365)&lt;=EOMONTH(Calendar!F193,0),WORKDAY(EOMONTH(F192,0)+$J$21-1,1,'Business Day Paris'!F171:F365),WORKDAY(EOMONTH(F192,0)+$J$21+1,-1,'Business Day Paris'!F171:F365))</f>
        <v>50766</v>
      </c>
      <c r="K192" s="1238"/>
    </row>
    <row r="193" spans="2:11">
      <c r="B193" s="1248">
        <v>171</v>
      </c>
      <c r="C193" s="2"/>
      <c r="D193" s="1705">
        <f t="shared" si="8"/>
        <v>50740</v>
      </c>
      <c r="E193" s="1706">
        <f t="shared" si="6"/>
        <v>50770</v>
      </c>
      <c r="F193" s="1706">
        <f t="shared" si="7"/>
        <v>50770</v>
      </c>
      <c r="G193" s="1706">
        <f>WORKDAY(F193,$G$21,'Business Day Paris'!F172:F366)</f>
        <v>50784</v>
      </c>
      <c r="H193" s="1706">
        <f>WORKDAY(J193,$H$21,'Business Day Paris'!F172:F366)</f>
        <v>50790</v>
      </c>
      <c r="I193" s="1706">
        <f>WORKDAY(J193,$I$21,'Business Day Paris'!F172:F366)</f>
        <v>50794</v>
      </c>
      <c r="J193" s="1707">
        <f>IF(WORKDAY(EOMONTH(F193,0)+$J$21-1,1,'Business Day Paris'!F172:F366)&lt;=EOMONTH(Calendar!F194,0),WORKDAY(EOMONTH(F193,0)+$J$21-1,1,'Business Day Paris'!F172:F366),WORKDAY(EOMONTH(F193,0)+$J$21+1,-1,'Business Day Paris'!F172:F366))</f>
        <v>50797</v>
      </c>
      <c r="K193" s="1238"/>
    </row>
    <row r="194" spans="2:11">
      <c r="B194" s="1248">
        <v>172</v>
      </c>
      <c r="C194" s="2"/>
      <c r="D194" s="1705">
        <f t="shared" si="8"/>
        <v>50771</v>
      </c>
      <c r="E194" s="1706">
        <f t="shared" si="6"/>
        <v>50801</v>
      </c>
      <c r="F194" s="1706">
        <f t="shared" si="7"/>
        <v>50801</v>
      </c>
      <c r="G194" s="1706">
        <f>WORKDAY(F194,$G$21,'Business Day Paris'!F173:F367)</f>
        <v>50815</v>
      </c>
      <c r="H194" s="1706">
        <f>WORKDAY(J194,$H$21,'Business Day Paris'!F173:F367)</f>
        <v>50822</v>
      </c>
      <c r="I194" s="1706">
        <f>WORKDAY(J194,$I$21,'Business Day Paris'!F173:F367)</f>
        <v>50824</v>
      </c>
      <c r="J194" s="1707">
        <f>IF(WORKDAY(EOMONTH(F194,0)+$J$21-1,1,'Business Day Paris'!F173:F367)&lt;=EOMONTH(Calendar!F195,0),WORKDAY(EOMONTH(F194,0)+$J$21-1,1,'Business Day Paris'!F173:F367),WORKDAY(EOMONTH(F194,0)+$J$21+1,-1,'Business Day Paris'!F173:F367))</f>
        <v>50829</v>
      </c>
      <c r="K194" s="1238"/>
    </row>
    <row r="195" spans="2:11">
      <c r="B195" s="1248">
        <v>173</v>
      </c>
      <c r="C195" s="2"/>
      <c r="D195" s="1705">
        <f t="shared" si="8"/>
        <v>50802</v>
      </c>
      <c r="E195" s="1706">
        <f t="shared" si="6"/>
        <v>50829</v>
      </c>
      <c r="F195" s="1706">
        <f t="shared" si="7"/>
        <v>50829</v>
      </c>
      <c r="G195" s="1706">
        <f>WORKDAY(F195,$G$21,'Business Day Paris'!F174:F368)</f>
        <v>50843</v>
      </c>
      <c r="H195" s="1706">
        <f>WORKDAY(J195,$H$21,'Business Day Paris'!F174:F368)</f>
        <v>50850</v>
      </c>
      <c r="I195" s="1706">
        <f>WORKDAY(J195,$I$21,'Business Day Paris'!F174:F368)</f>
        <v>50852</v>
      </c>
      <c r="J195" s="1707">
        <f>IF(WORKDAY(EOMONTH(F195,0)+$J$21-1,1,'Business Day Paris'!F174:F368)&lt;=EOMONTH(Calendar!F196,0),WORKDAY(EOMONTH(F195,0)+$J$21-1,1,'Business Day Paris'!F174:F368),WORKDAY(EOMONTH(F195,0)+$J$21+1,-1,'Business Day Paris'!F174:F368))</f>
        <v>50857</v>
      </c>
      <c r="K195" s="1238"/>
    </row>
    <row r="196" spans="2:11">
      <c r="B196" s="1248">
        <v>174</v>
      </c>
      <c r="C196" s="2"/>
      <c r="D196" s="1705">
        <f t="shared" si="8"/>
        <v>50830</v>
      </c>
      <c r="E196" s="1706">
        <f t="shared" si="6"/>
        <v>50860</v>
      </c>
      <c r="F196" s="1706">
        <f t="shared" si="7"/>
        <v>50860</v>
      </c>
      <c r="G196" s="1706">
        <f>WORKDAY(F196,$G$21,'Business Day Paris'!F175:F369)</f>
        <v>50874</v>
      </c>
      <c r="H196" s="1706">
        <f>WORKDAY(J196,$H$21,'Business Day Paris'!F175:F369)</f>
        <v>50880</v>
      </c>
      <c r="I196" s="1706">
        <f>WORKDAY(J196,$I$21,'Business Day Paris'!F175:F369)</f>
        <v>50882</v>
      </c>
      <c r="J196" s="1707">
        <f>IF(WORKDAY(EOMONTH(F196,0)+$J$21-1,1,'Business Day Paris'!F175:F369)&lt;=EOMONTH(Calendar!F197,0),WORKDAY(EOMONTH(F196,0)+$J$21-1,1,'Business Day Paris'!F175:F369),WORKDAY(EOMONTH(F196,0)+$J$21+1,-1,'Business Day Paris'!F175:F369))</f>
        <v>50887</v>
      </c>
      <c r="K196" s="1238"/>
    </row>
    <row r="197" spans="2:11">
      <c r="B197" s="1248">
        <v>175</v>
      </c>
      <c r="C197" s="2"/>
      <c r="D197" s="1705">
        <f t="shared" si="8"/>
        <v>50861</v>
      </c>
      <c r="E197" s="1706">
        <f t="shared" si="6"/>
        <v>50890</v>
      </c>
      <c r="F197" s="1706">
        <f t="shared" si="7"/>
        <v>50890</v>
      </c>
      <c r="G197" s="1706">
        <f>WORKDAY(F197,$G$21,'Business Day Paris'!F176:F370)</f>
        <v>50903</v>
      </c>
      <c r="H197" s="1706">
        <f>WORKDAY(J197,$H$21,'Business Day Paris'!F176:F370)</f>
        <v>50910</v>
      </c>
      <c r="I197" s="1706">
        <f>WORKDAY(J197,$I$21,'Business Day Paris'!F176:F370)</f>
        <v>50914</v>
      </c>
      <c r="J197" s="1707">
        <f>IF(WORKDAY(EOMONTH(F197,0)+$J$21-1,1,'Business Day Paris'!F176:F370)&lt;=EOMONTH(Calendar!F198,0),WORKDAY(EOMONTH(F197,0)+$J$21-1,1,'Business Day Paris'!F176:F370),WORKDAY(EOMONTH(F197,0)+$J$21+1,-1,'Business Day Paris'!F176:F370))</f>
        <v>50917</v>
      </c>
      <c r="K197" s="1238"/>
    </row>
    <row r="198" spans="2:11">
      <c r="B198" s="1248">
        <v>176</v>
      </c>
      <c r="C198" s="2"/>
      <c r="D198" s="1705">
        <f t="shared" si="8"/>
        <v>50891</v>
      </c>
      <c r="E198" s="1706">
        <f t="shared" si="6"/>
        <v>50921</v>
      </c>
      <c r="F198" s="1706">
        <f t="shared" si="7"/>
        <v>50921</v>
      </c>
      <c r="G198" s="1706">
        <f>WORKDAY(F198,$G$21,'Business Day Paris'!F177:F371)</f>
        <v>50935</v>
      </c>
      <c r="H198" s="1706">
        <f>WORKDAY(J198,$H$21,'Business Day Paris'!F177:F371)</f>
        <v>50941</v>
      </c>
      <c r="I198" s="1706">
        <f>WORKDAY(J198,$I$21,'Business Day Paris'!F177:F371)</f>
        <v>50943</v>
      </c>
      <c r="J198" s="1707">
        <f>IF(WORKDAY(EOMONTH(F198,0)+$J$21-1,1,'Business Day Paris'!F177:F371)&lt;=EOMONTH(Calendar!F199,0),WORKDAY(EOMONTH(F198,0)+$J$21-1,1,'Business Day Paris'!F177:F371),WORKDAY(EOMONTH(F198,0)+$J$21+1,-1,'Business Day Paris'!F177:F371))</f>
        <v>50948</v>
      </c>
      <c r="K198" s="1238"/>
    </row>
    <row r="199" spans="2:11">
      <c r="B199" s="1248">
        <v>177</v>
      </c>
      <c r="C199" s="2"/>
      <c r="D199" s="1705">
        <f t="shared" si="8"/>
        <v>50922</v>
      </c>
      <c r="E199" s="1706">
        <f t="shared" si="6"/>
        <v>50951</v>
      </c>
      <c r="F199" s="1706">
        <f t="shared" si="7"/>
        <v>50951</v>
      </c>
      <c r="G199" s="1706">
        <f>WORKDAY(F199,$G$21,'Business Day Paris'!F178:F372)</f>
        <v>50965</v>
      </c>
      <c r="H199" s="1706">
        <f>WORKDAY(J199,$H$21,'Business Day Paris'!F178:F372)</f>
        <v>50971</v>
      </c>
      <c r="I199" s="1706">
        <f>WORKDAY(J199,$I$21,'Business Day Paris'!F178:F372)</f>
        <v>50973</v>
      </c>
      <c r="J199" s="1707">
        <f>IF(WORKDAY(EOMONTH(F199,0)+$J$21-1,1,'Business Day Paris'!F178:F372)&lt;=EOMONTH(Calendar!F200,0),WORKDAY(EOMONTH(F199,0)+$J$21-1,1,'Business Day Paris'!F178:F372),WORKDAY(EOMONTH(F199,0)+$J$21+1,-1,'Business Day Paris'!F178:F372))</f>
        <v>50978</v>
      </c>
      <c r="K199" s="1238"/>
    </row>
    <row r="200" spans="2:11">
      <c r="B200" s="1248">
        <v>178</v>
      </c>
      <c r="C200" s="2"/>
      <c r="D200" s="1705">
        <f t="shared" si="8"/>
        <v>50952</v>
      </c>
      <c r="E200" s="1706">
        <f t="shared" si="6"/>
        <v>50982</v>
      </c>
      <c r="F200" s="1706">
        <f t="shared" si="7"/>
        <v>50982</v>
      </c>
      <c r="G200" s="1706">
        <f>WORKDAY(F200,$G$21,'Business Day Paris'!F179:F373)</f>
        <v>50994</v>
      </c>
      <c r="H200" s="1706">
        <f>WORKDAY(J200,$H$21,'Business Day Paris'!F179:F373)</f>
        <v>51004</v>
      </c>
      <c r="I200" s="1706">
        <f>WORKDAY(J200,$I$21,'Business Day Paris'!F179:F373)</f>
        <v>51006</v>
      </c>
      <c r="J200" s="1707">
        <f>IF(WORKDAY(EOMONTH(F200,0)+$J$21-1,1,'Business Day Paris'!F179:F373)&lt;=EOMONTH(Calendar!F201,0),WORKDAY(EOMONTH(F200,0)+$J$21-1,1,'Business Day Paris'!F179:F373),WORKDAY(EOMONTH(F200,0)+$J$21+1,-1,'Business Day Paris'!F179:F373))</f>
        <v>51011</v>
      </c>
      <c r="K200" s="1238"/>
    </row>
    <row r="201" spans="2:11">
      <c r="B201" s="1248">
        <v>179</v>
      </c>
      <c r="C201" s="2"/>
      <c r="D201" s="1705">
        <f t="shared" si="8"/>
        <v>50983</v>
      </c>
      <c r="E201" s="1706">
        <f t="shared" si="6"/>
        <v>51013</v>
      </c>
      <c r="F201" s="1706">
        <f t="shared" si="7"/>
        <v>51013</v>
      </c>
      <c r="G201" s="1706">
        <f>WORKDAY(F201,$G$21,'Business Day Paris'!F180:F374)</f>
        <v>51027</v>
      </c>
      <c r="H201" s="1706">
        <f>WORKDAY(J201,$H$21,'Business Day Paris'!F180:F374)</f>
        <v>51033</v>
      </c>
      <c r="I201" s="1706">
        <f>WORKDAY(J201,$I$21,'Business Day Paris'!F180:F374)</f>
        <v>51035</v>
      </c>
      <c r="J201" s="1707">
        <f>IF(WORKDAY(EOMONTH(F201,0)+$J$21-1,1,'Business Day Paris'!F180:F374)&lt;=EOMONTH(Calendar!F202,0),WORKDAY(EOMONTH(F201,0)+$J$21-1,1,'Business Day Paris'!F180:F374),WORKDAY(EOMONTH(F201,0)+$J$21+1,-1,'Business Day Paris'!F180:F374))</f>
        <v>51040</v>
      </c>
      <c r="K201" s="1238"/>
    </row>
    <row r="202" spans="2:11">
      <c r="B202" s="1248">
        <v>180</v>
      </c>
      <c r="C202" s="2"/>
      <c r="D202" s="1705">
        <f t="shared" si="8"/>
        <v>51014</v>
      </c>
      <c r="E202" s="1706">
        <f t="shared" si="6"/>
        <v>51043</v>
      </c>
      <c r="F202" s="1706">
        <f t="shared" si="7"/>
        <v>51043</v>
      </c>
      <c r="G202" s="1706">
        <f>WORKDAY(F202,$G$21,'Business Day Paris'!F181:F375)</f>
        <v>51057</v>
      </c>
      <c r="H202" s="1706">
        <f>WORKDAY(J202,$H$21,'Business Day Paris'!F181:F375)</f>
        <v>51063</v>
      </c>
      <c r="I202" s="1706">
        <f>WORKDAY(J202,$I$21,'Business Day Paris'!F181:F375)</f>
        <v>51067</v>
      </c>
      <c r="J202" s="1707">
        <f>IF(WORKDAY(EOMONTH(F202,0)+$J$21-1,1,'Business Day Paris'!F181:F375)&lt;=EOMONTH(Calendar!F203,0),WORKDAY(EOMONTH(F202,0)+$J$21-1,1,'Business Day Paris'!F181:F375),WORKDAY(EOMONTH(F202,0)+$J$21+1,-1,'Business Day Paris'!F181:F375))</f>
        <v>51070</v>
      </c>
      <c r="K202" s="1238"/>
    </row>
    <row r="203" spans="2:11">
      <c r="B203" s="1248">
        <v>181</v>
      </c>
      <c r="C203" s="2"/>
      <c r="D203" s="1705">
        <f t="shared" si="8"/>
        <v>51044</v>
      </c>
      <c r="E203" s="1706">
        <f t="shared" si="6"/>
        <v>51074</v>
      </c>
      <c r="F203" s="1706">
        <f t="shared" si="7"/>
        <v>51074</v>
      </c>
      <c r="G203" s="1706">
        <f>WORKDAY(F203,$G$21,'Business Day Paris'!F182:F376)</f>
        <v>51088</v>
      </c>
      <c r="H203" s="1706">
        <f>WORKDAY(J203,$H$21,'Business Day Paris'!F182:F376)</f>
        <v>51095</v>
      </c>
      <c r="I203" s="1706">
        <f>WORKDAY(J203,$I$21,'Business Day Paris'!F182:F376)</f>
        <v>51097</v>
      </c>
      <c r="J203" s="1707">
        <f>IF(WORKDAY(EOMONTH(F203,0)+$J$21-1,1,'Business Day Paris'!F182:F376)&lt;=EOMONTH(Calendar!F204,0),WORKDAY(EOMONTH(F203,0)+$J$21-1,1,'Business Day Paris'!F182:F376),WORKDAY(EOMONTH(F203,0)+$J$21+1,-1,'Business Day Paris'!F182:F376))</f>
        <v>51102</v>
      </c>
      <c r="K203" s="1238"/>
    </row>
    <row r="204" spans="2:11">
      <c r="B204" s="1248">
        <v>182</v>
      </c>
      <c r="C204" s="2"/>
      <c r="D204" s="1705">
        <f t="shared" si="8"/>
        <v>51075</v>
      </c>
      <c r="E204" s="1706">
        <f t="shared" si="6"/>
        <v>51104</v>
      </c>
      <c r="F204" s="1706">
        <f t="shared" si="7"/>
        <v>51104</v>
      </c>
      <c r="G204" s="1706">
        <f>WORKDAY(F204,$G$21,'Business Day Paris'!F183:F377)</f>
        <v>51118</v>
      </c>
      <c r="H204" s="1706">
        <f>WORKDAY(J204,$H$21,'Business Day Paris'!F183:F377)</f>
        <v>51124</v>
      </c>
      <c r="I204" s="1706">
        <f>WORKDAY(J204,$I$21,'Business Day Paris'!F183:F377)</f>
        <v>51126</v>
      </c>
      <c r="J204" s="1707">
        <f>IF(WORKDAY(EOMONTH(F204,0)+$J$21-1,1,'Business Day Paris'!F183:F377)&lt;=EOMONTH(Calendar!F205,0),WORKDAY(EOMONTH(F204,0)+$J$21-1,1,'Business Day Paris'!F183:F377),WORKDAY(EOMONTH(F204,0)+$J$21+1,-1,'Business Day Paris'!F183:F377))</f>
        <v>51131</v>
      </c>
      <c r="K204" s="1238"/>
    </row>
    <row r="205" spans="2:11">
      <c r="B205" s="1248">
        <v>183</v>
      </c>
      <c r="C205" s="2"/>
      <c r="D205" s="1705">
        <f t="shared" si="8"/>
        <v>51105</v>
      </c>
      <c r="E205" s="1706">
        <f t="shared" si="6"/>
        <v>51135</v>
      </c>
      <c r="F205" s="1706">
        <f t="shared" si="7"/>
        <v>51135</v>
      </c>
      <c r="G205" s="1706">
        <f>WORKDAY(F205,$G$21,'Business Day Paris'!F184:F378)</f>
        <v>51148</v>
      </c>
      <c r="H205" s="1706">
        <f>WORKDAY(J205,$H$21,'Business Day Paris'!F184:F378)</f>
        <v>51155</v>
      </c>
      <c r="I205" s="1706">
        <f>WORKDAY(J205,$I$21,'Business Day Paris'!F184:F378)</f>
        <v>51159</v>
      </c>
      <c r="J205" s="1707">
        <f>IF(WORKDAY(EOMONTH(F205,0)+$J$21-1,1,'Business Day Paris'!F184:F378)&lt;=EOMONTH(Calendar!F206,0),WORKDAY(EOMONTH(F205,0)+$J$21-1,1,'Business Day Paris'!F184:F378),WORKDAY(EOMONTH(F205,0)+$J$21+1,-1,'Business Day Paris'!F184:F378))</f>
        <v>51162</v>
      </c>
      <c r="K205" s="1238"/>
    </row>
    <row r="206" spans="2:11">
      <c r="B206" s="1248">
        <v>184</v>
      </c>
      <c r="C206" s="2"/>
      <c r="D206" s="1705">
        <f t="shared" si="8"/>
        <v>51136</v>
      </c>
      <c r="E206" s="1706">
        <f t="shared" si="6"/>
        <v>51166</v>
      </c>
      <c r="F206" s="1706">
        <f t="shared" si="7"/>
        <v>51166</v>
      </c>
      <c r="G206" s="1706">
        <f>WORKDAY(F206,$G$21,'Business Day Paris'!F185:F379)</f>
        <v>51180</v>
      </c>
      <c r="H206" s="1706">
        <f>WORKDAY(J206,$H$21,'Business Day Paris'!F185:F379)</f>
        <v>51186</v>
      </c>
      <c r="I206" s="1706">
        <f>WORKDAY(J206,$I$21,'Business Day Paris'!F185:F379)</f>
        <v>51188</v>
      </c>
      <c r="J206" s="1707">
        <f>IF(WORKDAY(EOMONTH(F206,0)+$J$21-1,1,'Business Day Paris'!F185:F379)&lt;=EOMONTH(Calendar!F207,0),WORKDAY(EOMONTH(F206,0)+$J$21-1,1,'Business Day Paris'!F185:F379),WORKDAY(EOMONTH(F206,0)+$J$21+1,-1,'Business Day Paris'!F185:F379))</f>
        <v>51193</v>
      </c>
      <c r="K206" s="1238"/>
    </row>
    <row r="207" spans="2:11">
      <c r="B207" s="1248">
        <v>185</v>
      </c>
      <c r="C207" s="2"/>
      <c r="D207" s="1705">
        <f t="shared" si="8"/>
        <v>51167</v>
      </c>
      <c r="E207" s="1706">
        <f t="shared" si="6"/>
        <v>51195</v>
      </c>
      <c r="F207" s="1706">
        <f t="shared" si="7"/>
        <v>51195</v>
      </c>
      <c r="G207" s="1706">
        <f>WORKDAY(F207,$G$21,'Business Day Paris'!F186:F380)</f>
        <v>51209</v>
      </c>
      <c r="H207" s="1706">
        <f>WORKDAY(J207,$H$21,'Business Day Paris'!F186:F380)</f>
        <v>51215</v>
      </c>
      <c r="I207" s="1706">
        <f>WORKDAY(J207,$I$21,'Business Day Paris'!F186:F380)</f>
        <v>51217</v>
      </c>
      <c r="J207" s="1707">
        <f>IF(WORKDAY(EOMONTH(F207,0)+$J$21-1,1,'Business Day Paris'!F186:F380)&lt;=EOMONTH(Calendar!F208,0),WORKDAY(EOMONTH(F207,0)+$J$21-1,1,'Business Day Paris'!F186:F380),WORKDAY(EOMONTH(F207,0)+$J$21+1,-1,'Business Day Paris'!F186:F380))</f>
        <v>51222</v>
      </c>
      <c r="K207" s="1238"/>
    </row>
    <row r="208" spans="2:11">
      <c r="B208" s="1248">
        <v>186</v>
      </c>
      <c r="C208" s="2"/>
      <c r="D208" s="1705">
        <f t="shared" si="8"/>
        <v>51196</v>
      </c>
      <c r="E208" s="1706">
        <f t="shared" si="6"/>
        <v>51226</v>
      </c>
      <c r="F208" s="1706">
        <f t="shared" si="7"/>
        <v>51226</v>
      </c>
      <c r="G208" s="1706">
        <f>WORKDAY(F208,$G$21,'Business Day Paris'!F187:F381)</f>
        <v>51239</v>
      </c>
      <c r="H208" s="1706">
        <f>WORKDAY(J208,$H$21,'Business Day Paris'!F187:F381)</f>
        <v>51246</v>
      </c>
      <c r="I208" s="1706">
        <f>WORKDAY(J208,$I$21,'Business Day Paris'!F187:F381)</f>
        <v>51250</v>
      </c>
      <c r="J208" s="1707">
        <f>IF(WORKDAY(EOMONTH(F208,0)+$J$21-1,1,'Business Day Paris'!F187:F381)&lt;=EOMONTH(Calendar!F209,0),WORKDAY(EOMONTH(F208,0)+$J$21-1,1,'Business Day Paris'!F187:F381),WORKDAY(EOMONTH(F208,0)+$J$21+1,-1,'Business Day Paris'!F187:F381))</f>
        <v>51253</v>
      </c>
      <c r="K208" s="1238"/>
    </row>
    <row r="209" spans="2:11">
      <c r="B209" s="1248">
        <v>187</v>
      </c>
      <c r="C209" s="2"/>
      <c r="D209" s="1705">
        <f t="shared" si="8"/>
        <v>51227</v>
      </c>
      <c r="E209" s="1706">
        <f t="shared" si="6"/>
        <v>51256</v>
      </c>
      <c r="F209" s="1706">
        <f t="shared" si="7"/>
        <v>51256</v>
      </c>
      <c r="G209" s="1706">
        <f>WORKDAY(F209,$G$21,'Business Day Paris'!F188:F382)</f>
        <v>51270</v>
      </c>
      <c r="H209" s="1706">
        <f>WORKDAY(J209,$H$21,'Business Day Paris'!F188:F382)</f>
        <v>51277</v>
      </c>
      <c r="I209" s="1706">
        <f>WORKDAY(J209,$I$21,'Business Day Paris'!F188:F382)</f>
        <v>51279</v>
      </c>
      <c r="J209" s="1707">
        <f>IF(WORKDAY(EOMONTH(F209,0)+$J$21-1,1,'Business Day Paris'!F188:F382)&lt;=EOMONTH(Calendar!F210,0),WORKDAY(EOMONTH(F209,0)+$J$21-1,1,'Business Day Paris'!F188:F382),WORKDAY(EOMONTH(F209,0)+$J$21+1,-1,'Business Day Paris'!F188:F382))</f>
        <v>51284</v>
      </c>
      <c r="K209" s="1238"/>
    </row>
    <row r="210" spans="2:11">
      <c r="B210" s="1248">
        <v>188</v>
      </c>
      <c r="C210" s="2"/>
      <c r="D210" s="1705">
        <f t="shared" si="8"/>
        <v>51257</v>
      </c>
      <c r="E210" s="1706">
        <f t="shared" si="6"/>
        <v>51287</v>
      </c>
      <c r="F210" s="1706">
        <f t="shared" si="7"/>
        <v>51287</v>
      </c>
      <c r="G210" s="1706">
        <f>WORKDAY(F210,$G$21,'Business Day Paris'!F189:F383)</f>
        <v>51301</v>
      </c>
      <c r="H210" s="1706">
        <f>WORKDAY(J210,$H$21,'Business Day Paris'!F189:F383)</f>
        <v>51307</v>
      </c>
      <c r="I210" s="1706">
        <f>WORKDAY(J210,$I$21,'Business Day Paris'!F189:F383)</f>
        <v>51309</v>
      </c>
      <c r="J210" s="1707">
        <f>IF(WORKDAY(EOMONTH(F210,0)+$J$21-1,1,'Business Day Paris'!F189:F383)&lt;=EOMONTH(Calendar!F211,0),WORKDAY(EOMONTH(F210,0)+$J$21-1,1,'Business Day Paris'!F189:F383),WORKDAY(EOMONTH(F210,0)+$J$21+1,-1,'Business Day Paris'!F189:F383))</f>
        <v>51314</v>
      </c>
      <c r="K210" s="1238"/>
    </row>
    <row r="211" spans="2:11">
      <c r="B211" s="1248">
        <v>189</v>
      </c>
      <c r="C211" s="2"/>
      <c r="D211" s="1705">
        <f t="shared" si="8"/>
        <v>51288</v>
      </c>
      <c r="E211" s="1706">
        <f t="shared" si="6"/>
        <v>51317</v>
      </c>
      <c r="F211" s="1706">
        <f t="shared" si="7"/>
        <v>51317</v>
      </c>
      <c r="G211" s="1706">
        <f>WORKDAY(F211,$G$21,'Business Day Paris'!F190:F384)</f>
        <v>51330</v>
      </c>
      <c r="H211" s="1706">
        <f>WORKDAY(J211,$H$21,'Business Day Paris'!F190:F384)</f>
        <v>51337</v>
      </c>
      <c r="I211" s="1706">
        <f>WORKDAY(J211,$I$21,'Business Day Paris'!F190:F384)</f>
        <v>51341</v>
      </c>
      <c r="J211" s="1707">
        <f>IF(WORKDAY(EOMONTH(F211,0)+$J$21-1,1,'Business Day Paris'!F190:F384)&lt;=EOMONTH(Calendar!F212,0),WORKDAY(EOMONTH(F211,0)+$J$21-1,1,'Business Day Paris'!F190:F384),WORKDAY(EOMONTH(F211,0)+$J$21+1,-1,'Business Day Paris'!F190:F384))</f>
        <v>51344</v>
      </c>
      <c r="K211" s="1238"/>
    </row>
    <row r="212" spans="2:11">
      <c r="B212" s="1248">
        <v>190</v>
      </c>
      <c r="C212" s="2"/>
      <c r="D212" s="1705">
        <f t="shared" si="8"/>
        <v>51318</v>
      </c>
      <c r="E212" s="1706">
        <f t="shared" si="6"/>
        <v>51348</v>
      </c>
      <c r="F212" s="1706">
        <f t="shared" si="7"/>
        <v>51348</v>
      </c>
      <c r="G212" s="1706">
        <f>WORKDAY(F212,$G$21,'Business Day Paris'!F191:F385)</f>
        <v>51362</v>
      </c>
      <c r="H212" s="1706">
        <f>WORKDAY(J212,$H$21,'Business Day Paris'!F191:F385)</f>
        <v>51368</v>
      </c>
      <c r="I212" s="1706">
        <f>WORKDAY(J212,$I$21,'Business Day Paris'!F191:F385)</f>
        <v>51370</v>
      </c>
      <c r="J212" s="1707">
        <f>IF(WORKDAY(EOMONTH(F212,0)+$J$21-1,1,'Business Day Paris'!F191:F385)&lt;=EOMONTH(Calendar!F213,0),WORKDAY(EOMONTH(F212,0)+$J$21-1,1,'Business Day Paris'!F191:F385),WORKDAY(EOMONTH(F212,0)+$J$21+1,-1,'Business Day Paris'!F191:F385))</f>
        <v>51375</v>
      </c>
      <c r="K212" s="1238"/>
    </row>
    <row r="213" spans="2:11">
      <c r="B213" s="1248">
        <v>191</v>
      </c>
      <c r="C213" s="2"/>
      <c r="D213" s="1705">
        <f t="shared" si="8"/>
        <v>51349</v>
      </c>
      <c r="E213" s="1706">
        <f t="shared" si="6"/>
        <v>51379</v>
      </c>
      <c r="F213" s="1706">
        <f t="shared" si="7"/>
        <v>51379</v>
      </c>
      <c r="G213" s="1706">
        <f>WORKDAY(F213,$G$21,'Business Day Paris'!F192:F386)</f>
        <v>51393</v>
      </c>
      <c r="H213" s="1706">
        <f>WORKDAY(J213,$H$21,'Business Day Paris'!F192:F386)</f>
        <v>51399</v>
      </c>
      <c r="I213" s="1706">
        <f>WORKDAY(J213,$I$21,'Business Day Paris'!F192:F386)</f>
        <v>51403</v>
      </c>
      <c r="J213" s="1707">
        <f>IF(WORKDAY(EOMONTH(F213,0)+$J$21-1,1,'Business Day Paris'!F192:F386)&lt;=EOMONTH(Calendar!F214,0),WORKDAY(EOMONTH(F213,0)+$J$21-1,1,'Business Day Paris'!F192:F386),WORKDAY(EOMONTH(F213,0)+$J$21+1,-1,'Business Day Paris'!F192:F386))</f>
        <v>51406</v>
      </c>
      <c r="K213" s="1238"/>
    </row>
    <row r="214" spans="2:11">
      <c r="B214" s="1248">
        <v>192</v>
      </c>
      <c r="C214" s="2"/>
      <c r="D214" s="1705">
        <f t="shared" si="8"/>
        <v>51380</v>
      </c>
      <c r="E214" s="1706">
        <f t="shared" si="6"/>
        <v>51409</v>
      </c>
      <c r="F214" s="1706">
        <f t="shared" si="7"/>
        <v>51409</v>
      </c>
      <c r="G214" s="1706">
        <f>WORKDAY(F214,$G$21,'Business Day Paris'!F193:F387)</f>
        <v>51421</v>
      </c>
      <c r="H214" s="1706">
        <f>WORKDAY(J214,$H$21,'Business Day Paris'!F193:F387)</f>
        <v>51431</v>
      </c>
      <c r="I214" s="1706">
        <f>WORKDAY(J214,$I$21,'Business Day Paris'!F193:F387)</f>
        <v>51433</v>
      </c>
      <c r="J214" s="1707">
        <f>IF(WORKDAY(EOMONTH(F214,0)+$J$21-1,1,'Business Day Paris'!F193:F387)&lt;=EOMONTH(Calendar!F215,0),WORKDAY(EOMONTH(F214,0)+$J$21-1,1,'Business Day Paris'!F193:F387),WORKDAY(EOMONTH(F214,0)+$J$21+1,-1,'Business Day Paris'!F193:F387))</f>
        <v>51438</v>
      </c>
      <c r="K214" s="1238"/>
    </row>
    <row r="215" spans="2:11">
      <c r="B215" s="1248">
        <v>193</v>
      </c>
      <c r="C215" s="2"/>
      <c r="D215" s="1705">
        <f t="shared" si="8"/>
        <v>51410</v>
      </c>
      <c r="E215" s="1706">
        <f t="shared" si="6"/>
        <v>51440</v>
      </c>
      <c r="F215" s="1706">
        <f t="shared" si="7"/>
        <v>51440</v>
      </c>
      <c r="G215" s="1706">
        <f>WORKDAY(F215,$G$21,'Business Day Paris'!F194:F388)</f>
        <v>51454</v>
      </c>
      <c r="H215" s="1706">
        <f>WORKDAY(J215,$H$21,'Business Day Paris'!F194:F388)</f>
        <v>51460</v>
      </c>
      <c r="I215" s="1706">
        <f>WORKDAY(J215,$I$21,'Business Day Paris'!F194:F388)</f>
        <v>51462</v>
      </c>
      <c r="J215" s="1707">
        <f>IF(WORKDAY(EOMONTH(F215,0)+$J$21-1,1,'Business Day Paris'!F194:F388)&lt;=EOMONTH(Calendar!F216,0),WORKDAY(EOMONTH(F215,0)+$J$21-1,1,'Business Day Paris'!F194:F388),WORKDAY(EOMONTH(F215,0)+$J$21+1,-1,'Business Day Paris'!F194:F388))</f>
        <v>51467</v>
      </c>
      <c r="K215" s="1238"/>
    </row>
    <row r="216" spans="2:11">
      <c r="B216" s="1248">
        <v>194</v>
      </c>
      <c r="C216" s="2"/>
      <c r="D216" s="1705">
        <f t="shared" si="8"/>
        <v>51441</v>
      </c>
      <c r="E216" s="1706">
        <f t="shared" ref="E216:E279" si="9">EOMONTH(D216,0)</f>
        <v>51470</v>
      </c>
      <c r="F216" s="1706">
        <f t="shared" ref="F216:F279" si="10">E216</f>
        <v>51470</v>
      </c>
      <c r="G216" s="1706">
        <f>WORKDAY(F216,$G$21,'Business Day Paris'!F195:F389)</f>
        <v>51484</v>
      </c>
      <c r="H216" s="1706">
        <f>WORKDAY(J216,$H$21,'Business Day Paris'!F195:F389)</f>
        <v>51490</v>
      </c>
      <c r="I216" s="1706">
        <f>WORKDAY(J216,$I$21,'Business Day Paris'!F195:F389)</f>
        <v>51494</v>
      </c>
      <c r="J216" s="1707">
        <f>IF(WORKDAY(EOMONTH(F216,0)+$J$21-1,1,'Business Day Paris'!F195:F389)&lt;=EOMONTH(Calendar!F217,0),WORKDAY(EOMONTH(F216,0)+$J$21-1,1,'Business Day Paris'!F195:F389),WORKDAY(EOMONTH(F216,0)+$J$21+1,-1,'Business Day Paris'!F195:F389))</f>
        <v>51497</v>
      </c>
      <c r="K216" s="1238"/>
    </row>
    <row r="217" spans="2:11">
      <c r="B217" s="1248">
        <v>195</v>
      </c>
      <c r="C217" s="2"/>
      <c r="D217" s="1705">
        <f t="shared" ref="D217:D280" si="11">EOMONTH(D216,0)+1</f>
        <v>51471</v>
      </c>
      <c r="E217" s="1706">
        <f t="shared" si="9"/>
        <v>51501</v>
      </c>
      <c r="F217" s="1706">
        <f t="shared" si="10"/>
        <v>51501</v>
      </c>
      <c r="G217" s="1706">
        <f>WORKDAY(F217,$G$21,'Business Day Paris'!F196:F390)</f>
        <v>51515</v>
      </c>
      <c r="H217" s="1706">
        <f>WORKDAY(J217,$H$21,'Business Day Paris'!F196:F390)</f>
        <v>51522</v>
      </c>
      <c r="I217" s="1706">
        <f>WORKDAY(J217,$I$21,'Business Day Paris'!F196:F390)</f>
        <v>51524</v>
      </c>
      <c r="J217" s="1707">
        <f>IF(WORKDAY(EOMONTH(F217,0)+$J$21-1,1,'Business Day Paris'!F196:F390)&lt;=EOMONTH(Calendar!F218,0),WORKDAY(EOMONTH(F217,0)+$J$21-1,1,'Business Day Paris'!F196:F390),WORKDAY(EOMONTH(F217,0)+$J$21+1,-1,'Business Day Paris'!F196:F390))</f>
        <v>51529</v>
      </c>
      <c r="K217" s="1238"/>
    </row>
    <row r="218" spans="2:11">
      <c r="B218" s="1248">
        <v>196</v>
      </c>
      <c r="C218" s="2"/>
      <c r="D218" s="1705">
        <f t="shared" si="11"/>
        <v>51502</v>
      </c>
      <c r="E218" s="1706">
        <f t="shared" si="9"/>
        <v>51532</v>
      </c>
      <c r="F218" s="1706">
        <f t="shared" si="10"/>
        <v>51532</v>
      </c>
      <c r="G218" s="1706">
        <f>WORKDAY(F218,$G$21,'Business Day Paris'!F197:F391)</f>
        <v>51546</v>
      </c>
      <c r="H218" s="1706">
        <f>WORKDAY(J218,$H$21,'Business Day Paris'!F197:F391)</f>
        <v>51552</v>
      </c>
      <c r="I218" s="1706">
        <f>WORKDAY(J218,$I$21,'Business Day Paris'!F197:F391)</f>
        <v>51554</v>
      </c>
      <c r="J218" s="1707">
        <f>IF(WORKDAY(EOMONTH(F218,0)+$J$21-1,1,'Business Day Paris'!F197:F391)&lt;=EOMONTH(Calendar!F219,0),WORKDAY(EOMONTH(F218,0)+$J$21-1,1,'Business Day Paris'!F197:F391),WORKDAY(EOMONTH(F218,0)+$J$21+1,-1,'Business Day Paris'!F197:F391))</f>
        <v>51559</v>
      </c>
      <c r="K218" s="1238"/>
    </row>
    <row r="219" spans="2:11">
      <c r="B219" s="1248">
        <v>197</v>
      </c>
      <c r="C219" s="2"/>
      <c r="D219" s="1705">
        <f t="shared" si="11"/>
        <v>51533</v>
      </c>
      <c r="E219" s="1706">
        <f t="shared" si="9"/>
        <v>51560</v>
      </c>
      <c r="F219" s="1706">
        <f t="shared" si="10"/>
        <v>51560</v>
      </c>
      <c r="G219" s="1706">
        <f>WORKDAY(F219,$G$21,'Business Day Paris'!F198:F392)</f>
        <v>51574</v>
      </c>
      <c r="H219" s="1706">
        <f>WORKDAY(J219,$H$21,'Business Day Paris'!F198:F392)</f>
        <v>51580</v>
      </c>
      <c r="I219" s="1706">
        <f>WORKDAY(J219,$I$21,'Business Day Paris'!F198:F392)</f>
        <v>51582</v>
      </c>
      <c r="J219" s="1707">
        <f>IF(WORKDAY(EOMONTH(F219,0)+$J$21-1,1,'Business Day Paris'!F198:F392)&lt;=EOMONTH(Calendar!F220,0),WORKDAY(EOMONTH(F219,0)+$J$21-1,1,'Business Day Paris'!F198:F392),WORKDAY(EOMONTH(F219,0)+$J$21+1,-1,'Business Day Paris'!F198:F392))</f>
        <v>51587</v>
      </c>
      <c r="K219" s="1238"/>
    </row>
    <row r="220" spans="2:11">
      <c r="B220" s="1248">
        <v>198</v>
      </c>
      <c r="C220" s="2"/>
      <c r="D220" s="1705">
        <f t="shared" si="11"/>
        <v>51561</v>
      </c>
      <c r="E220" s="1706">
        <f t="shared" si="9"/>
        <v>51591</v>
      </c>
      <c r="F220" s="1706">
        <f t="shared" si="10"/>
        <v>51591</v>
      </c>
      <c r="G220" s="1706">
        <f>WORKDAY(F220,$G$21,'Business Day Paris'!F199:F393)</f>
        <v>51603</v>
      </c>
      <c r="H220" s="1706">
        <f>WORKDAY(J220,$H$21,'Business Day Paris'!F199:F393)</f>
        <v>51613</v>
      </c>
      <c r="I220" s="1706">
        <f>WORKDAY(J220,$I$21,'Business Day Paris'!F199:F393)</f>
        <v>51615</v>
      </c>
      <c r="J220" s="1707">
        <f>IF(WORKDAY(EOMONTH(F220,0)+$J$21-1,1,'Business Day Paris'!F199:F393)&lt;=EOMONTH(Calendar!F221,0),WORKDAY(EOMONTH(F220,0)+$J$21-1,1,'Business Day Paris'!F199:F393),WORKDAY(EOMONTH(F220,0)+$J$21+1,-1,'Business Day Paris'!F199:F393))</f>
        <v>51620</v>
      </c>
      <c r="K220" s="1238"/>
    </row>
    <row r="221" spans="2:11">
      <c r="B221" s="1248">
        <v>199</v>
      </c>
      <c r="C221" s="2"/>
      <c r="D221" s="1705">
        <f t="shared" si="11"/>
        <v>51592</v>
      </c>
      <c r="E221" s="1706">
        <f t="shared" si="9"/>
        <v>51621</v>
      </c>
      <c r="F221" s="1706">
        <f t="shared" si="10"/>
        <v>51621</v>
      </c>
      <c r="G221" s="1706">
        <f>WORKDAY(F221,$G$21,'Business Day Paris'!F200:F394)</f>
        <v>51635</v>
      </c>
      <c r="H221" s="1706">
        <f>WORKDAY(J221,$H$21,'Business Day Paris'!F200:F394)</f>
        <v>51641</v>
      </c>
      <c r="I221" s="1706">
        <f>WORKDAY(J221,$I$21,'Business Day Paris'!F200:F394)</f>
        <v>51643</v>
      </c>
      <c r="J221" s="1707">
        <f>IF(WORKDAY(EOMONTH(F221,0)+$J$21-1,1,'Business Day Paris'!F200:F394)&lt;=EOMONTH(Calendar!F222,0),WORKDAY(EOMONTH(F221,0)+$J$21-1,1,'Business Day Paris'!F200:F394),WORKDAY(EOMONTH(F221,0)+$J$21+1,-1,'Business Day Paris'!F200:F394))</f>
        <v>51648</v>
      </c>
      <c r="K221" s="1238"/>
    </row>
    <row r="222" spans="2:11">
      <c r="B222" s="1248">
        <v>200</v>
      </c>
      <c r="C222" s="2"/>
      <c r="D222" s="1705">
        <f t="shared" si="11"/>
        <v>51622</v>
      </c>
      <c r="E222" s="1706">
        <f t="shared" si="9"/>
        <v>51652</v>
      </c>
      <c r="F222" s="1706">
        <f t="shared" si="10"/>
        <v>51652</v>
      </c>
      <c r="G222" s="1706">
        <f>WORKDAY(F222,$G$21,'Business Day Paris'!F201:F395)</f>
        <v>51666</v>
      </c>
      <c r="H222" s="1706">
        <f>WORKDAY(J222,$H$21,'Business Day Paris'!F201:F395)</f>
        <v>51672</v>
      </c>
      <c r="I222" s="1706">
        <f>WORKDAY(J222,$I$21,'Business Day Paris'!F201:F395)</f>
        <v>51676</v>
      </c>
      <c r="J222" s="1707">
        <f>IF(WORKDAY(EOMONTH(F222,0)+$J$21-1,1,'Business Day Paris'!F201:F395)&lt;=EOMONTH(Calendar!F223,0),WORKDAY(EOMONTH(F222,0)+$J$21-1,1,'Business Day Paris'!F201:F395),WORKDAY(EOMONTH(F222,0)+$J$21+1,-1,'Business Day Paris'!F201:F395))</f>
        <v>51679</v>
      </c>
      <c r="K222" s="1238"/>
    </row>
    <row r="223" spans="2:11">
      <c r="B223" s="1248">
        <v>201</v>
      </c>
      <c r="C223" s="2"/>
      <c r="D223" s="1705">
        <f t="shared" si="11"/>
        <v>51653</v>
      </c>
      <c r="E223" s="1706">
        <f t="shared" si="9"/>
        <v>51682</v>
      </c>
      <c r="F223" s="1706">
        <f t="shared" si="10"/>
        <v>51682</v>
      </c>
      <c r="G223" s="1706">
        <f>WORKDAY(F223,$G$21,'Business Day Paris'!F202:F396)</f>
        <v>51694</v>
      </c>
      <c r="H223" s="1706">
        <f>WORKDAY(J223,$H$21,'Business Day Paris'!F202:F396)</f>
        <v>51704</v>
      </c>
      <c r="I223" s="1706">
        <f>WORKDAY(J223,$I$21,'Business Day Paris'!F202:F396)</f>
        <v>51706</v>
      </c>
      <c r="J223" s="1707">
        <f>IF(WORKDAY(EOMONTH(F223,0)+$J$21-1,1,'Business Day Paris'!F202:F396)&lt;=EOMONTH(Calendar!F224,0),WORKDAY(EOMONTH(F223,0)+$J$21-1,1,'Business Day Paris'!F202:F396),WORKDAY(EOMONTH(F223,0)+$J$21+1,-1,'Business Day Paris'!F202:F396))</f>
        <v>51711</v>
      </c>
      <c r="K223" s="1238"/>
    </row>
    <row r="224" spans="2:11">
      <c r="B224" s="1248">
        <v>202</v>
      </c>
      <c r="C224" s="2"/>
      <c r="D224" s="1705">
        <f t="shared" si="11"/>
        <v>51683</v>
      </c>
      <c r="E224" s="1706">
        <f t="shared" si="9"/>
        <v>51713</v>
      </c>
      <c r="F224" s="1706">
        <f t="shared" si="10"/>
        <v>51713</v>
      </c>
      <c r="G224" s="1706">
        <f>WORKDAY(F224,$G$21,'Business Day Paris'!F203:F397)</f>
        <v>51727</v>
      </c>
      <c r="H224" s="1706">
        <f>WORKDAY(J224,$H$21,'Business Day Paris'!F203:F397)</f>
        <v>51733</v>
      </c>
      <c r="I224" s="1706">
        <f>WORKDAY(J224,$I$21,'Business Day Paris'!F203:F397)</f>
        <v>51735</v>
      </c>
      <c r="J224" s="1707">
        <f>IF(WORKDAY(EOMONTH(F224,0)+$J$21-1,1,'Business Day Paris'!F203:F397)&lt;=EOMONTH(Calendar!F225,0),WORKDAY(EOMONTH(F224,0)+$J$21-1,1,'Business Day Paris'!F203:F397),WORKDAY(EOMONTH(F224,0)+$J$21+1,-1,'Business Day Paris'!F203:F397))</f>
        <v>51740</v>
      </c>
      <c r="K224" s="1238"/>
    </row>
    <row r="225" spans="2:11">
      <c r="B225" s="1248">
        <v>203</v>
      </c>
      <c r="C225" s="2"/>
      <c r="D225" s="1705">
        <f t="shared" si="11"/>
        <v>51714</v>
      </c>
      <c r="E225" s="1706">
        <f t="shared" si="9"/>
        <v>51744</v>
      </c>
      <c r="F225" s="1706">
        <f t="shared" si="10"/>
        <v>51744</v>
      </c>
      <c r="G225" s="1706">
        <f>WORKDAY(F225,$G$21,'Business Day Paris'!F204:F398)</f>
        <v>51757</v>
      </c>
      <c r="H225" s="1706">
        <f>WORKDAY(J225,$H$21,'Business Day Paris'!F204:F398)</f>
        <v>51764</v>
      </c>
      <c r="I225" s="1706">
        <f>WORKDAY(J225,$I$21,'Business Day Paris'!F204:F398)</f>
        <v>51768</v>
      </c>
      <c r="J225" s="1707">
        <f>IF(WORKDAY(EOMONTH(F225,0)+$J$21-1,1,'Business Day Paris'!F204:F398)&lt;=EOMONTH(Calendar!F226,0),WORKDAY(EOMONTH(F225,0)+$J$21-1,1,'Business Day Paris'!F204:F398),WORKDAY(EOMONTH(F225,0)+$J$21+1,-1,'Business Day Paris'!F204:F398))</f>
        <v>51771</v>
      </c>
      <c r="K225" s="1238"/>
    </row>
    <row r="226" spans="2:11">
      <c r="B226" s="1248">
        <v>204</v>
      </c>
      <c r="C226" s="2"/>
      <c r="D226" s="1705">
        <f t="shared" si="11"/>
        <v>51745</v>
      </c>
      <c r="E226" s="1706">
        <f t="shared" si="9"/>
        <v>51774</v>
      </c>
      <c r="F226" s="1706">
        <f t="shared" si="10"/>
        <v>51774</v>
      </c>
      <c r="G226" s="1706">
        <f>WORKDAY(F226,$G$21,'Business Day Paris'!F205:F399)</f>
        <v>51788</v>
      </c>
      <c r="H226" s="1706">
        <f>WORKDAY(J226,$H$21,'Business Day Paris'!F205:F399)</f>
        <v>51795</v>
      </c>
      <c r="I226" s="1706">
        <f>WORKDAY(J226,$I$21,'Business Day Paris'!F205:F399)</f>
        <v>51797</v>
      </c>
      <c r="J226" s="1707">
        <f>IF(WORKDAY(EOMONTH(F226,0)+$J$21-1,1,'Business Day Paris'!F205:F399)&lt;=EOMONTH(Calendar!F227,0),WORKDAY(EOMONTH(F226,0)+$J$21-1,1,'Business Day Paris'!F205:F399),WORKDAY(EOMONTH(F226,0)+$J$21+1,-1,'Business Day Paris'!F205:F399))</f>
        <v>51802</v>
      </c>
      <c r="K226" s="1238"/>
    </row>
    <row r="227" spans="2:11">
      <c r="B227" s="1248">
        <v>205</v>
      </c>
      <c r="C227" s="2"/>
      <c r="D227" s="1705">
        <f t="shared" si="11"/>
        <v>51775</v>
      </c>
      <c r="E227" s="1706">
        <f t="shared" si="9"/>
        <v>51805</v>
      </c>
      <c r="F227" s="1706">
        <f t="shared" si="10"/>
        <v>51805</v>
      </c>
      <c r="G227" s="1706">
        <f>WORKDAY(F227,$G$21,'Business Day Paris'!F206:F400)</f>
        <v>51819</v>
      </c>
      <c r="H227" s="1706">
        <f>WORKDAY(J227,$H$21,'Business Day Paris'!F206:F400)</f>
        <v>51825</v>
      </c>
      <c r="I227" s="1706">
        <f>WORKDAY(J227,$I$21,'Business Day Paris'!F206:F400)</f>
        <v>51827</v>
      </c>
      <c r="J227" s="1707">
        <f>IF(WORKDAY(EOMONTH(F227,0)+$J$21-1,1,'Business Day Paris'!F206:F400)&lt;=EOMONTH(Calendar!F228,0),WORKDAY(EOMONTH(F227,0)+$J$21-1,1,'Business Day Paris'!F206:F400),WORKDAY(EOMONTH(F227,0)+$J$21+1,-1,'Business Day Paris'!F206:F400))</f>
        <v>51832</v>
      </c>
      <c r="K227" s="1238"/>
    </row>
    <row r="228" spans="2:11">
      <c r="B228" s="1248">
        <v>206</v>
      </c>
      <c r="C228" s="2"/>
      <c r="D228" s="1705">
        <f t="shared" si="11"/>
        <v>51806</v>
      </c>
      <c r="E228" s="1706">
        <f t="shared" si="9"/>
        <v>51835</v>
      </c>
      <c r="F228" s="1706">
        <f t="shared" si="10"/>
        <v>51835</v>
      </c>
      <c r="G228" s="1706">
        <f>WORKDAY(F228,$G$21,'Business Day Paris'!F207:F401)</f>
        <v>51848</v>
      </c>
      <c r="H228" s="1706">
        <f>WORKDAY(J228,$H$21,'Business Day Paris'!F207:F401)</f>
        <v>51855</v>
      </c>
      <c r="I228" s="1706">
        <f>WORKDAY(J228,$I$21,'Business Day Paris'!F207:F401)</f>
        <v>51859</v>
      </c>
      <c r="J228" s="1707">
        <f>IF(WORKDAY(EOMONTH(F228,0)+$J$21-1,1,'Business Day Paris'!F207:F401)&lt;=EOMONTH(Calendar!F229,0),WORKDAY(EOMONTH(F228,0)+$J$21-1,1,'Business Day Paris'!F207:F401),WORKDAY(EOMONTH(F228,0)+$J$21+1,-1,'Business Day Paris'!F207:F401))</f>
        <v>51862</v>
      </c>
      <c r="K228" s="1238"/>
    </row>
    <row r="229" spans="2:11">
      <c r="B229" s="1248">
        <v>207</v>
      </c>
      <c r="C229" s="2"/>
      <c r="D229" s="1705">
        <f t="shared" si="11"/>
        <v>51836</v>
      </c>
      <c r="E229" s="1706">
        <f t="shared" si="9"/>
        <v>51866</v>
      </c>
      <c r="F229" s="1706">
        <f t="shared" si="10"/>
        <v>51866</v>
      </c>
      <c r="G229" s="1706">
        <f>WORKDAY(F229,$G$21,'Business Day Paris'!F208:F402)</f>
        <v>51880</v>
      </c>
      <c r="H229" s="1706">
        <f>WORKDAY(J229,$H$21,'Business Day Paris'!F208:F402)</f>
        <v>51886</v>
      </c>
      <c r="I229" s="1706">
        <f>WORKDAY(J229,$I$21,'Business Day Paris'!F208:F402)</f>
        <v>51888</v>
      </c>
      <c r="J229" s="1707">
        <f>IF(WORKDAY(EOMONTH(F229,0)+$J$21-1,1,'Business Day Paris'!F208:F402)&lt;=EOMONTH(Calendar!F230,0),WORKDAY(EOMONTH(F229,0)+$J$21-1,1,'Business Day Paris'!F208:F402),WORKDAY(EOMONTH(F229,0)+$J$21+1,-1,'Business Day Paris'!F208:F402))</f>
        <v>51893</v>
      </c>
      <c r="K229" s="1238"/>
    </row>
    <row r="230" spans="2:11">
      <c r="B230" s="1248">
        <v>208</v>
      </c>
      <c r="C230" s="2"/>
      <c r="D230" s="1705">
        <f t="shared" si="11"/>
        <v>51867</v>
      </c>
      <c r="E230" s="1706">
        <f t="shared" si="9"/>
        <v>51897</v>
      </c>
      <c r="F230" s="1706">
        <f t="shared" si="10"/>
        <v>51897</v>
      </c>
      <c r="G230" s="1706">
        <f>WORKDAY(F230,$G$21,'Business Day Paris'!F209:F403)</f>
        <v>51911</v>
      </c>
      <c r="H230" s="1706">
        <f>WORKDAY(J230,$H$21,'Business Day Paris'!F209:F403)</f>
        <v>51917</v>
      </c>
      <c r="I230" s="1706">
        <f>WORKDAY(J230,$I$21,'Business Day Paris'!F209:F403)</f>
        <v>51921</v>
      </c>
      <c r="J230" s="1707">
        <f>IF(WORKDAY(EOMONTH(F230,0)+$J$21-1,1,'Business Day Paris'!F209:F403)&lt;=EOMONTH(Calendar!F231,0),WORKDAY(EOMONTH(F230,0)+$J$21-1,1,'Business Day Paris'!F209:F403),WORKDAY(EOMONTH(F230,0)+$J$21+1,-1,'Business Day Paris'!F209:F403))</f>
        <v>51924</v>
      </c>
      <c r="K230" s="1238"/>
    </row>
    <row r="231" spans="2:11">
      <c r="B231" s="1248">
        <v>209</v>
      </c>
      <c r="C231" s="2"/>
      <c r="D231" s="1705">
        <f t="shared" si="11"/>
        <v>51898</v>
      </c>
      <c r="E231" s="1706">
        <f t="shared" si="9"/>
        <v>51925</v>
      </c>
      <c r="F231" s="1706">
        <f t="shared" si="10"/>
        <v>51925</v>
      </c>
      <c r="G231" s="1706">
        <f>WORKDAY(F231,$G$21,'Business Day Paris'!F210:F404)</f>
        <v>51939</v>
      </c>
      <c r="H231" s="1706">
        <f>WORKDAY(J231,$H$21,'Business Day Paris'!F210:F404)</f>
        <v>51945</v>
      </c>
      <c r="I231" s="1706">
        <f>WORKDAY(J231,$I$21,'Business Day Paris'!F210:F404)</f>
        <v>51949</v>
      </c>
      <c r="J231" s="1707">
        <f>IF(WORKDAY(EOMONTH(F231,0)+$J$21-1,1,'Business Day Paris'!F210:F404)&lt;=EOMONTH(Calendar!F232,0),WORKDAY(EOMONTH(F231,0)+$J$21-1,1,'Business Day Paris'!F210:F404),WORKDAY(EOMONTH(F231,0)+$J$21+1,-1,'Business Day Paris'!F210:F404))</f>
        <v>51952</v>
      </c>
      <c r="K231" s="1238"/>
    </row>
    <row r="232" spans="2:11">
      <c r="B232" s="1248">
        <v>210</v>
      </c>
      <c r="C232" s="2"/>
      <c r="D232" s="1705">
        <f t="shared" si="11"/>
        <v>51926</v>
      </c>
      <c r="E232" s="1706">
        <f t="shared" si="9"/>
        <v>51956</v>
      </c>
      <c r="F232" s="1706">
        <f t="shared" si="10"/>
        <v>51956</v>
      </c>
      <c r="G232" s="1706">
        <f>WORKDAY(F232,$G$21,'Business Day Paris'!F211:F405)</f>
        <v>51970</v>
      </c>
      <c r="H232" s="1706">
        <f>WORKDAY(J232,$H$21,'Business Day Paris'!F211:F405)</f>
        <v>51977</v>
      </c>
      <c r="I232" s="1706">
        <f>WORKDAY(J232,$I$21,'Business Day Paris'!F211:F405)</f>
        <v>51979</v>
      </c>
      <c r="J232" s="1707">
        <f>IF(WORKDAY(EOMONTH(F232,0)+$J$21-1,1,'Business Day Paris'!F211:F405)&lt;=EOMONTH(Calendar!F233,0),WORKDAY(EOMONTH(F232,0)+$J$21-1,1,'Business Day Paris'!F211:F405),WORKDAY(EOMONTH(F232,0)+$J$21+1,-1,'Business Day Paris'!F211:F405))</f>
        <v>51984</v>
      </c>
      <c r="K232" s="1238"/>
    </row>
    <row r="233" spans="2:11">
      <c r="B233" s="1248">
        <v>211</v>
      </c>
      <c r="C233" s="2"/>
      <c r="D233" s="1705">
        <f t="shared" si="11"/>
        <v>51957</v>
      </c>
      <c r="E233" s="1706">
        <f t="shared" si="9"/>
        <v>51986</v>
      </c>
      <c r="F233" s="1706">
        <f t="shared" si="10"/>
        <v>51986</v>
      </c>
      <c r="G233" s="1706">
        <f>WORKDAY(F233,$G$21,'Business Day Paris'!F212:F406)</f>
        <v>52000</v>
      </c>
      <c r="H233" s="1706">
        <f>WORKDAY(J233,$H$21,'Business Day Paris'!F212:F406)</f>
        <v>52006</v>
      </c>
      <c r="I233" s="1706">
        <f>WORKDAY(J233,$I$21,'Business Day Paris'!F212:F406)</f>
        <v>52008</v>
      </c>
      <c r="J233" s="1707">
        <f>IF(WORKDAY(EOMONTH(F233,0)+$J$21-1,1,'Business Day Paris'!F212:F406)&lt;=EOMONTH(Calendar!F234,0),WORKDAY(EOMONTH(F233,0)+$J$21-1,1,'Business Day Paris'!F212:F406),WORKDAY(EOMONTH(F233,0)+$J$21+1,-1,'Business Day Paris'!F212:F406))</f>
        <v>52013</v>
      </c>
      <c r="K233" s="1238"/>
    </row>
    <row r="234" spans="2:11">
      <c r="B234" s="1248">
        <v>212</v>
      </c>
      <c r="C234" s="2"/>
      <c r="D234" s="1705">
        <f t="shared" si="11"/>
        <v>51987</v>
      </c>
      <c r="E234" s="1706">
        <f t="shared" si="9"/>
        <v>52017</v>
      </c>
      <c r="F234" s="1706">
        <f t="shared" si="10"/>
        <v>52017</v>
      </c>
      <c r="G234" s="1706">
        <f>WORKDAY(F234,$G$21,'Business Day Paris'!F213:F407)</f>
        <v>52030</v>
      </c>
      <c r="H234" s="1706">
        <f>WORKDAY(J234,$H$21,'Business Day Paris'!F213:F407)</f>
        <v>52037</v>
      </c>
      <c r="I234" s="1706">
        <f>WORKDAY(J234,$I$21,'Business Day Paris'!F213:F407)</f>
        <v>52041</v>
      </c>
      <c r="J234" s="1707">
        <f>IF(WORKDAY(EOMONTH(F234,0)+$J$21-1,1,'Business Day Paris'!F213:F407)&lt;=EOMONTH(Calendar!F235,0),WORKDAY(EOMONTH(F234,0)+$J$21-1,1,'Business Day Paris'!F213:F407),WORKDAY(EOMONTH(F234,0)+$J$21+1,-1,'Business Day Paris'!F213:F407))</f>
        <v>52044</v>
      </c>
      <c r="K234" s="1238"/>
    </row>
    <row r="235" spans="2:11">
      <c r="B235" s="1248">
        <v>213</v>
      </c>
      <c r="C235" s="2"/>
      <c r="D235" s="1705">
        <f t="shared" si="11"/>
        <v>52018</v>
      </c>
      <c r="E235" s="1706">
        <f t="shared" si="9"/>
        <v>52047</v>
      </c>
      <c r="F235" s="1706">
        <f t="shared" si="10"/>
        <v>52047</v>
      </c>
      <c r="G235" s="1706">
        <f>WORKDAY(F235,$G$21,'Business Day Paris'!F214:F408)</f>
        <v>52061</v>
      </c>
      <c r="H235" s="1706">
        <f>WORKDAY(J235,$H$21,'Business Day Paris'!F214:F408)</f>
        <v>52068</v>
      </c>
      <c r="I235" s="1706">
        <f>WORKDAY(J235,$I$21,'Business Day Paris'!F214:F408)</f>
        <v>52070</v>
      </c>
      <c r="J235" s="1707">
        <f>IF(WORKDAY(EOMONTH(F235,0)+$J$21-1,1,'Business Day Paris'!F214:F408)&lt;=EOMONTH(Calendar!F236,0),WORKDAY(EOMONTH(F235,0)+$J$21-1,1,'Business Day Paris'!F214:F408),WORKDAY(EOMONTH(F235,0)+$J$21+1,-1,'Business Day Paris'!F214:F408))</f>
        <v>52075</v>
      </c>
      <c r="K235" s="1238"/>
    </row>
    <row r="236" spans="2:11">
      <c r="B236" s="1248">
        <v>214</v>
      </c>
      <c r="C236" s="2"/>
      <c r="D236" s="1705">
        <f t="shared" si="11"/>
        <v>52048</v>
      </c>
      <c r="E236" s="1706">
        <f t="shared" si="9"/>
        <v>52078</v>
      </c>
      <c r="F236" s="1706">
        <f t="shared" si="10"/>
        <v>52078</v>
      </c>
      <c r="G236" s="1706">
        <f>WORKDAY(F236,$G$21,'Business Day Paris'!F215:F409)</f>
        <v>52092</v>
      </c>
      <c r="H236" s="1706">
        <f>WORKDAY(J236,$H$21,'Business Day Paris'!F215:F409)</f>
        <v>52098</v>
      </c>
      <c r="I236" s="1706">
        <f>WORKDAY(J236,$I$21,'Business Day Paris'!F215:F409)</f>
        <v>52100</v>
      </c>
      <c r="J236" s="1707">
        <f>IF(WORKDAY(EOMONTH(F236,0)+$J$21-1,1,'Business Day Paris'!F215:F409)&lt;=EOMONTH(Calendar!F237,0),WORKDAY(EOMONTH(F236,0)+$J$21-1,1,'Business Day Paris'!F215:F409),WORKDAY(EOMONTH(F236,0)+$J$21+1,-1,'Business Day Paris'!F215:F409))</f>
        <v>52105</v>
      </c>
      <c r="K236" s="1238"/>
    </row>
    <row r="237" spans="2:11">
      <c r="B237" s="1248">
        <v>215</v>
      </c>
      <c r="C237" s="2"/>
      <c r="D237" s="1705">
        <f t="shared" si="11"/>
        <v>52079</v>
      </c>
      <c r="E237" s="1706">
        <f t="shared" si="9"/>
        <v>52109</v>
      </c>
      <c r="F237" s="1706">
        <f t="shared" si="10"/>
        <v>52109</v>
      </c>
      <c r="G237" s="1706">
        <f>WORKDAY(F237,$G$21,'Business Day Paris'!F216:F410)</f>
        <v>52121</v>
      </c>
      <c r="H237" s="1706">
        <f>WORKDAY(J237,$H$21,'Business Day Paris'!F216:F410)</f>
        <v>52131</v>
      </c>
      <c r="I237" s="1706">
        <f>WORKDAY(J237,$I$21,'Business Day Paris'!F216:F410)</f>
        <v>52133</v>
      </c>
      <c r="J237" s="1707">
        <f>IF(WORKDAY(EOMONTH(F237,0)+$J$21-1,1,'Business Day Paris'!F216:F410)&lt;=EOMONTH(Calendar!F238,0),WORKDAY(EOMONTH(F237,0)+$J$21-1,1,'Business Day Paris'!F216:F410),WORKDAY(EOMONTH(F237,0)+$J$21+1,-1,'Business Day Paris'!F216:F410))</f>
        <v>52138</v>
      </c>
      <c r="K237" s="1238"/>
    </row>
    <row r="238" spans="2:11">
      <c r="B238" s="1248">
        <v>216</v>
      </c>
      <c r="C238" s="2"/>
      <c r="D238" s="1705">
        <f t="shared" si="11"/>
        <v>52110</v>
      </c>
      <c r="E238" s="1706">
        <f t="shared" si="9"/>
        <v>52139</v>
      </c>
      <c r="F238" s="1706">
        <f t="shared" si="10"/>
        <v>52139</v>
      </c>
      <c r="G238" s="1706">
        <f>WORKDAY(F238,$G$21,'Business Day Paris'!F217:F411)</f>
        <v>52153</v>
      </c>
      <c r="H238" s="1706">
        <f>WORKDAY(J238,$H$21,'Business Day Paris'!F217:F411)</f>
        <v>52159</v>
      </c>
      <c r="I238" s="1706">
        <f>WORKDAY(J238,$I$21,'Business Day Paris'!F217:F411)</f>
        <v>52161</v>
      </c>
      <c r="J238" s="1707">
        <f>IF(WORKDAY(EOMONTH(F238,0)+$J$21-1,1,'Business Day Paris'!F217:F411)&lt;=EOMONTH(Calendar!F239,0),WORKDAY(EOMONTH(F238,0)+$J$21-1,1,'Business Day Paris'!F217:F411),WORKDAY(EOMONTH(F238,0)+$J$21+1,-1,'Business Day Paris'!F217:F411))</f>
        <v>52166</v>
      </c>
      <c r="K238" s="1238"/>
    </row>
    <row r="239" spans="2:11">
      <c r="B239" s="1248">
        <v>217</v>
      </c>
      <c r="C239" s="2"/>
      <c r="D239" s="1705">
        <f t="shared" si="11"/>
        <v>52140</v>
      </c>
      <c r="E239" s="1706">
        <f t="shared" si="9"/>
        <v>52170</v>
      </c>
      <c r="F239" s="1706">
        <f t="shared" si="10"/>
        <v>52170</v>
      </c>
      <c r="G239" s="1706">
        <f>WORKDAY(F239,$G$21,'Business Day Paris'!F218:F412)</f>
        <v>52184</v>
      </c>
      <c r="H239" s="1706">
        <f>WORKDAY(J239,$H$21,'Business Day Paris'!F218:F412)</f>
        <v>52190</v>
      </c>
      <c r="I239" s="1706">
        <f>WORKDAY(J239,$I$21,'Business Day Paris'!F218:F412)</f>
        <v>52194</v>
      </c>
      <c r="J239" s="1707">
        <f>IF(WORKDAY(EOMONTH(F239,0)+$J$21-1,1,'Business Day Paris'!F218:F412)&lt;=EOMONTH(Calendar!F240,0),WORKDAY(EOMONTH(F239,0)+$J$21-1,1,'Business Day Paris'!F218:F412),WORKDAY(EOMONTH(F239,0)+$J$21+1,-1,'Business Day Paris'!F218:F412))</f>
        <v>52197</v>
      </c>
      <c r="K239" s="1238"/>
    </row>
    <row r="240" spans="2:11">
      <c r="B240" s="1248">
        <v>218</v>
      </c>
      <c r="C240" s="2"/>
      <c r="D240" s="1705">
        <f t="shared" si="11"/>
        <v>52171</v>
      </c>
      <c r="E240" s="1706">
        <f t="shared" si="9"/>
        <v>52200</v>
      </c>
      <c r="F240" s="1706">
        <f t="shared" si="10"/>
        <v>52200</v>
      </c>
      <c r="G240" s="1706">
        <f>WORKDAY(F240,$G$21,'Business Day Paris'!F219:F413)</f>
        <v>52212</v>
      </c>
      <c r="H240" s="1706">
        <f>WORKDAY(J240,$H$21,'Business Day Paris'!F219:F413)</f>
        <v>52222</v>
      </c>
      <c r="I240" s="1706">
        <f>WORKDAY(J240,$I$21,'Business Day Paris'!F219:F413)</f>
        <v>52224</v>
      </c>
      <c r="J240" s="1707">
        <f>IF(WORKDAY(EOMONTH(F240,0)+$J$21-1,1,'Business Day Paris'!F219:F413)&lt;=EOMONTH(Calendar!F241,0),WORKDAY(EOMONTH(F240,0)+$J$21-1,1,'Business Day Paris'!F219:F413),WORKDAY(EOMONTH(F240,0)+$J$21+1,-1,'Business Day Paris'!F219:F413))</f>
        <v>52229</v>
      </c>
      <c r="K240" s="1238"/>
    </row>
    <row r="241" spans="2:11">
      <c r="B241" s="1248">
        <v>219</v>
      </c>
      <c r="C241" s="2"/>
      <c r="D241" s="1705">
        <f t="shared" si="11"/>
        <v>52201</v>
      </c>
      <c r="E241" s="1706">
        <f t="shared" si="9"/>
        <v>52231</v>
      </c>
      <c r="F241" s="1706">
        <f t="shared" si="10"/>
        <v>52231</v>
      </c>
      <c r="G241" s="1706">
        <f>WORKDAY(F241,$G$21,'Business Day Paris'!F220:F414)</f>
        <v>52245</v>
      </c>
      <c r="H241" s="1706">
        <f>WORKDAY(J241,$H$21,'Business Day Paris'!F220:F414)</f>
        <v>52251</v>
      </c>
      <c r="I241" s="1706">
        <f>WORKDAY(J241,$I$21,'Business Day Paris'!F220:F414)</f>
        <v>52253</v>
      </c>
      <c r="J241" s="1707">
        <f>IF(WORKDAY(EOMONTH(F241,0)+$J$21-1,1,'Business Day Paris'!F220:F414)&lt;=EOMONTH(Calendar!F242,0),WORKDAY(EOMONTH(F241,0)+$J$21-1,1,'Business Day Paris'!F220:F414),WORKDAY(EOMONTH(F241,0)+$J$21+1,-1,'Business Day Paris'!F220:F414))</f>
        <v>52258</v>
      </c>
      <c r="K241" s="1238"/>
    </row>
    <row r="242" spans="2:11">
      <c r="B242" s="1248">
        <v>220</v>
      </c>
      <c r="C242" s="2"/>
      <c r="D242" s="1705">
        <f t="shared" si="11"/>
        <v>52232</v>
      </c>
      <c r="E242" s="1706">
        <f t="shared" si="9"/>
        <v>52262</v>
      </c>
      <c r="F242" s="1706">
        <f t="shared" si="10"/>
        <v>52262</v>
      </c>
      <c r="G242" s="1706">
        <f>WORKDAY(F242,$G$21,'Business Day Paris'!F221:F415)</f>
        <v>52275</v>
      </c>
      <c r="H242" s="1706">
        <f>WORKDAY(J242,$H$21,'Business Day Paris'!F221:F415)</f>
        <v>52282</v>
      </c>
      <c r="I242" s="1706">
        <f>WORKDAY(J242,$I$21,'Business Day Paris'!F221:F415)</f>
        <v>52286</v>
      </c>
      <c r="J242" s="1707">
        <f>IF(WORKDAY(EOMONTH(F242,0)+$J$21-1,1,'Business Day Paris'!F221:F415)&lt;=EOMONTH(Calendar!F243,0),WORKDAY(EOMONTH(F242,0)+$J$21-1,1,'Business Day Paris'!F221:F415),WORKDAY(EOMONTH(F242,0)+$J$21+1,-1,'Business Day Paris'!F221:F415))</f>
        <v>52289</v>
      </c>
      <c r="K242" s="1238"/>
    </row>
    <row r="243" spans="2:11">
      <c r="B243" s="1248">
        <v>221</v>
      </c>
      <c r="C243" s="2"/>
      <c r="D243" s="1705">
        <f t="shared" si="11"/>
        <v>52263</v>
      </c>
      <c r="E243" s="1706">
        <f t="shared" si="9"/>
        <v>52290</v>
      </c>
      <c r="F243" s="1706">
        <f t="shared" si="10"/>
        <v>52290</v>
      </c>
      <c r="G243" s="1706">
        <f>WORKDAY(F243,$G$21,'Business Day Paris'!F222:F416)</f>
        <v>52303</v>
      </c>
      <c r="H243" s="1706">
        <f>WORKDAY(J243,$H$21,'Business Day Paris'!F222:F416)</f>
        <v>52310</v>
      </c>
      <c r="I243" s="1706">
        <f>WORKDAY(J243,$I$21,'Business Day Paris'!F222:F416)</f>
        <v>52314</v>
      </c>
      <c r="J243" s="1707">
        <f>IF(WORKDAY(EOMONTH(F243,0)+$J$21-1,1,'Business Day Paris'!F222:F416)&lt;=EOMONTH(Calendar!F244,0),WORKDAY(EOMONTH(F243,0)+$J$21-1,1,'Business Day Paris'!F222:F416),WORKDAY(EOMONTH(F243,0)+$J$21+1,-1,'Business Day Paris'!F222:F416))</f>
        <v>52317</v>
      </c>
      <c r="K243" s="1238"/>
    </row>
    <row r="244" spans="2:11">
      <c r="B244" s="1248">
        <v>222</v>
      </c>
      <c r="C244" s="2"/>
      <c r="D244" s="1705">
        <f t="shared" si="11"/>
        <v>52291</v>
      </c>
      <c r="E244" s="1706">
        <f t="shared" si="9"/>
        <v>52321</v>
      </c>
      <c r="F244" s="1706">
        <f t="shared" si="10"/>
        <v>52321</v>
      </c>
      <c r="G244" s="1706">
        <f>WORKDAY(F244,$G$21,'Business Day Paris'!F223:F417)</f>
        <v>52335</v>
      </c>
      <c r="H244" s="1706">
        <f>WORKDAY(J244,$H$21,'Business Day Paris'!F223:F417)</f>
        <v>52341</v>
      </c>
      <c r="I244" s="1706">
        <f>WORKDAY(J244,$I$21,'Business Day Paris'!F223:F417)</f>
        <v>52343</v>
      </c>
      <c r="J244" s="1707">
        <f>IF(WORKDAY(EOMONTH(F244,0)+$J$21-1,1,'Business Day Paris'!F223:F417)&lt;=EOMONTH(Calendar!F245,0),WORKDAY(EOMONTH(F244,0)+$J$21-1,1,'Business Day Paris'!F223:F417),WORKDAY(EOMONTH(F244,0)+$J$21+1,-1,'Business Day Paris'!F223:F417))</f>
        <v>52348</v>
      </c>
      <c r="K244" s="1238"/>
    </row>
    <row r="245" spans="2:11">
      <c r="B245" s="1248">
        <v>223</v>
      </c>
      <c r="C245" s="2"/>
      <c r="D245" s="1705">
        <f t="shared" si="11"/>
        <v>52322</v>
      </c>
      <c r="E245" s="1706">
        <f t="shared" si="9"/>
        <v>52351</v>
      </c>
      <c r="F245" s="1706">
        <f t="shared" si="10"/>
        <v>52351</v>
      </c>
      <c r="G245" s="1706">
        <f>WORKDAY(F245,$G$21,'Business Day Paris'!F224:F418)</f>
        <v>52365</v>
      </c>
      <c r="H245" s="1706">
        <f>WORKDAY(J245,$H$21,'Business Day Paris'!F224:F418)</f>
        <v>52371</v>
      </c>
      <c r="I245" s="1706">
        <f>WORKDAY(J245,$I$21,'Business Day Paris'!F224:F418)</f>
        <v>52373</v>
      </c>
      <c r="J245" s="1707">
        <f>IF(WORKDAY(EOMONTH(F245,0)+$J$21-1,1,'Business Day Paris'!F224:F418)&lt;=EOMONTH(Calendar!F246,0),WORKDAY(EOMONTH(F245,0)+$J$21-1,1,'Business Day Paris'!F224:F418),WORKDAY(EOMONTH(F245,0)+$J$21+1,-1,'Business Day Paris'!F224:F418))</f>
        <v>52378</v>
      </c>
      <c r="K245" s="1238"/>
    </row>
    <row r="246" spans="2:11">
      <c r="B246" s="1248">
        <v>224</v>
      </c>
      <c r="C246" s="2"/>
      <c r="D246" s="1705">
        <f t="shared" si="11"/>
        <v>52352</v>
      </c>
      <c r="E246" s="1706">
        <f t="shared" si="9"/>
        <v>52382</v>
      </c>
      <c r="F246" s="1706">
        <f t="shared" si="10"/>
        <v>52382</v>
      </c>
      <c r="G246" s="1706">
        <f>WORKDAY(F246,$G$21,'Business Day Paris'!F225:F419)</f>
        <v>52394</v>
      </c>
      <c r="H246" s="1706">
        <f>WORKDAY(J246,$H$21,'Business Day Paris'!F225:F419)</f>
        <v>52404</v>
      </c>
      <c r="I246" s="1706">
        <f>WORKDAY(J246,$I$21,'Business Day Paris'!F225:F419)</f>
        <v>52406</v>
      </c>
      <c r="J246" s="1707">
        <f>IF(WORKDAY(EOMONTH(F246,0)+$J$21-1,1,'Business Day Paris'!F225:F419)&lt;=EOMONTH(Calendar!F247,0),WORKDAY(EOMONTH(F246,0)+$J$21-1,1,'Business Day Paris'!F225:F419),WORKDAY(EOMONTH(F246,0)+$J$21+1,-1,'Business Day Paris'!F225:F419))</f>
        <v>52411</v>
      </c>
      <c r="K246" s="1238"/>
    </row>
    <row r="247" spans="2:11">
      <c r="B247" s="1248">
        <v>225</v>
      </c>
      <c r="C247" s="2"/>
      <c r="D247" s="1705">
        <f t="shared" si="11"/>
        <v>52383</v>
      </c>
      <c r="E247" s="1706">
        <f t="shared" si="9"/>
        <v>52412</v>
      </c>
      <c r="F247" s="1706">
        <f t="shared" si="10"/>
        <v>52412</v>
      </c>
      <c r="G247" s="1706">
        <f>WORKDAY(F247,$G$21,'Business Day Paris'!F226:F420)</f>
        <v>52426</v>
      </c>
      <c r="H247" s="1706">
        <f>WORKDAY(J247,$H$21,'Business Day Paris'!F226:F420)</f>
        <v>52432</v>
      </c>
      <c r="I247" s="1706">
        <f>WORKDAY(J247,$I$21,'Business Day Paris'!F226:F420)</f>
        <v>52434</v>
      </c>
      <c r="J247" s="1707">
        <f>IF(WORKDAY(EOMONTH(F247,0)+$J$21-1,1,'Business Day Paris'!F226:F420)&lt;=EOMONTH(Calendar!F248,0),WORKDAY(EOMONTH(F247,0)+$J$21-1,1,'Business Day Paris'!F226:F420),WORKDAY(EOMONTH(F247,0)+$J$21+1,-1,'Business Day Paris'!F226:F420))</f>
        <v>52439</v>
      </c>
      <c r="K247" s="1238"/>
    </row>
    <row r="248" spans="2:11">
      <c r="B248" s="1248">
        <v>226</v>
      </c>
      <c r="C248" s="2"/>
      <c r="D248" s="1705">
        <f t="shared" si="11"/>
        <v>52413</v>
      </c>
      <c r="E248" s="1706">
        <f t="shared" si="9"/>
        <v>52443</v>
      </c>
      <c r="F248" s="1706">
        <f t="shared" si="10"/>
        <v>52443</v>
      </c>
      <c r="G248" s="1706">
        <f>WORKDAY(F248,$G$21,'Business Day Paris'!F227:F421)</f>
        <v>52457</v>
      </c>
      <c r="H248" s="1706">
        <f>WORKDAY(J248,$H$21,'Business Day Paris'!F227:F421)</f>
        <v>52463</v>
      </c>
      <c r="I248" s="1706">
        <f>WORKDAY(J248,$I$21,'Business Day Paris'!F227:F421)</f>
        <v>52467</v>
      </c>
      <c r="J248" s="1707">
        <f>IF(WORKDAY(EOMONTH(F248,0)+$J$21-1,1,'Business Day Paris'!F227:F421)&lt;=EOMONTH(Calendar!F249,0),WORKDAY(EOMONTH(F248,0)+$J$21-1,1,'Business Day Paris'!F227:F421),WORKDAY(EOMONTH(F248,0)+$J$21+1,-1,'Business Day Paris'!F227:F421))</f>
        <v>52470</v>
      </c>
      <c r="K248" s="1238"/>
    </row>
    <row r="249" spans="2:11">
      <c r="B249" s="1248">
        <v>227</v>
      </c>
      <c r="C249" s="2"/>
      <c r="D249" s="1705">
        <f t="shared" si="11"/>
        <v>52444</v>
      </c>
      <c r="E249" s="1706">
        <f t="shared" si="9"/>
        <v>52474</v>
      </c>
      <c r="F249" s="1706">
        <f t="shared" si="10"/>
        <v>52474</v>
      </c>
      <c r="G249" s="1706">
        <f>WORKDAY(F249,$G$21,'Business Day Paris'!F228:F422)</f>
        <v>52488</v>
      </c>
      <c r="H249" s="1706">
        <f>WORKDAY(J249,$H$21,'Business Day Paris'!F228:F422)</f>
        <v>52495</v>
      </c>
      <c r="I249" s="1706">
        <f>WORKDAY(J249,$I$21,'Business Day Paris'!F228:F422)</f>
        <v>52497</v>
      </c>
      <c r="J249" s="1707">
        <f>IF(WORKDAY(EOMONTH(F249,0)+$J$21-1,1,'Business Day Paris'!F228:F422)&lt;=EOMONTH(Calendar!F250,0),WORKDAY(EOMONTH(F249,0)+$J$21-1,1,'Business Day Paris'!F228:F422),WORKDAY(EOMONTH(F249,0)+$J$21+1,-1,'Business Day Paris'!F228:F422))</f>
        <v>52502</v>
      </c>
      <c r="K249" s="1238"/>
    </row>
    <row r="250" spans="2:11">
      <c r="B250" s="1248">
        <v>228</v>
      </c>
      <c r="C250" s="2"/>
      <c r="D250" s="1705">
        <f t="shared" si="11"/>
        <v>52475</v>
      </c>
      <c r="E250" s="1706">
        <f t="shared" si="9"/>
        <v>52504</v>
      </c>
      <c r="F250" s="1706">
        <f t="shared" si="10"/>
        <v>52504</v>
      </c>
      <c r="G250" s="1706">
        <f>WORKDAY(F250,$G$21,'Business Day Paris'!F229:F423)</f>
        <v>52518</v>
      </c>
      <c r="H250" s="1706">
        <f>WORKDAY(J250,$H$21,'Business Day Paris'!F229:F423)</f>
        <v>52524</v>
      </c>
      <c r="I250" s="1706">
        <f>WORKDAY(J250,$I$21,'Business Day Paris'!F229:F423)</f>
        <v>52526</v>
      </c>
      <c r="J250" s="1707">
        <f>IF(WORKDAY(EOMONTH(F250,0)+$J$21-1,1,'Business Day Paris'!F229:F423)&lt;=EOMONTH(Calendar!F251,0),WORKDAY(EOMONTH(F250,0)+$J$21-1,1,'Business Day Paris'!F229:F423),WORKDAY(EOMONTH(F250,0)+$J$21+1,-1,'Business Day Paris'!F229:F423))</f>
        <v>52531</v>
      </c>
      <c r="K250" s="1238"/>
    </row>
    <row r="251" spans="2:11">
      <c r="B251" s="1248">
        <v>229</v>
      </c>
      <c r="C251" s="2"/>
      <c r="D251" s="1705">
        <f t="shared" si="11"/>
        <v>52505</v>
      </c>
      <c r="E251" s="1706">
        <f t="shared" si="9"/>
        <v>52535</v>
      </c>
      <c r="F251" s="1706">
        <f t="shared" si="10"/>
        <v>52535</v>
      </c>
      <c r="G251" s="1706">
        <f>WORKDAY(F251,$G$21,'Business Day Paris'!F230:F424)</f>
        <v>52548</v>
      </c>
      <c r="H251" s="1706">
        <f>WORKDAY(J251,$H$21,'Business Day Paris'!F230:F424)</f>
        <v>52555</v>
      </c>
      <c r="I251" s="1706">
        <f>WORKDAY(J251,$I$21,'Business Day Paris'!F230:F424)</f>
        <v>52559</v>
      </c>
      <c r="J251" s="1707">
        <f>IF(WORKDAY(EOMONTH(F251,0)+$J$21-1,1,'Business Day Paris'!F230:F424)&lt;=EOMONTH(Calendar!F252,0),WORKDAY(EOMONTH(F251,0)+$J$21-1,1,'Business Day Paris'!F230:F424),WORKDAY(EOMONTH(F251,0)+$J$21+1,-1,'Business Day Paris'!F230:F424))</f>
        <v>52562</v>
      </c>
      <c r="K251" s="1238"/>
    </row>
    <row r="252" spans="2:11">
      <c r="B252" s="1248">
        <v>230</v>
      </c>
      <c r="C252" s="2"/>
      <c r="D252" s="1705">
        <f t="shared" si="11"/>
        <v>52536</v>
      </c>
      <c r="E252" s="1706">
        <f t="shared" si="9"/>
        <v>52565</v>
      </c>
      <c r="F252" s="1706">
        <f t="shared" si="10"/>
        <v>52565</v>
      </c>
      <c r="G252" s="1706">
        <f>WORKDAY(F252,$G$21,'Business Day Paris'!F231:F425)</f>
        <v>52579</v>
      </c>
      <c r="H252" s="1706">
        <f>WORKDAY(J252,$H$21,'Business Day Paris'!F231:F425)</f>
        <v>52586</v>
      </c>
      <c r="I252" s="1706">
        <f>WORKDAY(J252,$I$21,'Business Day Paris'!F231:F425)</f>
        <v>52588</v>
      </c>
      <c r="J252" s="1707">
        <f>IF(WORKDAY(EOMONTH(F252,0)+$J$21-1,1,'Business Day Paris'!F231:F425)&lt;=EOMONTH(Calendar!F253,0),WORKDAY(EOMONTH(F252,0)+$J$21-1,1,'Business Day Paris'!F231:F425),WORKDAY(EOMONTH(F252,0)+$J$21+1,-1,'Business Day Paris'!F231:F425))</f>
        <v>52593</v>
      </c>
      <c r="K252" s="1238"/>
    </row>
    <row r="253" spans="2:11">
      <c r="B253" s="1248">
        <v>231</v>
      </c>
      <c r="C253" s="2"/>
      <c r="D253" s="1705">
        <f t="shared" si="11"/>
        <v>52566</v>
      </c>
      <c r="E253" s="1706">
        <f t="shared" si="9"/>
        <v>52596</v>
      </c>
      <c r="F253" s="1706">
        <f t="shared" si="10"/>
        <v>52596</v>
      </c>
      <c r="G253" s="1706">
        <f>WORKDAY(F253,$G$21,'Business Day Paris'!F232:F426)</f>
        <v>52610</v>
      </c>
      <c r="H253" s="1706">
        <f>WORKDAY(J253,$H$21,'Business Day Paris'!F232:F426)</f>
        <v>52616</v>
      </c>
      <c r="I253" s="1706">
        <f>WORKDAY(J253,$I$21,'Business Day Paris'!F232:F426)</f>
        <v>52618</v>
      </c>
      <c r="J253" s="1707">
        <f>IF(WORKDAY(EOMONTH(F253,0)+$J$21-1,1,'Business Day Paris'!F232:F426)&lt;=EOMONTH(Calendar!F254,0),WORKDAY(EOMONTH(F253,0)+$J$21-1,1,'Business Day Paris'!F232:F426),WORKDAY(EOMONTH(F253,0)+$J$21+1,-1,'Business Day Paris'!F232:F426))</f>
        <v>52623</v>
      </c>
      <c r="K253" s="1238"/>
    </row>
    <row r="254" spans="2:11">
      <c r="B254" s="1248">
        <v>232</v>
      </c>
      <c r="C254" s="2"/>
      <c r="D254" s="1705">
        <f t="shared" si="11"/>
        <v>52597</v>
      </c>
      <c r="E254" s="1706">
        <f t="shared" si="9"/>
        <v>52627</v>
      </c>
      <c r="F254" s="1706">
        <f t="shared" si="10"/>
        <v>52627</v>
      </c>
      <c r="G254" s="1706">
        <f>WORKDAY(F254,$G$21,'Business Day Paris'!F233:F427)</f>
        <v>52639</v>
      </c>
      <c r="H254" s="1706">
        <f>WORKDAY(J254,$H$21,'Business Day Paris'!F233:F427)</f>
        <v>52649</v>
      </c>
      <c r="I254" s="1706">
        <f>WORKDAY(J254,$I$21,'Business Day Paris'!F233:F427)</f>
        <v>52651</v>
      </c>
      <c r="J254" s="1707">
        <f>IF(WORKDAY(EOMONTH(F254,0)+$J$21-1,1,'Business Day Paris'!F233:F427)&lt;=EOMONTH(Calendar!F255,0),WORKDAY(EOMONTH(F254,0)+$J$21-1,1,'Business Day Paris'!F233:F427),WORKDAY(EOMONTH(F254,0)+$J$21+1,-1,'Business Day Paris'!F233:F427))</f>
        <v>52656</v>
      </c>
      <c r="K254" s="1238"/>
    </row>
    <row r="255" spans="2:11">
      <c r="B255" s="1248">
        <v>233</v>
      </c>
      <c r="C255" s="2"/>
      <c r="D255" s="1705">
        <f t="shared" si="11"/>
        <v>52628</v>
      </c>
      <c r="E255" s="1706">
        <f t="shared" si="9"/>
        <v>52656</v>
      </c>
      <c r="F255" s="1706">
        <f t="shared" si="10"/>
        <v>52656</v>
      </c>
      <c r="G255" s="1706">
        <f>WORKDAY(F255,$G$21,'Business Day Paris'!F234:F428)</f>
        <v>52670</v>
      </c>
      <c r="H255" s="1706">
        <f>WORKDAY(J255,$H$21,'Business Day Paris'!F234:F428)</f>
        <v>52677</v>
      </c>
      <c r="I255" s="1706">
        <f>WORKDAY(J255,$I$21,'Business Day Paris'!F234:F428)</f>
        <v>52679</v>
      </c>
      <c r="J255" s="1707">
        <f>IF(WORKDAY(EOMONTH(F255,0)+$J$21-1,1,'Business Day Paris'!F234:F428)&lt;=EOMONTH(Calendar!F256,0),WORKDAY(EOMONTH(F255,0)+$J$21-1,1,'Business Day Paris'!F234:F428),WORKDAY(EOMONTH(F255,0)+$J$21+1,-1,'Business Day Paris'!F234:F428))</f>
        <v>52684</v>
      </c>
      <c r="K255" s="1238"/>
    </row>
    <row r="256" spans="2:11">
      <c r="B256" s="1248">
        <v>234</v>
      </c>
      <c r="C256" s="2"/>
      <c r="D256" s="1705">
        <f t="shared" si="11"/>
        <v>52657</v>
      </c>
      <c r="E256" s="1706">
        <f t="shared" si="9"/>
        <v>52687</v>
      </c>
      <c r="F256" s="1706">
        <f t="shared" si="10"/>
        <v>52687</v>
      </c>
      <c r="G256" s="1706">
        <f>WORKDAY(F256,$G$21,'Business Day Paris'!F235:F429)</f>
        <v>52701</v>
      </c>
      <c r="H256" s="1706">
        <f>WORKDAY(J256,$H$21,'Business Day Paris'!F235:F429)</f>
        <v>52707</v>
      </c>
      <c r="I256" s="1706">
        <f>WORKDAY(J256,$I$21,'Business Day Paris'!F235:F429)</f>
        <v>52709</v>
      </c>
      <c r="J256" s="1707">
        <f>IF(WORKDAY(EOMONTH(F256,0)+$J$21-1,1,'Business Day Paris'!F235:F429)&lt;=EOMONTH(Calendar!F257,0),WORKDAY(EOMONTH(F256,0)+$J$21-1,1,'Business Day Paris'!F235:F429),WORKDAY(EOMONTH(F256,0)+$J$21+1,-1,'Business Day Paris'!F235:F429))</f>
        <v>52714</v>
      </c>
      <c r="K256" s="1238"/>
    </row>
    <row r="257" spans="2:11">
      <c r="B257" s="1248">
        <v>235</v>
      </c>
      <c r="C257" s="2"/>
      <c r="D257" s="1705">
        <f t="shared" si="11"/>
        <v>52688</v>
      </c>
      <c r="E257" s="1706">
        <f t="shared" si="9"/>
        <v>52717</v>
      </c>
      <c r="F257" s="1706">
        <f t="shared" si="10"/>
        <v>52717</v>
      </c>
      <c r="G257" s="1706">
        <f>WORKDAY(F257,$G$21,'Business Day Paris'!F236:F430)</f>
        <v>52730</v>
      </c>
      <c r="H257" s="1706">
        <f>WORKDAY(J257,$H$21,'Business Day Paris'!F236:F430)</f>
        <v>52737</v>
      </c>
      <c r="I257" s="1706">
        <f>WORKDAY(J257,$I$21,'Business Day Paris'!F236:F430)</f>
        <v>52741</v>
      </c>
      <c r="J257" s="1707">
        <f>IF(WORKDAY(EOMONTH(F257,0)+$J$21-1,1,'Business Day Paris'!F236:F430)&lt;=EOMONTH(Calendar!F258,0),WORKDAY(EOMONTH(F257,0)+$J$21-1,1,'Business Day Paris'!F236:F430),WORKDAY(EOMONTH(F257,0)+$J$21+1,-1,'Business Day Paris'!F236:F430))</f>
        <v>52744</v>
      </c>
      <c r="K257" s="1238"/>
    </row>
    <row r="258" spans="2:11">
      <c r="B258" s="1248">
        <v>236</v>
      </c>
      <c r="C258" s="2"/>
      <c r="D258" s="1705">
        <f t="shared" si="11"/>
        <v>52718</v>
      </c>
      <c r="E258" s="1706">
        <f t="shared" si="9"/>
        <v>52748</v>
      </c>
      <c r="F258" s="1706">
        <f t="shared" si="10"/>
        <v>52748</v>
      </c>
      <c r="G258" s="1706">
        <f>WORKDAY(F258,$G$21,'Business Day Paris'!F237:F431)</f>
        <v>52762</v>
      </c>
      <c r="H258" s="1706">
        <f>WORKDAY(J258,$H$21,'Business Day Paris'!F237:F431)</f>
        <v>52768</v>
      </c>
      <c r="I258" s="1706">
        <f>WORKDAY(J258,$I$21,'Business Day Paris'!F237:F431)</f>
        <v>52770</v>
      </c>
      <c r="J258" s="1707">
        <f>IF(WORKDAY(EOMONTH(F258,0)+$J$21-1,1,'Business Day Paris'!F237:F431)&lt;=EOMONTH(Calendar!F259,0),WORKDAY(EOMONTH(F258,0)+$J$21-1,1,'Business Day Paris'!F237:F431),WORKDAY(EOMONTH(F258,0)+$J$21+1,-1,'Business Day Paris'!F237:F431))</f>
        <v>52775</v>
      </c>
      <c r="K258" s="1238"/>
    </row>
    <row r="259" spans="2:11">
      <c r="B259" s="1248">
        <v>237</v>
      </c>
      <c r="C259" s="2"/>
      <c r="D259" s="1705">
        <f t="shared" si="11"/>
        <v>52749</v>
      </c>
      <c r="E259" s="1706">
        <f t="shared" si="9"/>
        <v>52778</v>
      </c>
      <c r="F259" s="1706">
        <f t="shared" si="10"/>
        <v>52778</v>
      </c>
      <c r="G259" s="1706">
        <f>WORKDAY(F259,$G$21,'Business Day Paris'!F238:F432)</f>
        <v>52792</v>
      </c>
      <c r="H259" s="1706">
        <f>WORKDAY(J259,$H$21,'Business Day Paris'!F238:F432)</f>
        <v>52798</v>
      </c>
      <c r="I259" s="1706">
        <f>WORKDAY(J259,$I$21,'Business Day Paris'!F238:F432)</f>
        <v>52800</v>
      </c>
      <c r="J259" s="1707">
        <f>IF(WORKDAY(EOMONTH(F259,0)+$J$21-1,1,'Business Day Paris'!F238:F432)&lt;=EOMONTH(Calendar!F260,0),WORKDAY(EOMONTH(F259,0)+$J$21-1,1,'Business Day Paris'!F238:F432),WORKDAY(EOMONTH(F259,0)+$J$21+1,-1,'Business Day Paris'!F238:F432))</f>
        <v>52805</v>
      </c>
      <c r="K259" s="1238"/>
    </row>
    <row r="260" spans="2:11">
      <c r="B260" s="1248">
        <v>238</v>
      </c>
      <c r="C260" s="2"/>
      <c r="D260" s="1705">
        <f t="shared" si="11"/>
        <v>52779</v>
      </c>
      <c r="E260" s="1706">
        <f t="shared" si="9"/>
        <v>52809</v>
      </c>
      <c r="F260" s="1706">
        <f t="shared" si="10"/>
        <v>52809</v>
      </c>
      <c r="G260" s="1706">
        <f>WORKDAY(F260,$G$21,'Business Day Paris'!F239:F433)</f>
        <v>52821</v>
      </c>
      <c r="H260" s="1706">
        <f>WORKDAY(J260,$H$21,'Business Day Paris'!F239:F433)</f>
        <v>52831</v>
      </c>
      <c r="I260" s="1706">
        <f>WORKDAY(J260,$I$21,'Business Day Paris'!F239:F433)</f>
        <v>52833</v>
      </c>
      <c r="J260" s="1707">
        <f>IF(WORKDAY(EOMONTH(F260,0)+$J$21-1,1,'Business Day Paris'!F239:F433)&lt;=EOMONTH(Calendar!F261,0),WORKDAY(EOMONTH(F260,0)+$J$21-1,1,'Business Day Paris'!F239:F433),WORKDAY(EOMONTH(F260,0)+$J$21+1,-1,'Business Day Paris'!F239:F433))</f>
        <v>52838</v>
      </c>
      <c r="K260" s="1238"/>
    </row>
    <row r="261" spans="2:11">
      <c r="B261" s="1248">
        <v>239</v>
      </c>
      <c r="C261" s="2"/>
      <c r="D261" s="1705">
        <f t="shared" si="11"/>
        <v>52810</v>
      </c>
      <c r="E261" s="1706">
        <f t="shared" si="9"/>
        <v>52840</v>
      </c>
      <c r="F261" s="1706">
        <f t="shared" si="10"/>
        <v>52840</v>
      </c>
      <c r="G261" s="1706">
        <f>WORKDAY(F261,$G$21,'Business Day Paris'!F240:F434)</f>
        <v>52854</v>
      </c>
      <c r="H261" s="1706">
        <f>WORKDAY(J261,$H$21,'Business Day Paris'!F240:F434)</f>
        <v>52860</v>
      </c>
      <c r="I261" s="1706">
        <f>WORKDAY(J261,$I$21,'Business Day Paris'!F240:F434)</f>
        <v>52862</v>
      </c>
      <c r="J261" s="1707">
        <f>IF(WORKDAY(EOMONTH(F261,0)+$J$21-1,1,'Business Day Paris'!F240:F434)&lt;=EOMONTH(Calendar!F262,0),WORKDAY(EOMONTH(F261,0)+$J$21-1,1,'Business Day Paris'!F240:F434),WORKDAY(EOMONTH(F261,0)+$J$21+1,-1,'Business Day Paris'!F240:F434))</f>
        <v>52867</v>
      </c>
      <c r="K261" s="1238"/>
    </row>
    <row r="262" spans="2:11">
      <c r="B262" s="1248">
        <v>240</v>
      </c>
      <c r="C262" s="2"/>
      <c r="D262" s="1705">
        <f t="shared" si="11"/>
        <v>52841</v>
      </c>
      <c r="E262" s="1706">
        <f t="shared" si="9"/>
        <v>52870</v>
      </c>
      <c r="F262" s="1706">
        <f t="shared" si="10"/>
        <v>52870</v>
      </c>
      <c r="G262" s="1706">
        <f>WORKDAY(F262,$G$21,'Business Day Paris'!F241:F435)</f>
        <v>52884</v>
      </c>
      <c r="H262" s="1706">
        <f>WORKDAY(J262,$H$21,'Business Day Paris'!F241:F435)</f>
        <v>52890</v>
      </c>
      <c r="I262" s="1706">
        <f>WORKDAY(J262,$I$21,'Business Day Paris'!F241:F435)</f>
        <v>52894</v>
      </c>
      <c r="J262" s="1707">
        <f>IF(WORKDAY(EOMONTH(F262,0)+$J$21-1,1,'Business Day Paris'!F241:F435)&lt;=EOMONTH(Calendar!F263,0),WORKDAY(EOMONTH(F262,0)+$J$21-1,1,'Business Day Paris'!F241:F435),WORKDAY(EOMONTH(F262,0)+$J$21+1,-1,'Business Day Paris'!F241:F435))</f>
        <v>52897</v>
      </c>
      <c r="K262" s="1238"/>
    </row>
    <row r="263" spans="2:11">
      <c r="B263" s="1248">
        <v>241</v>
      </c>
      <c r="C263" s="2"/>
      <c r="D263" s="1705">
        <f t="shared" si="11"/>
        <v>52871</v>
      </c>
      <c r="E263" s="1706">
        <f t="shared" si="9"/>
        <v>52901</v>
      </c>
      <c r="F263" s="1706">
        <f t="shared" si="10"/>
        <v>52901</v>
      </c>
      <c r="G263" s="1706">
        <f>WORKDAY(F263,$G$21,'Business Day Paris'!F242:F436)</f>
        <v>52915</v>
      </c>
      <c r="H263" s="1706">
        <f>WORKDAY(J263,$H$21,'Business Day Paris'!F242:F436)</f>
        <v>52922</v>
      </c>
      <c r="I263" s="1706">
        <f>WORKDAY(J263,$I$21,'Business Day Paris'!F242:F436)</f>
        <v>52924</v>
      </c>
      <c r="J263" s="1707">
        <f>IF(WORKDAY(EOMONTH(F263,0)+$J$21-1,1,'Business Day Paris'!F242:F436)&lt;=EOMONTH(Calendar!F264,0),WORKDAY(EOMONTH(F263,0)+$J$21-1,1,'Business Day Paris'!F242:F436),WORKDAY(EOMONTH(F263,0)+$J$21+1,-1,'Business Day Paris'!F242:F436))</f>
        <v>52929</v>
      </c>
      <c r="K263" s="1238"/>
    </row>
    <row r="264" spans="2:11">
      <c r="B264" s="1248">
        <v>242</v>
      </c>
      <c r="C264" s="2"/>
      <c r="D264" s="1705">
        <f t="shared" si="11"/>
        <v>52902</v>
      </c>
      <c r="E264" s="1706">
        <f t="shared" si="9"/>
        <v>52931</v>
      </c>
      <c r="F264" s="1706">
        <f t="shared" si="10"/>
        <v>52931</v>
      </c>
      <c r="G264" s="1706">
        <f>WORKDAY(F264,$G$21,'Business Day Paris'!F243:F437)</f>
        <v>52945</v>
      </c>
      <c r="H264" s="1706">
        <f>WORKDAY(J264,$H$21,'Business Day Paris'!F243:F437)</f>
        <v>52951</v>
      </c>
      <c r="I264" s="1706">
        <f>WORKDAY(J264,$I$21,'Business Day Paris'!F243:F437)</f>
        <v>52953</v>
      </c>
      <c r="J264" s="1707">
        <f>IF(WORKDAY(EOMONTH(F264,0)+$J$21-1,1,'Business Day Paris'!F243:F437)&lt;=EOMONTH(Calendar!F265,0),WORKDAY(EOMONTH(F264,0)+$J$21-1,1,'Business Day Paris'!F243:F437),WORKDAY(EOMONTH(F264,0)+$J$21+1,-1,'Business Day Paris'!F243:F437))</f>
        <v>52958</v>
      </c>
      <c r="K264" s="1238"/>
    </row>
    <row r="265" spans="2:11">
      <c r="B265" s="1248">
        <v>243</v>
      </c>
      <c r="C265" s="2"/>
      <c r="D265" s="1705">
        <f t="shared" si="11"/>
        <v>52932</v>
      </c>
      <c r="E265" s="1706">
        <f t="shared" si="9"/>
        <v>52962</v>
      </c>
      <c r="F265" s="1706">
        <f t="shared" si="10"/>
        <v>52962</v>
      </c>
      <c r="G265" s="1706">
        <f>WORKDAY(F265,$G$21,'Business Day Paris'!F244:F438)</f>
        <v>52975</v>
      </c>
      <c r="H265" s="1706">
        <f>WORKDAY(J265,$H$21,'Business Day Paris'!F244:F438)</f>
        <v>52982</v>
      </c>
      <c r="I265" s="1706">
        <f>WORKDAY(J265,$I$21,'Business Day Paris'!F244:F438)</f>
        <v>52986</v>
      </c>
      <c r="J265" s="1707">
        <f>IF(WORKDAY(EOMONTH(F265,0)+$J$21-1,1,'Business Day Paris'!F244:F438)&lt;=EOMONTH(Calendar!F266,0),WORKDAY(EOMONTH(F265,0)+$J$21-1,1,'Business Day Paris'!F244:F438),WORKDAY(EOMONTH(F265,0)+$J$21+1,-1,'Business Day Paris'!F244:F438))</f>
        <v>52989</v>
      </c>
      <c r="K265" s="1238"/>
    </row>
    <row r="266" spans="2:11">
      <c r="B266" s="1248">
        <v>244</v>
      </c>
      <c r="C266" s="2"/>
      <c r="D266" s="1705">
        <f t="shared" si="11"/>
        <v>52963</v>
      </c>
      <c r="E266" s="1706">
        <f t="shared" si="9"/>
        <v>52993</v>
      </c>
      <c r="F266" s="1706">
        <f t="shared" si="10"/>
        <v>52993</v>
      </c>
      <c r="G266" s="1706">
        <f>WORKDAY(F266,$G$21,'Business Day Paris'!F245:F439)</f>
        <v>53007</v>
      </c>
      <c r="H266" s="1706">
        <f>WORKDAY(J266,$H$21,'Business Day Paris'!F245:F439)</f>
        <v>53013</v>
      </c>
      <c r="I266" s="1706">
        <f>WORKDAY(J266,$I$21,'Business Day Paris'!F245:F439)</f>
        <v>53015</v>
      </c>
      <c r="J266" s="1707">
        <f>IF(WORKDAY(EOMONTH(F266,0)+$J$21-1,1,'Business Day Paris'!F245:F439)&lt;=EOMONTH(Calendar!F267,0),WORKDAY(EOMONTH(F266,0)+$J$21-1,1,'Business Day Paris'!F245:F439),WORKDAY(EOMONTH(F266,0)+$J$21+1,-1,'Business Day Paris'!F245:F439))</f>
        <v>53020</v>
      </c>
      <c r="K266" s="1238"/>
    </row>
    <row r="267" spans="2:11">
      <c r="B267" s="1248">
        <v>245</v>
      </c>
      <c r="C267" s="2"/>
      <c r="D267" s="1705">
        <f t="shared" si="11"/>
        <v>52994</v>
      </c>
      <c r="E267" s="1706">
        <f t="shared" si="9"/>
        <v>53021</v>
      </c>
      <c r="F267" s="1706">
        <f t="shared" si="10"/>
        <v>53021</v>
      </c>
      <c r="G267" s="1706">
        <f>WORKDAY(F267,$G$21,'Business Day Paris'!F246:F440)</f>
        <v>53035</v>
      </c>
      <c r="H267" s="1706">
        <f>WORKDAY(J267,$H$21,'Business Day Paris'!F246:F440)</f>
        <v>53041</v>
      </c>
      <c r="I267" s="1706">
        <f>WORKDAY(J267,$I$21,'Business Day Paris'!F246:F440)</f>
        <v>53043</v>
      </c>
      <c r="J267" s="1707">
        <f>IF(WORKDAY(EOMONTH(F267,0)+$J$21-1,1,'Business Day Paris'!F246:F440)&lt;=EOMONTH(Calendar!F268,0),WORKDAY(EOMONTH(F267,0)+$J$21-1,1,'Business Day Paris'!F246:F440),WORKDAY(EOMONTH(F267,0)+$J$21+1,-1,'Business Day Paris'!F246:F440))</f>
        <v>53048</v>
      </c>
      <c r="K267" s="1238"/>
    </row>
    <row r="268" spans="2:11">
      <c r="B268" s="1248">
        <v>246</v>
      </c>
      <c r="C268" s="2"/>
      <c r="D268" s="1705">
        <f t="shared" si="11"/>
        <v>53022</v>
      </c>
      <c r="E268" s="1706">
        <f t="shared" si="9"/>
        <v>53052</v>
      </c>
      <c r="F268" s="1706">
        <f t="shared" si="10"/>
        <v>53052</v>
      </c>
      <c r="G268" s="1706">
        <f>WORKDAY(F268,$G$21,'Business Day Paris'!F247:F441)</f>
        <v>53066</v>
      </c>
      <c r="H268" s="1706">
        <f>WORKDAY(J268,$H$21,'Business Day Paris'!F247:F441)</f>
        <v>53072</v>
      </c>
      <c r="I268" s="1706">
        <f>WORKDAY(J268,$I$21,'Business Day Paris'!F247:F441)</f>
        <v>53076</v>
      </c>
      <c r="J268" s="1707">
        <f>IF(WORKDAY(EOMONTH(F268,0)+$J$21-1,1,'Business Day Paris'!F247:F441)&lt;=EOMONTH(Calendar!F269,0),WORKDAY(EOMONTH(F268,0)+$J$21-1,1,'Business Day Paris'!F247:F441),WORKDAY(EOMONTH(F268,0)+$J$21+1,-1,'Business Day Paris'!F247:F441))</f>
        <v>53079</v>
      </c>
      <c r="K268" s="1238"/>
    </row>
    <row r="269" spans="2:11">
      <c r="B269" s="1248">
        <v>247</v>
      </c>
      <c r="C269" s="2"/>
      <c r="D269" s="1705">
        <f t="shared" si="11"/>
        <v>53053</v>
      </c>
      <c r="E269" s="1706">
        <f t="shared" si="9"/>
        <v>53082</v>
      </c>
      <c r="F269" s="1706">
        <f t="shared" si="10"/>
        <v>53082</v>
      </c>
      <c r="G269" s="1706">
        <f>WORKDAY(F269,$G$21,'Business Day Paris'!F248:F442)</f>
        <v>53094</v>
      </c>
      <c r="H269" s="1706">
        <f>WORKDAY(J269,$H$21,'Business Day Paris'!F248:F442)</f>
        <v>53104</v>
      </c>
      <c r="I269" s="1706">
        <f>WORKDAY(J269,$I$21,'Business Day Paris'!F248:F442)</f>
        <v>53106</v>
      </c>
      <c r="J269" s="1707">
        <f>IF(WORKDAY(EOMONTH(F269,0)+$J$21-1,1,'Business Day Paris'!F248:F442)&lt;=EOMONTH(Calendar!F270,0),WORKDAY(EOMONTH(F269,0)+$J$21-1,1,'Business Day Paris'!F248:F442),WORKDAY(EOMONTH(F269,0)+$J$21+1,-1,'Business Day Paris'!F248:F442))</f>
        <v>53111</v>
      </c>
      <c r="K269" s="1238"/>
    </row>
    <row r="270" spans="2:11">
      <c r="B270" s="1248">
        <v>248</v>
      </c>
      <c r="C270" s="2"/>
      <c r="D270" s="1705">
        <f t="shared" si="11"/>
        <v>53083</v>
      </c>
      <c r="E270" s="1706">
        <f t="shared" si="9"/>
        <v>53113</v>
      </c>
      <c r="F270" s="1706">
        <f t="shared" si="10"/>
        <v>53113</v>
      </c>
      <c r="G270" s="1706">
        <f>WORKDAY(F270,$G$21,'Business Day Paris'!F249:F443)</f>
        <v>53127</v>
      </c>
      <c r="H270" s="1706">
        <f>WORKDAY(J270,$H$21,'Business Day Paris'!F249:F443)</f>
        <v>53133</v>
      </c>
      <c r="I270" s="1706">
        <f>WORKDAY(J270,$I$21,'Business Day Paris'!F249:F443)</f>
        <v>53135</v>
      </c>
      <c r="J270" s="1707">
        <f>IF(WORKDAY(EOMONTH(F270,0)+$J$21-1,1,'Business Day Paris'!F249:F443)&lt;=EOMONTH(Calendar!F271,0),WORKDAY(EOMONTH(F270,0)+$J$21-1,1,'Business Day Paris'!F249:F443),WORKDAY(EOMONTH(F270,0)+$J$21+1,-1,'Business Day Paris'!F249:F443))</f>
        <v>53140</v>
      </c>
      <c r="K270" s="1238"/>
    </row>
    <row r="271" spans="2:11">
      <c r="B271" s="1248">
        <v>249</v>
      </c>
      <c r="C271" s="2"/>
      <c r="D271" s="1705">
        <f t="shared" si="11"/>
        <v>53114</v>
      </c>
      <c r="E271" s="1706">
        <f t="shared" si="9"/>
        <v>53143</v>
      </c>
      <c r="F271" s="1706">
        <f t="shared" si="10"/>
        <v>53143</v>
      </c>
      <c r="G271" s="1706">
        <f>WORKDAY(F271,$G$21,'Business Day Paris'!F250:F444)</f>
        <v>53157</v>
      </c>
      <c r="H271" s="1706">
        <f>WORKDAY(J271,$H$21,'Business Day Paris'!F250:F444)</f>
        <v>53163</v>
      </c>
      <c r="I271" s="1706">
        <f>WORKDAY(J271,$I$21,'Business Day Paris'!F250:F444)</f>
        <v>53167</v>
      </c>
      <c r="J271" s="1707">
        <f>IF(WORKDAY(EOMONTH(F271,0)+$J$21-1,1,'Business Day Paris'!F250:F444)&lt;=EOMONTH(Calendar!F272,0),WORKDAY(EOMONTH(F271,0)+$J$21-1,1,'Business Day Paris'!F250:F444),WORKDAY(EOMONTH(F271,0)+$J$21+1,-1,'Business Day Paris'!F250:F444))</f>
        <v>53170</v>
      </c>
      <c r="K271" s="1238"/>
    </row>
    <row r="272" spans="2:11">
      <c r="B272" s="1248">
        <v>250</v>
      </c>
      <c r="C272" s="2"/>
      <c r="D272" s="1705">
        <f t="shared" si="11"/>
        <v>53144</v>
      </c>
      <c r="E272" s="1706">
        <f t="shared" si="9"/>
        <v>53174</v>
      </c>
      <c r="F272" s="1706">
        <f t="shared" si="10"/>
        <v>53174</v>
      </c>
      <c r="G272" s="1706">
        <f>WORKDAY(F272,$G$21,'Business Day Paris'!F251:F445)</f>
        <v>53188</v>
      </c>
      <c r="H272" s="1706">
        <f>WORKDAY(J272,$H$21,'Business Day Paris'!F251:F445)</f>
        <v>53195</v>
      </c>
      <c r="I272" s="1706">
        <f>WORKDAY(J272,$I$21,'Business Day Paris'!F251:F445)</f>
        <v>53197</v>
      </c>
      <c r="J272" s="1707">
        <f>IF(WORKDAY(EOMONTH(F272,0)+$J$21-1,1,'Business Day Paris'!F251:F445)&lt;=EOMONTH(Calendar!F273,0),WORKDAY(EOMONTH(F272,0)+$J$21-1,1,'Business Day Paris'!F251:F445),WORKDAY(EOMONTH(F272,0)+$J$21+1,-1,'Business Day Paris'!F251:F445))</f>
        <v>53202</v>
      </c>
      <c r="K272" s="1238"/>
    </row>
    <row r="273" spans="2:11">
      <c r="B273" s="1248">
        <v>251</v>
      </c>
      <c r="C273" s="2"/>
      <c r="D273" s="1705">
        <f t="shared" si="11"/>
        <v>53175</v>
      </c>
      <c r="E273" s="1706">
        <f t="shared" si="9"/>
        <v>53205</v>
      </c>
      <c r="F273" s="1706">
        <f t="shared" si="10"/>
        <v>53205</v>
      </c>
      <c r="G273" s="1706">
        <f>WORKDAY(F273,$G$21,'Business Day Paris'!F252:F446)</f>
        <v>53219</v>
      </c>
      <c r="H273" s="1706">
        <f>WORKDAY(J273,$H$21,'Business Day Paris'!F252:F446)</f>
        <v>53225</v>
      </c>
      <c r="I273" s="1706">
        <f>WORKDAY(J273,$I$21,'Business Day Paris'!F252:F446)</f>
        <v>53227</v>
      </c>
      <c r="J273" s="1707">
        <f>IF(WORKDAY(EOMONTH(F273,0)+$J$21-1,1,'Business Day Paris'!F252:F446)&lt;=EOMONTH(Calendar!F274,0),WORKDAY(EOMONTH(F273,0)+$J$21-1,1,'Business Day Paris'!F252:F446),WORKDAY(EOMONTH(F273,0)+$J$21+1,-1,'Business Day Paris'!F252:F446))</f>
        <v>53232</v>
      </c>
      <c r="K273" s="1238"/>
    </row>
    <row r="274" spans="2:11">
      <c r="B274" s="1248">
        <v>252</v>
      </c>
      <c r="C274" s="2"/>
      <c r="D274" s="1705">
        <f t="shared" si="11"/>
        <v>53206</v>
      </c>
      <c r="E274" s="1706">
        <f t="shared" si="9"/>
        <v>53235</v>
      </c>
      <c r="F274" s="1706">
        <f t="shared" si="10"/>
        <v>53235</v>
      </c>
      <c r="G274" s="1706">
        <f>WORKDAY(F274,$G$21,'Business Day Paris'!F253:F447)</f>
        <v>53248</v>
      </c>
      <c r="H274" s="1706">
        <f>WORKDAY(J274,$H$21,'Business Day Paris'!F253:F447)</f>
        <v>53255</v>
      </c>
      <c r="I274" s="1706">
        <f>WORKDAY(J274,$I$21,'Business Day Paris'!F253:F447)</f>
        <v>53259</v>
      </c>
      <c r="J274" s="1707">
        <f>IF(WORKDAY(EOMONTH(F274,0)+$J$21-1,1,'Business Day Paris'!F253:F447)&lt;=EOMONTH(Calendar!F275,0),WORKDAY(EOMONTH(F274,0)+$J$21-1,1,'Business Day Paris'!F253:F447),WORKDAY(EOMONTH(F274,0)+$J$21+1,-1,'Business Day Paris'!F253:F447))</f>
        <v>53262</v>
      </c>
      <c r="K274" s="1238"/>
    </row>
    <row r="275" spans="2:11">
      <c r="B275" s="1248">
        <v>253</v>
      </c>
      <c r="C275" s="2"/>
      <c r="D275" s="1705">
        <f t="shared" si="11"/>
        <v>53236</v>
      </c>
      <c r="E275" s="1706">
        <f t="shared" si="9"/>
        <v>53266</v>
      </c>
      <c r="F275" s="1706">
        <f t="shared" si="10"/>
        <v>53266</v>
      </c>
      <c r="G275" s="1706">
        <f>WORKDAY(F275,$G$21,'Business Day Paris'!F254:F448)</f>
        <v>53280</v>
      </c>
      <c r="H275" s="1706">
        <f>WORKDAY(J275,$H$21,'Business Day Paris'!F254:F448)</f>
        <v>53286</v>
      </c>
      <c r="I275" s="1706">
        <f>WORKDAY(J275,$I$21,'Business Day Paris'!F254:F448)</f>
        <v>53288</v>
      </c>
      <c r="J275" s="1707">
        <f>IF(WORKDAY(EOMONTH(F275,0)+$J$21-1,1,'Business Day Paris'!F254:F448)&lt;=EOMONTH(Calendar!F276,0),WORKDAY(EOMONTH(F275,0)+$J$21-1,1,'Business Day Paris'!F254:F448),WORKDAY(EOMONTH(F275,0)+$J$21+1,-1,'Business Day Paris'!F254:F448))</f>
        <v>53293</v>
      </c>
      <c r="K275" s="1238"/>
    </row>
    <row r="276" spans="2:11">
      <c r="B276" s="1248">
        <v>254</v>
      </c>
      <c r="C276" s="2"/>
      <c r="D276" s="1705">
        <f t="shared" si="11"/>
        <v>53267</v>
      </c>
      <c r="E276" s="1706">
        <f t="shared" si="9"/>
        <v>53296</v>
      </c>
      <c r="F276" s="1706">
        <f t="shared" si="10"/>
        <v>53296</v>
      </c>
      <c r="G276" s="1706">
        <f>WORKDAY(F276,$G$21,'Business Day Paris'!F255:F449)</f>
        <v>53310</v>
      </c>
      <c r="H276" s="1706">
        <f>WORKDAY(J276,$H$21,'Business Day Paris'!F255:F449)</f>
        <v>53316</v>
      </c>
      <c r="I276" s="1706">
        <f>WORKDAY(J276,$I$21,'Business Day Paris'!F255:F449)</f>
        <v>53318</v>
      </c>
      <c r="J276" s="1707">
        <f>IF(WORKDAY(EOMONTH(F276,0)+$J$21-1,1,'Business Day Paris'!F255:F449)&lt;=EOMONTH(Calendar!F277,0),WORKDAY(EOMONTH(F276,0)+$J$21-1,1,'Business Day Paris'!F255:F449),WORKDAY(EOMONTH(F276,0)+$J$21+1,-1,'Business Day Paris'!F255:F449))</f>
        <v>53323</v>
      </c>
      <c r="K276" s="1238"/>
    </row>
    <row r="277" spans="2:11">
      <c r="B277" s="1248">
        <v>255</v>
      </c>
      <c r="C277" s="2"/>
      <c r="D277" s="1705">
        <f t="shared" si="11"/>
        <v>53297</v>
      </c>
      <c r="E277" s="1706">
        <f t="shared" si="9"/>
        <v>53327</v>
      </c>
      <c r="F277" s="1706">
        <f t="shared" si="10"/>
        <v>53327</v>
      </c>
      <c r="G277" s="1706">
        <f>WORKDAY(F277,$G$21,'Business Day Paris'!F256:F450)</f>
        <v>53339</v>
      </c>
      <c r="H277" s="1706">
        <f>WORKDAY(J277,$H$21,'Business Day Paris'!F256:F450)</f>
        <v>53349</v>
      </c>
      <c r="I277" s="1706">
        <f>WORKDAY(J277,$I$21,'Business Day Paris'!F256:F450)</f>
        <v>53351</v>
      </c>
      <c r="J277" s="1707">
        <f>IF(WORKDAY(EOMONTH(F277,0)+$J$21-1,1,'Business Day Paris'!F256:F450)&lt;=EOMONTH(Calendar!F278,0),WORKDAY(EOMONTH(F277,0)+$J$21-1,1,'Business Day Paris'!F256:F450),WORKDAY(EOMONTH(F277,0)+$J$21+1,-1,'Business Day Paris'!F256:F450))</f>
        <v>53356</v>
      </c>
      <c r="K277" s="1238"/>
    </row>
    <row r="278" spans="2:11">
      <c r="B278" s="1248">
        <v>256</v>
      </c>
      <c r="C278" s="2"/>
      <c r="D278" s="1705">
        <f t="shared" si="11"/>
        <v>53328</v>
      </c>
      <c r="E278" s="1706">
        <f t="shared" si="9"/>
        <v>53358</v>
      </c>
      <c r="F278" s="1706">
        <f t="shared" si="10"/>
        <v>53358</v>
      </c>
      <c r="G278" s="1706">
        <f>WORKDAY(F278,$G$21,'Business Day Paris'!F257:F451)</f>
        <v>53372</v>
      </c>
      <c r="H278" s="1706">
        <f>WORKDAY(J278,$H$21,'Business Day Paris'!F257:F451)</f>
        <v>53378</v>
      </c>
      <c r="I278" s="1706">
        <f>WORKDAY(J278,$I$21,'Business Day Paris'!F257:F451)</f>
        <v>53380</v>
      </c>
      <c r="J278" s="1707">
        <f>IF(WORKDAY(EOMONTH(F278,0)+$J$21-1,1,'Business Day Paris'!F257:F451)&lt;=EOMONTH(Calendar!F279,0),WORKDAY(EOMONTH(F278,0)+$J$21-1,1,'Business Day Paris'!F257:F451),WORKDAY(EOMONTH(F278,0)+$J$21+1,-1,'Business Day Paris'!F257:F451))</f>
        <v>53385</v>
      </c>
      <c r="K278" s="1238"/>
    </row>
    <row r="279" spans="2:11">
      <c r="B279" s="1248">
        <v>257</v>
      </c>
      <c r="C279" s="2"/>
      <c r="D279" s="1705">
        <f t="shared" si="11"/>
        <v>53359</v>
      </c>
      <c r="E279" s="1706">
        <f t="shared" si="9"/>
        <v>53386</v>
      </c>
      <c r="F279" s="1706">
        <f t="shared" si="10"/>
        <v>53386</v>
      </c>
      <c r="G279" s="1706">
        <f>WORKDAY(F279,$G$21,'Business Day Paris'!F258:F452)</f>
        <v>53400</v>
      </c>
      <c r="H279" s="1706">
        <f>WORKDAY(J279,$H$21,'Business Day Paris'!F258:F452)</f>
        <v>53406</v>
      </c>
      <c r="I279" s="1706">
        <f>WORKDAY(J279,$I$21,'Business Day Paris'!F258:F452)</f>
        <v>53408</v>
      </c>
      <c r="J279" s="1707">
        <f>IF(WORKDAY(EOMONTH(F279,0)+$J$21-1,1,'Business Day Paris'!F258:F452)&lt;=EOMONTH(Calendar!F280,0),WORKDAY(EOMONTH(F279,0)+$J$21-1,1,'Business Day Paris'!F258:F452),WORKDAY(EOMONTH(F279,0)+$J$21+1,-1,'Business Day Paris'!F258:F452))</f>
        <v>53413</v>
      </c>
      <c r="K279" s="1238"/>
    </row>
    <row r="280" spans="2:11">
      <c r="B280" s="1248">
        <v>258</v>
      </c>
      <c r="C280" s="2"/>
      <c r="D280" s="1705">
        <f t="shared" si="11"/>
        <v>53387</v>
      </c>
      <c r="E280" s="1706">
        <f t="shared" ref="E280:E343" si="12">EOMONTH(D280,0)</f>
        <v>53417</v>
      </c>
      <c r="F280" s="1706">
        <f t="shared" ref="F280:F343" si="13">E280</f>
        <v>53417</v>
      </c>
      <c r="G280" s="1706">
        <f>WORKDAY(F280,$G$21,'Business Day Paris'!F259:F453)</f>
        <v>53430</v>
      </c>
      <c r="H280" s="1706">
        <f>WORKDAY(J280,$H$21,'Business Day Paris'!F259:F453)</f>
        <v>53437</v>
      </c>
      <c r="I280" s="1706">
        <f>WORKDAY(J280,$I$21,'Business Day Paris'!F259:F453)</f>
        <v>53441</v>
      </c>
      <c r="J280" s="1707">
        <f>IF(WORKDAY(EOMONTH(F280,0)+$J$21-1,1,'Business Day Paris'!F259:F453)&lt;=EOMONTH(Calendar!F281,0),WORKDAY(EOMONTH(F280,0)+$J$21-1,1,'Business Day Paris'!F259:F453),WORKDAY(EOMONTH(F280,0)+$J$21+1,-1,'Business Day Paris'!F259:F453))</f>
        <v>53444</v>
      </c>
      <c r="K280" s="1238"/>
    </row>
    <row r="281" spans="2:11">
      <c r="B281" s="1248">
        <v>259</v>
      </c>
      <c r="C281" s="2"/>
      <c r="D281" s="1705">
        <f t="shared" ref="D281:D344" si="14">EOMONTH(D280,0)+1</f>
        <v>53418</v>
      </c>
      <c r="E281" s="1706">
        <f t="shared" si="12"/>
        <v>53447</v>
      </c>
      <c r="F281" s="1706">
        <f t="shared" si="13"/>
        <v>53447</v>
      </c>
      <c r="G281" s="1706">
        <f>WORKDAY(F281,$G$21,'Business Day Paris'!F260:F454)</f>
        <v>53461</v>
      </c>
      <c r="H281" s="1706">
        <f>WORKDAY(J281,$H$21,'Business Day Paris'!F260:F454)</f>
        <v>53468</v>
      </c>
      <c r="I281" s="1706">
        <f>WORKDAY(J281,$I$21,'Business Day Paris'!F260:F454)</f>
        <v>53470</v>
      </c>
      <c r="J281" s="1707">
        <f>IF(WORKDAY(EOMONTH(F281,0)+$J$21-1,1,'Business Day Paris'!F260:F454)&lt;=EOMONTH(Calendar!F282,0),WORKDAY(EOMONTH(F281,0)+$J$21-1,1,'Business Day Paris'!F260:F454),WORKDAY(EOMONTH(F281,0)+$J$21+1,-1,'Business Day Paris'!F260:F454))</f>
        <v>53475</v>
      </c>
      <c r="K281" s="1238"/>
    </row>
    <row r="282" spans="2:11">
      <c r="B282" s="1248">
        <v>260</v>
      </c>
      <c r="C282" s="2"/>
      <c r="D282" s="1705">
        <f t="shared" si="14"/>
        <v>53448</v>
      </c>
      <c r="E282" s="1706">
        <f t="shared" si="12"/>
        <v>53478</v>
      </c>
      <c r="F282" s="1706">
        <f t="shared" si="13"/>
        <v>53478</v>
      </c>
      <c r="G282" s="1706">
        <f>WORKDAY(F282,$G$21,'Business Day Paris'!F261:F455)</f>
        <v>53492</v>
      </c>
      <c r="H282" s="1706">
        <f>WORKDAY(J282,$H$21,'Business Day Paris'!F261:F455)</f>
        <v>53498</v>
      </c>
      <c r="I282" s="1706">
        <f>WORKDAY(J282,$I$21,'Business Day Paris'!F261:F455)</f>
        <v>53500</v>
      </c>
      <c r="J282" s="1707">
        <f>IF(WORKDAY(EOMONTH(F282,0)+$J$21-1,1,'Business Day Paris'!F261:F455)&lt;=EOMONTH(Calendar!F283,0),WORKDAY(EOMONTH(F282,0)+$J$21-1,1,'Business Day Paris'!F261:F455),WORKDAY(EOMONTH(F282,0)+$J$21+1,-1,'Business Day Paris'!F261:F455))</f>
        <v>53505</v>
      </c>
      <c r="K282" s="1238"/>
    </row>
    <row r="283" spans="2:11">
      <c r="B283" s="1248">
        <v>261</v>
      </c>
      <c r="C283" s="2"/>
      <c r="D283" s="1705">
        <f t="shared" si="14"/>
        <v>53479</v>
      </c>
      <c r="E283" s="1706">
        <f t="shared" si="12"/>
        <v>53508</v>
      </c>
      <c r="F283" s="1706">
        <f t="shared" si="13"/>
        <v>53508</v>
      </c>
      <c r="G283" s="1706">
        <f>WORKDAY(F283,$G$21,'Business Day Paris'!F262:F456)</f>
        <v>53521</v>
      </c>
      <c r="H283" s="1706">
        <f>WORKDAY(J283,$H$21,'Business Day Paris'!F262:F456)</f>
        <v>53528</v>
      </c>
      <c r="I283" s="1706">
        <f>WORKDAY(J283,$I$21,'Business Day Paris'!F262:F456)</f>
        <v>53532</v>
      </c>
      <c r="J283" s="1707">
        <f>IF(WORKDAY(EOMONTH(F283,0)+$J$21-1,1,'Business Day Paris'!F262:F456)&lt;=EOMONTH(Calendar!F284,0),WORKDAY(EOMONTH(F283,0)+$J$21-1,1,'Business Day Paris'!F262:F456),WORKDAY(EOMONTH(F283,0)+$J$21+1,-1,'Business Day Paris'!F262:F456))</f>
        <v>53535</v>
      </c>
      <c r="K283" s="1238"/>
    </row>
    <row r="284" spans="2:11">
      <c r="B284" s="1248">
        <v>262</v>
      </c>
      <c r="C284" s="2"/>
      <c r="D284" s="1705">
        <f t="shared" si="14"/>
        <v>53509</v>
      </c>
      <c r="E284" s="1706">
        <f t="shared" si="12"/>
        <v>53539</v>
      </c>
      <c r="F284" s="1706">
        <f t="shared" si="13"/>
        <v>53539</v>
      </c>
      <c r="G284" s="1706">
        <f>WORKDAY(F284,$G$21,'Business Day Paris'!F263:F457)</f>
        <v>53553</v>
      </c>
      <c r="H284" s="1706">
        <f>WORKDAY(J284,$H$21,'Business Day Paris'!F263:F457)</f>
        <v>53559</v>
      </c>
      <c r="I284" s="1706">
        <f>WORKDAY(J284,$I$21,'Business Day Paris'!F263:F457)</f>
        <v>53561</v>
      </c>
      <c r="J284" s="1707">
        <f>IF(WORKDAY(EOMONTH(F284,0)+$J$21-1,1,'Business Day Paris'!F263:F457)&lt;=EOMONTH(Calendar!F285,0),WORKDAY(EOMONTH(F284,0)+$J$21-1,1,'Business Day Paris'!F263:F457),WORKDAY(EOMONTH(F284,0)+$J$21+1,-1,'Business Day Paris'!F263:F457))</f>
        <v>53566</v>
      </c>
      <c r="K284" s="1238"/>
    </row>
    <row r="285" spans="2:11">
      <c r="B285" s="1248">
        <v>263</v>
      </c>
      <c r="C285" s="2"/>
      <c r="D285" s="1705">
        <f t="shared" si="14"/>
        <v>53540</v>
      </c>
      <c r="E285" s="1706">
        <f t="shared" si="12"/>
        <v>53570</v>
      </c>
      <c r="F285" s="1706">
        <f t="shared" si="13"/>
        <v>53570</v>
      </c>
      <c r="G285" s="1706">
        <f>WORKDAY(F285,$G$21,'Business Day Paris'!F264:F458)</f>
        <v>53584</v>
      </c>
      <c r="H285" s="1706">
        <f>WORKDAY(J285,$H$21,'Business Day Paris'!F264:F458)</f>
        <v>53590</v>
      </c>
      <c r="I285" s="1706">
        <f>WORKDAY(J285,$I$21,'Business Day Paris'!F264:F458)</f>
        <v>53594</v>
      </c>
      <c r="J285" s="1707">
        <f>IF(WORKDAY(EOMONTH(F285,0)+$J$21-1,1,'Business Day Paris'!F264:F458)&lt;=EOMONTH(Calendar!F286,0),WORKDAY(EOMONTH(F285,0)+$J$21-1,1,'Business Day Paris'!F264:F458),WORKDAY(EOMONTH(F285,0)+$J$21+1,-1,'Business Day Paris'!F264:F458))</f>
        <v>53597</v>
      </c>
      <c r="K285" s="1238"/>
    </row>
    <row r="286" spans="2:11">
      <c r="B286" s="1248">
        <v>264</v>
      </c>
      <c r="C286" s="2"/>
      <c r="D286" s="1705">
        <f t="shared" si="14"/>
        <v>53571</v>
      </c>
      <c r="E286" s="1706">
        <f t="shared" si="12"/>
        <v>53600</v>
      </c>
      <c r="F286" s="1706">
        <f t="shared" si="13"/>
        <v>53600</v>
      </c>
      <c r="G286" s="1706">
        <f>WORKDAY(F286,$G$21,'Business Day Paris'!F265:F459)</f>
        <v>53612</v>
      </c>
      <c r="H286" s="1706">
        <f>WORKDAY(J286,$H$21,'Business Day Paris'!F265:F459)</f>
        <v>53622</v>
      </c>
      <c r="I286" s="1706">
        <f>WORKDAY(J286,$I$21,'Business Day Paris'!F265:F459)</f>
        <v>53624</v>
      </c>
      <c r="J286" s="1707">
        <f>IF(WORKDAY(EOMONTH(F286,0)+$J$21-1,1,'Business Day Paris'!F265:F459)&lt;=EOMONTH(Calendar!F287,0),WORKDAY(EOMONTH(F286,0)+$J$21-1,1,'Business Day Paris'!F265:F459),WORKDAY(EOMONTH(F286,0)+$J$21+1,-1,'Business Day Paris'!F265:F459))</f>
        <v>53629</v>
      </c>
      <c r="K286" s="1238"/>
    </row>
    <row r="287" spans="2:11">
      <c r="B287" s="1248">
        <v>265</v>
      </c>
      <c r="C287" s="2"/>
      <c r="D287" s="1705">
        <f t="shared" si="14"/>
        <v>53601</v>
      </c>
      <c r="E287" s="1706">
        <f t="shared" si="12"/>
        <v>53631</v>
      </c>
      <c r="F287" s="1706">
        <f t="shared" si="13"/>
        <v>53631</v>
      </c>
      <c r="G287" s="1706">
        <f>WORKDAY(F287,$G$21,'Business Day Paris'!F266:F460)</f>
        <v>53645</v>
      </c>
      <c r="H287" s="1706">
        <f>WORKDAY(J287,$H$21,'Business Day Paris'!F266:F460)</f>
        <v>53651</v>
      </c>
      <c r="I287" s="1706">
        <f>WORKDAY(J287,$I$21,'Business Day Paris'!F266:F460)</f>
        <v>53653</v>
      </c>
      <c r="J287" s="1707">
        <f>IF(WORKDAY(EOMONTH(F287,0)+$J$21-1,1,'Business Day Paris'!F266:F460)&lt;=EOMONTH(Calendar!F288,0),WORKDAY(EOMONTH(F287,0)+$J$21-1,1,'Business Day Paris'!F266:F460),WORKDAY(EOMONTH(F287,0)+$J$21+1,-1,'Business Day Paris'!F266:F460))</f>
        <v>53658</v>
      </c>
      <c r="K287" s="1238"/>
    </row>
    <row r="288" spans="2:11">
      <c r="B288" s="1248">
        <v>266</v>
      </c>
      <c r="C288" s="2"/>
      <c r="D288" s="1705">
        <f t="shared" si="14"/>
        <v>53632</v>
      </c>
      <c r="E288" s="1706">
        <f t="shared" si="12"/>
        <v>53661</v>
      </c>
      <c r="F288" s="1706">
        <f t="shared" si="13"/>
        <v>53661</v>
      </c>
      <c r="G288" s="1706">
        <f>WORKDAY(F288,$G$21,'Business Day Paris'!F267:F461)</f>
        <v>53675</v>
      </c>
      <c r="H288" s="1706">
        <f>WORKDAY(J288,$H$21,'Business Day Paris'!F267:F461)</f>
        <v>53681</v>
      </c>
      <c r="I288" s="1706">
        <f>WORKDAY(J288,$I$21,'Business Day Paris'!F267:F461)</f>
        <v>53685</v>
      </c>
      <c r="J288" s="1707">
        <f>IF(WORKDAY(EOMONTH(F288,0)+$J$21-1,1,'Business Day Paris'!F267:F461)&lt;=EOMONTH(Calendar!F289,0),WORKDAY(EOMONTH(F288,0)+$J$21-1,1,'Business Day Paris'!F267:F461),WORKDAY(EOMONTH(F288,0)+$J$21+1,-1,'Business Day Paris'!F267:F461))</f>
        <v>53688</v>
      </c>
      <c r="K288" s="1238"/>
    </row>
    <row r="289" spans="2:11">
      <c r="B289" s="1248">
        <v>267</v>
      </c>
      <c r="C289" s="2"/>
      <c r="D289" s="1705">
        <f t="shared" si="14"/>
        <v>53662</v>
      </c>
      <c r="E289" s="1706">
        <f t="shared" si="12"/>
        <v>53692</v>
      </c>
      <c r="F289" s="1706">
        <f t="shared" si="13"/>
        <v>53692</v>
      </c>
      <c r="G289" s="1706">
        <f>WORKDAY(F289,$G$21,'Business Day Paris'!F268:F462)</f>
        <v>53706</v>
      </c>
      <c r="H289" s="1706">
        <f>WORKDAY(J289,$H$21,'Business Day Paris'!F268:F462)</f>
        <v>53713</v>
      </c>
      <c r="I289" s="1706">
        <f>WORKDAY(J289,$I$21,'Business Day Paris'!F268:F462)</f>
        <v>53715</v>
      </c>
      <c r="J289" s="1707">
        <f>IF(WORKDAY(EOMONTH(F289,0)+$J$21-1,1,'Business Day Paris'!F268:F462)&lt;=EOMONTH(Calendar!F290,0),WORKDAY(EOMONTH(F289,0)+$J$21-1,1,'Business Day Paris'!F268:F462),WORKDAY(EOMONTH(F289,0)+$J$21+1,-1,'Business Day Paris'!F268:F462))</f>
        <v>53720</v>
      </c>
      <c r="K289" s="1238"/>
    </row>
    <row r="290" spans="2:11">
      <c r="B290" s="1248">
        <v>268</v>
      </c>
      <c r="C290" s="2"/>
      <c r="D290" s="1705">
        <f t="shared" si="14"/>
        <v>53693</v>
      </c>
      <c r="E290" s="1706">
        <f t="shared" si="12"/>
        <v>53723</v>
      </c>
      <c r="F290" s="1706">
        <f t="shared" si="13"/>
        <v>53723</v>
      </c>
      <c r="G290" s="1706">
        <f>WORKDAY(F290,$G$21,'Business Day Paris'!F269:F463)</f>
        <v>53737</v>
      </c>
      <c r="H290" s="1706">
        <f>WORKDAY(J290,$H$21,'Business Day Paris'!F269:F463)</f>
        <v>53743</v>
      </c>
      <c r="I290" s="1706">
        <f>WORKDAY(J290,$I$21,'Business Day Paris'!F269:F463)</f>
        <v>53745</v>
      </c>
      <c r="J290" s="1707">
        <f>IF(WORKDAY(EOMONTH(F290,0)+$J$21-1,1,'Business Day Paris'!F269:F463)&lt;=EOMONTH(Calendar!F291,0),WORKDAY(EOMONTH(F290,0)+$J$21-1,1,'Business Day Paris'!F269:F463),WORKDAY(EOMONTH(F290,0)+$J$21+1,-1,'Business Day Paris'!F269:F463))</f>
        <v>53750</v>
      </c>
      <c r="K290" s="1238"/>
    </row>
    <row r="291" spans="2:11">
      <c r="B291" s="1248">
        <v>269</v>
      </c>
      <c r="C291" s="2"/>
      <c r="D291" s="1705">
        <f t="shared" si="14"/>
        <v>53724</v>
      </c>
      <c r="E291" s="1706">
        <f t="shared" si="12"/>
        <v>53751</v>
      </c>
      <c r="F291" s="1706">
        <f t="shared" si="13"/>
        <v>53751</v>
      </c>
      <c r="G291" s="1706">
        <f>WORKDAY(F291,$G$21,'Business Day Paris'!F270:F464)</f>
        <v>53765</v>
      </c>
      <c r="H291" s="1706">
        <f>WORKDAY(J291,$H$21,'Business Day Paris'!F270:F464)</f>
        <v>53771</v>
      </c>
      <c r="I291" s="1706">
        <f>WORKDAY(J291,$I$21,'Business Day Paris'!F270:F464)</f>
        <v>53773</v>
      </c>
      <c r="J291" s="1707">
        <f>IF(WORKDAY(EOMONTH(F291,0)+$J$21-1,1,'Business Day Paris'!F270:F464)&lt;=EOMONTH(Calendar!F292,0),WORKDAY(EOMONTH(F291,0)+$J$21-1,1,'Business Day Paris'!F270:F464),WORKDAY(EOMONTH(F291,0)+$J$21+1,-1,'Business Day Paris'!F270:F464))</f>
        <v>53778</v>
      </c>
      <c r="K291" s="1238"/>
    </row>
    <row r="292" spans="2:11">
      <c r="B292" s="1248">
        <v>270</v>
      </c>
      <c r="C292" s="2"/>
      <c r="D292" s="1705">
        <f t="shared" si="14"/>
        <v>53752</v>
      </c>
      <c r="E292" s="1706">
        <f t="shared" si="12"/>
        <v>53782</v>
      </c>
      <c r="F292" s="1706">
        <f t="shared" si="13"/>
        <v>53782</v>
      </c>
      <c r="G292" s="1706">
        <f>WORKDAY(F292,$G$21,'Business Day Paris'!F271:F465)</f>
        <v>53794</v>
      </c>
      <c r="H292" s="1706">
        <f>WORKDAY(J292,$H$21,'Business Day Paris'!F271:F465)</f>
        <v>53804</v>
      </c>
      <c r="I292" s="1706">
        <f>WORKDAY(J292,$I$21,'Business Day Paris'!F271:F465)</f>
        <v>53806</v>
      </c>
      <c r="J292" s="1707">
        <f>IF(WORKDAY(EOMONTH(F292,0)+$J$21-1,1,'Business Day Paris'!F271:F465)&lt;=EOMONTH(Calendar!F293,0),WORKDAY(EOMONTH(F292,0)+$J$21-1,1,'Business Day Paris'!F271:F465),WORKDAY(EOMONTH(F292,0)+$J$21+1,-1,'Business Day Paris'!F271:F465))</f>
        <v>53811</v>
      </c>
      <c r="K292" s="1238"/>
    </row>
    <row r="293" spans="2:11">
      <c r="B293" s="1248">
        <v>271</v>
      </c>
      <c r="C293" s="2"/>
      <c r="D293" s="1705">
        <f t="shared" si="14"/>
        <v>53783</v>
      </c>
      <c r="E293" s="1706">
        <f t="shared" si="12"/>
        <v>53812</v>
      </c>
      <c r="F293" s="1706">
        <f t="shared" si="13"/>
        <v>53812</v>
      </c>
      <c r="G293" s="1706">
        <f>WORKDAY(F293,$G$21,'Business Day Paris'!F272:F466)</f>
        <v>53826</v>
      </c>
      <c r="H293" s="1706">
        <f>WORKDAY(J293,$H$21,'Business Day Paris'!F272:F466)</f>
        <v>53832</v>
      </c>
      <c r="I293" s="1706">
        <f>WORKDAY(J293,$I$21,'Business Day Paris'!F272:F466)</f>
        <v>53834</v>
      </c>
      <c r="J293" s="1707">
        <f>IF(WORKDAY(EOMONTH(F293,0)+$J$21-1,1,'Business Day Paris'!F272:F466)&lt;=EOMONTH(Calendar!F294,0),WORKDAY(EOMONTH(F293,0)+$J$21-1,1,'Business Day Paris'!F272:F466),WORKDAY(EOMONTH(F293,0)+$J$21+1,-1,'Business Day Paris'!F272:F466))</f>
        <v>53839</v>
      </c>
      <c r="K293" s="1238"/>
    </row>
    <row r="294" spans="2:11">
      <c r="B294" s="1248">
        <v>272</v>
      </c>
      <c r="C294" s="2"/>
      <c r="D294" s="1705">
        <f t="shared" si="14"/>
        <v>53813</v>
      </c>
      <c r="E294" s="1706">
        <f t="shared" si="12"/>
        <v>53843</v>
      </c>
      <c r="F294" s="1706">
        <f t="shared" si="13"/>
        <v>53843</v>
      </c>
      <c r="G294" s="1706">
        <f>WORKDAY(F294,$G$21,'Business Day Paris'!F273:F467)</f>
        <v>53857</v>
      </c>
      <c r="H294" s="1706">
        <f>WORKDAY(J294,$H$21,'Business Day Paris'!F273:F467)</f>
        <v>53863</v>
      </c>
      <c r="I294" s="1706">
        <f>WORKDAY(J294,$I$21,'Business Day Paris'!F273:F467)</f>
        <v>53867</v>
      </c>
      <c r="J294" s="1707">
        <f>IF(WORKDAY(EOMONTH(F294,0)+$J$21-1,1,'Business Day Paris'!F273:F467)&lt;=EOMONTH(Calendar!F295,0),WORKDAY(EOMONTH(F294,0)+$J$21-1,1,'Business Day Paris'!F273:F467),WORKDAY(EOMONTH(F294,0)+$J$21+1,-1,'Business Day Paris'!F273:F467))</f>
        <v>53870</v>
      </c>
      <c r="K294" s="1238"/>
    </row>
    <row r="295" spans="2:11">
      <c r="B295" s="1248">
        <v>273</v>
      </c>
      <c r="C295" s="2"/>
      <c r="D295" s="1705">
        <f t="shared" si="14"/>
        <v>53844</v>
      </c>
      <c r="E295" s="1706">
        <f t="shared" si="12"/>
        <v>53873</v>
      </c>
      <c r="F295" s="1706">
        <f t="shared" si="13"/>
        <v>53873</v>
      </c>
      <c r="G295" s="1706">
        <f>WORKDAY(F295,$G$21,'Business Day Paris'!F274:F468)</f>
        <v>53885</v>
      </c>
      <c r="H295" s="1706">
        <f>WORKDAY(J295,$H$21,'Business Day Paris'!F274:F468)</f>
        <v>53895</v>
      </c>
      <c r="I295" s="1706">
        <f>WORKDAY(J295,$I$21,'Business Day Paris'!F274:F468)</f>
        <v>53897</v>
      </c>
      <c r="J295" s="1707">
        <f>IF(WORKDAY(EOMONTH(F295,0)+$J$21-1,1,'Business Day Paris'!F274:F468)&lt;=EOMONTH(Calendar!F296,0),WORKDAY(EOMONTH(F295,0)+$J$21-1,1,'Business Day Paris'!F274:F468),WORKDAY(EOMONTH(F295,0)+$J$21+1,-1,'Business Day Paris'!F274:F468))</f>
        <v>53902</v>
      </c>
      <c r="K295" s="1238"/>
    </row>
    <row r="296" spans="2:11">
      <c r="B296" s="1248">
        <v>274</v>
      </c>
      <c r="C296" s="2"/>
      <c r="D296" s="1705">
        <f t="shared" si="14"/>
        <v>53874</v>
      </c>
      <c r="E296" s="1706">
        <f t="shared" si="12"/>
        <v>53904</v>
      </c>
      <c r="F296" s="1706">
        <f t="shared" si="13"/>
        <v>53904</v>
      </c>
      <c r="G296" s="1706">
        <f>WORKDAY(F296,$G$21,'Business Day Paris'!F275:F469)</f>
        <v>53918</v>
      </c>
      <c r="H296" s="1706">
        <f>WORKDAY(J296,$H$21,'Business Day Paris'!F275:F469)</f>
        <v>53924</v>
      </c>
      <c r="I296" s="1706">
        <f>WORKDAY(J296,$I$21,'Business Day Paris'!F275:F469)</f>
        <v>53926</v>
      </c>
      <c r="J296" s="1707">
        <f>IF(WORKDAY(EOMONTH(F296,0)+$J$21-1,1,'Business Day Paris'!F275:F469)&lt;=EOMONTH(Calendar!F297,0),WORKDAY(EOMONTH(F296,0)+$J$21-1,1,'Business Day Paris'!F275:F469),WORKDAY(EOMONTH(F296,0)+$J$21+1,-1,'Business Day Paris'!F275:F469))</f>
        <v>53931</v>
      </c>
      <c r="K296" s="1238"/>
    </row>
    <row r="297" spans="2:11">
      <c r="B297" s="1248">
        <v>275</v>
      </c>
      <c r="C297" s="2"/>
      <c r="D297" s="1705">
        <f t="shared" si="14"/>
        <v>53905</v>
      </c>
      <c r="E297" s="1706">
        <f t="shared" si="12"/>
        <v>53935</v>
      </c>
      <c r="F297" s="1706">
        <f t="shared" si="13"/>
        <v>53935</v>
      </c>
      <c r="G297" s="1706">
        <f>WORKDAY(F297,$G$21,'Business Day Paris'!F276:F470)</f>
        <v>53948</v>
      </c>
      <c r="H297" s="1706">
        <f>WORKDAY(J297,$H$21,'Business Day Paris'!F276:F470)</f>
        <v>53955</v>
      </c>
      <c r="I297" s="1706">
        <f>WORKDAY(J297,$I$21,'Business Day Paris'!F276:F470)</f>
        <v>53959</v>
      </c>
      <c r="J297" s="1707">
        <f>IF(WORKDAY(EOMONTH(F297,0)+$J$21-1,1,'Business Day Paris'!F276:F470)&lt;=EOMONTH(Calendar!F298,0),WORKDAY(EOMONTH(F297,0)+$J$21-1,1,'Business Day Paris'!F276:F470),WORKDAY(EOMONTH(F297,0)+$J$21+1,-1,'Business Day Paris'!F276:F470))</f>
        <v>53962</v>
      </c>
      <c r="K297" s="1238"/>
    </row>
    <row r="298" spans="2:11">
      <c r="B298" s="1248">
        <v>276</v>
      </c>
      <c r="C298" s="2"/>
      <c r="D298" s="1705">
        <f t="shared" si="14"/>
        <v>53936</v>
      </c>
      <c r="E298" s="1706">
        <f t="shared" si="12"/>
        <v>53965</v>
      </c>
      <c r="F298" s="1706">
        <f t="shared" si="13"/>
        <v>53965</v>
      </c>
      <c r="G298" s="1706">
        <f>WORKDAY(F298,$G$21,'Business Day Paris'!F277:F471)</f>
        <v>53979</v>
      </c>
      <c r="H298" s="1706">
        <f>WORKDAY(J298,$H$21,'Business Day Paris'!F277:F471)</f>
        <v>53986</v>
      </c>
      <c r="I298" s="1706">
        <f>WORKDAY(J298,$I$21,'Business Day Paris'!F277:F471)</f>
        <v>53988</v>
      </c>
      <c r="J298" s="1707">
        <f>IF(WORKDAY(EOMONTH(F298,0)+$J$21-1,1,'Business Day Paris'!F277:F471)&lt;=EOMONTH(Calendar!F299,0),WORKDAY(EOMONTH(F298,0)+$J$21-1,1,'Business Day Paris'!F277:F471),WORKDAY(EOMONTH(F298,0)+$J$21+1,-1,'Business Day Paris'!F277:F471))</f>
        <v>53993</v>
      </c>
      <c r="K298" s="1238"/>
    </row>
    <row r="299" spans="2:11">
      <c r="B299" s="1248">
        <v>277</v>
      </c>
      <c r="C299" s="2"/>
      <c r="D299" s="1705">
        <f t="shared" si="14"/>
        <v>53966</v>
      </c>
      <c r="E299" s="1706">
        <f t="shared" si="12"/>
        <v>53996</v>
      </c>
      <c r="F299" s="1706">
        <f t="shared" si="13"/>
        <v>53996</v>
      </c>
      <c r="G299" s="1706">
        <f>WORKDAY(F299,$G$21,'Business Day Paris'!F278:F472)</f>
        <v>54010</v>
      </c>
      <c r="H299" s="1706">
        <f>WORKDAY(J299,$H$21,'Business Day Paris'!F278:F472)</f>
        <v>54016</v>
      </c>
      <c r="I299" s="1706">
        <f>WORKDAY(J299,$I$21,'Business Day Paris'!F278:F472)</f>
        <v>54018</v>
      </c>
      <c r="J299" s="1707">
        <f>IF(WORKDAY(EOMONTH(F299,0)+$J$21-1,1,'Business Day Paris'!F278:F472)&lt;=EOMONTH(Calendar!F300,0),WORKDAY(EOMONTH(F299,0)+$J$21-1,1,'Business Day Paris'!F278:F472),WORKDAY(EOMONTH(F299,0)+$J$21+1,-1,'Business Day Paris'!F278:F472))</f>
        <v>54023</v>
      </c>
      <c r="K299" s="1238"/>
    </row>
    <row r="300" spans="2:11">
      <c r="B300" s="1248">
        <v>278</v>
      </c>
      <c r="C300" s="2"/>
      <c r="D300" s="1705">
        <f t="shared" si="14"/>
        <v>53997</v>
      </c>
      <c r="E300" s="1706">
        <f t="shared" si="12"/>
        <v>54026</v>
      </c>
      <c r="F300" s="1706">
        <f t="shared" si="13"/>
        <v>54026</v>
      </c>
      <c r="G300" s="1706">
        <f>WORKDAY(F300,$G$21,'Business Day Paris'!F279:F473)</f>
        <v>54039</v>
      </c>
      <c r="H300" s="1706">
        <f>WORKDAY(J300,$H$21,'Business Day Paris'!F279:F473)</f>
        <v>54046</v>
      </c>
      <c r="I300" s="1706">
        <f>WORKDAY(J300,$I$21,'Business Day Paris'!F279:F473)</f>
        <v>54050</v>
      </c>
      <c r="J300" s="1707">
        <f>IF(WORKDAY(EOMONTH(F300,0)+$J$21-1,1,'Business Day Paris'!F279:F473)&lt;=EOMONTH(Calendar!F301,0),WORKDAY(EOMONTH(F300,0)+$J$21-1,1,'Business Day Paris'!F279:F473),WORKDAY(EOMONTH(F300,0)+$J$21+1,-1,'Business Day Paris'!F279:F473))</f>
        <v>54053</v>
      </c>
      <c r="K300" s="1238"/>
    </row>
    <row r="301" spans="2:11">
      <c r="B301" s="1248">
        <v>279</v>
      </c>
      <c r="C301" s="2"/>
      <c r="D301" s="1705">
        <f t="shared" si="14"/>
        <v>54027</v>
      </c>
      <c r="E301" s="1706">
        <f t="shared" si="12"/>
        <v>54057</v>
      </c>
      <c r="F301" s="1706">
        <f t="shared" si="13"/>
        <v>54057</v>
      </c>
      <c r="G301" s="1706">
        <f>WORKDAY(F301,$G$21,'Business Day Paris'!F280:F474)</f>
        <v>54071</v>
      </c>
      <c r="H301" s="1706">
        <f>WORKDAY(J301,$H$21,'Business Day Paris'!F280:F474)</f>
        <v>54077</v>
      </c>
      <c r="I301" s="1706">
        <f>WORKDAY(J301,$I$21,'Business Day Paris'!F280:F474)</f>
        <v>54079</v>
      </c>
      <c r="J301" s="1707">
        <f>IF(WORKDAY(EOMONTH(F301,0)+$J$21-1,1,'Business Day Paris'!F280:F474)&lt;=EOMONTH(Calendar!F302,0),WORKDAY(EOMONTH(F301,0)+$J$21-1,1,'Business Day Paris'!F280:F474),WORKDAY(EOMONTH(F301,0)+$J$21+1,-1,'Business Day Paris'!F280:F474))</f>
        <v>54084</v>
      </c>
      <c r="K301" s="1238"/>
    </row>
    <row r="302" spans="2:11">
      <c r="B302" s="1248">
        <v>280</v>
      </c>
      <c r="C302" s="2"/>
      <c r="D302" s="1705">
        <f t="shared" si="14"/>
        <v>54058</v>
      </c>
      <c r="E302" s="1706">
        <f t="shared" si="12"/>
        <v>54088</v>
      </c>
      <c r="F302" s="1706">
        <f t="shared" si="13"/>
        <v>54088</v>
      </c>
      <c r="G302" s="1706">
        <f>WORKDAY(F302,$G$21,'Business Day Paris'!F281:F475)</f>
        <v>54102</v>
      </c>
      <c r="H302" s="1706">
        <f>WORKDAY(J302,$H$21,'Business Day Paris'!F281:F475)</f>
        <v>54108</v>
      </c>
      <c r="I302" s="1706">
        <f>WORKDAY(J302,$I$21,'Business Day Paris'!F281:F475)</f>
        <v>54112</v>
      </c>
      <c r="J302" s="1707">
        <f>IF(WORKDAY(EOMONTH(F302,0)+$J$21-1,1,'Business Day Paris'!F281:F475)&lt;=EOMONTH(Calendar!F303,0),WORKDAY(EOMONTH(F302,0)+$J$21-1,1,'Business Day Paris'!F281:F475),WORKDAY(EOMONTH(F302,0)+$J$21+1,-1,'Business Day Paris'!F281:F475))</f>
        <v>54115</v>
      </c>
      <c r="K302" s="1238"/>
    </row>
    <row r="303" spans="2:11">
      <c r="B303" s="1248">
        <v>281</v>
      </c>
      <c r="C303" s="2"/>
      <c r="D303" s="1705">
        <f t="shared" si="14"/>
        <v>54089</v>
      </c>
      <c r="E303" s="1706">
        <f t="shared" si="12"/>
        <v>54117</v>
      </c>
      <c r="F303" s="1706">
        <f t="shared" si="13"/>
        <v>54117</v>
      </c>
      <c r="G303" s="1706">
        <f>WORKDAY(F303,$G$21,'Business Day Paris'!F282:F476)</f>
        <v>54130</v>
      </c>
      <c r="H303" s="1706">
        <f>WORKDAY(J303,$H$21,'Business Day Paris'!F282:F476)</f>
        <v>54137</v>
      </c>
      <c r="I303" s="1706">
        <f>WORKDAY(J303,$I$21,'Business Day Paris'!F282:F476)</f>
        <v>54141</v>
      </c>
      <c r="J303" s="1707">
        <f>IF(WORKDAY(EOMONTH(F303,0)+$J$21-1,1,'Business Day Paris'!F282:F476)&lt;=EOMONTH(Calendar!F304,0),WORKDAY(EOMONTH(F303,0)+$J$21-1,1,'Business Day Paris'!F282:F476),WORKDAY(EOMONTH(F303,0)+$J$21+1,-1,'Business Day Paris'!F282:F476))</f>
        <v>54144</v>
      </c>
      <c r="K303" s="1238"/>
    </row>
    <row r="304" spans="2:11">
      <c r="B304" s="1248">
        <v>282</v>
      </c>
      <c r="C304" s="2"/>
      <c r="D304" s="1705">
        <f t="shared" si="14"/>
        <v>54118</v>
      </c>
      <c r="E304" s="1706">
        <f t="shared" si="12"/>
        <v>54148</v>
      </c>
      <c r="F304" s="1706">
        <f t="shared" si="13"/>
        <v>54148</v>
      </c>
      <c r="G304" s="1706">
        <f>WORKDAY(F304,$G$21,'Business Day Paris'!F283:F477)</f>
        <v>54162</v>
      </c>
      <c r="H304" s="1706">
        <f>WORKDAY(J304,$H$21,'Business Day Paris'!F283:F477)</f>
        <v>54168</v>
      </c>
      <c r="I304" s="1706">
        <f>WORKDAY(J304,$I$21,'Business Day Paris'!F283:F477)</f>
        <v>54170</v>
      </c>
      <c r="J304" s="1707">
        <f>IF(WORKDAY(EOMONTH(F304,0)+$J$21-1,1,'Business Day Paris'!F283:F477)&lt;=EOMONTH(Calendar!F305,0),WORKDAY(EOMONTH(F304,0)+$J$21-1,1,'Business Day Paris'!F283:F477),WORKDAY(EOMONTH(F304,0)+$J$21+1,-1,'Business Day Paris'!F283:F477))</f>
        <v>54175</v>
      </c>
      <c r="K304" s="1238"/>
    </row>
    <row r="305" spans="2:11">
      <c r="B305" s="1248">
        <v>283</v>
      </c>
      <c r="C305" s="2"/>
      <c r="D305" s="1705">
        <f t="shared" si="14"/>
        <v>54149</v>
      </c>
      <c r="E305" s="1706">
        <f t="shared" si="12"/>
        <v>54178</v>
      </c>
      <c r="F305" s="1706">
        <f t="shared" si="13"/>
        <v>54178</v>
      </c>
      <c r="G305" s="1706">
        <f>WORKDAY(F305,$G$21,'Business Day Paris'!F284:F478)</f>
        <v>54192</v>
      </c>
      <c r="H305" s="1706">
        <f>WORKDAY(J305,$H$21,'Business Day Paris'!F284:F478)</f>
        <v>54198</v>
      </c>
      <c r="I305" s="1706">
        <f>WORKDAY(J305,$I$21,'Business Day Paris'!F284:F478)</f>
        <v>54200</v>
      </c>
      <c r="J305" s="1707">
        <f>IF(WORKDAY(EOMONTH(F305,0)+$J$21-1,1,'Business Day Paris'!F284:F478)&lt;=EOMONTH(Calendar!F306,0),WORKDAY(EOMONTH(F305,0)+$J$21-1,1,'Business Day Paris'!F284:F478),WORKDAY(EOMONTH(F305,0)+$J$21+1,-1,'Business Day Paris'!F284:F478))</f>
        <v>54205</v>
      </c>
      <c r="K305" s="1238"/>
    </row>
    <row r="306" spans="2:11">
      <c r="B306" s="1248">
        <v>284</v>
      </c>
      <c r="C306" s="2"/>
      <c r="D306" s="1705">
        <f t="shared" si="14"/>
        <v>54179</v>
      </c>
      <c r="E306" s="1706">
        <f t="shared" si="12"/>
        <v>54209</v>
      </c>
      <c r="F306" s="1706">
        <f t="shared" si="13"/>
        <v>54209</v>
      </c>
      <c r="G306" s="1706">
        <f>WORKDAY(F306,$G$21,'Business Day Paris'!F285:F479)</f>
        <v>54221</v>
      </c>
      <c r="H306" s="1706">
        <f>WORKDAY(J306,$H$21,'Business Day Paris'!F285:F479)</f>
        <v>54231</v>
      </c>
      <c r="I306" s="1706">
        <f>WORKDAY(J306,$I$21,'Business Day Paris'!F285:F479)</f>
        <v>54233</v>
      </c>
      <c r="J306" s="1707">
        <f>IF(WORKDAY(EOMONTH(F306,0)+$J$21-1,1,'Business Day Paris'!F285:F479)&lt;=EOMONTH(Calendar!F307,0),WORKDAY(EOMONTH(F306,0)+$J$21-1,1,'Business Day Paris'!F285:F479),WORKDAY(EOMONTH(F306,0)+$J$21+1,-1,'Business Day Paris'!F285:F479))</f>
        <v>54238</v>
      </c>
      <c r="K306" s="1238"/>
    </row>
    <row r="307" spans="2:11">
      <c r="B307" s="1248">
        <v>285</v>
      </c>
      <c r="C307" s="2"/>
      <c r="D307" s="1705">
        <f t="shared" si="14"/>
        <v>54210</v>
      </c>
      <c r="E307" s="1706">
        <f t="shared" si="12"/>
        <v>54239</v>
      </c>
      <c r="F307" s="1706">
        <f t="shared" si="13"/>
        <v>54239</v>
      </c>
      <c r="G307" s="1706">
        <f>WORKDAY(F307,$G$21,'Business Day Paris'!F286:F480)</f>
        <v>54253</v>
      </c>
      <c r="H307" s="1706">
        <f>WORKDAY(J307,$H$21,'Business Day Paris'!F286:F480)</f>
        <v>54259</v>
      </c>
      <c r="I307" s="1706">
        <f>WORKDAY(J307,$I$21,'Business Day Paris'!F286:F480)</f>
        <v>54261</v>
      </c>
      <c r="J307" s="1707">
        <f>IF(WORKDAY(EOMONTH(F307,0)+$J$21-1,1,'Business Day Paris'!F286:F480)&lt;=EOMONTH(Calendar!F308,0),WORKDAY(EOMONTH(F307,0)+$J$21-1,1,'Business Day Paris'!F286:F480),WORKDAY(EOMONTH(F307,0)+$J$21+1,-1,'Business Day Paris'!F286:F480))</f>
        <v>54266</v>
      </c>
      <c r="K307" s="1238"/>
    </row>
    <row r="308" spans="2:11">
      <c r="B308" s="1248">
        <v>286</v>
      </c>
      <c r="C308" s="2"/>
      <c r="D308" s="1705">
        <f t="shared" si="14"/>
        <v>54240</v>
      </c>
      <c r="E308" s="1706">
        <f t="shared" si="12"/>
        <v>54270</v>
      </c>
      <c r="F308" s="1706">
        <f t="shared" si="13"/>
        <v>54270</v>
      </c>
      <c r="G308" s="1706">
        <f>WORKDAY(F308,$G$21,'Business Day Paris'!F287:F481)</f>
        <v>54284</v>
      </c>
      <c r="H308" s="1706">
        <f>WORKDAY(J308,$H$21,'Business Day Paris'!F287:F481)</f>
        <v>54290</v>
      </c>
      <c r="I308" s="1706">
        <f>WORKDAY(J308,$I$21,'Business Day Paris'!F287:F481)</f>
        <v>54294</v>
      </c>
      <c r="J308" s="1707">
        <f>IF(WORKDAY(EOMONTH(F308,0)+$J$21-1,1,'Business Day Paris'!F287:F481)&lt;=EOMONTH(Calendar!F309,0),WORKDAY(EOMONTH(F308,0)+$J$21-1,1,'Business Day Paris'!F287:F481),WORKDAY(EOMONTH(F308,0)+$J$21+1,-1,'Business Day Paris'!F287:F481))</f>
        <v>54297</v>
      </c>
      <c r="K308" s="1238"/>
    </row>
    <row r="309" spans="2:11">
      <c r="B309" s="1248">
        <v>287</v>
      </c>
      <c r="C309" s="2"/>
      <c r="D309" s="1705">
        <f t="shared" si="14"/>
        <v>54271</v>
      </c>
      <c r="E309" s="1706">
        <f t="shared" si="12"/>
        <v>54301</v>
      </c>
      <c r="F309" s="1706">
        <f t="shared" si="13"/>
        <v>54301</v>
      </c>
      <c r="G309" s="1706">
        <f>WORKDAY(F309,$G$21,'Business Day Paris'!F288:F482)</f>
        <v>54315</v>
      </c>
      <c r="H309" s="1706">
        <f>WORKDAY(J309,$H$21,'Business Day Paris'!F288:F482)</f>
        <v>54322</v>
      </c>
      <c r="I309" s="1706">
        <f>WORKDAY(J309,$I$21,'Business Day Paris'!F288:F482)</f>
        <v>54324</v>
      </c>
      <c r="J309" s="1707">
        <f>IF(WORKDAY(EOMONTH(F309,0)+$J$21-1,1,'Business Day Paris'!F288:F482)&lt;=EOMONTH(Calendar!F310,0),WORKDAY(EOMONTH(F309,0)+$J$21-1,1,'Business Day Paris'!F288:F482),WORKDAY(EOMONTH(F309,0)+$J$21+1,-1,'Business Day Paris'!F288:F482))</f>
        <v>54329</v>
      </c>
      <c r="K309" s="1238"/>
    </row>
    <row r="310" spans="2:11">
      <c r="B310" s="1248">
        <v>288</v>
      </c>
      <c r="C310" s="2"/>
      <c r="D310" s="1705">
        <f t="shared" si="14"/>
        <v>54302</v>
      </c>
      <c r="E310" s="1706">
        <f t="shared" si="12"/>
        <v>54331</v>
      </c>
      <c r="F310" s="1706">
        <f t="shared" si="13"/>
        <v>54331</v>
      </c>
      <c r="G310" s="1706">
        <f>WORKDAY(F310,$G$21,'Business Day Paris'!F289:F483)</f>
        <v>54345</v>
      </c>
      <c r="H310" s="1706">
        <f>WORKDAY(J310,$H$21,'Business Day Paris'!F289:F483)</f>
        <v>54351</v>
      </c>
      <c r="I310" s="1706">
        <f>WORKDAY(J310,$I$21,'Business Day Paris'!F289:F483)</f>
        <v>54353</v>
      </c>
      <c r="J310" s="1707">
        <f>IF(WORKDAY(EOMONTH(F310,0)+$J$21-1,1,'Business Day Paris'!F289:F483)&lt;=EOMONTH(Calendar!F311,0),WORKDAY(EOMONTH(F310,0)+$J$21-1,1,'Business Day Paris'!F289:F483),WORKDAY(EOMONTH(F310,0)+$J$21+1,-1,'Business Day Paris'!F289:F483))</f>
        <v>54358</v>
      </c>
      <c r="K310" s="1238"/>
    </row>
    <row r="311" spans="2:11">
      <c r="B311" s="1248">
        <v>289</v>
      </c>
      <c r="C311" s="2"/>
      <c r="D311" s="1705">
        <f t="shared" si="14"/>
        <v>54332</v>
      </c>
      <c r="E311" s="1706">
        <f t="shared" si="12"/>
        <v>54362</v>
      </c>
      <c r="F311" s="1706">
        <f t="shared" si="13"/>
        <v>54362</v>
      </c>
      <c r="G311" s="1706">
        <f>WORKDAY(F311,$G$21,'Business Day Paris'!F290:F484)</f>
        <v>54375</v>
      </c>
      <c r="H311" s="1706">
        <f>WORKDAY(J311,$H$21,'Business Day Paris'!F290:F484)</f>
        <v>54382</v>
      </c>
      <c r="I311" s="1706">
        <f>WORKDAY(J311,$I$21,'Business Day Paris'!F290:F484)</f>
        <v>54386</v>
      </c>
      <c r="J311" s="1707">
        <f>IF(WORKDAY(EOMONTH(F311,0)+$J$21-1,1,'Business Day Paris'!F290:F484)&lt;=EOMONTH(Calendar!F312,0),WORKDAY(EOMONTH(F311,0)+$J$21-1,1,'Business Day Paris'!F290:F484),WORKDAY(EOMONTH(F311,0)+$J$21+1,-1,'Business Day Paris'!F290:F484))</f>
        <v>54389</v>
      </c>
      <c r="K311" s="1238"/>
    </row>
    <row r="312" spans="2:11">
      <c r="B312" s="1248">
        <v>290</v>
      </c>
      <c r="C312" s="2"/>
      <c r="D312" s="1705">
        <f t="shared" si="14"/>
        <v>54363</v>
      </c>
      <c r="E312" s="1706">
        <f t="shared" si="12"/>
        <v>54392</v>
      </c>
      <c r="F312" s="1706">
        <f t="shared" si="13"/>
        <v>54392</v>
      </c>
      <c r="G312" s="1706">
        <f>WORKDAY(F312,$G$21,'Business Day Paris'!F291:F485)</f>
        <v>54406</v>
      </c>
      <c r="H312" s="1706">
        <f>WORKDAY(J312,$H$21,'Business Day Paris'!F291:F485)</f>
        <v>54413</v>
      </c>
      <c r="I312" s="1706">
        <f>WORKDAY(J312,$I$21,'Business Day Paris'!F291:F485)</f>
        <v>54415</v>
      </c>
      <c r="J312" s="1707">
        <f>IF(WORKDAY(EOMONTH(F312,0)+$J$21-1,1,'Business Day Paris'!F291:F485)&lt;=EOMONTH(Calendar!F313,0),WORKDAY(EOMONTH(F312,0)+$J$21-1,1,'Business Day Paris'!F291:F485),WORKDAY(EOMONTH(F312,0)+$J$21+1,-1,'Business Day Paris'!F291:F485))</f>
        <v>54420</v>
      </c>
      <c r="K312" s="1238"/>
    </row>
    <row r="313" spans="2:11">
      <c r="B313" s="1248">
        <v>291</v>
      </c>
      <c r="C313" s="2"/>
      <c r="D313" s="1705">
        <f t="shared" si="14"/>
        <v>54393</v>
      </c>
      <c r="E313" s="1706">
        <f t="shared" si="12"/>
        <v>54423</v>
      </c>
      <c r="F313" s="1706">
        <f t="shared" si="13"/>
        <v>54423</v>
      </c>
      <c r="G313" s="1706">
        <f>WORKDAY(F313,$G$21,'Business Day Paris'!F292:F486)</f>
        <v>54437</v>
      </c>
      <c r="H313" s="1706">
        <f>WORKDAY(J313,$H$21,'Business Day Paris'!F292:F486)</f>
        <v>54443</v>
      </c>
      <c r="I313" s="1706">
        <f>WORKDAY(J313,$I$21,'Business Day Paris'!F292:F486)</f>
        <v>54445</v>
      </c>
      <c r="J313" s="1707">
        <f>IF(WORKDAY(EOMONTH(F313,0)+$J$21-1,1,'Business Day Paris'!F292:F486)&lt;=EOMONTH(Calendar!F314,0),WORKDAY(EOMONTH(F313,0)+$J$21-1,1,'Business Day Paris'!F292:F486),WORKDAY(EOMONTH(F313,0)+$J$21+1,-1,'Business Day Paris'!F292:F486))</f>
        <v>54450</v>
      </c>
      <c r="K313" s="1238"/>
    </row>
    <row r="314" spans="2:11">
      <c r="B314" s="1248">
        <v>292</v>
      </c>
      <c r="C314" s="2"/>
      <c r="D314" s="1705">
        <f t="shared" si="14"/>
        <v>54424</v>
      </c>
      <c r="E314" s="1706">
        <f t="shared" si="12"/>
        <v>54454</v>
      </c>
      <c r="F314" s="1706">
        <f t="shared" si="13"/>
        <v>54454</v>
      </c>
      <c r="G314" s="1706">
        <f>WORKDAY(F314,$G$21,'Business Day Paris'!F293:F487)</f>
        <v>54466</v>
      </c>
      <c r="H314" s="1706">
        <f>WORKDAY(J314,$H$21,'Business Day Paris'!F293:F487)</f>
        <v>54473</v>
      </c>
      <c r="I314" s="1706">
        <f>WORKDAY(J314,$I$21,'Business Day Paris'!F293:F487)</f>
        <v>54477</v>
      </c>
      <c r="J314" s="1707">
        <f>IF(WORKDAY(EOMONTH(F314,0)+$J$21-1,1,'Business Day Paris'!F293:F487)&lt;=EOMONTH(Calendar!F315,0),WORKDAY(EOMONTH(F314,0)+$J$21-1,1,'Business Day Paris'!F293:F487),WORKDAY(EOMONTH(F314,0)+$J$21+1,-1,'Business Day Paris'!F293:F487))</f>
        <v>54480</v>
      </c>
      <c r="K314" s="1238"/>
    </row>
    <row r="315" spans="2:11">
      <c r="B315" s="1248">
        <v>293</v>
      </c>
      <c r="C315" s="2"/>
      <c r="D315" s="1705">
        <f t="shared" si="14"/>
        <v>54455</v>
      </c>
      <c r="E315" s="1706">
        <f t="shared" si="12"/>
        <v>54482</v>
      </c>
      <c r="F315" s="1706">
        <f t="shared" si="13"/>
        <v>54482</v>
      </c>
      <c r="G315" s="1706">
        <f>WORKDAY(F315,$G$21,'Business Day Paris'!F294:F488)</f>
        <v>54494</v>
      </c>
      <c r="H315" s="1706">
        <f>WORKDAY(J315,$H$21,'Business Day Paris'!F294:F488)</f>
        <v>54504</v>
      </c>
      <c r="I315" s="1706">
        <f>WORKDAY(J315,$I$21,'Business Day Paris'!F294:F488)</f>
        <v>54506</v>
      </c>
      <c r="J315" s="1707">
        <f>IF(WORKDAY(EOMONTH(F315,0)+$J$21-1,1,'Business Day Paris'!F294:F488)&lt;=EOMONTH(Calendar!F316,0),WORKDAY(EOMONTH(F315,0)+$J$21-1,1,'Business Day Paris'!F294:F488),WORKDAY(EOMONTH(F315,0)+$J$21+1,-1,'Business Day Paris'!F294:F488))</f>
        <v>54511</v>
      </c>
      <c r="K315" s="1238"/>
    </row>
    <row r="316" spans="2:11">
      <c r="B316" s="1248">
        <v>294</v>
      </c>
      <c r="C316" s="2"/>
      <c r="D316" s="1705">
        <f t="shared" si="14"/>
        <v>54483</v>
      </c>
      <c r="E316" s="1706">
        <f t="shared" si="12"/>
        <v>54513</v>
      </c>
      <c r="F316" s="1706">
        <f t="shared" si="13"/>
        <v>54513</v>
      </c>
      <c r="G316" s="1706">
        <f>WORKDAY(F316,$G$21,'Business Day Paris'!F295:F489)</f>
        <v>54527</v>
      </c>
      <c r="H316" s="1706">
        <f>WORKDAY(J316,$H$21,'Business Day Paris'!F295:F489)</f>
        <v>54533</v>
      </c>
      <c r="I316" s="1706">
        <f>WORKDAY(J316,$I$21,'Business Day Paris'!F295:F489)</f>
        <v>54535</v>
      </c>
      <c r="J316" s="1707">
        <f>IF(WORKDAY(EOMONTH(F316,0)+$J$21-1,1,'Business Day Paris'!F295:F489)&lt;=EOMONTH(Calendar!F317,0),WORKDAY(EOMONTH(F316,0)+$J$21-1,1,'Business Day Paris'!F295:F489),WORKDAY(EOMONTH(F316,0)+$J$21+1,-1,'Business Day Paris'!F295:F489))</f>
        <v>54540</v>
      </c>
      <c r="K316" s="1238"/>
    </row>
    <row r="317" spans="2:11">
      <c r="B317" s="1248">
        <v>295</v>
      </c>
      <c r="C317" s="2"/>
      <c r="D317" s="1705">
        <f t="shared" si="14"/>
        <v>54514</v>
      </c>
      <c r="E317" s="1706">
        <f t="shared" si="12"/>
        <v>54543</v>
      </c>
      <c r="F317" s="1706">
        <f t="shared" si="13"/>
        <v>54543</v>
      </c>
      <c r="G317" s="1706">
        <f>WORKDAY(F317,$G$21,'Business Day Paris'!F296:F490)</f>
        <v>54557</v>
      </c>
      <c r="H317" s="1706">
        <f>WORKDAY(J317,$H$21,'Business Day Paris'!F296:F490)</f>
        <v>54563</v>
      </c>
      <c r="I317" s="1706">
        <f>WORKDAY(J317,$I$21,'Business Day Paris'!F296:F490)</f>
        <v>54567</v>
      </c>
      <c r="J317" s="1707">
        <f>IF(WORKDAY(EOMONTH(F317,0)+$J$21-1,1,'Business Day Paris'!F296:F490)&lt;=EOMONTH(Calendar!F318,0),WORKDAY(EOMONTH(F317,0)+$J$21-1,1,'Business Day Paris'!F296:F490),WORKDAY(EOMONTH(F317,0)+$J$21+1,-1,'Business Day Paris'!F296:F490))</f>
        <v>54570</v>
      </c>
      <c r="K317" s="1238"/>
    </row>
    <row r="318" spans="2:11">
      <c r="B318" s="1248">
        <v>296</v>
      </c>
      <c r="C318" s="2"/>
      <c r="D318" s="1705">
        <f t="shared" si="14"/>
        <v>54544</v>
      </c>
      <c r="E318" s="1706">
        <f t="shared" si="12"/>
        <v>54574</v>
      </c>
      <c r="F318" s="1706">
        <f t="shared" si="13"/>
        <v>54574</v>
      </c>
      <c r="G318" s="1706">
        <f>WORKDAY(F318,$G$21,'Business Day Paris'!F297:F491)</f>
        <v>54588</v>
      </c>
      <c r="H318" s="1706">
        <f>WORKDAY(J318,$H$21,'Business Day Paris'!F297:F491)</f>
        <v>54595</v>
      </c>
      <c r="I318" s="1706">
        <f>WORKDAY(J318,$I$21,'Business Day Paris'!F297:F491)</f>
        <v>54597</v>
      </c>
      <c r="J318" s="1707">
        <f>IF(WORKDAY(EOMONTH(F318,0)+$J$21-1,1,'Business Day Paris'!F297:F491)&lt;=EOMONTH(Calendar!F319,0),WORKDAY(EOMONTH(F318,0)+$J$21-1,1,'Business Day Paris'!F297:F491),WORKDAY(EOMONTH(F318,0)+$J$21+1,-1,'Business Day Paris'!F297:F491))</f>
        <v>54602</v>
      </c>
      <c r="K318" s="1238"/>
    </row>
    <row r="319" spans="2:11">
      <c r="B319" s="1248">
        <v>297</v>
      </c>
      <c r="C319" s="2"/>
      <c r="D319" s="1705">
        <f t="shared" si="14"/>
        <v>54575</v>
      </c>
      <c r="E319" s="1706">
        <f t="shared" si="12"/>
        <v>54604</v>
      </c>
      <c r="F319" s="1706">
        <f t="shared" si="13"/>
        <v>54604</v>
      </c>
      <c r="G319" s="1706">
        <f>WORKDAY(F319,$G$21,'Business Day Paris'!F298:F492)</f>
        <v>54618</v>
      </c>
      <c r="H319" s="1706">
        <f>WORKDAY(J319,$H$21,'Business Day Paris'!F298:F492)</f>
        <v>54624</v>
      </c>
      <c r="I319" s="1706">
        <f>WORKDAY(J319,$I$21,'Business Day Paris'!F298:F492)</f>
        <v>54626</v>
      </c>
      <c r="J319" s="1707">
        <f>IF(WORKDAY(EOMONTH(F319,0)+$J$21-1,1,'Business Day Paris'!F298:F492)&lt;=EOMONTH(Calendar!F320,0),WORKDAY(EOMONTH(F319,0)+$J$21-1,1,'Business Day Paris'!F298:F492),WORKDAY(EOMONTH(F319,0)+$J$21+1,-1,'Business Day Paris'!F298:F492))</f>
        <v>54631</v>
      </c>
      <c r="K319" s="1238"/>
    </row>
    <row r="320" spans="2:11">
      <c r="B320" s="1248">
        <v>298</v>
      </c>
      <c r="C320" s="2"/>
      <c r="D320" s="1705">
        <f t="shared" si="14"/>
        <v>54605</v>
      </c>
      <c r="E320" s="1706">
        <f t="shared" si="12"/>
        <v>54635</v>
      </c>
      <c r="F320" s="1706">
        <f t="shared" si="13"/>
        <v>54635</v>
      </c>
      <c r="G320" s="1706">
        <f>WORKDAY(F320,$G$21,'Business Day Paris'!F299:F493)</f>
        <v>54648</v>
      </c>
      <c r="H320" s="1706">
        <f>WORKDAY(J320,$H$21,'Business Day Paris'!F299:F493)</f>
        <v>54655</v>
      </c>
      <c r="I320" s="1706">
        <f>WORKDAY(J320,$I$21,'Business Day Paris'!F299:F493)</f>
        <v>54659</v>
      </c>
      <c r="J320" s="1707">
        <f>IF(WORKDAY(EOMONTH(F320,0)+$J$21-1,1,'Business Day Paris'!F299:F493)&lt;=EOMONTH(Calendar!F321,0),WORKDAY(EOMONTH(F320,0)+$J$21-1,1,'Business Day Paris'!F299:F493),WORKDAY(EOMONTH(F320,0)+$J$21+1,-1,'Business Day Paris'!F299:F493))</f>
        <v>54662</v>
      </c>
      <c r="K320" s="1238"/>
    </row>
    <row r="321" spans="2:11">
      <c r="B321" s="1248">
        <v>299</v>
      </c>
      <c r="C321" s="2"/>
      <c r="D321" s="1705">
        <f t="shared" si="14"/>
        <v>54636</v>
      </c>
      <c r="E321" s="1706">
        <f t="shared" si="12"/>
        <v>54666</v>
      </c>
      <c r="F321" s="1706">
        <f t="shared" si="13"/>
        <v>54666</v>
      </c>
      <c r="G321" s="1706">
        <f>WORKDAY(F321,$G$21,'Business Day Paris'!F300:F494)</f>
        <v>54680</v>
      </c>
      <c r="H321" s="1706">
        <f>WORKDAY(J321,$H$21,'Business Day Paris'!F300:F494)</f>
        <v>54686</v>
      </c>
      <c r="I321" s="1706">
        <f>WORKDAY(J321,$I$21,'Business Day Paris'!F300:F494)</f>
        <v>54688</v>
      </c>
      <c r="J321" s="1707">
        <f>IF(WORKDAY(EOMONTH(F321,0)+$J$21-1,1,'Business Day Paris'!F300:F494)&lt;=EOMONTH(Calendar!F322,0),WORKDAY(EOMONTH(F321,0)+$J$21-1,1,'Business Day Paris'!F300:F494),WORKDAY(EOMONTH(F321,0)+$J$21+1,-1,'Business Day Paris'!F300:F494))</f>
        <v>54693</v>
      </c>
      <c r="K321" s="1238"/>
    </row>
    <row r="322" spans="2:11">
      <c r="B322" s="1248">
        <v>300</v>
      </c>
      <c r="C322" s="2"/>
      <c r="D322" s="1705">
        <f t="shared" si="14"/>
        <v>54667</v>
      </c>
      <c r="E322" s="1706">
        <f t="shared" si="12"/>
        <v>54696</v>
      </c>
      <c r="F322" s="1706">
        <f t="shared" si="13"/>
        <v>54696</v>
      </c>
      <c r="G322" s="1706">
        <f>WORKDAY(F322,$G$21,'Business Day Paris'!F301:F495)</f>
        <v>54710</v>
      </c>
      <c r="H322" s="1706">
        <f>WORKDAY(J322,$H$21,'Business Day Paris'!F301:F495)</f>
        <v>54716</v>
      </c>
      <c r="I322" s="1706">
        <f>WORKDAY(J322,$I$21,'Business Day Paris'!F301:F495)</f>
        <v>54718</v>
      </c>
      <c r="J322" s="1707">
        <f>IF(WORKDAY(EOMONTH(F322,0)+$J$21-1,1,'Business Day Paris'!F301:F495)&lt;=EOMONTH(Calendar!F323,0),WORKDAY(EOMONTH(F322,0)+$J$21-1,1,'Business Day Paris'!F301:F495),WORKDAY(EOMONTH(F322,0)+$J$21+1,-1,'Business Day Paris'!F301:F495))</f>
        <v>54723</v>
      </c>
      <c r="K322" s="1238"/>
    </row>
    <row r="323" spans="2:11">
      <c r="B323" s="1248">
        <v>301</v>
      </c>
      <c r="C323" s="2"/>
      <c r="D323" s="1705">
        <f t="shared" si="14"/>
        <v>54697</v>
      </c>
      <c r="E323" s="1706">
        <f t="shared" si="12"/>
        <v>54727</v>
      </c>
      <c r="F323" s="1706">
        <f t="shared" si="13"/>
        <v>54727</v>
      </c>
      <c r="G323" s="1706">
        <f>WORKDAY(F323,$G$21,'Business Day Paris'!F302:F496)</f>
        <v>54739</v>
      </c>
      <c r="H323" s="1706">
        <f>WORKDAY(J323,$H$21,'Business Day Paris'!F302:F496)</f>
        <v>54749</v>
      </c>
      <c r="I323" s="1706">
        <f>WORKDAY(J323,$I$21,'Business Day Paris'!F302:F496)</f>
        <v>54751</v>
      </c>
      <c r="J323" s="1707">
        <f>IF(WORKDAY(EOMONTH(F323,0)+$J$21-1,1,'Business Day Paris'!F302:F496)&lt;=EOMONTH(Calendar!F324,0),WORKDAY(EOMONTH(F323,0)+$J$21-1,1,'Business Day Paris'!F302:F496),WORKDAY(EOMONTH(F323,0)+$J$21+1,-1,'Business Day Paris'!F302:F496))</f>
        <v>54756</v>
      </c>
      <c r="K323" s="1238"/>
    </row>
    <row r="324" spans="2:11">
      <c r="B324" s="1248">
        <v>302</v>
      </c>
      <c r="C324" s="2"/>
      <c r="D324" s="1705">
        <f t="shared" si="14"/>
        <v>54728</v>
      </c>
      <c r="E324" s="1706">
        <f t="shared" si="12"/>
        <v>54757</v>
      </c>
      <c r="F324" s="1706">
        <f t="shared" si="13"/>
        <v>54757</v>
      </c>
      <c r="G324" s="1706">
        <f>WORKDAY(F324,$G$21,'Business Day Paris'!F303:F497)</f>
        <v>54771</v>
      </c>
      <c r="H324" s="1706">
        <f>WORKDAY(J324,$H$21,'Business Day Paris'!F303:F497)</f>
        <v>54777</v>
      </c>
      <c r="I324" s="1706">
        <f>WORKDAY(J324,$I$21,'Business Day Paris'!F303:F497)</f>
        <v>54779</v>
      </c>
      <c r="J324" s="1707">
        <f>IF(WORKDAY(EOMONTH(F324,0)+$J$21-1,1,'Business Day Paris'!F303:F497)&lt;=EOMONTH(Calendar!F325,0),WORKDAY(EOMONTH(F324,0)+$J$21-1,1,'Business Day Paris'!F303:F497),WORKDAY(EOMONTH(F324,0)+$J$21+1,-1,'Business Day Paris'!F303:F497))</f>
        <v>54784</v>
      </c>
      <c r="K324" s="1238"/>
    </row>
    <row r="325" spans="2:11">
      <c r="B325" s="1248">
        <v>303</v>
      </c>
      <c r="C325" s="2"/>
      <c r="D325" s="1705">
        <f t="shared" si="14"/>
        <v>54758</v>
      </c>
      <c r="E325" s="1706">
        <f t="shared" si="12"/>
        <v>54788</v>
      </c>
      <c r="F325" s="1706">
        <f t="shared" si="13"/>
        <v>54788</v>
      </c>
      <c r="G325" s="1706">
        <f>WORKDAY(F325,$G$21,'Business Day Paris'!F304:F498)</f>
        <v>54802</v>
      </c>
      <c r="H325" s="1706">
        <f>WORKDAY(J325,$H$21,'Business Day Paris'!F304:F498)</f>
        <v>54808</v>
      </c>
      <c r="I325" s="1706">
        <f>WORKDAY(J325,$I$21,'Business Day Paris'!F304:F498)</f>
        <v>54812</v>
      </c>
      <c r="J325" s="1707">
        <f>IF(WORKDAY(EOMONTH(F325,0)+$J$21-1,1,'Business Day Paris'!F304:F498)&lt;=EOMONTH(Calendar!F326,0),WORKDAY(EOMONTH(F325,0)+$J$21-1,1,'Business Day Paris'!F304:F498),WORKDAY(EOMONTH(F325,0)+$J$21+1,-1,'Business Day Paris'!F304:F498))</f>
        <v>54815</v>
      </c>
      <c r="K325" s="1238"/>
    </row>
    <row r="326" spans="2:11">
      <c r="B326" s="1248">
        <v>304</v>
      </c>
      <c r="C326" s="2"/>
      <c r="D326" s="1705">
        <f t="shared" si="14"/>
        <v>54789</v>
      </c>
      <c r="E326" s="1706">
        <f t="shared" si="12"/>
        <v>54819</v>
      </c>
      <c r="F326" s="1706">
        <f t="shared" si="13"/>
        <v>54819</v>
      </c>
      <c r="G326" s="1706">
        <f>WORKDAY(F326,$G$21,'Business Day Paris'!F305:F499)</f>
        <v>54833</v>
      </c>
      <c r="H326" s="1706">
        <f>WORKDAY(J326,$H$21,'Business Day Paris'!F305:F499)</f>
        <v>54840</v>
      </c>
      <c r="I326" s="1706">
        <f>WORKDAY(J326,$I$21,'Business Day Paris'!F305:F499)</f>
        <v>54842</v>
      </c>
      <c r="J326" s="1707">
        <f>IF(WORKDAY(EOMONTH(F326,0)+$J$21-1,1,'Business Day Paris'!F305:F499)&lt;=EOMONTH(Calendar!F327,0),WORKDAY(EOMONTH(F326,0)+$J$21-1,1,'Business Day Paris'!F305:F499),WORKDAY(EOMONTH(F326,0)+$J$21+1,-1,'Business Day Paris'!F305:F499))</f>
        <v>54847</v>
      </c>
      <c r="K326" s="1238"/>
    </row>
    <row r="327" spans="2:11">
      <c r="B327" s="1248">
        <v>305</v>
      </c>
      <c r="C327" s="2"/>
      <c r="D327" s="1705">
        <f t="shared" si="14"/>
        <v>54820</v>
      </c>
      <c r="E327" s="1706">
        <f t="shared" si="12"/>
        <v>54847</v>
      </c>
      <c r="F327" s="1706">
        <f t="shared" si="13"/>
        <v>54847</v>
      </c>
      <c r="G327" s="1706">
        <f>WORKDAY(F327,$G$21,'Business Day Paris'!F306:F500)</f>
        <v>54861</v>
      </c>
      <c r="H327" s="1706">
        <f>WORKDAY(J327,$H$21,'Business Day Paris'!F306:F500)</f>
        <v>54868</v>
      </c>
      <c r="I327" s="1706">
        <f>WORKDAY(J327,$I$21,'Business Day Paris'!F306:F500)</f>
        <v>54870</v>
      </c>
      <c r="J327" s="1707">
        <f>IF(WORKDAY(EOMONTH(F327,0)+$J$21-1,1,'Business Day Paris'!F306:F500)&lt;=EOMONTH(Calendar!F328,0),WORKDAY(EOMONTH(F327,0)+$J$21-1,1,'Business Day Paris'!F306:F500),WORKDAY(EOMONTH(F327,0)+$J$21+1,-1,'Business Day Paris'!F306:F500))</f>
        <v>54875</v>
      </c>
      <c r="K327" s="1238"/>
    </row>
    <row r="328" spans="2:11">
      <c r="B328" s="1248">
        <v>306</v>
      </c>
      <c r="C328" s="2"/>
      <c r="D328" s="1705">
        <f t="shared" si="14"/>
        <v>54848</v>
      </c>
      <c r="E328" s="1706">
        <f t="shared" si="12"/>
        <v>54878</v>
      </c>
      <c r="F328" s="1706">
        <f t="shared" si="13"/>
        <v>54878</v>
      </c>
      <c r="G328" s="1706">
        <f>WORKDAY(F328,$G$21,'Business Day Paris'!F307:F501)</f>
        <v>54892</v>
      </c>
      <c r="H328" s="1706">
        <f>WORKDAY(J328,$H$21,'Business Day Paris'!F307:F501)</f>
        <v>54898</v>
      </c>
      <c r="I328" s="1706">
        <f>WORKDAY(J328,$I$21,'Business Day Paris'!F307:F501)</f>
        <v>54900</v>
      </c>
      <c r="J328" s="1707">
        <f>IF(WORKDAY(EOMONTH(F328,0)+$J$21-1,1,'Business Day Paris'!F307:F501)&lt;=EOMONTH(Calendar!F329,0),WORKDAY(EOMONTH(F328,0)+$J$21-1,1,'Business Day Paris'!F307:F501),WORKDAY(EOMONTH(F328,0)+$J$21+1,-1,'Business Day Paris'!F307:F501))</f>
        <v>54905</v>
      </c>
      <c r="K328" s="1238"/>
    </row>
    <row r="329" spans="2:11">
      <c r="B329" s="1248">
        <v>307</v>
      </c>
      <c r="C329" s="2"/>
      <c r="D329" s="1705">
        <f t="shared" si="14"/>
        <v>54879</v>
      </c>
      <c r="E329" s="1706">
        <f t="shared" si="12"/>
        <v>54908</v>
      </c>
      <c r="F329" s="1706">
        <f t="shared" si="13"/>
        <v>54908</v>
      </c>
      <c r="G329" s="1706">
        <f>WORKDAY(F329,$G$21,'Business Day Paris'!F308:F502)</f>
        <v>54921</v>
      </c>
      <c r="H329" s="1706">
        <f>WORKDAY(J329,$H$21,'Business Day Paris'!F308:F502)</f>
        <v>54928</v>
      </c>
      <c r="I329" s="1706">
        <f>WORKDAY(J329,$I$21,'Business Day Paris'!F308:F502)</f>
        <v>54932</v>
      </c>
      <c r="J329" s="1707">
        <f>IF(WORKDAY(EOMONTH(F329,0)+$J$21-1,1,'Business Day Paris'!F308:F502)&lt;=EOMONTH(Calendar!F330,0),WORKDAY(EOMONTH(F329,0)+$J$21-1,1,'Business Day Paris'!F308:F502),WORKDAY(EOMONTH(F329,0)+$J$21+1,-1,'Business Day Paris'!F308:F502))</f>
        <v>54935</v>
      </c>
      <c r="K329" s="1238"/>
    </row>
    <row r="330" spans="2:11">
      <c r="B330" s="1248">
        <v>308</v>
      </c>
      <c r="C330" s="2"/>
      <c r="D330" s="1705">
        <f t="shared" si="14"/>
        <v>54909</v>
      </c>
      <c r="E330" s="1706">
        <f t="shared" si="12"/>
        <v>54939</v>
      </c>
      <c r="F330" s="1706">
        <f t="shared" si="13"/>
        <v>54939</v>
      </c>
      <c r="G330" s="1706">
        <f>WORKDAY(F330,$G$21,'Business Day Paris'!F309:F503)</f>
        <v>54953</v>
      </c>
      <c r="H330" s="1706">
        <f>WORKDAY(J330,$H$21,'Business Day Paris'!F309:F503)</f>
        <v>54959</v>
      </c>
      <c r="I330" s="1706">
        <f>WORKDAY(J330,$I$21,'Business Day Paris'!F309:F503)</f>
        <v>54961</v>
      </c>
      <c r="J330" s="1707">
        <f>IF(WORKDAY(EOMONTH(F330,0)+$J$21-1,1,'Business Day Paris'!F309:F503)&lt;=EOMONTH(Calendar!F331,0),WORKDAY(EOMONTH(F330,0)+$J$21-1,1,'Business Day Paris'!F309:F503),WORKDAY(EOMONTH(F330,0)+$J$21+1,-1,'Business Day Paris'!F309:F503))</f>
        <v>54966</v>
      </c>
      <c r="K330" s="1238"/>
    </row>
    <row r="331" spans="2:11">
      <c r="B331" s="1248">
        <v>309</v>
      </c>
      <c r="C331" s="2"/>
      <c r="D331" s="1705">
        <f t="shared" si="14"/>
        <v>54940</v>
      </c>
      <c r="E331" s="1706">
        <f t="shared" si="12"/>
        <v>54969</v>
      </c>
      <c r="F331" s="1706">
        <f t="shared" si="13"/>
        <v>54969</v>
      </c>
      <c r="G331" s="1706">
        <f>WORKDAY(F331,$G$21,'Business Day Paris'!F310:F504)</f>
        <v>54983</v>
      </c>
      <c r="H331" s="1706">
        <f>WORKDAY(J331,$H$21,'Business Day Paris'!F310:F504)</f>
        <v>54989</v>
      </c>
      <c r="I331" s="1706">
        <f>WORKDAY(J331,$I$21,'Business Day Paris'!F310:F504)</f>
        <v>54991</v>
      </c>
      <c r="J331" s="1707">
        <f>IF(WORKDAY(EOMONTH(F331,0)+$J$21-1,1,'Business Day Paris'!F310:F504)&lt;=EOMONTH(Calendar!F332,0),WORKDAY(EOMONTH(F331,0)+$J$21-1,1,'Business Day Paris'!F310:F504),WORKDAY(EOMONTH(F331,0)+$J$21+1,-1,'Business Day Paris'!F310:F504))</f>
        <v>54996</v>
      </c>
      <c r="K331" s="1238"/>
    </row>
    <row r="332" spans="2:11">
      <c r="B332" s="1248">
        <v>310</v>
      </c>
      <c r="C332" s="2"/>
      <c r="D332" s="1705">
        <f t="shared" si="14"/>
        <v>54970</v>
      </c>
      <c r="E332" s="1706">
        <f t="shared" si="12"/>
        <v>55000</v>
      </c>
      <c r="F332" s="1706">
        <f t="shared" si="13"/>
        <v>55000</v>
      </c>
      <c r="G332" s="1706">
        <f>WORKDAY(F332,$G$21,'Business Day Paris'!F311:F505)</f>
        <v>55012</v>
      </c>
      <c r="H332" s="1706">
        <f>WORKDAY(J332,$H$21,'Business Day Paris'!F311:F505)</f>
        <v>55022</v>
      </c>
      <c r="I332" s="1706">
        <f>WORKDAY(J332,$I$21,'Business Day Paris'!F311:F505)</f>
        <v>55024</v>
      </c>
      <c r="J332" s="1707">
        <f>IF(WORKDAY(EOMONTH(F332,0)+$J$21-1,1,'Business Day Paris'!F311:F505)&lt;=EOMONTH(Calendar!F333,0),WORKDAY(EOMONTH(F332,0)+$J$21-1,1,'Business Day Paris'!F311:F505),WORKDAY(EOMONTH(F332,0)+$J$21+1,-1,'Business Day Paris'!F311:F505))</f>
        <v>55029</v>
      </c>
      <c r="K332" s="1238"/>
    </row>
    <row r="333" spans="2:11">
      <c r="B333" s="1248">
        <v>311</v>
      </c>
      <c r="C333" s="2"/>
      <c r="D333" s="1705">
        <f t="shared" si="14"/>
        <v>55001</v>
      </c>
      <c r="E333" s="1706">
        <f t="shared" si="12"/>
        <v>55031</v>
      </c>
      <c r="F333" s="1706">
        <f t="shared" si="13"/>
        <v>55031</v>
      </c>
      <c r="G333" s="1706">
        <f>WORKDAY(F333,$G$21,'Business Day Paris'!F312:F506)</f>
        <v>55045</v>
      </c>
      <c r="H333" s="1706">
        <f>WORKDAY(J333,$H$21,'Business Day Paris'!F312:F506)</f>
        <v>55051</v>
      </c>
      <c r="I333" s="1706">
        <f>WORKDAY(J333,$I$21,'Business Day Paris'!F312:F506)</f>
        <v>55053</v>
      </c>
      <c r="J333" s="1707">
        <f>IF(WORKDAY(EOMONTH(F333,0)+$J$21-1,1,'Business Day Paris'!F312:F506)&lt;=EOMONTH(Calendar!F334,0),WORKDAY(EOMONTH(F333,0)+$J$21-1,1,'Business Day Paris'!F312:F506),WORKDAY(EOMONTH(F333,0)+$J$21+1,-1,'Business Day Paris'!F312:F506))</f>
        <v>55058</v>
      </c>
      <c r="K333" s="1238"/>
    </row>
    <row r="334" spans="2:11">
      <c r="B334" s="1248">
        <v>312</v>
      </c>
      <c r="C334" s="2"/>
      <c r="D334" s="1705">
        <f t="shared" si="14"/>
        <v>55032</v>
      </c>
      <c r="E334" s="1706">
        <f t="shared" si="12"/>
        <v>55061</v>
      </c>
      <c r="F334" s="1706">
        <f t="shared" si="13"/>
        <v>55061</v>
      </c>
      <c r="G334" s="1706">
        <f>WORKDAY(F334,$G$21,'Business Day Paris'!F313:F507)</f>
        <v>55075</v>
      </c>
      <c r="H334" s="1706">
        <f>WORKDAY(J334,$H$21,'Business Day Paris'!F313:F507)</f>
        <v>55081</v>
      </c>
      <c r="I334" s="1706">
        <f>WORKDAY(J334,$I$21,'Business Day Paris'!F313:F507)</f>
        <v>55085</v>
      </c>
      <c r="J334" s="1707">
        <f>IF(WORKDAY(EOMONTH(F334,0)+$J$21-1,1,'Business Day Paris'!F313:F507)&lt;=EOMONTH(Calendar!F335,0),WORKDAY(EOMONTH(F334,0)+$J$21-1,1,'Business Day Paris'!F313:F507),WORKDAY(EOMONTH(F334,0)+$J$21+1,-1,'Business Day Paris'!F313:F507))</f>
        <v>55088</v>
      </c>
      <c r="K334" s="1238"/>
    </row>
    <row r="335" spans="2:11">
      <c r="B335" s="1248">
        <v>313</v>
      </c>
      <c r="C335" s="2"/>
      <c r="D335" s="1705">
        <f t="shared" si="14"/>
        <v>55062</v>
      </c>
      <c r="E335" s="1706">
        <f t="shared" si="12"/>
        <v>55092</v>
      </c>
      <c r="F335" s="1706">
        <f t="shared" si="13"/>
        <v>55092</v>
      </c>
      <c r="G335" s="1706">
        <f>WORKDAY(F335,$G$21,'Business Day Paris'!F314:F508)</f>
        <v>55106</v>
      </c>
      <c r="H335" s="1706">
        <f>WORKDAY(J335,$H$21,'Business Day Paris'!F314:F508)</f>
        <v>55113</v>
      </c>
      <c r="I335" s="1706">
        <f>WORKDAY(J335,$I$21,'Business Day Paris'!F314:F508)</f>
        <v>55115</v>
      </c>
      <c r="J335" s="1707">
        <f>IF(WORKDAY(EOMONTH(F335,0)+$J$21-1,1,'Business Day Paris'!F314:F508)&lt;=EOMONTH(Calendar!F336,0),WORKDAY(EOMONTH(F335,0)+$J$21-1,1,'Business Day Paris'!F314:F508),WORKDAY(EOMONTH(F335,0)+$J$21+1,-1,'Business Day Paris'!F314:F508))</f>
        <v>55120</v>
      </c>
      <c r="K335" s="1238"/>
    </row>
    <row r="336" spans="2:11">
      <c r="B336" s="1248">
        <v>314</v>
      </c>
      <c r="C336" s="2"/>
      <c r="D336" s="1705">
        <f t="shared" si="14"/>
        <v>55093</v>
      </c>
      <c r="E336" s="1706">
        <f t="shared" si="12"/>
        <v>55122</v>
      </c>
      <c r="F336" s="1706">
        <f t="shared" si="13"/>
        <v>55122</v>
      </c>
      <c r="G336" s="1706">
        <f>WORKDAY(F336,$G$21,'Business Day Paris'!F315:F509)</f>
        <v>55136</v>
      </c>
      <c r="H336" s="1706">
        <f>WORKDAY(J336,$H$21,'Business Day Paris'!F315:F509)</f>
        <v>55142</v>
      </c>
      <c r="I336" s="1706">
        <f>WORKDAY(J336,$I$21,'Business Day Paris'!F315:F509)</f>
        <v>55144</v>
      </c>
      <c r="J336" s="1707">
        <f>IF(WORKDAY(EOMONTH(F336,0)+$J$21-1,1,'Business Day Paris'!F315:F509)&lt;=EOMONTH(Calendar!F337,0),WORKDAY(EOMONTH(F336,0)+$J$21-1,1,'Business Day Paris'!F315:F509),WORKDAY(EOMONTH(F336,0)+$J$21+1,-1,'Business Day Paris'!F315:F509))</f>
        <v>55149</v>
      </c>
      <c r="K336" s="1238"/>
    </row>
    <row r="337" spans="2:11">
      <c r="B337" s="1248">
        <v>315</v>
      </c>
      <c r="C337" s="2"/>
      <c r="D337" s="1705">
        <f t="shared" si="14"/>
        <v>55123</v>
      </c>
      <c r="E337" s="1706">
        <f t="shared" si="12"/>
        <v>55153</v>
      </c>
      <c r="F337" s="1706">
        <f t="shared" si="13"/>
        <v>55153</v>
      </c>
      <c r="G337" s="1706">
        <f>WORKDAY(F337,$G$21,'Business Day Paris'!F316:F510)</f>
        <v>55166</v>
      </c>
      <c r="H337" s="1706">
        <f>WORKDAY(J337,$H$21,'Business Day Paris'!F316:F510)</f>
        <v>55173</v>
      </c>
      <c r="I337" s="1706">
        <f>WORKDAY(J337,$I$21,'Business Day Paris'!F316:F510)</f>
        <v>55177</v>
      </c>
      <c r="J337" s="1707">
        <f>IF(WORKDAY(EOMONTH(F337,0)+$J$21-1,1,'Business Day Paris'!F316:F510)&lt;=EOMONTH(Calendar!F338,0),WORKDAY(EOMONTH(F337,0)+$J$21-1,1,'Business Day Paris'!F316:F510),WORKDAY(EOMONTH(F337,0)+$J$21+1,-1,'Business Day Paris'!F316:F510))</f>
        <v>55180</v>
      </c>
      <c r="K337" s="1238"/>
    </row>
    <row r="338" spans="2:11">
      <c r="B338" s="1248">
        <v>316</v>
      </c>
      <c r="C338" s="2"/>
      <c r="D338" s="1705">
        <f t="shared" si="14"/>
        <v>55154</v>
      </c>
      <c r="E338" s="1706">
        <f t="shared" si="12"/>
        <v>55184</v>
      </c>
      <c r="F338" s="1706">
        <f t="shared" si="13"/>
        <v>55184</v>
      </c>
      <c r="G338" s="1706">
        <f>WORKDAY(F338,$G$21,'Business Day Paris'!F317:F511)</f>
        <v>55198</v>
      </c>
      <c r="H338" s="1706">
        <f>WORKDAY(J338,$H$21,'Business Day Paris'!F317:F511)</f>
        <v>55204</v>
      </c>
      <c r="I338" s="1706">
        <f>WORKDAY(J338,$I$21,'Business Day Paris'!F317:F511)</f>
        <v>55206</v>
      </c>
      <c r="J338" s="1707">
        <f>IF(WORKDAY(EOMONTH(F338,0)+$J$21-1,1,'Business Day Paris'!F317:F511)&lt;=EOMONTH(Calendar!F339,0),WORKDAY(EOMONTH(F338,0)+$J$21-1,1,'Business Day Paris'!F317:F511),WORKDAY(EOMONTH(F338,0)+$J$21+1,-1,'Business Day Paris'!F317:F511))</f>
        <v>55211</v>
      </c>
      <c r="K338" s="1238"/>
    </row>
    <row r="339" spans="2:11">
      <c r="B339" s="1248">
        <v>317</v>
      </c>
      <c r="C339" s="2"/>
      <c r="D339" s="1705">
        <f t="shared" si="14"/>
        <v>55185</v>
      </c>
      <c r="E339" s="1706">
        <f t="shared" si="12"/>
        <v>55212</v>
      </c>
      <c r="F339" s="1706">
        <f t="shared" si="13"/>
        <v>55212</v>
      </c>
      <c r="G339" s="1706">
        <f>WORKDAY(F339,$G$21,'Business Day Paris'!F318:F512)</f>
        <v>55226</v>
      </c>
      <c r="H339" s="1706">
        <f>WORKDAY(J339,$H$21,'Business Day Paris'!F318:F512)</f>
        <v>55232</v>
      </c>
      <c r="I339" s="1706">
        <f>WORKDAY(J339,$I$21,'Business Day Paris'!F318:F512)</f>
        <v>55234</v>
      </c>
      <c r="J339" s="1707">
        <f>IF(WORKDAY(EOMONTH(F339,0)+$J$21-1,1,'Business Day Paris'!F318:F512)&lt;=EOMONTH(Calendar!F340,0),WORKDAY(EOMONTH(F339,0)+$J$21-1,1,'Business Day Paris'!F318:F512),WORKDAY(EOMONTH(F339,0)+$J$21+1,-1,'Business Day Paris'!F318:F512))</f>
        <v>55239</v>
      </c>
      <c r="K339" s="1238"/>
    </row>
    <row r="340" spans="2:11">
      <c r="B340" s="1248">
        <v>318</v>
      </c>
      <c r="C340" s="2"/>
      <c r="D340" s="1705">
        <f t="shared" si="14"/>
        <v>55213</v>
      </c>
      <c r="E340" s="1706">
        <f t="shared" si="12"/>
        <v>55243</v>
      </c>
      <c r="F340" s="1706">
        <f t="shared" si="13"/>
        <v>55243</v>
      </c>
      <c r="G340" s="1706">
        <f>WORKDAY(F340,$G$21,'Business Day Paris'!F319:F513)</f>
        <v>55257</v>
      </c>
      <c r="H340" s="1706">
        <f>WORKDAY(J340,$H$21,'Business Day Paris'!F319:F513)</f>
        <v>55263</v>
      </c>
      <c r="I340" s="1706">
        <f>WORKDAY(J340,$I$21,'Business Day Paris'!F319:F513)</f>
        <v>55267</v>
      </c>
      <c r="J340" s="1707">
        <f>IF(WORKDAY(EOMONTH(F340,0)+$J$21-1,1,'Business Day Paris'!F319:F513)&lt;=EOMONTH(Calendar!F341,0),WORKDAY(EOMONTH(F340,0)+$J$21-1,1,'Business Day Paris'!F319:F513),WORKDAY(EOMONTH(F340,0)+$J$21+1,-1,'Business Day Paris'!F319:F513))</f>
        <v>55270</v>
      </c>
      <c r="K340" s="1238"/>
    </row>
    <row r="341" spans="2:11">
      <c r="B341" s="1248">
        <v>319</v>
      </c>
      <c r="C341" s="2"/>
      <c r="D341" s="1705">
        <f t="shared" si="14"/>
        <v>55244</v>
      </c>
      <c r="E341" s="1706">
        <f t="shared" si="12"/>
        <v>55273</v>
      </c>
      <c r="F341" s="1706">
        <f t="shared" si="13"/>
        <v>55273</v>
      </c>
      <c r="G341" s="1706">
        <f>WORKDAY(F341,$G$21,'Business Day Paris'!F320:F514)</f>
        <v>55285</v>
      </c>
      <c r="H341" s="1706">
        <f>WORKDAY(J341,$H$21,'Business Day Paris'!F320:F514)</f>
        <v>55295</v>
      </c>
      <c r="I341" s="1706">
        <f>WORKDAY(J341,$I$21,'Business Day Paris'!F320:F514)</f>
        <v>55297</v>
      </c>
      <c r="J341" s="1707">
        <f>IF(WORKDAY(EOMONTH(F341,0)+$J$21-1,1,'Business Day Paris'!F320:F514)&lt;=EOMONTH(Calendar!F342,0),WORKDAY(EOMONTH(F341,0)+$J$21-1,1,'Business Day Paris'!F320:F514),WORKDAY(EOMONTH(F341,0)+$J$21+1,-1,'Business Day Paris'!F320:F514))</f>
        <v>55302</v>
      </c>
      <c r="K341" s="1238"/>
    </row>
    <row r="342" spans="2:11">
      <c r="B342" s="1248">
        <v>320</v>
      </c>
      <c r="C342" s="2"/>
      <c r="D342" s="1705">
        <f t="shared" si="14"/>
        <v>55274</v>
      </c>
      <c r="E342" s="1706">
        <f t="shared" si="12"/>
        <v>55304</v>
      </c>
      <c r="F342" s="1706">
        <f t="shared" si="13"/>
        <v>55304</v>
      </c>
      <c r="G342" s="1706">
        <f>WORKDAY(F342,$G$21,'Business Day Paris'!F321:F515)</f>
        <v>55318</v>
      </c>
      <c r="H342" s="1706">
        <f>WORKDAY(J342,$H$21,'Business Day Paris'!F321:F515)</f>
        <v>55324</v>
      </c>
      <c r="I342" s="1706">
        <f>WORKDAY(J342,$I$21,'Business Day Paris'!F321:F515)</f>
        <v>55326</v>
      </c>
      <c r="J342" s="1707">
        <f>IF(WORKDAY(EOMONTH(F342,0)+$J$21-1,1,'Business Day Paris'!F321:F515)&lt;=EOMONTH(Calendar!F343,0),WORKDAY(EOMONTH(F342,0)+$J$21-1,1,'Business Day Paris'!F321:F515),WORKDAY(EOMONTH(F342,0)+$J$21+1,-1,'Business Day Paris'!F321:F515))</f>
        <v>55331</v>
      </c>
      <c r="K342" s="1238"/>
    </row>
    <row r="343" spans="2:11">
      <c r="B343" s="1248">
        <v>321</v>
      </c>
      <c r="C343" s="2"/>
      <c r="D343" s="1705">
        <f t="shared" si="14"/>
        <v>55305</v>
      </c>
      <c r="E343" s="1706">
        <f t="shared" si="12"/>
        <v>55334</v>
      </c>
      <c r="F343" s="1706">
        <f t="shared" si="13"/>
        <v>55334</v>
      </c>
      <c r="G343" s="1706">
        <f>WORKDAY(F343,$G$21,'Business Day Paris'!F322:F516)</f>
        <v>55348</v>
      </c>
      <c r="H343" s="1706">
        <f>WORKDAY(J343,$H$21,'Business Day Paris'!F322:F516)</f>
        <v>55354</v>
      </c>
      <c r="I343" s="1706">
        <f>WORKDAY(J343,$I$21,'Business Day Paris'!F322:F516)</f>
        <v>55358</v>
      </c>
      <c r="J343" s="1707">
        <f>IF(WORKDAY(EOMONTH(F343,0)+$J$21-1,1,'Business Day Paris'!F322:F516)&lt;=EOMONTH(Calendar!F344,0),WORKDAY(EOMONTH(F343,0)+$J$21-1,1,'Business Day Paris'!F322:F516),WORKDAY(EOMONTH(F343,0)+$J$21+1,-1,'Business Day Paris'!F322:F516))</f>
        <v>55361</v>
      </c>
      <c r="K343" s="1238"/>
    </row>
    <row r="344" spans="2:11">
      <c r="B344" s="1248">
        <v>322</v>
      </c>
      <c r="C344" s="2"/>
      <c r="D344" s="1705">
        <f t="shared" si="14"/>
        <v>55335</v>
      </c>
      <c r="E344" s="1706">
        <f t="shared" ref="E344:E407" si="15">EOMONTH(D344,0)</f>
        <v>55365</v>
      </c>
      <c r="F344" s="1706">
        <f t="shared" ref="F344:F407" si="16">E344</f>
        <v>55365</v>
      </c>
      <c r="G344" s="1706">
        <f>WORKDAY(F344,$G$21,'Business Day Paris'!F323:F517)</f>
        <v>55379</v>
      </c>
      <c r="H344" s="1706">
        <f>WORKDAY(J344,$H$21,'Business Day Paris'!F323:F517)</f>
        <v>55386</v>
      </c>
      <c r="I344" s="1706">
        <f>WORKDAY(J344,$I$21,'Business Day Paris'!F323:F517)</f>
        <v>55388</v>
      </c>
      <c r="J344" s="1707">
        <f>IF(WORKDAY(EOMONTH(F344,0)+$J$21-1,1,'Business Day Paris'!F323:F517)&lt;=EOMONTH(Calendar!F345,0),WORKDAY(EOMONTH(F344,0)+$J$21-1,1,'Business Day Paris'!F323:F517),WORKDAY(EOMONTH(F344,0)+$J$21+1,-1,'Business Day Paris'!F323:F517))</f>
        <v>55393</v>
      </c>
      <c r="K344" s="1238"/>
    </row>
    <row r="345" spans="2:11">
      <c r="B345" s="1248">
        <v>323</v>
      </c>
      <c r="C345" s="2"/>
      <c r="D345" s="1705">
        <f t="shared" ref="D345:D408" si="17">EOMONTH(D344,0)+1</f>
        <v>55366</v>
      </c>
      <c r="E345" s="1706">
        <f t="shared" si="15"/>
        <v>55396</v>
      </c>
      <c r="F345" s="1706">
        <f t="shared" si="16"/>
        <v>55396</v>
      </c>
      <c r="G345" s="1706">
        <f>WORKDAY(F345,$G$21,'Business Day Paris'!F324:F518)</f>
        <v>55410</v>
      </c>
      <c r="H345" s="1706">
        <f>WORKDAY(J345,$H$21,'Business Day Paris'!F324:F518)</f>
        <v>55416</v>
      </c>
      <c r="I345" s="1706">
        <f>WORKDAY(J345,$I$21,'Business Day Paris'!F324:F518)</f>
        <v>55418</v>
      </c>
      <c r="J345" s="1707">
        <f>IF(WORKDAY(EOMONTH(F345,0)+$J$21-1,1,'Business Day Paris'!F324:F518)&lt;=EOMONTH(Calendar!F346,0),WORKDAY(EOMONTH(F345,0)+$J$21-1,1,'Business Day Paris'!F324:F518),WORKDAY(EOMONTH(F345,0)+$J$21+1,-1,'Business Day Paris'!F324:F518))</f>
        <v>55423</v>
      </c>
      <c r="K345" s="1238"/>
    </row>
    <row r="346" spans="2:11">
      <c r="B346" s="1248">
        <v>324</v>
      </c>
      <c r="C346" s="2"/>
      <c r="D346" s="1705">
        <f t="shared" si="17"/>
        <v>55397</v>
      </c>
      <c r="E346" s="1706">
        <f t="shared" si="15"/>
        <v>55426</v>
      </c>
      <c r="F346" s="1706">
        <f t="shared" si="16"/>
        <v>55426</v>
      </c>
      <c r="G346" s="1706">
        <f>WORKDAY(F346,$G$21,'Business Day Paris'!F325:F519)</f>
        <v>55439</v>
      </c>
      <c r="H346" s="1706">
        <f>WORKDAY(J346,$H$21,'Business Day Paris'!F325:F519)</f>
        <v>55446</v>
      </c>
      <c r="I346" s="1706">
        <f>WORKDAY(J346,$I$21,'Business Day Paris'!F325:F519)</f>
        <v>55450</v>
      </c>
      <c r="J346" s="1707">
        <f>IF(WORKDAY(EOMONTH(F346,0)+$J$21-1,1,'Business Day Paris'!F325:F519)&lt;=EOMONTH(Calendar!F347,0),WORKDAY(EOMONTH(F346,0)+$J$21-1,1,'Business Day Paris'!F325:F519),WORKDAY(EOMONTH(F346,0)+$J$21+1,-1,'Business Day Paris'!F325:F519))</f>
        <v>55453</v>
      </c>
      <c r="K346" s="1238"/>
    </row>
    <row r="347" spans="2:11">
      <c r="B347" s="1248">
        <v>325</v>
      </c>
      <c r="C347" s="2"/>
      <c r="D347" s="1705">
        <f t="shared" si="17"/>
        <v>55427</v>
      </c>
      <c r="E347" s="1706">
        <f t="shared" si="15"/>
        <v>55457</v>
      </c>
      <c r="F347" s="1706">
        <f t="shared" si="16"/>
        <v>55457</v>
      </c>
      <c r="G347" s="1706">
        <f>WORKDAY(F347,$G$21,'Business Day Paris'!F326:F520)</f>
        <v>55471</v>
      </c>
      <c r="H347" s="1706">
        <f>WORKDAY(J347,$H$21,'Business Day Paris'!F326:F520)</f>
        <v>55477</v>
      </c>
      <c r="I347" s="1706">
        <f>WORKDAY(J347,$I$21,'Business Day Paris'!F326:F520)</f>
        <v>55479</v>
      </c>
      <c r="J347" s="1707">
        <f>IF(WORKDAY(EOMONTH(F347,0)+$J$21-1,1,'Business Day Paris'!F326:F520)&lt;=EOMONTH(Calendar!F348,0),WORKDAY(EOMONTH(F347,0)+$J$21-1,1,'Business Day Paris'!F326:F520),WORKDAY(EOMONTH(F347,0)+$J$21+1,-1,'Business Day Paris'!F326:F520))</f>
        <v>55484</v>
      </c>
      <c r="K347" s="1238"/>
    </row>
    <row r="348" spans="2:11">
      <c r="B348" s="1248">
        <v>326</v>
      </c>
      <c r="C348" s="2"/>
      <c r="D348" s="1705">
        <f t="shared" si="17"/>
        <v>55458</v>
      </c>
      <c r="E348" s="1706">
        <f t="shared" si="15"/>
        <v>55487</v>
      </c>
      <c r="F348" s="1706">
        <f t="shared" si="16"/>
        <v>55487</v>
      </c>
      <c r="G348" s="1706">
        <f>WORKDAY(F348,$G$21,'Business Day Paris'!F327:F521)</f>
        <v>55501</v>
      </c>
      <c r="H348" s="1706">
        <f>WORKDAY(J348,$H$21,'Business Day Paris'!F327:F521)</f>
        <v>55507</v>
      </c>
      <c r="I348" s="1706">
        <f>WORKDAY(J348,$I$21,'Business Day Paris'!F327:F521)</f>
        <v>55509</v>
      </c>
      <c r="J348" s="1707">
        <f>IF(WORKDAY(EOMONTH(F348,0)+$J$21-1,1,'Business Day Paris'!F327:F521)&lt;=EOMONTH(Calendar!F349,0),WORKDAY(EOMONTH(F348,0)+$J$21-1,1,'Business Day Paris'!F327:F521),WORKDAY(EOMONTH(F348,0)+$J$21+1,-1,'Business Day Paris'!F327:F521))</f>
        <v>55514</v>
      </c>
      <c r="K348" s="1238"/>
    </row>
    <row r="349" spans="2:11">
      <c r="B349" s="1248">
        <v>327</v>
      </c>
      <c r="C349" s="2"/>
      <c r="D349" s="1705">
        <f t="shared" si="17"/>
        <v>55488</v>
      </c>
      <c r="E349" s="1706">
        <f t="shared" si="15"/>
        <v>55518</v>
      </c>
      <c r="F349" s="1706">
        <f t="shared" si="16"/>
        <v>55518</v>
      </c>
      <c r="G349" s="1706">
        <f>WORKDAY(F349,$G$21,'Business Day Paris'!F328:F522)</f>
        <v>55530</v>
      </c>
      <c r="H349" s="1706">
        <f>WORKDAY(J349,$H$21,'Business Day Paris'!F328:F522)</f>
        <v>55540</v>
      </c>
      <c r="I349" s="1706">
        <f>WORKDAY(J349,$I$21,'Business Day Paris'!F328:F522)</f>
        <v>55542</v>
      </c>
      <c r="J349" s="1707">
        <f>IF(WORKDAY(EOMONTH(F349,0)+$J$21-1,1,'Business Day Paris'!F328:F522)&lt;=EOMONTH(Calendar!F350,0),WORKDAY(EOMONTH(F349,0)+$J$21-1,1,'Business Day Paris'!F328:F522),WORKDAY(EOMONTH(F349,0)+$J$21+1,-1,'Business Day Paris'!F328:F522))</f>
        <v>55547</v>
      </c>
      <c r="K349" s="1238"/>
    </row>
    <row r="350" spans="2:11">
      <c r="B350" s="1248">
        <v>328</v>
      </c>
      <c r="C350" s="2"/>
      <c r="D350" s="1705">
        <f t="shared" si="17"/>
        <v>55519</v>
      </c>
      <c r="E350" s="1706">
        <f t="shared" si="15"/>
        <v>55549</v>
      </c>
      <c r="F350" s="1706">
        <f t="shared" si="16"/>
        <v>55549</v>
      </c>
      <c r="G350" s="1706">
        <f>WORKDAY(F350,$G$21,'Business Day Paris'!F329:F523)</f>
        <v>55563</v>
      </c>
      <c r="H350" s="1706">
        <f>WORKDAY(J350,$H$21,'Business Day Paris'!F329:F523)</f>
        <v>55569</v>
      </c>
      <c r="I350" s="1706">
        <f>WORKDAY(J350,$I$21,'Business Day Paris'!F329:F523)</f>
        <v>55571</v>
      </c>
      <c r="J350" s="1707">
        <f>IF(WORKDAY(EOMONTH(F350,0)+$J$21-1,1,'Business Day Paris'!F329:F523)&lt;=EOMONTH(Calendar!F351,0),WORKDAY(EOMONTH(F350,0)+$J$21-1,1,'Business Day Paris'!F329:F523),WORKDAY(EOMONTH(F350,0)+$J$21+1,-1,'Business Day Paris'!F329:F523))</f>
        <v>55576</v>
      </c>
      <c r="K350" s="1238"/>
    </row>
    <row r="351" spans="2:11">
      <c r="B351" s="1248">
        <v>329</v>
      </c>
      <c r="C351" s="2"/>
      <c r="D351" s="1705">
        <f t="shared" si="17"/>
        <v>55550</v>
      </c>
      <c r="E351" s="1706">
        <f t="shared" si="15"/>
        <v>55578</v>
      </c>
      <c r="F351" s="1706">
        <f t="shared" si="16"/>
        <v>55578</v>
      </c>
      <c r="G351" s="1706">
        <f>WORKDAY(F351,$G$21,'Business Day Paris'!F330:F524)</f>
        <v>55592</v>
      </c>
      <c r="H351" s="1706">
        <f>WORKDAY(J351,$H$21,'Business Day Paris'!F330:F524)</f>
        <v>55598</v>
      </c>
      <c r="I351" s="1706">
        <f>WORKDAY(J351,$I$21,'Business Day Paris'!F330:F524)</f>
        <v>55600</v>
      </c>
      <c r="J351" s="1707">
        <f>IF(WORKDAY(EOMONTH(F351,0)+$J$21-1,1,'Business Day Paris'!F330:F524)&lt;=EOMONTH(Calendar!F352,0),WORKDAY(EOMONTH(F351,0)+$J$21-1,1,'Business Day Paris'!F330:F524),WORKDAY(EOMONTH(F351,0)+$J$21+1,-1,'Business Day Paris'!F330:F524))</f>
        <v>55605</v>
      </c>
      <c r="K351" s="1238"/>
    </row>
    <row r="352" spans="2:11">
      <c r="B352" s="1248">
        <v>330</v>
      </c>
      <c r="C352" s="2"/>
      <c r="D352" s="1705">
        <f t="shared" si="17"/>
        <v>55579</v>
      </c>
      <c r="E352" s="1706">
        <f t="shared" si="15"/>
        <v>55609</v>
      </c>
      <c r="F352" s="1706">
        <f t="shared" si="16"/>
        <v>55609</v>
      </c>
      <c r="G352" s="1706">
        <f>WORKDAY(F352,$G$21,'Business Day Paris'!F331:F525)</f>
        <v>55621</v>
      </c>
      <c r="H352" s="1706">
        <f>WORKDAY(J352,$H$21,'Business Day Paris'!F331:F525)</f>
        <v>55631</v>
      </c>
      <c r="I352" s="1706">
        <f>WORKDAY(J352,$I$21,'Business Day Paris'!F331:F525)</f>
        <v>55633</v>
      </c>
      <c r="J352" s="1707">
        <f>IF(WORKDAY(EOMONTH(F352,0)+$J$21-1,1,'Business Day Paris'!F331:F525)&lt;=EOMONTH(Calendar!F353,0),WORKDAY(EOMONTH(F352,0)+$J$21-1,1,'Business Day Paris'!F331:F525),WORKDAY(EOMONTH(F352,0)+$J$21+1,-1,'Business Day Paris'!F331:F525))</f>
        <v>55638</v>
      </c>
      <c r="K352" s="1238"/>
    </row>
    <row r="353" spans="2:11">
      <c r="B353" s="1248">
        <v>331</v>
      </c>
      <c r="C353" s="2"/>
      <c r="D353" s="1705">
        <f t="shared" si="17"/>
        <v>55610</v>
      </c>
      <c r="E353" s="1706">
        <f t="shared" si="15"/>
        <v>55639</v>
      </c>
      <c r="F353" s="1706">
        <f t="shared" si="16"/>
        <v>55639</v>
      </c>
      <c r="G353" s="1706">
        <f>WORKDAY(F353,$G$21,'Business Day Paris'!F332:F526)</f>
        <v>55653</v>
      </c>
      <c r="H353" s="1706">
        <f>WORKDAY(J353,$H$21,'Business Day Paris'!F332:F526)</f>
        <v>55659</v>
      </c>
      <c r="I353" s="1706">
        <f>WORKDAY(J353,$I$21,'Business Day Paris'!F332:F526)</f>
        <v>55661</v>
      </c>
      <c r="J353" s="1707">
        <f>IF(WORKDAY(EOMONTH(F353,0)+$J$21-1,1,'Business Day Paris'!F332:F526)&lt;=EOMONTH(Calendar!F354,0),WORKDAY(EOMONTH(F353,0)+$J$21-1,1,'Business Day Paris'!F332:F526),WORKDAY(EOMONTH(F353,0)+$J$21+1,-1,'Business Day Paris'!F332:F526))</f>
        <v>55666</v>
      </c>
      <c r="K353" s="1238"/>
    </row>
    <row r="354" spans="2:11">
      <c r="B354" s="1248">
        <v>332</v>
      </c>
      <c r="C354" s="2"/>
      <c r="D354" s="1705">
        <f t="shared" si="17"/>
        <v>55640</v>
      </c>
      <c r="E354" s="1706">
        <f t="shared" si="15"/>
        <v>55670</v>
      </c>
      <c r="F354" s="1706">
        <f t="shared" si="16"/>
        <v>55670</v>
      </c>
      <c r="G354" s="1706">
        <f>WORKDAY(F354,$G$21,'Business Day Paris'!F333:F527)</f>
        <v>55684</v>
      </c>
      <c r="H354" s="1706">
        <f>WORKDAY(J354,$H$21,'Business Day Paris'!F333:F527)</f>
        <v>55690</v>
      </c>
      <c r="I354" s="1706">
        <f>WORKDAY(J354,$I$21,'Business Day Paris'!F333:F527)</f>
        <v>55694</v>
      </c>
      <c r="J354" s="1707">
        <f>IF(WORKDAY(EOMONTH(F354,0)+$J$21-1,1,'Business Day Paris'!F333:F527)&lt;=EOMONTH(Calendar!F355,0),WORKDAY(EOMONTH(F354,0)+$J$21-1,1,'Business Day Paris'!F333:F527),WORKDAY(EOMONTH(F354,0)+$J$21+1,-1,'Business Day Paris'!F333:F527))</f>
        <v>55697</v>
      </c>
      <c r="K354" s="1238"/>
    </row>
    <row r="355" spans="2:11">
      <c r="B355" s="1248">
        <v>333</v>
      </c>
      <c r="C355" s="2"/>
      <c r="D355" s="1705">
        <f t="shared" si="17"/>
        <v>55671</v>
      </c>
      <c r="E355" s="1706">
        <f t="shared" si="15"/>
        <v>55700</v>
      </c>
      <c r="F355" s="1706">
        <f t="shared" si="16"/>
        <v>55700</v>
      </c>
      <c r="G355" s="1706">
        <f>WORKDAY(F355,$G$21,'Business Day Paris'!F334:F528)</f>
        <v>55712</v>
      </c>
      <c r="H355" s="1706">
        <f>WORKDAY(J355,$H$21,'Business Day Paris'!F334:F528)</f>
        <v>55722</v>
      </c>
      <c r="I355" s="1706">
        <f>WORKDAY(J355,$I$21,'Business Day Paris'!F334:F528)</f>
        <v>55724</v>
      </c>
      <c r="J355" s="1707">
        <f>IF(WORKDAY(EOMONTH(F355,0)+$J$21-1,1,'Business Day Paris'!F334:F528)&lt;=EOMONTH(Calendar!F356,0),WORKDAY(EOMONTH(F355,0)+$J$21-1,1,'Business Day Paris'!F334:F528),WORKDAY(EOMONTH(F355,0)+$J$21+1,-1,'Business Day Paris'!F334:F528))</f>
        <v>55729</v>
      </c>
      <c r="K355" s="1238"/>
    </row>
    <row r="356" spans="2:11">
      <c r="B356" s="1248">
        <v>334</v>
      </c>
      <c r="C356" s="2"/>
      <c r="D356" s="1705">
        <f t="shared" si="17"/>
        <v>55701</v>
      </c>
      <c r="E356" s="1706">
        <f t="shared" si="15"/>
        <v>55731</v>
      </c>
      <c r="F356" s="1706">
        <f t="shared" si="16"/>
        <v>55731</v>
      </c>
      <c r="G356" s="1706">
        <f>WORKDAY(F356,$G$21,'Business Day Paris'!F335:F529)</f>
        <v>55745</v>
      </c>
      <c r="H356" s="1706">
        <f>WORKDAY(J356,$H$21,'Business Day Paris'!F335:F529)</f>
        <v>55751</v>
      </c>
      <c r="I356" s="1706">
        <f>WORKDAY(J356,$I$21,'Business Day Paris'!F335:F529)</f>
        <v>55753</v>
      </c>
      <c r="J356" s="1707">
        <f>IF(WORKDAY(EOMONTH(F356,0)+$J$21-1,1,'Business Day Paris'!F335:F529)&lt;=EOMONTH(Calendar!F357,0),WORKDAY(EOMONTH(F356,0)+$J$21-1,1,'Business Day Paris'!F335:F529),WORKDAY(EOMONTH(F356,0)+$J$21+1,-1,'Business Day Paris'!F335:F529))</f>
        <v>55758</v>
      </c>
      <c r="K356" s="1238"/>
    </row>
    <row r="357" spans="2:11">
      <c r="B357" s="1248">
        <v>335</v>
      </c>
      <c r="C357" s="2"/>
      <c r="D357" s="1705">
        <f t="shared" si="17"/>
        <v>55732</v>
      </c>
      <c r="E357" s="1706">
        <f t="shared" si="15"/>
        <v>55762</v>
      </c>
      <c r="F357" s="1706">
        <f t="shared" si="16"/>
        <v>55762</v>
      </c>
      <c r="G357" s="1706">
        <f>WORKDAY(F357,$G$21,'Business Day Paris'!F336:F530)</f>
        <v>55775</v>
      </c>
      <c r="H357" s="1706">
        <f>WORKDAY(J357,$H$21,'Business Day Paris'!F336:F530)</f>
        <v>55782</v>
      </c>
      <c r="I357" s="1706">
        <f>WORKDAY(J357,$I$21,'Business Day Paris'!F336:F530)</f>
        <v>55786</v>
      </c>
      <c r="J357" s="1707">
        <f>IF(WORKDAY(EOMONTH(F357,0)+$J$21-1,1,'Business Day Paris'!F336:F530)&lt;=EOMONTH(Calendar!F358,0),WORKDAY(EOMONTH(F357,0)+$J$21-1,1,'Business Day Paris'!F336:F530),WORKDAY(EOMONTH(F357,0)+$J$21+1,-1,'Business Day Paris'!F336:F530))</f>
        <v>55789</v>
      </c>
      <c r="K357" s="1238"/>
    </row>
    <row r="358" spans="2:11">
      <c r="B358" s="1248">
        <v>336</v>
      </c>
      <c r="C358" s="2"/>
      <c r="D358" s="1705">
        <f t="shared" si="17"/>
        <v>55763</v>
      </c>
      <c r="E358" s="1706">
        <f t="shared" si="15"/>
        <v>55792</v>
      </c>
      <c r="F358" s="1706">
        <f t="shared" si="16"/>
        <v>55792</v>
      </c>
      <c r="G358" s="1706">
        <f>WORKDAY(F358,$G$21,'Business Day Paris'!F337:F531)</f>
        <v>55806</v>
      </c>
      <c r="H358" s="1706">
        <f>WORKDAY(J358,$H$21,'Business Day Paris'!F337:F531)</f>
        <v>55813</v>
      </c>
      <c r="I358" s="1706">
        <f>WORKDAY(J358,$I$21,'Business Day Paris'!F337:F531)</f>
        <v>55815</v>
      </c>
      <c r="J358" s="1707">
        <f>IF(WORKDAY(EOMONTH(F358,0)+$J$21-1,1,'Business Day Paris'!F337:F531)&lt;=EOMONTH(Calendar!F359,0),WORKDAY(EOMONTH(F358,0)+$J$21-1,1,'Business Day Paris'!F337:F531),WORKDAY(EOMONTH(F358,0)+$J$21+1,-1,'Business Day Paris'!F337:F531))</f>
        <v>55820</v>
      </c>
      <c r="K358" s="1238"/>
    </row>
    <row r="359" spans="2:11">
      <c r="B359" s="1248">
        <v>337</v>
      </c>
      <c r="C359" s="2"/>
      <c r="D359" s="1705">
        <f t="shared" si="17"/>
        <v>55793</v>
      </c>
      <c r="E359" s="1706">
        <f t="shared" si="15"/>
        <v>55823</v>
      </c>
      <c r="F359" s="1706">
        <f t="shared" si="16"/>
        <v>55823</v>
      </c>
      <c r="G359" s="1706">
        <f>WORKDAY(F359,$G$21,'Business Day Paris'!F338:F532)</f>
        <v>55837</v>
      </c>
      <c r="H359" s="1706">
        <f>WORKDAY(J359,$H$21,'Business Day Paris'!F338:F532)</f>
        <v>55843</v>
      </c>
      <c r="I359" s="1706">
        <f>WORKDAY(J359,$I$21,'Business Day Paris'!F338:F532)</f>
        <v>55845</v>
      </c>
      <c r="J359" s="1707">
        <f>IF(WORKDAY(EOMONTH(F359,0)+$J$21-1,1,'Business Day Paris'!F338:F532)&lt;=EOMONTH(Calendar!F360,0),WORKDAY(EOMONTH(F359,0)+$J$21-1,1,'Business Day Paris'!F338:F532),WORKDAY(EOMONTH(F359,0)+$J$21+1,-1,'Business Day Paris'!F338:F532))</f>
        <v>55850</v>
      </c>
      <c r="K359" s="1238"/>
    </row>
    <row r="360" spans="2:11">
      <c r="B360" s="1248">
        <v>338</v>
      </c>
      <c r="C360" s="2"/>
      <c r="D360" s="1705">
        <f t="shared" si="17"/>
        <v>55824</v>
      </c>
      <c r="E360" s="1706">
        <f t="shared" si="15"/>
        <v>55853</v>
      </c>
      <c r="F360" s="1706">
        <f t="shared" si="16"/>
        <v>55853</v>
      </c>
      <c r="G360" s="1706">
        <f>WORKDAY(F360,$G$21,'Business Day Paris'!F339:F533)</f>
        <v>55866</v>
      </c>
      <c r="H360" s="1706">
        <f>WORKDAY(J360,$H$21,'Business Day Paris'!F339:F533)</f>
        <v>55873</v>
      </c>
      <c r="I360" s="1706">
        <f>WORKDAY(J360,$I$21,'Business Day Paris'!F339:F533)</f>
        <v>55877</v>
      </c>
      <c r="J360" s="1707">
        <f>IF(WORKDAY(EOMONTH(F360,0)+$J$21-1,1,'Business Day Paris'!F339:F533)&lt;=EOMONTH(Calendar!F361,0),WORKDAY(EOMONTH(F360,0)+$J$21-1,1,'Business Day Paris'!F339:F533),WORKDAY(EOMONTH(F360,0)+$J$21+1,-1,'Business Day Paris'!F339:F533))</f>
        <v>55880</v>
      </c>
      <c r="K360" s="1238"/>
    </row>
    <row r="361" spans="2:11">
      <c r="B361" s="1248">
        <v>339</v>
      </c>
      <c r="C361" s="2"/>
      <c r="D361" s="1705">
        <f t="shared" si="17"/>
        <v>55854</v>
      </c>
      <c r="E361" s="1706">
        <f t="shared" si="15"/>
        <v>55884</v>
      </c>
      <c r="F361" s="1706">
        <f t="shared" si="16"/>
        <v>55884</v>
      </c>
      <c r="G361" s="1706">
        <f>WORKDAY(F361,$G$21,'Business Day Paris'!F340:F534)</f>
        <v>55898</v>
      </c>
      <c r="H361" s="1706">
        <f>WORKDAY(J361,$H$21,'Business Day Paris'!F340:F534)</f>
        <v>55904</v>
      </c>
      <c r="I361" s="1706">
        <f>WORKDAY(J361,$I$21,'Business Day Paris'!F340:F534)</f>
        <v>55906</v>
      </c>
      <c r="J361" s="1707">
        <f>IF(WORKDAY(EOMONTH(F361,0)+$J$21-1,1,'Business Day Paris'!F340:F534)&lt;=EOMONTH(Calendar!F362,0),WORKDAY(EOMONTH(F361,0)+$J$21-1,1,'Business Day Paris'!F340:F534),WORKDAY(EOMONTH(F361,0)+$J$21+1,-1,'Business Day Paris'!F340:F534))</f>
        <v>55911</v>
      </c>
      <c r="K361" s="1238"/>
    </row>
    <row r="362" spans="2:11">
      <c r="B362" s="1248">
        <v>340</v>
      </c>
      <c r="C362" s="2"/>
      <c r="D362" s="1705">
        <f t="shared" si="17"/>
        <v>55885</v>
      </c>
      <c r="E362" s="1706">
        <f t="shared" si="15"/>
        <v>55915</v>
      </c>
      <c r="F362" s="1706">
        <f t="shared" si="16"/>
        <v>55915</v>
      </c>
      <c r="G362" s="1706">
        <f>WORKDAY(F362,$G$21,'Business Day Paris'!F341:F535)</f>
        <v>55929</v>
      </c>
      <c r="H362" s="1706">
        <f>WORKDAY(J362,$H$21,'Business Day Paris'!F341:F535)</f>
        <v>55935</v>
      </c>
      <c r="I362" s="1706">
        <f>WORKDAY(J362,$I$21,'Business Day Paris'!F341:F535)</f>
        <v>55939</v>
      </c>
      <c r="J362" s="1707">
        <f>IF(WORKDAY(EOMONTH(F362,0)+$J$21-1,1,'Business Day Paris'!F341:F535)&lt;=EOMONTH(Calendar!F363,0),WORKDAY(EOMONTH(F362,0)+$J$21-1,1,'Business Day Paris'!F341:F535),WORKDAY(EOMONTH(F362,0)+$J$21+1,-1,'Business Day Paris'!F341:F535))</f>
        <v>55942</v>
      </c>
      <c r="K362" s="1238"/>
    </row>
    <row r="363" spans="2:11">
      <c r="B363" s="1248">
        <v>341</v>
      </c>
      <c r="C363" s="2"/>
      <c r="D363" s="1705">
        <f t="shared" si="17"/>
        <v>55916</v>
      </c>
      <c r="E363" s="1706">
        <f t="shared" si="15"/>
        <v>55943</v>
      </c>
      <c r="F363" s="1706">
        <f t="shared" si="16"/>
        <v>55943</v>
      </c>
      <c r="G363" s="1706">
        <f>WORKDAY(F363,$G$21,'Business Day Paris'!F342:F536)</f>
        <v>55957</v>
      </c>
      <c r="H363" s="1706">
        <f>WORKDAY(J363,$H$21,'Business Day Paris'!F342:F536)</f>
        <v>55963</v>
      </c>
      <c r="I363" s="1706">
        <f>WORKDAY(J363,$I$21,'Business Day Paris'!F342:F536)</f>
        <v>55967</v>
      </c>
      <c r="J363" s="1707">
        <f>IF(WORKDAY(EOMONTH(F363,0)+$J$21-1,1,'Business Day Paris'!F342:F536)&lt;=EOMONTH(Calendar!F364,0),WORKDAY(EOMONTH(F363,0)+$J$21-1,1,'Business Day Paris'!F342:F536),WORKDAY(EOMONTH(F363,0)+$J$21+1,-1,'Business Day Paris'!F342:F536))</f>
        <v>55970</v>
      </c>
      <c r="K363" s="1238"/>
    </row>
    <row r="364" spans="2:11">
      <c r="B364" s="1248">
        <v>342</v>
      </c>
      <c r="C364" s="2"/>
      <c r="D364" s="1705">
        <f t="shared" si="17"/>
        <v>55944</v>
      </c>
      <c r="E364" s="1706">
        <f t="shared" si="15"/>
        <v>55974</v>
      </c>
      <c r="F364" s="1706">
        <f t="shared" si="16"/>
        <v>55974</v>
      </c>
      <c r="G364" s="1706">
        <f>WORKDAY(F364,$G$21,'Business Day Paris'!F343:F537)</f>
        <v>55988</v>
      </c>
      <c r="H364" s="1706">
        <f>WORKDAY(J364,$H$21,'Business Day Paris'!F343:F537)</f>
        <v>55995</v>
      </c>
      <c r="I364" s="1706">
        <f>WORKDAY(J364,$I$21,'Business Day Paris'!F343:F537)</f>
        <v>55997</v>
      </c>
      <c r="J364" s="1707">
        <f>IF(WORKDAY(EOMONTH(F364,0)+$J$21-1,1,'Business Day Paris'!F343:F537)&lt;=EOMONTH(Calendar!F365,0),WORKDAY(EOMONTH(F364,0)+$J$21-1,1,'Business Day Paris'!F343:F537),WORKDAY(EOMONTH(F364,0)+$J$21+1,-1,'Business Day Paris'!F343:F537))</f>
        <v>56002</v>
      </c>
      <c r="K364" s="1238"/>
    </row>
    <row r="365" spans="2:11">
      <c r="B365" s="1248">
        <v>343</v>
      </c>
      <c r="C365" s="2"/>
      <c r="D365" s="1705">
        <f t="shared" si="17"/>
        <v>55975</v>
      </c>
      <c r="E365" s="1706">
        <f t="shared" si="15"/>
        <v>56004</v>
      </c>
      <c r="F365" s="1706">
        <f t="shared" si="16"/>
        <v>56004</v>
      </c>
      <c r="G365" s="1706">
        <f>WORKDAY(F365,$G$21,'Business Day Paris'!F344:F538)</f>
        <v>56018</v>
      </c>
      <c r="H365" s="1706">
        <f>WORKDAY(J365,$H$21,'Business Day Paris'!F344:F538)</f>
        <v>56024</v>
      </c>
      <c r="I365" s="1706">
        <f>WORKDAY(J365,$I$21,'Business Day Paris'!F344:F538)</f>
        <v>56026</v>
      </c>
      <c r="J365" s="1707">
        <f>IF(WORKDAY(EOMONTH(F365,0)+$J$21-1,1,'Business Day Paris'!F344:F538)&lt;=EOMONTH(Calendar!F366,0),WORKDAY(EOMONTH(F365,0)+$J$21-1,1,'Business Day Paris'!F344:F538),WORKDAY(EOMONTH(F365,0)+$J$21+1,-1,'Business Day Paris'!F344:F538))</f>
        <v>56031</v>
      </c>
      <c r="K365" s="1238"/>
    </row>
    <row r="366" spans="2:11">
      <c r="B366" s="1248">
        <v>344</v>
      </c>
      <c r="C366" s="2"/>
      <c r="D366" s="1705">
        <f t="shared" si="17"/>
        <v>56005</v>
      </c>
      <c r="E366" s="1706">
        <f t="shared" si="15"/>
        <v>56035</v>
      </c>
      <c r="F366" s="1706">
        <f t="shared" si="16"/>
        <v>56035</v>
      </c>
      <c r="G366" s="1706">
        <f>WORKDAY(F366,$G$21,'Business Day Paris'!F345:F539)</f>
        <v>56048</v>
      </c>
      <c r="H366" s="1706">
        <f>WORKDAY(J366,$H$21,'Business Day Paris'!F345:F539)</f>
        <v>56055</v>
      </c>
      <c r="I366" s="1706">
        <f>WORKDAY(J366,$I$21,'Business Day Paris'!F345:F539)</f>
        <v>56059</v>
      </c>
      <c r="J366" s="1707">
        <f>IF(WORKDAY(EOMONTH(F366,0)+$J$21-1,1,'Business Day Paris'!F345:F539)&lt;=EOMONTH(Calendar!F367,0),WORKDAY(EOMONTH(F366,0)+$J$21-1,1,'Business Day Paris'!F345:F539),WORKDAY(EOMONTH(F366,0)+$J$21+1,-1,'Business Day Paris'!F345:F539))</f>
        <v>56062</v>
      </c>
      <c r="K366" s="1238"/>
    </row>
    <row r="367" spans="2:11">
      <c r="B367" s="1248">
        <v>345</v>
      </c>
      <c r="C367" s="2"/>
      <c r="D367" s="1705">
        <f t="shared" si="17"/>
        <v>56036</v>
      </c>
      <c r="E367" s="1706">
        <f t="shared" si="15"/>
        <v>56065</v>
      </c>
      <c r="F367" s="1706">
        <f t="shared" si="16"/>
        <v>56065</v>
      </c>
      <c r="G367" s="1706">
        <f>WORKDAY(F367,$G$21,'Business Day Paris'!F346:F540)</f>
        <v>56079</v>
      </c>
      <c r="H367" s="1706">
        <f>WORKDAY(J367,$H$21,'Business Day Paris'!F346:F540)</f>
        <v>56086</v>
      </c>
      <c r="I367" s="1706">
        <f>WORKDAY(J367,$I$21,'Business Day Paris'!F346:F540)</f>
        <v>56088</v>
      </c>
      <c r="J367" s="1707">
        <f>IF(WORKDAY(EOMONTH(F367,0)+$J$21-1,1,'Business Day Paris'!F346:F540)&lt;=EOMONTH(Calendar!F368,0),WORKDAY(EOMONTH(F367,0)+$J$21-1,1,'Business Day Paris'!F346:F540),WORKDAY(EOMONTH(F367,0)+$J$21+1,-1,'Business Day Paris'!F346:F540))</f>
        <v>56093</v>
      </c>
      <c r="K367" s="1238"/>
    </row>
    <row r="368" spans="2:11">
      <c r="B368" s="1248">
        <v>346</v>
      </c>
      <c r="C368" s="2"/>
      <c r="D368" s="1705">
        <f t="shared" si="17"/>
        <v>56066</v>
      </c>
      <c r="E368" s="1706">
        <f t="shared" si="15"/>
        <v>56096</v>
      </c>
      <c r="F368" s="1706">
        <f t="shared" si="16"/>
        <v>56096</v>
      </c>
      <c r="G368" s="1706">
        <f>WORKDAY(F368,$G$21,'Business Day Paris'!F347:F541)</f>
        <v>56110</v>
      </c>
      <c r="H368" s="1706">
        <f>WORKDAY(J368,$H$21,'Business Day Paris'!F347:F541)</f>
        <v>56116</v>
      </c>
      <c r="I368" s="1706">
        <f>WORKDAY(J368,$I$21,'Business Day Paris'!F347:F541)</f>
        <v>56118</v>
      </c>
      <c r="J368" s="1707">
        <f>IF(WORKDAY(EOMONTH(F368,0)+$J$21-1,1,'Business Day Paris'!F347:F541)&lt;=EOMONTH(Calendar!F369,0),WORKDAY(EOMONTH(F368,0)+$J$21-1,1,'Business Day Paris'!F347:F541),WORKDAY(EOMONTH(F368,0)+$J$21+1,-1,'Business Day Paris'!F347:F541))</f>
        <v>56123</v>
      </c>
      <c r="K368" s="1238"/>
    </row>
    <row r="369" spans="2:11">
      <c r="B369" s="1248">
        <v>347</v>
      </c>
      <c r="C369" s="2"/>
      <c r="D369" s="1705">
        <f t="shared" si="17"/>
        <v>56097</v>
      </c>
      <c r="E369" s="1706">
        <f t="shared" si="15"/>
        <v>56127</v>
      </c>
      <c r="F369" s="1706">
        <f t="shared" si="16"/>
        <v>56127</v>
      </c>
      <c r="G369" s="1706">
        <f>WORKDAY(F369,$G$21,'Business Day Paris'!F348:F542)</f>
        <v>56139</v>
      </c>
      <c r="H369" s="1706">
        <f>WORKDAY(J369,$H$21,'Business Day Paris'!F348:F542)</f>
        <v>56149</v>
      </c>
      <c r="I369" s="1706">
        <f>WORKDAY(J369,$I$21,'Business Day Paris'!F348:F542)</f>
        <v>56151</v>
      </c>
      <c r="J369" s="1707">
        <f>IF(WORKDAY(EOMONTH(F369,0)+$J$21-1,1,'Business Day Paris'!F348:F542)&lt;=EOMONTH(Calendar!F370,0),WORKDAY(EOMONTH(F369,0)+$J$21-1,1,'Business Day Paris'!F348:F542),WORKDAY(EOMONTH(F369,0)+$J$21+1,-1,'Business Day Paris'!F348:F542))</f>
        <v>56156</v>
      </c>
      <c r="K369" s="1238"/>
    </row>
    <row r="370" spans="2:11">
      <c r="B370" s="1248">
        <v>348</v>
      </c>
      <c r="C370" s="2"/>
      <c r="D370" s="1705">
        <f t="shared" si="17"/>
        <v>56128</v>
      </c>
      <c r="E370" s="1706">
        <f t="shared" si="15"/>
        <v>56157</v>
      </c>
      <c r="F370" s="1706">
        <f t="shared" si="16"/>
        <v>56157</v>
      </c>
      <c r="G370" s="1706">
        <f>WORKDAY(F370,$G$21,'Business Day Paris'!F349:F543)</f>
        <v>56171</v>
      </c>
      <c r="H370" s="1706">
        <f>WORKDAY(J370,$H$21,'Business Day Paris'!F349:F543)</f>
        <v>56177</v>
      </c>
      <c r="I370" s="1706">
        <f>WORKDAY(J370,$I$21,'Business Day Paris'!F349:F543)</f>
        <v>56179</v>
      </c>
      <c r="J370" s="1707">
        <f>IF(WORKDAY(EOMONTH(F370,0)+$J$21-1,1,'Business Day Paris'!F349:F543)&lt;=EOMONTH(Calendar!F371,0),WORKDAY(EOMONTH(F370,0)+$J$21-1,1,'Business Day Paris'!F349:F543),WORKDAY(EOMONTH(F370,0)+$J$21+1,-1,'Business Day Paris'!F349:F543))</f>
        <v>56184</v>
      </c>
      <c r="K370" s="1238"/>
    </row>
    <row r="371" spans="2:11">
      <c r="B371" s="1248">
        <v>349</v>
      </c>
      <c r="C371" s="2"/>
      <c r="D371" s="1705">
        <f t="shared" si="17"/>
        <v>56158</v>
      </c>
      <c r="E371" s="1706">
        <f t="shared" si="15"/>
        <v>56188</v>
      </c>
      <c r="F371" s="1706">
        <f t="shared" si="16"/>
        <v>56188</v>
      </c>
      <c r="G371" s="1706">
        <f>WORKDAY(F371,$G$21,'Business Day Paris'!F350:F544)</f>
        <v>56202</v>
      </c>
      <c r="H371" s="1706">
        <f>WORKDAY(J371,$H$21,'Business Day Paris'!F350:F544)</f>
        <v>56208</v>
      </c>
      <c r="I371" s="1706">
        <f>WORKDAY(J371,$I$21,'Business Day Paris'!F350:F544)</f>
        <v>56212</v>
      </c>
      <c r="J371" s="1707">
        <f>IF(WORKDAY(EOMONTH(F371,0)+$J$21-1,1,'Business Day Paris'!F350:F544)&lt;=EOMONTH(Calendar!F372,0),WORKDAY(EOMONTH(F371,0)+$J$21-1,1,'Business Day Paris'!F350:F544),WORKDAY(EOMONTH(F371,0)+$J$21+1,-1,'Business Day Paris'!F350:F544))</f>
        <v>56215</v>
      </c>
      <c r="K371" s="1238"/>
    </row>
    <row r="372" spans="2:11">
      <c r="B372" s="1248">
        <v>350</v>
      </c>
      <c r="C372" s="2"/>
      <c r="D372" s="1705">
        <f t="shared" si="17"/>
        <v>56189</v>
      </c>
      <c r="E372" s="1706">
        <f t="shared" si="15"/>
        <v>56218</v>
      </c>
      <c r="F372" s="1706">
        <f t="shared" si="16"/>
        <v>56218</v>
      </c>
      <c r="G372" s="1706">
        <f>WORKDAY(F372,$G$21,'Business Day Paris'!F351:F545)</f>
        <v>56230</v>
      </c>
      <c r="H372" s="1706">
        <f>WORKDAY(J372,$H$21,'Business Day Paris'!F351:F545)</f>
        <v>56240</v>
      </c>
      <c r="I372" s="1706">
        <f>WORKDAY(J372,$I$21,'Business Day Paris'!F351:F545)</f>
        <v>56242</v>
      </c>
      <c r="J372" s="1707">
        <f>IF(WORKDAY(EOMONTH(F372,0)+$J$21-1,1,'Business Day Paris'!F351:F545)&lt;=EOMONTH(Calendar!F373,0),WORKDAY(EOMONTH(F372,0)+$J$21-1,1,'Business Day Paris'!F351:F545),WORKDAY(EOMONTH(F372,0)+$J$21+1,-1,'Business Day Paris'!F351:F545))</f>
        <v>56247</v>
      </c>
      <c r="K372" s="1238"/>
    </row>
    <row r="373" spans="2:11">
      <c r="B373" s="1248">
        <v>351</v>
      </c>
      <c r="C373" s="2"/>
      <c r="D373" s="1705">
        <f t="shared" si="17"/>
        <v>56219</v>
      </c>
      <c r="E373" s="1706">
        <f t="shared" si="15"/>
        <v>56249</v>
      </c>
      <c r="F373" s="1706">
        <f t="shared" si="16"/>
        <v>56249</v>
      </c>
      <c r="G373" s="1706">
        <f>WORKDAY(F373,$G$21,'Business Day Paris'!F352:F546)</f>
        <v>56263</v>
      </c>
      <c r="H373" s="1706">
        <f>WORKDAY(J373,$H$21,'Business Day Paris'!F352:F546)</f>
        <v>56269</v>
      </c>
      <c r="I373" s="1706">
        <f>WORKDAY(J373,$I$21,'Business Day Paris'!F352:F546)</f>
        <v>56271</v>
      </c>
      <c r="J373" s="1707">
        <f>IF(WORKDAY(EOMONTH(F373,0)+$J$21-1,1,'Business Day Paris'!F352:F546)&lt;=EOMONTH(Calendar!F374,0),WORKDAY(EOMONTH(F373,0)+$J$21-1,1,'Business Day Paris'!F352:F546),WORKDAY(EOMONTH(F373,0)+$J$21+1,-1,'Business Day Paris'!F352:F546))</f>
        <v>56276</v>
      </c>
      <c r="K373" s="1238"/>
    </row>
    <row r="374" spans="2:11">
      <c r="B374" s="1248">
        <v>352</v>
      </c>
      <c r="C374" s="2"/>
      <c r="D374" s="1705">
        <f t="shared" si="17"/>
        <v>56250</v>
      </c>
      <c r="E374" s="1706">
        <f t="shared" si="15"/>
        <v>56280</v>
      </c>
      <c r="F374" s="1706">
        <f t="shared" si="16"/>
        <v>56280</v>
      </c>
      <c r="G374" s="1706">
        <f>WORKDAY(F374,$G$21,'Business Day Paris'!F353:F547)</f>
        <v>56293</v>
      </c>
      <c r="H374" s="1706">
        <f>WORKDAY(J374,$H$21,'Business Day Paris'!F353:F547)</f>
        <v>56300</v>
      </c>
      <c r="I374" s="1706">
        <f>WORKDAY(J374,$I$21,'Business Day Paris'!F353:F547)</f>
        <v>56304</v>
      </c>
      <c r="J374" s="1707">
        <f>IF(WORKDAY(EOMONTH(F374,0)+$J$21-1,1,'Business Day Paris'!F353:F547)&lt;=EOMONTH(Calendar!F375,0),WORKDAY(EOMONTH(F374,0)+$J$21-1,1,'Business Day Paris'!F353:F547),WORKDAY(EOMONTH(F374,0)+$J$21+1,-1,'Business Day Paris'!F353:F547))</f>
        <v>56307</v>
      </c>
      <c r="K374" s="1238"/>
    </row>
    <row r="375" spans="2:11">
      <c r="B375" s="1248">
        <v>353</v>
      </c>
      <c r="C375" s="2"/>
      <c r="D375" s="1705">
        <f t="shared" si="17"/>
        <v>56281</v>
      </c>
      <c r="E375" s="1706">
        <f t="shared" si="15"/>
        <v>56308</v>
      </c>
      <c r="F375" s="1706">
        <f t="shared" si="16"/>
        <v>56308</v>
      </c>
      <c r="G375" s="1706">
        <f>WORKDAY(F375,$G$21,'Business Day Paris'!F354:F548)</f>
        <v>56321</v>
      </c>
      <c r="H375" s="1706">
        <f>WORKDAY(J375,$H$21,'Business Day Paris'!F354:F548)</f>
        <v>56328</v>
      </c>
      <c r="I375" s="1706">
        <f>WORKDAY(J375,$I$21,'Business Day Paris'!F354:F548)</f>
        <v>56332</v>
      </c>
      <c r="J375" s="1707">
        <f>IF(WORKDAY(EOMONTH(F375,0)+$J$21-1,1,'Business Day Paris'!F354:F548)&lt;=EOMONTH(Calendar!F376,0),WORKDAY(EOMONTH(F375,0)+$J$21-1,1,'Business Day Paris'!F354:F548),WORKDAY(EOMONTH(F375,0)+$J$21+1,-1,'Business Day Paris'!F354:F548))</f>
        <v>56335</v>
      </c>
      <c r="K375" s="1238"/>
    </row>
    <row r="376" spans="2:11">
      <c r="B376" s="1248">
        <v>354</v>
      </c>
      <c r="C376" s="2"/>
      <c r="D376" s="1705">
        <f t="shared" si="17"/>
        <v>56309</v>
      </c>
      <c r="E376" s="1706">
        <f t="shared" si="15"/>
        <v>56339</v>
      </c>
      <c r="F376" s="1706">
        <f t="shared" si="16"/>
        <v>56339</v>
      </c>
      <c r="G376" s="1706">
        <f>WORKDAY(F376,$G$21,'Business Day Paris'!F355:F549)</f>
        <v>56353</v>
      </c>
      <c r="H376" s="1706">
        <f>WORKDAY(J376,$H$21,'Business Day Paris'!F355:F549)</f>
        <v>56359</v>
      </c>
      <c r="I376" s="1706">
        <f>WORKDAY(J376,$I$21,'Business Day Paris'!F355:F549)</f>
        <v>56361</v>
      </c>
      <c r="J376" s="1707">
        <f>IF(WORKDAY(EOMONTH(F376,0)+$J$21-1,1,'Business Day Paris'!F355:F549)&lt;=EOMONTH(Calendar!F377,0),WORKDAY(EOMONTH(F376,0)+$J$21-1,1,'Business Day Paris'!F355:F549),WORKDAY(EOMONTH(F376,0)+$J$21+1,-1,'Business Day Paris'!F355:F549))</f>
        <v>56366</v>
      </c>
      <c r="K376" s="1238"/>
    </row>
    <row r="377" spans="2:11">
      <c r="B377" s="1248">
        <v>355</v>
      </c>
      <c r="C377" s="2"/>
      <c r="D377" s="1705">
        <f t="shared" si="17"/>
        <v>56340</v>
      </c>
      <c r="E377" s="1706">
        <f t="shared" si="15"/>
        <v>56369</v>
      </c>
      <c r="F377" s="1706">
        <f t="shared" si="16"/>
        <v>56369</v>
      </c>
      <c r="G377" s="1706">
        <f>WORKDAY(F377,$G$21,'Business Day Paris'!F356:F550)</f>
        <v>56383</v>
      </c>
      <c r="H377" s="1706">
        <f>WORKDAY(J377,$H$21,'Business Day Paris'!F356:F550)</f>
        <v>56389</v>
      </c>
      <c r="I377" s="1706">
        <f>WORKDAY(J377,$I$21,'Business Day Paris'!F356:F550)</f>
        <v>56391</v>
      </c>
      <c r="J377" s="1707">
        <f>IF(WORKDAY(EOMONTH(F377,0)+$J$21-1,1,'Business Day Paris'!F356:F550)&lt;=EOMONTH(Calendar!F378,0),WORKDAY(EOMONTH(F377,0)+$J$21-1,1,'Business Day Paris'!F356:F550),WORKDAY(EOMONTH(F377,0)+$J$21+1,-1,'Business Day Paris'!F356:F550))</f>
        <v>56396</v>
      </c>
      <c r="K377" s="1238"/>
    </row>
    <row r="378" spans="2:11">
      <c r="B378" s="1248">
        <v>356</v>
      </c>
      <c r="C378" s="2"/>
      <c r="D378" s="1705">
        <f t="shared" si="17"/>
        <v>56370</v>
      </c>
      <c r="E378" s="1706">
        <f t="shared" si="15"/>
        <v>56400</v>
      </c>
      <c r="F378" s="1706">
        <f t="shared" si="16"/>
        <v>56400</v>
      </c>
      <c r="G378" s="1706">
        <f>WORKDAY(F378,$G$21,'Business Day Paris'!F357:F551)</f>
        <v>56412</v>
      </c>
      <c r="H378" s="1706">
        <f>WORKDAY(J378,$H$21,'Business Day Paris'!F357:F551)</f>
        <v>56422</v>
      </c>
      <c r="I378" s="1706">
        <f>WORKDAY(J378,$I$21,'Business Day Paris'!F357:F551)</f>
        <v>56424</v>
      </c>
      <c r="J378" s="1707">
        <f>IF(WORKDAY(EOMONTH(F378,0)+$J$21-1,1,'Business Day Paris'!F357:F551)&lt;=EOMONTH(Calendar!F379,0),WORKDAY(EOMONTH(F378,0)+$J$21-1,1,'Business Day Paris'!F357:F551),WORKDAY(EOMONTH(F378,0)+$J$21+1,-1,'Business Day Paris'!F357:F551))</f>
        <v>56429</v>
      </c>
      <c r="K378" s="1238"/>
    </row>
    <row r="379" spans="2:11">
      <c r="B379" s="1248">
        <v>357</v>
      </c>
      <c r="C379" s="2"/>
      <c r="D379" s="1705">
        <f t="shared" si="17"/>
        <v>56401</v>
      </c>
      <c r="E379" s="1706">
        <f t="shared" si="15"/>
        <v>56430</v>
      </c>
      <c r="F379" s="1706">
        <f t="shared" si="16"/>
        <v>56430</v>
      </c>
      <c r="G379" s="1706">
        <f>WORKDAY(F379,$G$21,'Business Day Paris'!F358:F552)</f>
        <v>56444</v>
      </c>
      <c r="H379" s="1706">
        <f>WORKDAY(J379,$H$21,'Business Day Paris'!F358:F552)</f>
        <v>56450</v>
      </c>
      <c r="I379" s="1706">
        <f>WORKDAY(J379,$I$21,'Business Day Paris'!F358:F552)</f>
        <v>56452</v>
      </c>
      <c r="J379" s="1707">
        <f>IF(WORKDAY(EOMONTH(F379,0)+$J$21-1,1,'Business Day Paris'!F358:F552)&lt;=EOMONTH(Calendar!F380,0),WORKDAY(EOMONTH(F379,0)+$J$21-1,1,'Business Day Paris'!F358:F552),WORKDAY(EOMONTH(F379,0)+$J$21+1,-1,'Business Day Paris'!F358:F552))</f>
        <v>56457</v>
      </c>
      <c r="K379" s="1238"/>
    </row>
    <row r="380" spans="2:11">
      <c r="B380" s="1248">
        <v>358</v>
      </c>
      <c r="C380" s="2"/>
      <c r="D380" s="1705">
        <f t="shared" si="17"/>
        <v>56431</v>
      </c>
      <c r="E380" s="1706">
        <f t="shared" si="15"/>
        <v>56461</v>
      </c>
      <c r="F380" s="1706">
        <f t="shared" si="16"/>
        <v>56461</v>
      </c>
      <c r="G380" s="1706">
        <f>WORKDAY(F380,$G$21,'Business Day Paris'!F359:F553)</f>
        <v>56475</v>
      </c>
      <c r="H380" s="1706">
        <f>WORKDAY(J380,$H$21,'Business Day Paris'!F359:F553)</f>
        <v>56481</v>
      </c>
      <c r="I380" s="1706">
        <f>WORKDAY(J380,$I$21,'Business Day Paris'!F359:F553)</f>
        <v>56485</v>
      </c>
      <c r="J380" s="1707">
        <f>IF(WORKDAY(EOMONTH(F380,0)+$J$21-1,1,'Business Day Paris'!F359:F553)&lt;=EOMONTH(Calendar!F381,0),WORKDAY(EOMONTH(F380,0)+$J$21-1,1,'Business Day Paris'!F359:F553),WORKDAY(EOMONTH(F380,0)+$J$21+1,-1,'Business Day Paris'!F359:F553))</f>
        <v>56488</v>
      </c>
      <c r="K380" s="1238"/>
    </row>
    <row r="381" spans="2:11">
      <c r="B381" s="1248">
        <v>359</v>
      </c>
      <c r="C381" s="2"/>
      <c r="D381" s="1705">
        <f t="shared" si="17"/>
        <v>56462</v>
      </c>
      <c r="E381" s="1706">
        <f t="shared" si="15"/>
        <v>56492</v>
      </c>
      <c r="F381" s="1706">
        <f t="shared" si="16"/>
        <v>56492</v>
      </c>
      <c r="G381" s="1706">
        <f>WORKDAY(F381,$G$21,'Business Day Paris'!F360:F554)</f>
        <v>56506</v>
      </c>
      <c r="H381" s="1706">
        <f>WORKDAY(J381,$H$21,'Business Day Paris'!F360:F554)</f>
        <v>56513</v>
      </c>
      <c r="I381" s="1706">
        <f>WORKDAY(J381,$I$21,'Business Day Paris'!F360:F554)</f>
        <v>56515</v>
      </c>
      <c r="J381" s="1707">
        <f>IF(WORKDAY(EOMONTH(F381,0)+$J$21-1,1,'Business Day Paris'!F360:F554)&lt;=EOMONTH(Calendar!F382,0),WORKDAY(EOMONTH(F381,0)+$J$21-1,1,'Business Day Paris'!F360:F554),WORKDAY(EOMONTH(F381,0)+$J$21+1,-1,'Business Day Paris'!F360:F554))</f>
        <v>56520</v>
      </c>
      <c r="K381" s="1238"/>
    </row>
    <row r="382" spans="2:11">
      <c r="B382" s="1248">
        <v>360</v>
      </c>
      <c r="C382" s="2"/>
      <c r="D382" s="1705">
        <f t="shared" si="17"/>
        <v>56493</v>
      </c>
      <c r="E382" s="1706">
        <f t="shared" si="15"/>
        <v>56522</v>
      </c>
      <c r="F382" s="1706">
        <f t="shared" si="16"/>
        <v>56522</v>
      </c>
      <c r="G382" s="1706">
        <f>WORKDAY(F382,$G$21,'Business Day Paris'!F361:F555)</f>
        <v>56536</v>
      </c>
      <c r="H382" s="1706">
        <f>WORKDAY(J382,$H$21,'Business Day Paris'!F361:F555)</f>
        <v>56542</v>
      </c>
      <c r="I382" s="1706">
        <f>WORKDAY(J382,$I$21,'Business Day Paris'!F361:F555)</f>
        <v>56544</v>
      </c>
      <c r="J382" s="1707">
        <f>IF(WORKDAY(EOMONTH(F382,0)+$J$21-1,1,'Business Day Paris'!F361:F555)&lt;=EOMONTH(Calendar!F383,0),WORKDAY(EOMONTH(F382,0)+$J$21-1,1,'Business Day Paris'!F361:F555),WORKDAY(EOMONTH(F382,0)+$J$21+1,-1,'Business Day Paris'!F361:F555))</f>
        <v>56549</v>
      </c>
      <c r="K382" s="1238"/>
    </row>
    <row r="383" spans="2:11">
      <c r="B383" s="1248">
        <v>361</v>
      </c>
      <c r="C383" s="2"/>
      <c r="D383" s="1705">
        <f t="shared" si="17"/>
        <v>56523</v>
      </c>
      <c r="E383" s="1706">
        <f t="shared" si="15"/>
        <v>56553</v>
      </c>
      <c r="F383" s="1706">
        <f t="shared" si="16"/>
        <v>56553</v>
      </c>
      <c r="G383" s="1706">
        <f>WORKDAY(F383,$G$21,'Business Day Paris'!F362:F556)</f>
        <v>56566</v>
      </c>
      <c r="H383" s="1706">
        <f>WORKDAY(J383,$H$21,'Business Day Paris'!F362:F556)</f>
        <v>56573</v>
      </c>
      <c r="I383" s="1706">
        <f>WORKDAY(J383,$I$21,'Business Day Paris'!F362:F556)</f>
        <v>56577</v>
      </c>
      <c r="J383" s="1707">
        <f>IF(WORKDAY(EOMONTH(F383,0)+$J$21-1,1,'Business Day Paris'!F362:F556)&lt;=EOMONTH(Calendar!F384,0),WORKDAY(EOMONTH(F383,0)+$J$21-1,1,'Business Day Paris'!F362:F556),WORKDAY(EOMONTH(F383,0)+$J$21+1,-1,'Business Day Paris'!F362:F556))</f>
        <v>56580</v>
      </c>
      <c r="K383" s="1238"/>
    </row>
    <row r="384" spans="2:11">
      <c r="B384" s="1248">
        <v>362</v>
      </c>
      <c r="C384" s="2"/>
      <c r="D384" s="1705">
        <f t="shared" si="17"/>
        <v>56554</v>
      </c>
      <c r="E384" s="1706">
        <f t="shared" si="15"/>
        <v>56583</v>
      </c>
      <c r="F384" s="1706">
        <f t="shared" si="16"/>
        <v>56583</v>
      </c>
      <c r="G384" s="1706">
        <f>WORKDAY(F384,$G$21,'Business Day Paris'!F363:F557)</f>
        <v>56597</v>
      </c>
      <c r="H384" s="1706">
        <f>WORKDAY(J384,$H$21,'Business Day Paris'!F363:F557)</f>
        <v>56604</v>
      </c>
      <c r="I384" s="1706">
        <f>WORKDAY(J384,$I$21,'Business Day Paris'!F363:F557)</f>
        <v>56606</v>
      </c>
      <c r="J384" s="1707">
        <f>IF(WORKDAY(EOMONTH(F384,0)+$J$21-1,1,'Business Day Paris'!F363:F557)&lt;=EOMONTH(Calendar!F385,0),WORKDAY(EOMONTH(F384,0)+$J$21-1,1,'Business Day Paris'!F363:F557),WORKDAY(EOMONTH(F384,0)+$J$21+1,-1,'Business Day Paris'!F363:F557))</f>
        <v>56611</v>
      </c>
      <c r="K384" s="1238"/>
    </row>
    <row r="385" spans="2:11">
      <c r="B385" s="1248">
        <v>363</v>
      </c>
      <c r="C385" s="2"/>
      <c r="D385" s="1705">
        <f t="shared" si="17"/>
        <v>56584</v>
      </c>
      <c r="E385" s="1706">
        <f t="shared" si="15"/>
        <v>56614</v>
      </c>
      <c r="F385" s="1706">
        <f t="shared" si="16"/>
        <v>56614</v>
      </c>
      <c r="G385" s="1706">
        <f>WORKDAY(F385,$G$21,'Business Day Paris'!F364:F558)</f>
        <v>56628</v>
      </c>
      <c r="H385" s="1706">
        <f>WORKDAY(J385,$H$21,'Business Day Paris'!F364:F558)</f>
        <v>56634</v>
      </c>
      <c r="I385" s="1706">
        <f>WORKDAY(J385,$I$21,'Business Day Paris'!F364:F558)</f>
        <v>56636</v>
      </c>
      <c r="J385" s="1707">
        <f>IF(WORKDAY(EOMONTH(F385,0)+$J$21-1,1,'Business Day Paris'!F364:F558)&lt;=EOMONTH(Calendar!F386,0),WORKDAY(EOMONTH(F385,0)+$J$21-1,1,'Business Day Paris'!F364:F558),WORKDAY(EOMONTH(F385,0)+$J$21+1,-1,'Business Day Paris'!F364:F558))</f>
        <v>56641</v>
      </c>
      <c r="K385" s="1238"/>
    </row>
    <row r="386" spans="2:11">
      <c r="B386" s="1248">
        <v>364</v>
      </c>
      <c r="C386" s="2"/>
      <c r="D386" s="1705">
        <f t="shared" si="17"/>
        <v>56615</v>
      </c>
      <c r="E386" s="1706">
        <f t="shared" si="15"/>
        <v>56645</v>
      </c>
      <c r="F386" s="1706">
        <f t="shared" si="16"/>
        <v>56645</v>
      </c>
      <c r="G386" s="1706">
        <f>WORKDAY(F386,$G$21,'Business Day Paris'!F365:F559)</f>
        <v>56657</v>
      </c>
      <c r="H386" s="1706">
        <f>WORKDAY(J386,$H$21,'Business Day Paris'!F365:F559)</f>
        <v>56664</v>
      </c>
      <c r="I386" s="1706">
        <f>WORKDAY(J386,$I$21,'Business Day Paris'!F365:F559)</f>
        <v>56668</v>
      </c>
      <c r="J386" s="1707">
        <f>IF(WORKDAY(EOMONTH(F386,0)+$J$21-1,1,'Business Day Paris'!F365:F559)&lt;=EOMONTH(Calendar!F387,0),WORKDAY(EOMONTH(F386,0)+$J$21-1,1,'Business Day Paris'!F365:F559),WORKDAY(EOMONTH(F386,0)+$J$21+1,-1,'Business Day Paris'!F365:F559))</f>
        <v>56671</v>
      </c>
      <c r="K386" s="1238"/>
    </row>
    <row r="387" spans="2:11">
      <c r="B387" s="1248">
        <v>365</v>
      </c>
      <c r="C387" s="2"/>
      <c r="D387" s="1705">
        <f t="shared" si="17"/>
        <v>56646</v>
      </c>
      <c r="E387" s="1706">
        <f t="shared" si="15"/>
        <v>56673</v>
      </c>
      <c r="F387" s="1706">
        <f t="shared" si="16"/>
        <v>56673</v>
      </c>
      <c r="G387" s="1706">
        <f>WORKDAY(F387,$G$21,'Business Day Paris'!F366:F560)</f>
        <v>56685</v>
      </c>
      <c r="H387" s="1706">
        <f>WORKDAY(J387,$H$21,'Business Day Paris'!F366:F560)</f>
        <v>56695</v>
      </c>
      <c r="I387" s="1706">
        <f>WORKDAY(J387,$I$21,'Business Day Paris'!F366:F560)</f>
        <v>56697</v>
      </c>
      <c r="J387" s="1707">
        <f>IF(WORKDAY(EOMONTH(F387,0)+$J$21-1,1,'Business Day Paris'!F366:F560)&lt;=EOMONTH(Calendar!F388,0),WORKDAY(EOMONTH(F387,0)+$J$21-1,1,'Business Day Paris'!F366:F560),WORKDAY(EOMONTH(F387,0)+$J$21+1,-1,'Business Day Paris'!F366:F560))</f>
        <v>56702</v>
      </c>
      <c r="K387" s="1238"/>
    </row>
    <row r="388" spans="2:11">
      <c r="B388" s="1248">
        <v>366</v>
      </c>
      <c r="C388" s="2"/>
      <c r="D388" s="1705">
        <f t="shared" si="17"/>
        <v>56674</v>
      </c>
      <c r="E388" s="1706">
        <f t="shared" si="15"/>
        <v>56704</v>
      </c>
      <c r="F388" s="1706">
        <f t="shared" si="16"/>
        <v>56704</v>
      </c>
      <c r="G388" s="1706">
        <f>WORKDAY(F388,$G$21,'Business Day Paris'!F367:F561)</f>
        <v>56718</v>
      </c>
      <c r="H388" s="1706">
        <f>WORKDAY(J388,$H$21,'Business Day Paris'!F367:F561)</f>
        <v>56724</v>
      </c>
      <c r="I388" s="1706">
        <f>WORKDAY(J388,$I$21,'Business Day Paris'!F367:F561)</f>
        <v>56726</v>
      </c>
      <c r="J388" s="1707">
        <f>IF(WORKDAY(EOMONTH(F388,0)+$J$21-1,1,'Business Day Paris'!F367:F561)&lt;=EOMONTH(Calendar!F389,0),WORKDAY(EOMONTH(F388,0)+$J$21-1,1,'Business Day Paris'!F367:F561),WORKDAY(EOMONTH(F388,0)+$J$21+1,-1,'Business Day Paris'!F367:F561))</f>
        <v>56731</v>
      </c>
      <c r="K388" s="1238"/>
    </row>
    <row r="389" spans="2:11">
      <c r="B389" s="1248">
        <v>367</v>
      </c>
      <c r="C389" s="2"/>
      <c r="D389" s="1705">
        <f t="shared" si="17"/>
        <v>56705</v>
      </c>
      <c r="E389" s="1706">
        <f t="shared" si="15"/>
        <v>56734</v>
      </c>
      <c r="F389" s="1706">
        <f t="shared" si="16"/>
        <v>56734</v>
      </c>
      <c r="G389" s="1706">
        <f>WORKDAY(F389,$G$21,'Business Day Paris'!F368:F562)</f>
        <v>56748</v>
      </c>
      <c r="H389" s="1706">
        <f>WORKDAY(J389,$H$21,'Business Day Paris'!F368:F562)</f>
        <v>56754</v>
      </c>
      <c r="I389" s="1706">
        <f>WORKDAY(J389,$I$21,'Business Day Paris'!F368:F562)</f>
        <v>56758</v>
      </c>
      <c r="J389" s="1707">
        <f>IF(WORKDAY(EOMONTH(F389,0)+$J$21-1,1,'Business Day Paris'!F368:F562)&lt;=EOMONTH(Calendar!F390,0),WORKDAY(EOMONTH(F389,0)+$J$21-1,1,'Business Day Paris'!F368:F562),WORKDAY(EOMONTH(F389,0)+$J$21+1,-1,'Business Day Paris'!F368:F562))</f>
        <v>56761</v>
      </c>
      <c r="K389" s="1238"/>
    </row>
    <row r="390" spans="2:11">
      <c r="B390" s="1248">
        <v>368</v>
      </c>
      <c r="C390" s="2"/>
      <c r="D390" s="1705">
        <f t="shared" si="17"/>
        <v>56735</v>
      </c>
      <c r="E390" s="1706">
        <f t="shared" si="15"/>
        <v>56765</v>
      </c>
      <c r="F390" s="1706">
        <f t="shared" si="16"/>
        <v>56765</v>
      </c>
      <c r="G390" s="1706">
        <f>WORKDAY(F390,$G$21,'Business Day Paris'!F369:F563)</f>
        <v>56779</v>
      </c>
      <c r="H390" s="1706">
        <f>WORKDAY(J390,$H$21,'Business Day Paris'!F369:F563)</f>
        <v>56786</v>
      </c>
      <c r="I390" s="1706">
        <f>WORKDAY(J390,$I$21,'Business Day Paris'!F369:F563)</f>
        <v>56788</v>
      </c>
      <c r="J390" s="1707">
        <f>IF(WORKDAY(EOMONTH(F390,0)+$J$21-1,1,'Business Day Paris'!F369:F563)&lt;=EOMONTH(Calendar!F391,0),WORKDAY(EOMONTH(F390,0)+$J$21-1,1,'Business Day Paris'!F369:F563),WORKDAY(EOMONTH(F390,0)+$J$21+1,-1,'Business Day Paris'!F369:F563))</f>
        <v>56793</v>
      </c>
      <c r="K390" s="1238"/>
    </row>
    <row r="391" spans="2:11">
      <c r="B391" s="1248">
        <v>369</v>
      </c>
      <c r="C391" s="2"/>
      <c r="D391" s="1705">
        <f t="shared" si="17"/>
        <v>56766</v>
      </c>
      <c r="E391" s="1706">
        <f t="shared" si="15"/>
        <v>56795</v>
      </c>
      <c r="F391" s="1706">
        <f t="shared" si="16"/>
        <v>56795</v>
      </c>
      <c r="G391" s="1706">
        <f>WORKDAY(F391,$G$21,'Business Day Paris'!F370:F564)</f>
        <v>56809</v>
      </c>
      <c r="H391" s="1706">
        <f>WORKDAY(J391,$H$21,'Business Day Paris'!F370:F564)</f>
        <v>56815</v>
      </c>
      <c r="I391" s="1706">
        <f>WORKDAY(J391,$I$21,'Business Day Paris'!F370:F564)</f>
        <v>56817</v>
      </c>
      <c r="J391" s="1707">
        <f>IF(WORKDAY(EOMONTH(F391,0)+$J$21-1,1,'Business Day Paris'!F370:F564)&lt;=EOMONTH(Calendar!F392,0),WORKDAY(EOMONTH(F391,0)+$J$21-1,1,'Business Day Paris'!F370:F564),WORKDAY(EOMONTH(F391,0)+$J$21+1,-1,'Business Day Paris'!F370:F564))</f>
        <v>56822</v>
      </c>
      <c r="K391" s="1238"/>
    </row>
    <row r="392" spans="2:11">
      <c r="B392" s="1248">
        <v>370</v>
      </c>
      <c r="C392" s="2"/>
      <c r="D392" s="1705">
        <f t="shared" si="17"/>
        <v>56796</v>
      </c>
      <c r="E392" s="1706">
        <f t="shared" si="15"/>
        <v>56826</v>
      </c>
      <c r="F392" s="1706">
        <f t="shared" si="16"/>
        <v>56826</v>
      </c>
      <c r="G392" s="1706">
        <f>WORKDAY(F392,$G$21,'Business Day Paris'!F371:F565)</f>
        <v>56839</v>
      </c>
      <c r="H392" s="1706">
        <f>WORKDAY(J392,$H$21,'Business Day Paris'!F371:F565)</f>
        <v>56846</v>
      </c>
      <c r="I392" s="1706">
        <f>WORKDAY(J392,$I$21,'Business Day Paris'!F371:F565)</f>
        <v>56850</v>
      </c>
      <c r="J392" s="1707">
        <f>IF(WORKDAY(EOMONTH(F392,0)+$J$21-1,1,'Business Day Paris'!F371:F565)&lt;=EOMONTH(Calendar!F393,0),WORKDAY(EOMONTH(F392,0)+$J$21-1,1,'Business Day Paris'!F371:F565),WORKDAY(EOMONTH(F392,0)+$J$21+1,-1,'Business Day Paris'!F371:F565))</f>
        <v>56853</v>
      </c>
      <c r="K392" s="1238"/>
    </row>
    <row r="393" spans="2:11">
      <c r="B393" s="1248">
        <v>371</v>
      </c>
      <c r="C393" s="2"/>
      <c r="D393" s="1705">
        <f t="shared" si="17"/>
        <v>56827</v>
      </c>
      <c r="E393" s="1706">
        <f t="shared" si="15"/>
        <v>56857</v>
      </c>
      <c r="F393" s="1706">
        <f t="shared" si="16"/>
        <v>56857</v>
      </c>
      <c r="G393" s="1706">
        <f>WORKDAY(F393,$G$21,'Business Day Paris'!F372:F566)</f>
        <v>56871</v>
      </c>
      <c r="H393" s="1706">
        <f>WORKDAY(J393,$H$21,'Business Day Paris'!F372:F566)</f>
        <v>56877</v>
      </c>
      <c r="I393" s="1706">
        <f>WORKDAY(J393,$I$21,'Business Day Paris'!F372:F566)</f>
        <v>56879</v>
      </c>
      <c r="J393" s="1707">
        <f>IF(WORKDAY(EOMONTH(F393,0)+$J$21-1,1,'Business Day Paris'!F372:F566)&lt;=EOMONTH(Calendar!F394,0),WORKDAY(EOMONTH(F393,0)+$J$21-1,1,'Business Day Paris'!F372:F566),WORKDAY(EOMONTH(F393,0)+$J$21+1,-1,'Business Day Paris'!F372:F566))</f>
        <v>56884</v>
      </c>
      <c r="K393" s="1238"/>
    </row>
    <row r="394" spans="2:11">
      <c r="B394" s="1248">
        <v>372</v>
      </c>
      <c r="C394" s="2"/>
      <c r="D394" s="1705">
        <f t="shared" si="17"/>
        <v>56858</v>
      </c>
      <c r="E394" s="1706">
        <f t="shared" si="15"/>
        <v>56887</v>
      </c>
      <c r="F394" s="1706">
        <f t="shared" si="16"/>
        <v>56887</v>
      </c>
      <c r="G394" s="1706">
        <f>WORKDAY(F394,$G$21,'Business Day Paris'!F373:F567)</f>
        <v>56901</v>
      </c>
      <c r="H394" s="1706">
        <f>WORKDAY(J394,$H$21,'Business Day Paris'!F373:F567)</f>
        <v>56907</v>
      </c>
      <c r="I394" s="1706">
        <f>WORKDAY(J394,$I$21,'Business Day Paris'!F373:F567)</f>
        <v>56909</v>
      </c>
      <c r="J394" s="1707">
        <f>IF(WORKDAY(EOMONTH(F394,0)+$J$21-1,1,'Business Day Paris'!F373:F567)&lt;=EOMONTH(Calendar!F395,0),WORKDAY(EOMONTH(F394,0)+$J$21-1,1,'Business Day Paris'!F373:F567),WORKDAY(EOMONTH(F394,0)+$J$21+1,-1,'Business Day Paris'!F373:F567))</f>
        <v>56914</v>
      </c>
      <c r="K394" s="1238"/>
    </row>
    <row r="395" spans="2:11">
      <c r="B395" s="1248">
        <v>373</v>
      </c>
      <c r="C395" s="2"/>
      <c r="D395" s="1705">
        <f t="shared" si="17"/>
        <v>56888</v>
      </c>
      <c r="E395" s="1706">
        <f t="shared" si="15"/>
        <v>56918</v>
      </c>
      <c r="F395" s="1706">
        <f t="shared" si="16"/>
        <v>56918</v>
      </c>
      <c r="G395" s="1706">
        <f>WORKDAY(F395,$G$21,'Business Day Paris'!F374:F568)</f>
        <v>56930</v>
      </c>
      <c r="H395" s="1706">
        <f>WORKDAY(J395,$H$21,'Business Day Paris'!F374:F568)</f>
        <v>56940</v>
      </c>
      <c r="I395" s="1706">
        <f>WORKDAY(J395,$I$21,'Business Day Paris'!F374:F568)</f>
        <v>56942</v>
      </c>
      <c r="J395" s="1707">
        <f>IF(WORKDAY(EOMONTH(F395,0)+$J$21-1,1,'Business Day Paris'!F374:F568)&lt;=EOMONTH(Calendar!F396,0),WORKDAY(EOMONTH(F395,0)+$J$21-1,1,'Business Day Paris'!F374:F568),WORKDAY(EOMONTH(F395,0)+$J$21+1,-1,'Business Day Paris'!F374:F568))</f>
        <v>56947</v>
      </c>
      <c r="K395" s="1238"/>
    </row>
    <row r="396" spans="2:11">
      <c r="B396" s="1248">
        <v>374</v>
      </c>
      <c r="C396" s="2"/>
      <c r="D396" s="1705">
        <f t="shared" si="17"/>
        <v>56919</v>
      </c>
      <c r="E396" s="1706">
        <f t="shared" si="15"/>
        <v>56948</v>
      </c>
      <c r="F396" s="1706">
        <f t="shared" si="16"/>
        <v>56948</v>
      </c>
      <c r="G396" s="1706">
        <f>WORKDAY(F396,$G$21,'Business Day Paris'!F375:F569)</f>
        <v>56962</v>
      </c>
      <c r="H396" s="1706">
        <f>WORKDAY(J396,$H$21,'Business Day Paris'!F375:F569)</f>
        <v>56968</v>
      </c>
      <c r="I396" s="1706">
        <f>WORKDAY(J396,$I$21,'Business Day Paris'!F375:F569)</f>
        <v>56970</v>
      </c>
      <c r="J396" s="1707">
        <f>IF(WORKDAY(EOMONTH(F396,0)+$J$21-1,1,'Business Day Paris'!F375:F569)&lt;=EOMONTH(Calendar!F397,0),WORKDAY(EOMONTH(F396,0)+$J$21-1,1,'Business Day Paris'!F375:F569),WORKDAY(EOMONTH(F396,0)+$J$21+1,-1,'Business Day Paris'!F375:F569))</f>
        <v>56975</v>
      </c>
      <c r="K396" s="1238"/>
    </row>
    <row r="397" spans="2:11">
      <c r="B397" s="1248">
        <v>375</v>
      </c>
      <c r="C397" s="2"/>
      <c r="D397" s="1705">
        <f t="shared" si="17"/>
        <v>56949</v>
      </c>
      <c r="E397" s="1706">
        <f t="shared" si="15"/>
        <v>56979</v>
      </c>
      <c r="F397" s="1706">
        <f t="shared" si="16"/>
        <v>56979</v>
      </c>
      <c r="G397" s="1706">
        <f>WORKDAY(F397,$G$21,'Business Day Paris'!F376:F570)</f>
        <v>56993</v>
      </c>
      <c r="H397" s="1706">
        <f>WORKDAY(J397,$H$21,'Business Day Paris'!F376:F570)</f>
        <v>56999</v>
      </c>
      <c r="I397" s="1706">
        <f>WORKDAY(J397,$I$21,'Business Day Paris'!F376:F570)</f>
        <v>57003</v>
      </c>
      <c r="J397" s="1707">
        <f>IF(WORKDAY(EOMONTH(F397,0)+$J$21-1,1,'Business Day Paris'!F376:F570)&lt;=EOMONTH(Calendar!F398,0),WORKDAY(EOMONTH(F397,0)+$J$21-1,1,'Business Day Paris'!F376:F570),WORKDAY(EOMONTH(F397,0)+$J$21+1,-1,'Business Day Paris'!F376:F570))</f>
        <v>57006</v>
      </c>
      <c r="K397" s="1238"/>
    </row>
    <row r="398" spans="2:11">
      <c r="B398" s="1248">
        <v>376</v>
      </c>
      <c r="C398" s="2"/>
      <c r="D398" s="1705">
        <f t="shared" si="17"/>
        <v>56980</v>
      </c>
      <c r="E398" s="1706">
        <f t="shared" si="15"/>
        <v>57010</v>
      </c>
      <c r="F398" s="1706">
        <f t="shared" si="16"/>
        <v>57010</v>
      </c>
      <c r="G398" s="1706">
        <f>WORKDAY(F398,$G$21,'Business Day Paris'!F377:F571)</f>
        <v>57024</v>
      </c>
      <c r="H398" s="1706">
        <f>WORKDAY(J398,$H$21,'Business Day Paris'!F377:F571)</f>
        <v>57031</v>
      </c>
      <c r="I398" s="1706">
        <f>WORKDAY(J398,$I$21,'Business Day Paris'!F377:F571)</f>
        <v>57033</v>
      </c>
      <c r="J398" s="1707">
        <f>IF(WORKDAY(EOMONTH(F398,0)+$J$21-1,1,'Business Day Paris'!F377:F571)&lt;=EOMONTH(Calendar!F399,0),WORKDAY(EOMONTH(F398,0)+$J$21-1,1,'Business Day Paris'!F377:F571),WORKDAY(EOMONTH(F398,0)+$J$21+1,-1,'Business Day Paris'!F377:F571))</f>
        <v>57038</v>
      </c>
      <c r="K398" s="1238"/>
    </row>
    <row r="399" spans="2:11">
      <c r="B399" s="1248">
        <v>377</v>
      </c>
      <c r="C399" s="2"/>
      <c r="D399" s="1705">
        <f t="shared" si="17"/>
        <v>57011</v>
      </c>
      <c r="E399" s="1706">
        <f t="shared" si="15"/>
        <v>57039</v>
      </c>
      <c r="F399" s="1706">
        <f t="shared" si="16"/>
        <v>57039</v>
      </c>
      <c r="G399" s="1706">
        <f>WORKDAY(F399,$G$21,'Business Day Paris'!F378:F572)</f>
        <v>57053</v>
      </c>
      <c r="H399" s="1706">
        <f>WORKDAY(J399,$H$21,'Business Day Paris'!F378:F572)</f>
        <v>57059</v>
      </c>
      <c r="I399" s="1706">
        <f>WORKDAY(J399,$I$21,'Business Day Paris'!F378:F572)</f>
        <v>57061</v>
      </c>
      <c r="J399" s="1707">
        <f>IF(WORKDAY(EOMONTH(F399,0)+$J$21-1,1,'Business Day Paris'!F378:F572)&lt;=EOMONTH(Calendar!F400,0),WORKDAY(EOMONTH(F399,0)+$J$21-1,1,'Business Day Paris'!F378:F572),WORKDAY(EOMONTH(F399,0)+$J$21+1,-1,'Business Day Paris'!F378:F572))</f>
        <v>57066</v>
      </c>
      <c r="K399" s="1238"/>
    </row>
    <row r="400" spans="2:11">
      <c r="B400" s="1248">
        <v>378</v>
      </c>
      <c r="C400" s="2"/>
      <c r="D400" s="1705">
        <f t="shared" si="17"/>
        <v>57040</v>
      </c>
      <c r="E400" s="1706">
        <f t="shared" si="15"/>
        <v>57070</v>
      </c>
      <c r="F400" s="1706">
        <f t="shared" si="16"/>
        <v>57070</v>
      </c>
      <c r="G400" s="1706">
        <f>WORKDAY(F400,$G$21,'Business Day Paris'!F379:F573)</f>
        <v>57084</v>
      </c>
      <c r="H400" s="1706">
        <f>WORKDAY(J400,$H$21,'Business Day Paris'!F379:F573)</f>
        <v>57090</v>
      </c>
      <c r="I400" s="1706">
        <f>WORKDAY(J400,$I$21,'Business Day Paris'!F379:F573)</f>
        <v>57094</v>
      </c>
      <c r="J400" s="1707">
        <f>IF(WORKDAY(EOMONTH(F400,0)+$J$21-1,1,'Business Day Paris'!F379:F573)&lt;=EOMONTH(Calendar!F401,0),WORKDAY(EOMONTH(F400,0)+$J$21-1,1,'Business Day Paris'!F379:F573),WORKDAY(EOMONTH(F400,0)+$J$21+1,-1,'Business Day Paris'!F379:F573))</f>
        <v>57097</v>
      </c>
      <c r="K400" s="1238"/>
    </row>
    <row r="401" spans="2:11">
      <c r="B401" s="1248">
        <v>379</v>
      </c>
      <c r="C401" s="2"/>
      <c r="D401" s="1705">
        <f t="shared" si="17"/>
        <v>57071</v>
      </c>
      <c r="E401" s="1706">
        <f t="shared" si="15"/>
        <v>57100</v>
      </c>
      <c r="F401" s="1706">
        <f t="shared" si="16"/>
        <v>57100</v>
      </c>
      <c r="G401" s="1706">
        <f>WORKDAY(F401,$G$21,'Business Day Paris'!F380:F574)</f>
        <v>57112</v>
      </c>
      <c r="H401" s="1706">
        <f>WORKDAY(J401,$H$21,'Business Day Paris'!F380:F574)</f>
        <v>57122</v>
      </c>
      <c r="I401" s="1706">
        <f>WORKDAY(J401,$I$21,'Business Day Paris'!F380:F574)</f>
        <v>57124</v>
      </c>
      <c r="J401" s="1707">
        <f>IF(WORKDAY(EOMONTH(F401,0)+$J$21-1,1,'Business Day Paris'!F380:F574)&lt;=EOMONTH(Calendar!F402,0),WORKDAY(EOMONTH(F401,0)+$J$21-1,1,'Business Day Paris'!F380:F574),WORKDAY(EOMONTH(F401,0)+$J$21+1,-1,'Business Day Paris'!F380:F574))</f>
        <v>57129</v>
      </c>
      <c r="K401" s="1238"/>
    </row>
    <row r="402" spans="2:11">
      <c r="B402" s="1248">
        <v>380</v>
      </c>
      <c r="C402" s="2"/>
      <c r="D402" s="1705">
        <f t="shared" si="17"/>
        <v>57101</v>
      </c>
      <c r="E402" s="1706">
        <f t="shared" si="15"/>
        <v>57131</v>
      </c>
      <c r="F402" s="1706">
        <f t="shared" si="16"/>
        <v>57131</v>
      </c>
      <c r="G402" s="1706">
        <f>WORKDAY(F402,$G$21,'Business Day Paris'!F381:F575)</f>
        <v>57145</v>
      </c>
      <c r="H402" s="1706">
        <f>WORKDAY(J402,$H$21,'Business Day Paris'!F381:F575)</f>
        <v>57151</v>
      </c>
      <c r="I402" s="1706">
        <f>WORKDAY(J402,$I$21,'Business Day Paris'!F381:F575)</f>
        <v>57153</v>
      </c>
      <c r="J402" s="1707">
        <f>IF(WORKDAY(EOMONTH(F402,0)+$J$21-1,1,'Business Day Paris'!F381:F575)&lt;=EOMONTH(Calendar!F403,0),WORKDAY(EOMONTH(F402,0)+$J$21-1,1,'Business Day Paris'!F381:F575),WORKDAY(EOMONTH(F402,0)+$J$21+1,-1,'Business Day Paris'!F381:F575))</f>
        <v>57158</v>
      </c>
      <c r="K402" s="1238"/>
    </row>
    <row r="403" spans="2:11">
      <c r="B403" s="1248">
        <v>381</v>
      </c>
      <c r="C403" s="2"/>
      <c r="D403" s="1705">
        <f t="shared" si="17"/>
        <v>57132</v>
      </c>
      <c r="E403" s="1706">
        <f t="shared" si="15"/>
        <v>57161</v>
      </c>
      <c r="F403" s="1706">
        <f t="shared" si="16"/>
        <v>57161</v>
      </c>
      <c r="G403" s="1706">
        <f>WORKDAY(F403,$G$21,'Business Day Paris'!F382:F576)</f>
        <v>57175</v>
      </c>
      <c r="H403" s="1706">
        <f>WORKDAY(J403,$H$21,'Business Day Paris'!F382:F576)</f>
        <v>57181</v>
      </c>
      <c r="I403" s="1706">
        <f>WORKDAY(J403,$I$21,'Business Day Paris'!F382:F576)</f>
        <v>57185</v>
      </c>
      <c r="J403" s="1707">
        <f>IF(WORKDAY(EOMONTH(F403,0)+$J$21-1,1,'Business Day Paris'!F382:F576)&lt;=EOMONTH(Calendar!F404,0),WORKDAY(EOMONTH(F403,0)+$J$21-1,1,'Business Day Paris'!F382:F576),WORKDAY(EOMONTH(F403,0)+$J$21+1,-1,'Business Day Paris'!F382:F576))</f>
        <v>57188</v>
      </c>
      <c r="K403" s="1238"/>
    </row>
    <row r="404" spans="2:11">
      <c r="B404" s="1248">
        <v>382</v>
      </c>
      <c r="C404" s="2"/>
      <c r="D404" s="1705">
        <f t="shared" si="17"/>
        <v>57162</v>
      </c>
      <c r="E404" s="1706">
        <f t="shared" si="15"/>
        <v>57192</v>
      </c>
      <c r="F404" s="1706">
        <f t="shared" si="16"/>
        <v>57192</v>
      </c>
      <c r="G404" s="1706">
        <f>WORKDAY(F404,$G$21,'Business Day Paris'!F383:F577)</f>
        <v>57206</v>
      </c>
      <c r="H404" s="1706">
        <f>WORKDAY(J404,$H$21,'Business Day Paris'!F383:F577)</f>
        <v>57213</v>
      </c>
      <c r="I404" s="1706">
        <f>WORKDAY(J404,$I$21,'Business Day Paris'!F383:F577)</f>
        <v>57215</v>
      </c>
      <c r="J404" s="1707">
        <f>IF(WORKDAY(EOMONTH(F404,0)+$J$21-1,1,'Business Day Paris'!F383:F577)&lt;=EOMONTH(Calendar!F405,0),WORKDAY(EOMONTH(F404,0)+$J$21-1,1,'Business Day Paris'!F383:F577),WORKDAY(EOMONTH(F404,0)+$J$21+1,-1,'Business Day Paris'!F383:F577))</f>
        <v>57220</v>
      </c>
      <c r="K404" s="1238"/>
    </row>
    <row r="405" spans="2:11">
      <c r="B405" s="1248">
        <v>383</v>
      </c>
      <c r="C405" s="2"/>
      <c r="D405" s="1705">
        <f t="shared" si="17"/>
        <v>57193</v>
      </c>
      <c r="E405" s="1706">
        <f t="shared" si="15"/>
        <v>57223</v>
      </c>
      <c r="F405" s="1706">
        <f t="shared" si="16"/>
        <v>57223</v>
      </c>
      <c r="G405" s="1706">
        <f>WORKDAY(F405,$G$21,'Business Day Paris'!F384:F578)</f>
        <v>57237</v>
      </c>
      <c r="H405" s="1706">
        <f>WORKDAY(J405,$H$21,'Business Day Paris'!F384:F578)</f>
        <v>57243</v>
      </c>
      <c r="I405" s="1706">
        <f>WORKDAY(J405,$I$21,'Business Day Paris'!F384:F578)</f>
        <v>57245</v>
      </c>
      <c r="J405" s="1707">
        <f>IF(WORKDAY(EOMONTH(F405,0)+$J$21-1,1,'Business Day Paris'!F384:F578)&lt;=EOMONTH(Calendar!F406,0),WORKDAY(EOMONTH(F405,0)+$J$21-1,1,'Business Day Paris'!F384:F578),WORKDAY(EOMONTH(F405,0)+$J$21+1,-1,'Business Day Paris'!F384:F578))</f>
        <v>57250</v>
      </c>
      <c r="K405" s="1238"/>
    </row>
    <row r="406" spans="2:11">
      <c r="B406" s="1248">
        <v>384</v>
      </c>
      <c r="C406" s="2"/>
      <c r="D406" s="1705">
        <f t="shared" si="17"/>
        <v>57224</v>
      </c>
      <c r="E406" s="1706">
        <f t="shared" si="15"/>
        <v>57253</v>
      </c>
      <c r="F406" s="1706">
        <f t="shared" si="16"/>
        <v>57253</v>
      </c>
      <c r="G406" s="1706">
        <f>WORKDAY(F406,$G$21,'Business Day Paris'!F385:F579)</f>
        <v>57266</v>
      </c>
      <c r="H406" s="1706">
        <f>WORKDAY(J406,$H$21,'Business Day Paris'!F385:F579)</f>
        <v>57273</v>
      </c>
      <c r="I406" s="1706">
        <f>WORKDAY(J406,$I$21,'Business Day Paris'!F385:F579)</f>
        <v>57277</v>
      </c>
      <c r="J406" s="1707">
        <f>IF(WORKDAY(EOMONTH(F406,0)+$J$21-1,1,'Business Day Paris'!F385:F579)&lt;=EOMONTH(Calendar!F407,0),WORKDAY(EOMONTH(F406,0)+$J$21-1,1,'Business Day Paris'!F385:F579),WORKDAY(EOMONTH(F406,0)+$J$21+1,-1,'Business Day Paris'!F385:F579))</f>
        <v>57280</v>
      </c>
      <c r="K406" s="1238"/>
    </row>
    <row r="407" spans="2:11">
      <c r="B407" s="1248">
        <v>385</v>
      </c>
      <c r="C407" s="2"/>
      <c r="D407" s="1705">
        <f t="shared" si="17"/>
        <v>57254</v>
      </c>
      <c r="E407" s="1706">
        <f t="shared" si="15"/>
        <v>57284</v>
      </c>
      <c r="F407" s="1706">
        <f t="shared" si="16"/>
        <v>57284</v>
      </c>
      <c r="G407" s="1706">
        <f>WORKDAY(F407,$G$21,'Business Day Paris'!F386:F580)</f>
        <v>57298</v>
      </c>
      <c r="H407" s="1706">
        <f>WORKDAY(J407,$H$21,'Business Day Paris'!F386:F580)</f>
        <v>57304</v>
      </c>
      <c r="I407" s="1706">
        <f>WORKDAY(J407,$I$21,'Business Day Paris'!F386:F580)</f>
        <v>57306</v>
      </c>
      <c r="J407" s="1707">
        <f>IF(WORKDAY(EOMONTH(F407,0)+$J$21-1,1,'Business Day Paris'!F386:F580)&lt;=EOMONTH(Calendar!F408,0),WORKDAY(EOMONTH(F407,0)+$J$21-1,1,'Business Day Paris'!F386:F580),WORKDAY(EOMONTH(F407,0)+$J$21+1,-1,'Business Day Paris'!F386:F580))</f>
        <v>57311</v>
      </c>
      <c r="K407" s="1238"/>
    </row>
    <row r="408" spans="2:11">
      <c r="B408" s="1248">
        <v>386</v>
      </c>
      <c r="C408" s="2"/>
      <c r="D408" s="1705">
        <f t="shared" si="17"/>
        <v>57285</v>
      </c>
      <c r="E408" s="1706">
        <f t="shared" ref="E408:E471" si="18">EOMONTH(D408,0)</f>
        <v>57314</v>
      </c>
      <c r="F408" s="1706">
        <f t="shared" ref="F408:F471" si="19">E408</f>
        <v>57314</v>
      </c>
      <c r="G408" s="1706">
        <f>WORKDAY(F408,$G$21,'Business Day Paris'!F387:F581)</f>
        <v>57328</v>
      </c>
      <c r="H408" s="1706">
        <f>WORKDAY(J408,$H$21,'Business Day Paris'!F387:F581)</f>
        <v>57334</v>
      </c>
      <c r="I408" s="1706">
        <f>WORKDAY(J408,$I$21,'Business Day Paris'!F387:F581)</f>
        <v>57336</v>
      </c>
      <c r="J408" s="1707">
        <f>IF(WORKDAY(EOMONTH(F408,0)+$J$21-1,1,'Business Day Paris'!F387:F581)&lt;=EOMONTH(Calendar!F409,0),WORKDAY(EOMONTH(F408,0)+$J$21-1,1,'Business Day Paris'!F387:F581),WORKDAY(EOMONTH(F408,0)+$J$21+1,-1,'Business Day Paris'!F387:F581))</f>
        <v>57341</v>
      </c>
      <c r="K408" s="1238"/>
    </row>
    <row r="409" spans="2:11">
      <c r="B409" s="1248">
        <v>387</v>
      </c>
      <c r="C409" s="2"/>
      <c r="D409" s="1705">
        <f t="shared" ref="D409:D472" si="20">EOMONTH(D408,0)+1</f>
        <v>57315</v>
      </c>
      <c r="E409" s="1706">
        <f t="shared" si="18"/>
        <v>57345</v>
      </c>
      <c r="F409" s="1706">
        <f t="shared" si="19"/>
        <v>57345</v>
      </c>
      <c r="G409" s="1706">
        <f>WORKDAY(F409,$G$21,'Business Day Paris'!F388:F582)</f>
        <v>57357</v>
      </c>
      <c r="H409" s="1706">
        <f>WORKDAY(J409,$H$21,'Business Day Paris'!F388:F582)</f>
        <v>57367</v>
      </c>
      <c r="I409" s="1706">
        <f>WORKDAY(J409,$I$21,'Business Day Paris'!F388:F582)</f>
        <v>57369</v>
      </c>
      <c r="J409" s="1707">
        <f>IF(WORKDAY(EOMONTH(F409,0)+$J$21-1,1,'Business Day Paris'!F388:F582)&lt;=EOMONTH(Calendar!F410,0),WORKDAY(EOMONTH(F409,0)+$J$21-1,1,'Business Day Paris'!F388:F582),WORKDAY(EOMONTH(F409,0)+$J$21+1,-1,'Business Day Paris'!F388:F582))</f>
        <v>57374</v>
      </c>
      <c r="K409" s="1238"/>
    </row>
    <row r="410" spans="2:11">
      <c r="B410" s="1248">
        <v>388</v>
      </c>
      <c r="C410" s="2"/>
      <c r="D410" s="1705">
        <f t="shared" si="20"/>
        <v>57346</v>
      </c>
      <c r="E410" s="1706">
        <f t="shared" si="18"/>
        <v>57376</v>
      </c>
      <c r="F410" s="1706">
        <f t="shared" si="19"/>
        <v>57376</v>
      </c>
      <c r="G410" s="1706">
        <f>WORKDAY(F410,$G$21,'Business Day Paris'!F389:F583)</f>
        <v>57390</v>
      </c>
      <c r="H410" s="1706">
        <f>WORKDAY(J410,$H$21,'Business Day Paris'!F389:F583)</f>
        <v>57396</v>
      </c>
      <c r="I410" s="1706">
        <f>WORKDAY(J410,$I$21,'Business Day Paris'!F389:F583)</f>
        <v>57398</v>
      </c>
      <c r="J410" s="1707">
        <f>IF(WORKDAY(EOMONTH(F410,0)+$J$21-1,1,'Business Day Paris'!F389:F583)&lt;=EOMONTH(Calendar!F411,0),WORKDAY(EOMONTH(F410,0)+$J$21-1,1,'Business Day Paris'!F389:F583),WORKDAY(EOMONTH(F410,0)+$J$21+1,-1,'Business Day Paris'!F389:F583))</f>
        <v>57403</v>
      </c>
      <c r="K410" s="1238"/>
    </row>
    <row r="411" spans="2:11">
      <c r="B411" s="1248">
        <v>389</v>
      </c>
      <c r="C411" s="2"/>
      <c r="D411" s="1705">
        <f t="shared" si="20"/>
        <v>57377</v>
      </c>
      <c r="E411" s="1706">
        <f t="shared" si="18"/>
        <v>57404</v>
      </c>
      <c r="F411" s="1706">
        <f t="shared" si="19"/>
        <v>57404</v>
      </c>
      <c r="G411" s="1706">
        <f>WORKDAY(F411,$G$21,'Business Day Paris'!F390:F584)</f>
        <v>57418</v>
      </c>
      <c r="H411" s="1706">
        <f>WORKDAY(J411,$H$21,'Business Day Paris'!F390:F584)</f>
        <v>57424</v>
      </c>
      <c r="I411" s="1706">
        <f>WORKDAY(J411,$I$21,'Business Day Paris'!F390:F584)</f>
        <v>57426</v>
      </c>
      <c r="J411" s="1707">
        <f>IF(WORKDAY(EOMONTH(F411,0)+$J$21-1,1,'Business Day Paris'!F390:F584)&lt;=EOMONTH(Calendar!F412,0),WORKDAY(EOMONTH(F411,0)+$J$21-1,1,'Business Day Paris'!F390:F584),WORKDAY(EOMONTH(F411,0)+$J$21+1,-1,'Business Day Paris'!F390:F584))</f>
        <v>57431</v>
      </c>
      <c r="K411" s="1238"/>
    </row>
    <row r="412" spans="2:11">
      <c r="B412" s="1248">
        <v>390</v>
      </c>
      <c r="C412" s="2"/>
      <c r="D412" s="1705">
        <f t="shared" si="20"/>
        <v>57405</v>
      </c>
      <c r="E412" s="1706">
        <f t="shared" si="18"/>
        <v>57435</v>
      </c>
      <c r="F412" s="1706">
        <f t="shared" si="19"/>
        <v>57435</v>
      </c>
      <c r="G412" s="1706">
        <f>WORKDAY(F412,$G$21,'Business Day Paris'!F391:F585)</f>
        <v>57448</v>
      </c>
      <c r="H412" s="1706">
        <f>WORKDAY(J412,$H$21,'Business Day Paris'!F391:F585)</f>
        <v>57455</v>
      </c>
      <c r="I412" s="1706">
        <f>WORKDAY(J412,$I$21,'Business Day Paris'!F391:F585)</f>
        <v>57459</v>
      </c>
      <c r="J412" s="1707">
        <f>IF(WORKDAY(EOMONTH(F412,0)+$J$21-1,1,'Business Day Paris'!F391:F585)&lt;=EOMONTH(Calendar!F413,0),WORKDAY(EOMONTH(F412,0)+$J$21-1,1,'Business Day Paris'!F391:F585),WORKDAY(EOMONTH(F412,0)+$J$21+1,-1,'Business Day Paris'!F391:F585))</f>
        <v>57462</v>
      </c>
      <c r="K412" s="1238"/>
    </row>
    <row r="413" spans="2:11">
      <c r="B413" s="1248">
        <v>391</v>
      </c>
      <c r="C413" s="2"/>
      <c r="D413" s="1705">
        <f t="shared" si="20"/>
        <v>57436</v>
      </c>
      <c r="E413" s="1706">
        <f t="shared" si="18"/>
        <v>57465</v>
      </c>
      <c r="F413" s="1706">
        <f t="shared" si="19"/>
        <v>57465</v>
      </c>
      <c r="G413" s="1706">
        <f>WORKDAY(F413,$G$21,'Business Day Paris'!F392:F586)</f>
        <v>57479</v>
      </c>
      <c r="H413" s="1706">
        <f>WORKDAY(J413,$H$21,'Business Day Paris'!F392:F586)</f>
        <v>57486</v>
      </c>
      <c r="I413" s="1706">
        <f>WORKDAY(J413,$I$21,'Business Day Paris'!F392:F586)</f>
        <v>57488</v>
      </c>
      <c r="J413" s="1707">
        <f>IF(WORKDAY(EOMONTH(F413,0)+$J$21-1,1,'Business Day Paris'!F392:F586)&lt;=EOMONTH(Calendar!F414,0),WORKDAY(EOMONTH(F413,0)+$J$21-1,1,'Business Day Paris'!F392:F586),WORKDAY(EOMONTH(F413,0)+$J$21+1,-1,'Business Day Paris'!F392:F586))</f>
        <v>57493</v>
      </c>
      <c r="K413" s="1238"/>
    </row>
    <row r="414" spans="2:11">
      <c r="B414" s="1248">
        <v>392</v>
      </c>
      <c r="C414" s="2"/>
      <c r="D414" s="1705">
        <f t="shared" si="20"/>
        <v>57466</v>
      </c>
      <c r="E414" s="1706">
        <f t="shared" si="18"/>
        <v>57496</v>
      </c>
      <c r="F414" s="1706">
        <f t="shared" si="19"/>
        <v>57496</v>
      </c>
      <c r="G414" s="1706">
        <f>WORKDAY(F414,$G$21,'Business Day Paris'!F393:F587)</f>
        <v>57510</v>
      </c>
      <c r="H414" s="1706">
        <f>WORKDAY(J414,$H$21,'Business Day Paris'!F393:F587)</f>
        <v>57516</v>
      </c>
      <c r="I414" s="1706">
        <f>WORKDAY(J414,$I$21,'Business Day Paris'!F393:F587)</f>
        <v>57518</v>
      </c>
      <c r="J414" s="1707">
        <f>IF(WORKDAY(EOMONTH(F414,0)+$J$21-1,1,'Business Day Paris'!F393:F587)&lt;=EOMONTH(Calendar!F415,0),WORKDAY(EOMONTH(F414,0)+$J$21-1,1,'Business Day Paris'!F393:F587),WORKDAY(EOMONTH(F414,0)+$J$21+1,-1,'Business Day Paris'!F393:F587))</f>
        <v>57523</v>
      </c>
      <c r="K414" s="1238"/>
    </row>
    <row r="415" spans="2:11">
      <c r="B415" s="1248">
        <v>393</v>
      </c>
      <c r="C415" s="2"/>
      <c r="D415" s="1705">
        <f t="shared" si="20"/>
        <v>57497</v>
      </c>
      <c r="E415" s="1706">
        <f t="shared" si="18"/>
        <v>57526</v>
      </c>
      <c r="F415" s="1706">
        <f t="shared" si="19"/>
        <v>57526</v>
      </c>
      <c r="G415" s="1706">
        <f>WORKDAY(F415,$G$21,'Business Day Paris'!F394:F588)</f>
        <v>57539</v>
      </c>
      <c r="H415" s="1706">
        <f>WORKDAY(J415,$H$21,'Business Day Paris'!F394:F588)</f>
        <v>57546</v>
      </c>
      <c r="I415" s="1706">
        <f>WORKDAY(J415,$I$21,'Business Day Paris'!F394:F588)</f>
        <v>57550</v>
      </c>
      <c r="J415" s="1707">
        <f>IF(WORKDAY(EOMONTH(F415,0)+$J$21-1,1,'Business Day Paris'!F394:F588)&lt;=EOMONTH(Calendar!F416,0),WORKDAY(EOMONTH(F415,0)+$J$21-1,1,'Business Day Paris'!F394:F588),WORKDAY(EOMONTH(F415,0)+$J$21+1,-1,'Business Day Paris'!F394:F588))</f>
        <v>57553</v>
      </c>
      <c r="K415" s="1238"/>
    </row>
    <row r="416" spans="2:11">
      <c r="B416" s="1248">
        <v>394</v>
      </c>
      <c r="C416" s="2"/>
      <c r="D416" s="1705">
        <f t="shared" si="20"/>
        <v>57527</v>
      </c>
      <c r="E416" s="1706">
        <f t="shared" si="18"/>
        <v>57557</v>
      </c>
      <c r="F416" s="1706">
        <f t="shared" si="19"/>
        <v>57557</v>
      </c>
      <c r="G416" s="1706">
        <f>WORKDAY(F416,$G$21,'Business Day Paris'!F395:F589)</f>
        <v>57571</v>
      </c>
      <c r="H416" s="1706">
        <f>WORKDAY(J416,$H$21,'Business Day Paris'!F395:F589)</f>
        <v>57577</v>
      </c>
      <c r="I416" s="1706">
        <f>WORKDAY(J416,$I$21,'Business Day Paris'!F395:F589)</f>
        <v>57579</v>
      </c>
      <c r="J416" s="1707">
        <f>IF(WORKDAY(EOMONTH(F416,0)+$J$21-1,1,'Business Day Paris'!F395:F589)&lt;=EOMONTH(Calendar!F417,0),WORKDAY(EOMONTH(F416,0)+$J$21-1,1,'Business Day Paris'!F395:F589),WORKDAY(EOMONTH(F416,0)+$J$21+1,-1,'Business Day Paris'!F395:F589))</f>
        <v>57584</v>
      </c>
      <c r="K416" s="1238"/>
    </row>
    <row r="417" spans="2:11">
      <c r="B417" s="1248">
        <v>395</v>
      </c>
      <c r="C417" s="2"/>
      <c r="D417" s="1705">
        <f t="shared" si="20"/>
        <v>57558</v>
      </c>
      <c r="E417" s="1706">
        <f t="shared" si="18"/>
        <v>57588</v>
      </c>
      <c r="F417" s="1706">
        <f t="shared" si="19"/>
        <v>57588</v>
      </c>
      <c r="G417" s="1706">
        <f>WORKDAY(F417,$G$21,'Business Day Paris'!F396:F590)</f>
        <v>57602</v>
      </c>
      <c r="H417" s="1706">
        <f>WORKDAY(J417,$H$21,'Business Day Paris'!F396:F590)</f>
        <v>57608</v>
      </c>
      <c r="I417" s="1706">
        <f>WORKDAY(J417,$I$21,'Business Day Paris'!F396:F590)</f>
        <v>57612</v>
      </c>
      <c r="J417" s="1707">
        <f>IF(WORKDAY(EOMONTH(F417,0)+$J$21-1,1,'Business Day Paris'!F396:F590)&lt;=EOMONTH(Calendar!F418,0),WORKDAY(EOMONTH(F417,0)+$J$21-1,1,'Business Day Paris'!F396:F590),WORKDAY(EOMONTH(F417,0)+$J$21+1,-1,'Business Day Paris'!F396:F590))</f>
        <v>57615</v>
      </c>
      <c r="K417" s="1238"/>
    </row>
    <row r="418" spans="2:11">
      <c r="B418" s="1248">
        <v>396</v>
      </c>
      <c r="C418" s="2"/>
      <c r="D418" s="1705">
        <f t="shared" si="20"/>
        <v>57589</v>
      </c>
      <c r="E418" s="1706">
        <f t="shared" si="18"/>
        <v>57618</v>
      </c>
      <c r="F418" s="1706">
        <f t="shared" si="19"/>
        <v>57618</v>
      </c>
      <c r="G418" s="1706">
        <f>WORKDAY(F418,$G$21,'Business Day Paris'!F397:F591)</f>
        <v>57630</v>
      </c>
      <c r="H418" s="1706">
        <f>WORKDAY(J418,$H$21,'Business Day Paris'!F397:F591)</f>
        <v>57640</v>
      </c>
      <c r="I418" s="1706">
        <f>WORKDAY(J418,$I$21,'Business Day Paris'!F397:F591)</f>
        <v>57642</v>
      </c>
      <c r="J418" s="1707">
        <f>IF(WORKDAY(EOMONTH(F418,0)+$J$21-1,1,'Business Day Paris'!F397:F591)&lt;=EOMONTH(Calendar!F419,0),WORKDAY(EOMONTH(F418,0)+$J$21-1,1,'Business Day Paris'!F397:F591),WORKDAY(EOMONTH(F418,0)+$J$21+1,-1,'Business Day Paris'!F397:F591))</f>
        <v>57647</v>
      </c>
      <c r="K418" s="1238"/>
    </row>
    <row r="419" spans="2:11">
      <c r="B419" s="1248">
        <v>397</v>
      </c>
      <c r="C419" s="2"/>
      <c r="D419" s="1705">
        <f t="shared" si="20"/>
        <v>57619</v>
      </c>
      <c r="E419" s="1706">
        <f t="shared" si="18"/>
        <v>57649</v>
      </c>
      <c r="F419" s="1706">
        <f t="shared" si="19"/>
        <v>57649</v>
      </c>
      <c r="G419" s="1706">
        <f>WORKDAY(F419,$G$21,'Business Day Paris'!F398:F592)</f>
        <v>57663</v>
      </c>
      <c r="H419" s="1706">
        <f>WORKDAY(J419,$H$21,'Business Day Paris'!F398:F592)</f>
        <v>57669</v>
      </c>
      <c r="I419" s="1706">
        <f>WORKDAY(J419,$I$21,'Business Day Paris'!F398:F592)</f>
        <v>57671</v>
      </c>
      <c r="J419" s="1707">
        <f>IF(WORKDAY(EOMONTH(F419,0)+$J$21-1,1,'Business Day Paris'!F398:F592)&lt;=EOMONTH(Calendar!F420,0),WORKDAY(EOMONTH(F419,0)+$J$21-1,1,'Business Day Paris'!F398:F592),WORKDAY(EOMONTH(F419,0)+$J$21+1,-1,'Business Day Paris'!F398:F592))</f>
        <v>57676</v>
      </c>
      <c r="K419" s="1238"/>
    </row>
    <row r="420" spans="2:11">
      <c r="B420" s="1248">
        <v>398</v>
      </c>
      <c r="C420" s="2"/>
      <c r="D420" s="1705">
        <f t="shared" si="20"/>
        <v>57650</v>
      </c>
      <c r="E420" s="1706">
        <f t="shared" si="18"/>
        <v>57679</v>
      </c>
      <c r="F420" s="1706">
        <f t="shared" si="19"/>
        <v>57679</v>
      </c>
      <c r="G420" s="1706">
        <f>WORKDAY(F420,$G$21,'Business Day Paris'!F399:F593)</f>
        <v>57693</v>
      </c>
      <c r="H420" s="1706">
        <f>WORKDAY(J420,$H$21,'Business Day Paris'!F399:F593)</f>
        <v>57699</v>
      </c>
      <c r="I420" s="1706">
        <f>WORKDAY(J420,$I$21,'Business Day Paris'!F399:F593)</f>
        <v>57703</v>
      </c>
      <c r="J420" s="1707">
        <f>IF(WORKDAY(EOMONTH(F420,0)+$J$21-1,1,'Business Day Paris'!F399:F593)&lt;=EOMONTH(Calendar!F421,0),WORKDAY(EOMONTH(F420,0)+$J$21-1,1,'Business Day Paris'!F399:F593),WORKDAY(EOMONTH(F420,0)+$J$21+1,-1,'Business Day Paris'!F399:F593))</f>
        <v>57706</v>
      </c>
      <c r="K420" s="1238"/>
    </row>
    <row r="421" spans="2:11">
      <c r="B421" s="1248">
        <v>399</v>
      </c>
      <c r="C421" s="2"/>
      <c r="D421" s="1705">
        <f t="shared" si="20"/>
        <v>57680</v>
      </c>
      <c r="E421" s="1706">
        <f t="shared" si="18"/>
        <v>57710</v>
      </c>
      <c r="F421" s="1706">
        <f t="shared" si="19"/>
        <v>57710</v>
      </c>
      <c r="G421" s="1706">
        <f>WORKDAY(F421,$G$21,'Business Day Paris'!F400:F594)</f>
        <v>57724</v>
      </c>
      <c r="H421" s="1706">
        <f>WORKDAY(J421,$H$21,'Business Day Paris'!F400:F594)</f>
        <v>57731</v>
      </c>
      <c r="I421" s="1706">
        <f>WORKDAY(J421,$I$21,'Business Day Paris'!F400:F594)</f>
        <v>57733</v>
      </c>
      <c r="J421" s="1707">
        <f>IF(WORKDAY(EOMONTH(F421,0)+$J$21-1,1,'Business Day Paris'!F400:F594)&lt;=EOMONTH(Calendar!F422,0),WORKDAY(EOMONTH(F421,0)+$J$21-1,1,'Business Day Paris'!F400:F594),WORKDAY(EOMONTH(F421,0)+$J$21+1,-1,'Business Day Paris'!F400:F594))</f>
        <v>57738</v>
      </c>
      <c r="K421" s="1238"/>
    </row>
    <row r="422" spans="2:11">
      <c r="B422" s="1248">
        <v>400</v>
      </c>
      <c r="C422" s="2"/>
      <c r="D422" s="1705">
        <f t="shared" si="20"/>
        <v>57711</v>
      </c>
      <c r="E422" s="1706">
        <f t="shared" si="18"/>
        <v>57741</v>
      </c>
      <c r="F422" s="1706">
        <f t="shared" si="19"/>
        <v>57741</v>
      </c>
      <c r="G422" s="1706">
        <f>WORKDAY(F422,$G$21,'Business Day Paris'!F401:F595)</f>
        <v>57755</v>
      </c>
      <c r="H422" s="1706">
        <f>WORKDAY(J422,$H$21,'Business Day Paris'!F401:F595)</f>
        <v>57761</v>
      </c>
      <c r="I422" s="1706">
        <f>WORKDAY(J422,$I$21,'Business Day Paris'!F401:F595)</f>
        <v>57763</v>
      </c>
      <c r="J422" s="1707">
        <f>IF(WORKDAY(EOMONTH(F422,0)+$J$21-1,1,'Business Day Paris'!F401:F595)&lt;=EOMONTH(Calendar!F423,0),WORKDAY(EOMONTH(F422,0)+$J$21-1,1,'Business Day Paris'!F401:F595),WORKDAY(EOMONTH(F422,0)+$J$21+1,-1,'Business Day Paris'!F401:F595))</f>
        <v>57768</v>
      </c>
      <c r="K422" s="1238"/>
    </row>
    <row r="423" spans="2:11">
      <c r="B423" s="1248">
        <v>401</v>
      </c>
      <c r="C423" s="2"/>
      <c r="D423" s="1705">
        <f t="shared" si="20"/>
        <v>57742</v>
      </c>
      <c r="E423" s="1706">
        <f t="shared" si="18"/>
        <v>57769</v>
      </c>
      <c r="F423" s="1706">
        <f t="shared" si="19"/>
        <v>57769</v>
      </c>
      <c r="G423" s="1706">
        <f>WORKDAY(F423,$G$21,'Business Day Paris'!F402:F596)</f>
        <v>57783</v>
      </c>
      <c r="H423" s="1706">
        <f>WORKDAY(J423,$H$21,'Business Day Paris'!F402:F596)</f>
        <v>57789</v>
      </c>
      <c r="I423" s="1706">
        <f>WORKDAY(J423,$I$21,'Business Day Paris'!F402:F596)</f>
        <v>57791</v>
      </c>
      <c r="J423" s="1707">
        <f>IF(WORKDAY(EOMONTH(F423,0)+$J$21-1,1,'Business Day Paris'!F402:F596)&lt;=EOMONTH(Calendar!F424,0),WORKDAY(EOMONTH(F423,0)+$J$21-1,1,'Business Day Paris'!F402:F596),WORKDAY(EOMONTH(F423,0)+$J$21+1,-1,'Business Day Paris'!F402:F596))</f>
        <v>57796</v>
      </c>
      <c r="K423" s="1238"/>
    </row>
    <row r="424" spans="2:11">
      <c r="B424" s="1248">
        <v>402</v>
      </c>
      <c r="C424" s="2"/>
      <c r="D424" s="1705">
        <f t="shared" si="20"/>
        <v>57770</v>
      </c>
      <c r="E424" s="1706">
        <f t="shared" si="18"/>
        <v>57800</v>
      </c>
      <c r="F424" s="1706">
        <f t="shared" si="19"/>
        <v>57800</v>
      </c>
      <c r="G424" s="1706">
        <f>WORKDAY(F424,$G$21,'Business Day Paris'!F403:F597)</f>
        <v>57812</v>
      </c>
      <c r="H424" s="1706">
        <f>WORKDAY(J424,$H$21,'Business Day Paris'!F403:F597)</f>
        <v>57822</v>
      </c>
      <c r="I424" s="1706">
        <f>WORKDAY(J424,$I$21,'Business Day Paris'!F403:F597)</f>
        <v>57824</v>
      </c>
      <c r="J424" s="1707">
        <f>IF(WORKDAY(EOMONTH(F424,0)+$J$21-1,1,'Business Day Paris'!F403:F597)&lt;=EOMONTH(Calendar!F425,0),WORKDAY(EOMONTH(F424,0)+$J$21-1,1,'Business Day Paris'!F403:F597),WORKDAY(EOMONTH(F424,0)+$J$21+1,-1,'Business Day Paris'!F403:F597))</f>
        <v>57829</v>
      </c>
      <c r="K424" s="1238"/>
    </row>
    <row r="425" spans="2:11">
      <c r="B425" s="1248">
        <v>403</v>
      </c>
      <c r="C425" s="2"/>
      <c r="D425" s="1705">
        <f t="shared" si="20"/>
        <v>57801</v>
      </c>
      <c r="E425" s="1706">
        <f t="shared" si="18"/>
        <v>57830</v>
      </c>
      <c r="F425" s="1706">
        <f t="shared" si="19"/>
        <v>57830</v>
      </c>
      <c r="G425" s="1706">
        <f>WORKDAY(F425,$G$21,'Business Day Paris'!F404:F598)</f>
        <v>57844</v>
      </c>
      <c r="H425" s="1706">
        <f>WORKDAY(J425,$H$21,'Business Day Paris'!F404:F598)</f>
        <v>57850</v>
      </c>
      <c r="I425" s="1706">
        <f>WORKDAY(J425,$I$21,'Business Day Paris'!F404:F598)</f>
        <v>57852</v>
      </c>
      <c r="J425" s="1707">
        <f>IF(WORKDAY(EOMONTH(F425,0)+$J$21-1,1,'Business Day Paris'!F404:F598)&lt;=EOMONTH(Calendar!F426,0),WORKDAY(EOMONTH(F425,0)+$J$21-1,1,'Business Day Paris'!F404:F598),WORKDAY(EOMONTH(F425,0)+$J$21+1,-1,'Business Day Paris'!F404:F598))</f>
        <v>57857</v>
      </c>
      <c r="K425" s="1238"/>
    </row>
    <row r="426" spans="2:11">
      <c r="B426" s="1248">
        <v>404</v>
      </c>
      <c r="C426" s="2"/>
      <c r="D426" s="1705">
        <f t="shared" si="20"/>
        <v>57831</v>
      </c>
      <c r="E426" s="1706">
        <f t="shared" si="18"/>
        <v>57861</v>
      </c>
      <c r="F426" s="1706">
        <f t="shared" si="19"/>
        <v>57861</v>
      </c>
      <c r="G426" s="1706">
        <f>WORKDAY(F426,$G$21,'Business Day Paris'!F405:F599)</f>
        <v>57875</v>
      </c>
      <c r="H426" s="1706">
        <f>WORKDAY(J426,$H$21,'Business Day Paris'!F405:F599)</f>
        <v>57881</v>
      </c>
      <c r="I426" s="1706">
        <f>WORKDAY(J426,$I$21,'Business Day Paris'!F405:F599)</f>
        <v>57885</v>
      </c>
      <c r="J426" s="1707">
        <f>IF(WORKDAY(EOMONTH(F426,0)+$J$21-1,1,'Business Day Paris'!F405:F599)&lt;=EOMONTH(Calendar!F427,0),WORKDAY(EOMONTH(F426,0)+$J$21-1,1,'Business Day Paris'!F405:F599),WORKDAY(EOMONTH(F426,0)+$J$21+1,-1,'Business Day Paris'!F405:F599))</f>
        <v>57888</v>
      </c>
      <c r="K426" s="1238"/>
    </row>
    <row r="427" spans="2:11">
      <c r="B427" s="1248">
        <v>405</v>
      </c>
      <c r="C427" s="2"/>
      <c r="D427" s="1705">
        <f t="shared" si="20"/>
        <v>57862</v>
      </c>
      <c r="E427" s="1706">
        <f t="shared" si="18"/>
        <v>57891</v>
      </c>
      <c r="F427" s="1706">
        <f t="shared" si="19"/>
        <v>57891</v>
      </c>
      <c r="G427" s="1706">
        <f>WORKDAY(F427,$G$21,'Business Day Paris'!F406:F600)</f>
        <v>57903</v>
      </c>
      <c r="H427" s="1706">
        <f>WORKDAY(J427,$H$21,'Business Day Paris'!F406:F600)</f>
        <v>57913</v>
      </c>
      <c r="I427" s="1706">
        <f>WORKDAY(J427,$I$21,'Business Day Paris'!F406:F600)</f>
        <v>57915</v>
      </c>
      <c r="J427" s="1707">
        <f>IF(WORKDAY(EOMONTH(F427,0)+$J$21-1,1,'Business Day Paris'!F406:F600)&lt;=EOMONTH(Calendar!F428,0),WORKDAY(EOMONTH(F427,0)+$J$21-1,1,'Business Day Paris'!F406:F600),WORKDAY(EOMONTH(F427,0)+$J$21+1,-1,'Business Day Paris'!F406:F600))</f>
        <v>57920</v>
      </c>
      <c r="K427" s="1238"/>
    </row>
    <row r="428" spans="2:11">
      <c r="B428" s="1248">
        <v>406</v>
      </c>
      <c r="C428" s="2"/>
      <c r="D428" s="1705">
        <f t="shared" si="20"/>
        <v>57892</v>
      </c>
      <c r="E428" s="1706">
        <f t="shared" si="18"/>
        <v>57922</v>
      </c>
      <c r="F428" s="1706">
        <f t="shared" si="19"/>
        <v>57922</v>
      </c>
      <c r="G428" s="1706">
        <f>WORKDAY(F428,$G$21,'Business Day Paris'!F407:F601)</f>
        <v>57936</v>
      </c>
      <c r="H428" s="1706">
        <f>WORKDAY(J428,$H$21,'Business Day Paris'!F407:F601)</f>
        <v>57942</v>
      </c>
      <c r="I428" s="1706">
        <f>WORKDAY(J428,$I$21,'Business Day Paris'!F407:F601)</f>
        <v>57944</v>
      </c>
      <c r="J428" s="1707">
        <f>IF(WORKDAY(EOMONTH(F428,0)+$J$21-1,1,'Business Day Paris'!F407:F601)&lt;=EOMONTH(Calendar!F429,0),WORKDAY(EOMONTH(F428,0)+$J$21-1,1,'Business Day Paris'!F407:F601),WORKDAY(EOMONTH(F428,0)+$J$21+1,-1,'Business Day Paris'!F407:F601))</f>
        <v>57949</v>
      </c>
      <c r="K428" s="1238"/>
    </row>
    <row r="429" spans="2:11">
      <c r="B429" s="1248">
        <v>407</v>
      </c>
      <c r="C429" s="2"/>
      <c r="D429" s="1705">
        <f t="shared" si="20"/>
        <v>57923</v>
      </c>
      <c r="E429" s="1706">
        <f t="shared" si="18"/>
        <v>57953</v>
      </c>
      <c r="F429" s="1706">
        <f t="shared" si="19"/>
        <v>57953</v>
      </c>
      <c r="G429" s="1706">
        <f>WORKDAY(F429,$G$21,'Business Day Paris'!F408:F602)</f>
        <v>57966</v>
      </c>
      <c r="H429" s="1706">
        <f>WORKDAY(J429,$H$21,'Business Day Paris'!F408:F602)</f>
        <v>57973</v>
      </c>
      <c r="I429" s="1706">
        <f>WORKDAY(J429,$I$21,'Business Day Paris'!F408:F602)</f>
        <v>57977</v>
      </c>
      <c r="J429" s="1707">
        <f>IF(WORKDAY(EOMONTH(F429,0)+$J$21-1,1,'Business Day Paris'!F408:F602)&lt;=EOMONTH(Calendar!F430,0),WORKDAY(EOMONTH(F429,0)+$J$21-1,1,'Business Day Paris'!F408:F602),WORKDAY(EOMONTH(F429,0)+$J$21+1,-1,'Business Day Paris'!F408:F602))</f>
        <v>57980</v>
      </c>
      <c r="K429" s="1238"/>
    </row>
    <row r="430" spans="2:11">
      <c r="B430" s="1248">
        <v>408</v>
      </c>
      <c r="C430" s="2"/>
      <c r="D430" s="1705">
        <f t="shared" si="20"/>
        <v>57954</v>
      </c>
      <c r="E430" s="1706">
        <f t="shared" si="18"/>
        <v>57983</v>
      </c>
      <c r="F430" s="1706">
        <f t="shared" si="19"/>
        <v>57983</v>
      </c>
      <c r="G430" s="1706">
        <f>WORKDAY(F430,$G$21,'Business Day Paris'!F409:F603)</f>
        <v>57997</v>
      </c>
      <c r="H430" s="1706">
        <f>WORKDAY(J430,$H$21,'Business Day Paris'!F409:F603)</f>
        <v>58004</v>
      </c>
      <c r="I430" s="1706">
        <f>WORKDAY(J430,$I$21,'Business Day Paris'!F409:F603)</f>
        <v>58006</v>
      </c>
      <c r="J430" s="1707">
        <f>IF(WORKDAY(EOMONTH(F430,0)+$J$21-1,1,'Business Day Paris'!F409:F603)&lt;=EOMONTH(Calendar!F431,0),WORKDAY(EOMONTH(F430,0)+$J$21-1,1,'Business Day Paris'!F409:F603),WORKDAY(EOMONTH(F430,0)+$J$21+1,-1,'Business Day Paris'!F409:F603))</f>
        <v>58011</v>
      </c>
      <c r="K430" s="1238"/>
    </row>
    <row r="431" spans="2:11">
      <c r="B431" s="1248">
        <v>409</v>
      </c>
      <c r="C431" s="2"/>
      <c r="D431" s="1705">
        <f t="shared" si="20"/>
        <v>57984</v>
      </c>
      <c r="E431" s="1706">
        <f t="shared" si="18"/>
        <v>58014</v>
      </c>
      <c r="F431" s="1706">
        <f t="shared" si="19"/>
        <v>58014</v>
      </c>
      <c r="G431" s="1706">
        <f>WORKDAY(F431,$G$21,'Business Day Paris'!F410:F604)</f>
        <v>58028</v>
      </c>
      <c r="H431" s="1706">
        <f>WORKDAY(J431,$H$21,'Business Day Paris'!F410:F604)</f>
        <v>58034</v>
      </c>
      <c r="I431" s="1706">
        <f>WORKDAY(J431,$I$21,'Business Day Paris'!F410:F604)</f>
        <v>58036</v>
      </c>
      <c r="J431" s="1707">
        <f>IF(WORKDAY(EOMONTH(F431,0)+$J$21-1,1,'Business Day Paris'!F410:F604)&lt;=EOMONTH(Calendar!F432,0),WORKDAY(EOMONTH(F431,0)+$J$21-1,1,'Business Day Paris'!F410:F604),WORKDAY(EOMONTH(F431,0)+$J$21+1,-1,'Business Day Paris'!F410:F604))</f>
        <v>58041</v>
      </c>
      <c r="K431" s="1238"/>
    </row>
    <row r="432" spans="2:11">
      <c r="B432" s="1248">
        <v>410</v>
      </c>
      <c r="C432" s="2"/>
      <c r="D432" s="1705">
        <f t="shared" si="20"/>
        <v>58015</v>
      </c>
      <c r="E432" s="1706">
        <f t="shared" si="18"/>
        <v>58044</v>
      </c>
      <c r="F432" s="1706">
        <f t="shared" si="19"/>
        <v>58044</v>
      </c>
      <c r="G432" s="1706">
        <f>WORKDAY(F432,$G$21,'Business Day Paris'!F411:F605)</f>
        <v>58057</v>
      </c>
      <c r="H432" s="1706">
        <f>WORKDAY(J432,$H$21,'Business Day Paris'!F411:F605)</f>
        <v>58064</v>
      </c>
      <c r="I432" s="1706">
        <f>WORKDAY(J432,$I$21,'Business Day Paris'!F411:F605)</f>
        <v>58068</v>
      </c>
      <c r="J432" s="1707">
        <f>IF(WORKDAY(EOMONTH(F432,0)+$J$21-1,1,'Business Day Paris'!F411:F605)&lt;=EOMONTH(Calendar!F433,0),WORKDAY(EOMONTH(F432,0)+$J$21-1,1,'Business Day Paris'!F411:F605),WORKDAY(EOMONTH(F432,0)+$J$21+1,-1,'Business Day Paris'!F411:F605))</f>
        <v>58071</v>
      </c>
      <c r="K432" s="1238"/>
    </row>
    <row r="433" spans="2:11">
      <c r="B433" s="1248">
        <v>411</v>
      </c>
      <c r="C433" s="2"/>
      <c r="D433" s="1705">
        <f t="shared" si="20"/>
        <v>58045</v>
      </c>
      <c r="E433" s="1706">
        <f t="shared" si="18"/>
        <v>58075</v>
      </c>
      <c r="F433" s="1706">
        <f t="shared" si="19"/>
        <v>58075</v>
      </c>
      <c r="G433" s="1706">
        <f>WORKDAY(F433,$G$21,'Business Day Paris'!F412:F606)</f>
        <v>58089</v>
      </c>
      <c r="H433" s="1706">
        <f>WORKDAY(J433,$H$21,'Business Day Paris'!F412:F606)</f>
        <v>58095</v>
      </c>
      <c r="I433" s="1706">
        <f>WORKDAY(J433,$I$21,'Business Day Paris'!F412:F606)</f>
        <v>58097</v>
      </c>
      <c r="J433" s="1707">
        <f>IF(WORKDAY(EOMONTH(F433,0)+$J$21-1,1,'Business Day Paris'!F412:F606)&lt;=EOMONTH(Calendar!F434,0),WORKDAY(EOMONTH(F433,0)+$J$21-1,1,'Business Day Paris'!F412:F606),WORKDAY(EOMONTH(F433,0)+$J$21+1,-1,'Business Day Paris'!F412:F606))</f>
        <v>58102</v>
      </c>
      <c r="K433" s="1238"/>
    </row>
    <row r="434" spans="2:11">
      <c r="B434" s="1248">
        <v>412</v>
      </c>
      <c r="C434" s="2"/>
      <c r="D434" s="1705">
        <f t="shared" si="20"/>
        <v>58076</v>
      </c>
      <c r="E434" s="1706">
        <f t="shared" si="18"/>
        <v>58106</v>
      </c>
      <c r="F434" s="1706">
        <f t="shared" si="19"/>
        <v>58106</v>
      </c>
      <c r="G434" s="1706">
        <f>WORKDAY(F434,$G$21,'Business Day Paris'!F413:F607)</f>
        <v>58120</v>
      </c>
      <c r="H434" s="1706">
        <f>WORKDAY(J434,$H$21,'Business Day Paris'!F413:F607)</f>
        <v>58126</v>
      </c>
      <c r="I434" s="1706">
        <f>WORKDAY(J434,$I$21,'Business Day Paris'!F413:F607)</f>
        <v>58130</v>
      </c>
      <c r="J434" s="1707">
        <f>IF(WORKDAY(EOMONTH(F434,0)+$J$21-1,1,'Business Day Paris'!F413:F607)&lt;=EOMONTH(Calendar!F435,0),WORKDAY(EOMONTH(F434,0)+$J$21-1,1,'Business Day Paris'!F413:F607),WORKDAY(EOMONTH(F434,0)+$J$21+1,-1,'Business Day Paris'!F413:F607))</f>
        <v>58133</v>
      </c>
      <c r="K434" s="1238"/>
    </row>
    <row r="435" spans="2:11">
      <c r="B435" s="1248">
        <v>413</v>
      </c>
      <c r="C435" s="2"/>
      <c r="D435" s="1705">
        <f t="shared" si="20"/>
        <v>58107</v>
      </c>
      <c r="E435" s="1706">
        <f t="shared" si="18"/>
        <v>58134</v>
      </c>
      <c r="F435" s="1706">
        <f t="shared" si="19"/>
        <v>58134</v>
      </c>
      <c r="G435" s="1706">
        <f>WORKDAY(F435,$G$21,'Business Day Paris'!F414:F608)</f>
        <v>58148</v>
      </c>
      <c r="H435" s="1706">
        <f>WORKDAY(J435,$H$21,'Business Day Paris'!F414:F608)</f>
        <v>58154</v>
      </c>
      <c r="I435" s="1706">
        <f>WORKDAY(J435,$I$21,'Business Day Paris'!F414:F608)</f>
        <v>58158</v>
      </c>
      <c r="J435" s="1707">
        <f>IF(WORKDAY(EOMONTH(F435,0)+$J$21-1,1,'Business Day Paris'!F414:F608)&lt;=EOMONTH(Calendar!F436,0),WORKDAY(EOMONTH(F435,0)+$J$21-1,1,'Business Day Paris'!F414:F608),WORKDAY(EOMONTH(F435,0)+$J$21+1,-1,'Business Day Paris'!F414:F608))</f>
        <v>58161</v>
      </c>
      <c r="K435" s="1238"/>
    </row>
    <row r="436" spans="2:11">
      <c r="B436" s="1248">
        <v>414</v>
      </c>
      <c r="C436" s="2"/>
      <c r="D436" s="1705">
        <f t="shared" si="20"/>
        <v>58135</v>
      </c>
      <c r="E436" s="1706">
        <f t="shared" si="18"/>
        <v>58165</v>
      </c>
      <c r="F436" s="1706">
        <f t="shared" si="19"/>
        <v>58165</v>
      </c>
      <c r="G436" s="1706">
        <f>WORKDAY(F436,$G$21,'Business Day Paris'!F415:F609)</f>
        <v>58179</v>
      </c>
      <c r="H436" s="1706">
        <f>WORKDAY(J436,$H$21,'Business Day Paris'!F415:F609)</f>
        <v>58186</v>
      </c>
      <c r="I436" s="1706">
        <f>WORKDAY(J436,$I$21,'Business Day Paris'!F415:F609)</f>
        <v>58188</v>
      </c>
      <c r="J436" s="1707">
        <f>IF(WORKDAY(EOMONTH(F436,0)+$J$21-1,1,'Business Day Paris'!F415:F609)&lt;=EOMONTH(Calendar!F437,0),WORKDAY(EOMONTH(F436,0)+$J$21-1,1,'Business Day Paris'!F415:F609),WORKDAY(EOMONTH(F436,0)+$J$21+1,-1,'Business Day Paris'!F415:F609))</f>
        <v>58193</v>
      </c>
      <c r="K436" s="1238"/>
    </row>
    <row r="437" spans="2:11">
      <c r="B437" s="1248">
        <v>415</v>
      </c>
      <c r="C437" s="2"/>
      <c r="D437" s="1705">
        <f t="shared" si="20"/>
        <v>58166</v>
      </c>
      <c r="E437" s="1706">
        <f t="shared" si="18"/>
        <v>58195</v>
      </c>
      <c r="F437" s="1706">
        <f t="shared" si="19"/>
        <v>58195</v>
      </c>
      <c r="G437" s="1706">
        <f>WORKDAY(F437,$G$21,'Business Day Paris'!F416:F610)</f>
        <v>58209</v>
      </c>
      <c r="H437" s="1706">
        <f>WORKDAY(J437,$H$21,'Business Day Paris'!F416:F610)</f>
        <v>58215</v>
      </c>
      <c r="I437" s="1706">
        <f>WORKDAY(J437,$I$21,'Business Day Paris'!F416:F610)</f>
        <v>58217</v>
      </c>
      <c r="J437" s="1707">
        <f>IF(WORKDAY(EOMONTH(F437,0)+$J$21-1,1,'Business Day Paris'!F416:F610)&lt;=EOMONTH(Calendar!F438,0),WORKDAY(EOMONTH(F437,0)+$J$21-1,1,'Business Day Paris'!F416:F610),WORKDAY(EOMONTH(F437,0)+$J$21+1,-1,'Business Day Paris'!F416:F610))</f>
        <v>58222</v>
      </c>
      <c r="K437" s="1238"/>
    </row>
    <row r="438" spans="2:11">
      <c r="B438" s="1248">
        <v>416</v>
      </c>
      <c r="C438" s="2"/>
      <c r="D438" s="1705">
        <f t="shared" si="20"/>
        <v>58196</v>
      </c>
      <c r="E438" s="1706">
        <f t="shared" si="18"/>
        <v>58226</v>
      </c>
      <c r="F438" s="1706">
        <f t="shared" si="19"/>
        <v>58226</v>
      </c>
      <c r="G438" s="1706">
        <f>WORKDAY(F438,$G$21,'Business Day Paris'!F417:F611)</f>
        <v>58239</v>
      </c>
      <c r="H438" s="1706">
        <f>WORKDAY(J438,$H$21,'Business Day Paris'!F417:F611)</f>
        <v>58246</v>
      </c>
      <c r="I438" s="1706">
        <f>WORKDAY(J438,$I$21,'Business Day Paris'!F417:F611)</f>
        <v>58250</v>
      </c>
      <c r="J438" s="1707">
        <f>IF(WORKDAY(EOMONTH(F438,0)+$J$21-1,1,'Business Day Paris'!F417:F611)&lt;=EOMONTH(Calendar!F439,0),WORKDAY(EOMONTH(F438,0)+$J$21-1,1,'Business Day Paris'!F417:F611),WORKDAY(EOMONTH(F438,0)+$J$21+1,-1,'Business Day Paris'!F417:F611))</f>
        <v>58253</v>
      </c>
      <c r="K438" s="1238"/>
    </row>
    <row r="439" spans="2:11">
      <c r="B439" s="1248">
        <v>417</v>
      </c>
      <c r="C439" s="2"/>
      <c r="D439" s="1705">
        <f t="shared" si="20"/>
        <v>58227</v>
      </c>
      <c r="E439" s="1706">
        <f t="shared" si="18"/>
        <v>58256</v>
      </c>
      <c r="F439" s="1706">
        <f t="shared" si="19"/>
        <v>58256</v>
      </c>
      <c r="G439" s="1706">
        <f>WORKDAY(F439,$G$21,'Business Day Paris'!F418:F612)</f>
        <v>58270</v>
      </c>
      <c r="H439" s="1706">
        <f>WORKDAY(J439,$H$21,'Business Day Paris'!F418:F612)</f>
        <v>58277</v>
      </c>
      <c r="I439" s="1706">
        <f>WORKDAY(J439,$I$21,'Business Day Paris'!F418:F612)</f>
        <v>58279</v>
      </c>
      <c r="J439" s="1707">
        <f>IF(WORKDAY(EOMONTH(F439,0)+$J$21-1,1,'Business Day Paris'!F418:F612)&lt;=EOMONTH(Calendar!F440,0),WORKDAY(EOMONTH(F439,0)+$J$21-1,1,'Business Day Paris'!F418:F612),WORKDAY(EOMONTH(F439,0)+$J$21+1,-1,'Business Day Paris'!F418:F612))</f>
        <v>58284</v>
      </c>
      <c r="K439" s="1238"/>
    </row>
    <row r="440" spans="2:11">
      <c r="B440" s="1248">
        <v>418</v>
      </c>
      <c r="C440" s="2"/>
      <c r="D440" s="1705">
        <f t="shared" si="20"/>
        <v>58257</v>
      </c>
      <c r="E440" s="1706">
        <f t="shared" si="18"/>
        <v>58287</v>
      </c>
      <c r="F440" s="1706">
        <f t="shared" si="19"/>
        <v>58287</v>
      </c>
      <c r="G440" s="1706">
        <f>WORKDAY(F440,$G$21,'Business Day Paris'!F419:F613)</f>
        <v>58301</v>
      </c>
      <c r="H440" s="1706">
        <f>WORKDAY(J440,$H$21,'Business Day Paris'!F419:F613)</f>
        <v>58307</v>
      </c>
      <c r="I440" s="1706">
        <f>WORKDAY(J440,$I$21,'Business Day Paris'!F419:F613)</f>
        <v>58309</v>
      </c>
      <c r="J440" s="1707">
        <f>IF(WORKDAY(EOMONTH(F440,0)+$J$21-1,1,'Business Day Paris'!F419:F613)&lt;=EOMONTH(Calendar!F441,0),WORKDAY(EOMONTH(F440,0)+$J$21-1,1,'Business Day Paris'!F419:F613),WORKDAY(EOMONTH(F440,0)+$J$21+1,-1,'Business Day Paris'!F419:F613))</f>
        <v>58314</v>
      </c>
      <c r="K440" s="1238"/>
    </row>
    <row r="441" spans="2:11">
      <c r="B441" s="1248">
        <v>419</v>
      </c>
      <c r="C441" s="2"/>
      <c r="D441" s="1705">
        <f t="shared" si="20"/>
        <v>58288</v>
      </c>
      <c r="E441" s="1706">
        <f t="shared" si="18"/>
        <v>58318</v>
      </c>
      <c r="F441" s="1706">
        <f t="shared" si="19"/>
        <v>58318</v>
      </c>
      <c r="G441" s="1706">
        <f>WORKDAY(F441,$G$21,'Business Day Paris'!F420:F614)</f>
        <v>58330</v>
      </c>
      <c r="H441" s="1706">
        <f>WORKDAY(J441,$H$21,'Business Day Paris'!F420:F614)</f>
        <v>58340</v>
      </c>
      <c r="I441" s="1706">
        <f>WORKDAY(J441,$I$21,'Business Day Paris'!F420:F614)</f>
        <v>58342</v>
      </c>
      <c r="J441" s="1707">
        <f>IF(WORKDAY(EOMONTH(F441,0)+$J$21-1,1,'Business Day Paris'!F420:F614)&lt;=EOMONTH(Calendar!F442,0),WORKDAY(EOMONTH(F441,0)+$J$21-1,1,'Business Day Paris'!F420:F614),WORKDAY(EOMONTH(F441,0)+$J$21+1,-1,'Business Day Paris'!F420:F614))</f>
        <v>58347</v>
      </c>
      <c r="K441" s="1238"/>
    </row>
    <row r="442" spans="2:11">
      <c r="B442" s="1248">
        <v>420</v>
      </c>
      <c r="C442" s="2"/>
      <c r="D442" s="1705">
        <f t="shared" si="20"/>
        <v>58319</v>
      </c>
      <c r="E442" s="1706">
        <f t="shared" si="18"/>
        <v>58348</v>
      </c>
      <c r="F442" s="1706">
        <f t="shared" si="19"/>
        <v>58348</v>
      </c>
      <c r="G442" s="1706">
        <f>WORKDAY(F442,$G$21,'Business Day Paris'!F421:F615)</f>
        <v>58362</v>
      </c>
      <c r="H442" s="1706">
        <f>WORKDAY(J442,$H$21,'Business Day Paris'!F421:F615)</f>
        <v>58368</v>
      </c>
      <c r="I442" s="1706">
        <f>WORKDAY(J442,$I$21,'Business Day Paris'!F421:F615)</f>
        <v>58370</v>
      </c>
      <c r="J442" s="1707">
        <f>IF(WORKDAY(EOMONTH(F442,0)+$J$21-1,1,'Business Day Paris'!F421:F615)&lt;=EOMONTH(Calendar!F443,0),WORKDAY(EOMONTH(F442,0)+$J$21-1,1,'Business Day Paris'!F421:F615),WORKDAY(EOMONTH(F442,0)+$J$21+1,-1,'Business Day Paris'!F421:F615))</f>
        <v>58375</v>
      </c>
      <c r="K442" s="1238"/>
    </row>
    <row r="443" spans="2:11">
      <c r="B443" s="1248">
        <v>421</v>
      </c>
      <c r="C443" s="2"/>
      <c r="D443" s="1705">
        <f t="shared" si="20"/>
        <v>58349</v>
      </c>
      <c r="E443" s="1706">
        <f t="shared" si="18"/>
        <v>58379</v>
      </c>
      <c r="F443" s="1706">
        <f t="shared" si="19"/>
        <v>58379</v>
      </c>
      <c r="G443" s="1706">
        <f>WORKDAY(F443,$G$21,'Business Day Paris'!F422:F616)</f>
        <v>58393</v>
      </c>
      <c r="H443" s="1706">
        <f>WORKDAY(J443,$H$21,'Business Day Paris'!F422:F616)</f>
        <v>58399</v>
      </c>
      <c r="I443" s="1706">
        <f>WORKDAY(J443,$I$21,'Business Day Paris'!F422:F616)</f>
        <v>58403</v>
      </c>
      <c r="J443" s="1707">
        <f>IF(WORKDAY(EOMONTH(F443,0)+$J$21-1,1,'Business Day Paris'!F422:F616)&lt;=EOMONTH(Calendar!F444,0),WORKDAY(EOMONTH(F443,0)+$J$21-1,1,'Business Day Paris'!F422:F616),WORKDAY(EOMONTH(F443,0)+$J$21+1,-1,'Business Day Paris'!F422:F616))</f>
        <v>58406</v>
      </c>
      <c r="K443" s="1238"/>
    </row>
    <row r="444" spans="2:11">
      <c r="B444" s="1248">
        <v>422</v>
      </c>
      <c r="C444" s="2"/>
      <c r="D444" s="1705">
        <f t="shared" si="20"/>
        <v>58380</v>
      </c>
      <c r="E444" s="1706">
        <f t="shared" si="18"/>
        <v>58409</v>
      </c>
      <c r="F444" s="1706">
        <f t="shared" si="19"/>
        <v>58409</v>
      </c>
      <c r="G444" s="1706">
        <f>WORKDAY(F444,$G$21,'Business Day Paris'!F423:F617)</f>
        <v>58421</v>
      </c>
      <c r="H444" s="1706">
        <f>WORKDAY(J444,$H$21,'Business Day Paris'!F423:F617)</f>
        <v>58431</v>
      </c>
      <c r="I444" s="1706">
        <f>WORKDAY(J444,$I$21,'Business Day Paris'!F423:F617)</f>
        <v>58433</v>
      </c>
      <c r="J444" s="1707">
        <f>IF(WORKDAY(EOMONTH(F444,0)+$J$21-1,1,'Business Day Paris'!F423:F617)&lt;=EOMONTH(Calendar!F445,0),WORKDAY(EOMONTH(F444,0)+$J$21-1,1,'Business Day Paris'!F423:F617),WORKDAY(EOMONTH(F444,0)+$J$21+1,-1,'Business Day Paris'!F423:F617))</f>
        <v>58438</v>
      </c>
      <c r="K444" s="1238"/>
    </row>
    <row r="445" spans="2:11">
      <c r="B445" s="1248">
        <v>423</v>
      </c>
      <c r="C445" s="2"/>
      <c r="D445" s="1705">
        <f t="shared" si="20"/>
        <v>58410</v>
      </c>
      <c r="E445" s="1706">
        <f t="shared" si="18"/>
        <v>58440</v>
      </c>
      <c r="F445" s="1706">
        <f t="shared" si="19"/>
        <v>58440</v>
      </c>
      <c r="G445" s="1706">
        <f>WORKDAY(F445,$G$21,'Business Day Paris'!F424:F618)</f>
        <v>58454</v>
      </c>
      <c r="H445" s="1706">
        <f>WORKDAY(J445,$H$21,'Business Day Paris'!F424:F618)</f>
        <v>58460</v>
      </c>
      <c r="I445" s="1706">
        <f>WORKDAY(J445,$I$21,'Business Day Paris'!F424:F618)</f>
        <v>58462</v>
      </c>
      <c r="J445" s="1707">
        <f>IF(WORKDAY(EOMONTH(F445,0)+$J$21-1,1,'Business Day Paris'!F424:F618)&lt;=EOMONTH(Calendar!F446,0),WORKDAY(EOMONTH(F445,0)+$J$21-1,1,'Business Day Paris'!F424:F618),WORKDAY(EOMONTH(F445,0)+$J$21+1,-1,'Business Day Paris'!F424:F618))</f>
        <v>58467</v>
      </c>
      <c r="K445" s="1238"/>
    </row>
    <row r="446" spans="2:11">
      <c r="B446" s="1248">
        <v>424</v>
      </c>
      <c r="C446" s="2"/>
      <c r="D446" s="1705">
        <f t="shared" si="20"/>
        <v>58441</v>
      </c>
      <c r="E446" s="1706">
        <f t="shared" si="18"/>
        <v>58471</v>
      </c>
      <c r="F446" s="1706">
        <f t="shared" si="19"/>
        <v>58471</v>
      </c>
      <c r="G446" s="1706">
        <f>WORKDAY(F446,$G$21,'Business Day Paris'!F425:F619)</f>
        <v>58484</v>
      </c>
      <c r="H446" s="1706">
        <f>WORKDAY(J446,$H$21,'Business Day Paris'!F425:F619)</f>
        <v>58491</v>
      </c>
      <c r="I446" s="1706">
        <f>WORKDAY(J446,$I$21,'Business Day Paris'!F425:F619)</f>
        <v>58495</v>
      </c>
      <c r="J446" s="1707">
        <f>IF(WORKDAY(EOMONTH(F446,0)+$J$21-1,1,'Business Day Paris'!F425:F619)&lt;=EOMONTH(Calendar!F447,0),WORKDAY(EOMONTH(F446,0)+$J$21-1,1,'Business Day Paris'!F425:F619),WORKDAY(EOMONTH(F446,0)+$J$21+1,-1,'Business Day Paris'!F425:F619))</f>
        <v>58498</v>
      </c>
      <c r="K446" s="1238"/>
    </row>
    <row r="447" spans="2:11">
      <c r="B447" s="1248">
        <v>425</v>
      </c>
      <c r="C447" s="2"/>
      <c r="D447" s="1705">
        <f t="shared" si="20"/>
        <v>58472</v>
      </c>
      <c r="E447" s="1706">
        <f t="shared" si="18"/>
        <v>58500</v>
      </c>
      <c r="F447" s="1706">
        <f t="shared" si="19"/>
        <v>58500</v>
      </c>
      <c r="G447" s="1706">
        <f>WORKDAY(F447,$G$21,'Business Day Paris'!F426:F620)</f>
        <v>58512</v>
      </c>
      <c r="H447" s="1706">
        <f>WORKDAY(J447,$H$21,'Business Day Paris'!F426:F620)</f>
        <v>58522</v>
      </c>
      <c r="I447" s="1706">
        <f>WORKDAY(J447,$I$21,'Business Day Paris'!F426:F620)</f>
        <v>58524</v>
      </c>
      <c r="J447" s="1707">
        <f>IF(WORKDAY(EOMONTH(F447,0)+$J$21-1,1,'Business Day Paris'!F426:F620)&lt;=EOMONTH(Calendar!F448,0),WORKDAY(EOMONTH(F447,0)+$J$21-1,1,'Business Day Paris'!F426:F620),WORKDAY(EOMONTH(F447,0)+$J$21+1,-1,'Business Day Paris'!F426:F620))</f>
        <v>58529</v>
      </c>
      <c r="K447" s="1238"/>
    </row>
    <row r="448" spans="2:11">
      <c r="B448" s="1248">
        <v>426</v>
      </c>
      <c r="C448" s="2"/>
      <c r="D448" s="1705">
        <f t="shared" si="20"/>
        <v>58501</v>
      </c>
      <c r="E448" s="1706">
        <f t="shared" si="18"/>
        <v>58531</v>
      </c>
      <c r="F448" s="1706">
        <f t="shared" si="19"/>
        <v>58531</v>
      </c>
      <c r="G448" s="1706">
        <f>WORKDAY(F448,$G$21,'Business Day Paris'!F427:F621)</f>
        <v>58545</v>
      </c>
      <c r="H448" s="1706">
        <f>WORKDAY(J448,$H$21,'Business Day Paris'!F427:F621)</f>
        <v>58551</v>
      </c>
      <c r="I448" s="1706">
        <f>WORKDAY(J448,$I$21,'Business Day Paris'!F427:F621)</f>
        <v>58553</v>
      </c>
      <c r="J448" s="1707">
        <f>IF(WORKDAY(EOMONTH(F448,0)+$J$21-1,1,'Business Day Paris'!F427:F621)&lt;=EOMONTH(Calendar!F449,0),WORKDAY(EOMONTH(F448,0)+$J$21-1,1,'Business Day Paris'!F427:F621),WORKDAY(EOMONTH(F448,0)+$J$21+1,-1,'Business Day Paris'!F427:F621))</f>
        <v>58558</v>
      </c>
      <c r="K448" s="1238"/>
    </row>
    <row r="449" spans="2:11">
      <c r="B449" s="1248">
        <v>427</v>
      </c>
      <c r="C449" s="2"/>
      <c r="D449" s="1705">
        <f t="shared" si="20"/>
        <v>58532</v>
      </c>
      <c r="E449" s="1706">
        <f t="shared" si="18"/>
        <v>58561</v>
      </c>
      <c r="F449" s="1706">
        <f t="shared" si="19"/>
        <v>58561</v>
      </c>
      <c r="G449" s="1706">
        <f>WORKDAY(F449,$G$21,'Business Day Paris'!F428:F622)</f>
        <v>58575</v>
      </c>
      <c r="H449" s="1706">
        <f>WORKDAY(J449,$H$21,'Business Day Paris'!F428:F622)</f>
        <v>58581</v>
      </c>
      <c r="I449" s="1706">
        <f>WORKDAY(J449,$I$21,'Business Day Paris'!F428:F622)</f>
        <v>58585</v>
      </c>
      <c r="J449" s="1707">
        <f>IF(WORKDAY(EOMONTH(F449,0)+$J$21-1,1,'Business Day Paris'!F428:F622)&lt;=EOMONTH(Calendar!F450,0),WORKDAY(EOMONTH(F449,0)+$J$21-1,1,'Business Day Paris'!F428:F622),WORKDAY(EOMONTH(F449,0)+$J$21+1,-1,'Business Day Paris'!F428:F622))</f>
        <v>58588</v>
      </c>
      <c r="K449" s="1238"/>
    </row>
    <row r="450" spans="2:11">
      <c r="B450" s="1248">
        <v>428</v>
      </c>
      <c r="C450" s="2"/>
      <c r="D450" s="1705">
        <f t="shared" si="20"/>
        <v>58562</v>
      </c>
      <c r="E450" s="1706">
        <f t="shared" si="18"/>
        <v>58592</v>
      </c>
      <c r="F450" s="1706">
        <f t="shared" si="19"/>
        <v>58592</v>
      </c>
      <c r="G450" s="1706">
        <f>WORKDAY(F450,$G$21,'Business Day Paris'!F429:F623)</f>
        <v>58606</v>
      </c>
      <c r="H450" s="1706">
        <f>WORKDAY(J450,$H$21,'Business Day Paris'!F429:F623)</f>
        <v>58613</v>
      </c>
      <c r="I450" s="1706">
        <f>WORKDAY(J450,$I$21,'Business Day Paris'!F429:F623)</f>
        <v>58615</v>
      </c>
      <c r="J450" s="1707">
        <f>IF(WORKDAY(EOMONTH(F450,0)+$J$21-1,1,'Business Day Paris'!F429:F623)&lt;=EOMONTH(Calendar!F451,0),WORKDAY(EOMONTH(F450,0)+$J$21-1,1,'Business Day Paris'!F429:F623),WORKDAY(EOMONTH(F450,0)+$J$21+1,-1,'Business Day Paris'!F429:F623))</f>
        <v>58620</v>
      </c>
      <c r="K450" s="1238"/>
    </row>
    <row r="451" spans="2:11">
      <c r="B451" s="1248">
        <v>429</v>
      </c>
      <c r="C451" s="2"/>
      <c r="D451" s="1705">
        <f t="shared" si="20"/>
        <v>58593</v>
      </c>
      <c r="E451" s="1706">
        <f t="shared" si="18"/>
        <v>58622</v>
      </c>
      <c r="F451" s="1706">
        <f t="shared" si="19"/>
        <v>58622</v>
      </c>
      <c r="G451" s="1706">
        <f>WORKDAY(F451,$G$21,'Business Day Paris'!F430:F624)</f>
        <v>58636</v>
      </c>
      <c r="H451" s="1706">
        <f>WORKDAY(J451,$H$21,'Business Day Paris'!F430:F624)</f>
        <v>58642</v>
      </c>
      <c r="I451" s="1706">
        <f>WORKDAY(J451,$I$21,'Business Day Paris'!F430:F624)</f>
        <v>58644</v>
      </c>
      <c r="J451" s="1707">
        <f>IF(WORKDAY(EOMONTH(F451,0)+$J$21-1,1,'Business Day Paris'!F430:F624)&lt;=EOMONTH(Calendar!F452,0),WORKDAY(EOMONTH(F451,0)+$J$21-1,1,'Business Day Paris'!F430:F624),WORKDAY(EOMONTH(F451,0)+$J$21+1,-1,'Business Day Paris'!F430:F624))</f>
        <v>58649</v>
      </c>
      <c r="K451" s="1238"/>
    </row>
    <row r="452" spans="2:11">
      <c r="B452" s="1248">
        <v>430</v>
      </c>
      <c r="C452" s="2"/>
      <c r="D452" s="1705">
        <f t="shared" si="20"/>
        <v>58623</v>
      </c>
      <c r="E452" s="1706">
        <f t="shared" si="18"/>
        <v>58653</v>
      </c>
      <c r="F452" s="1706">
        <f t="shared" si="19"/>
        <v>58653</v>
      </c>
      <c r="G452" s="1706">
        <f>WORKDAY(F452,$G$21,'Business Day Paris'!F431:F625)</f>
        <v>58666</v>
      </c>
      <c r="H452" s="1706">
        <f>WORKDAY(J452,$H$21,'Business Day Paris'!F431:F625)</f>
        <v>58673</v>
      </c>
      <c r="I452" s="1706">
        <f>WORKDAY(J452,$I$21,'Business Day Paris'!F431:F625)</f>
        <v>58677</v>
      </c>
      <c r="J452" s="1707">
        <f>IF(WORKDAY(EOMONTH(F452,0)+$J$21-1,1,'Business Day Paris'!F431:F625)&lt;=EOMONTH(Calendar!F453,0),WORKDAY(EOMONTH(F452,0)+$J$21-1,1,'Business Day Paris'!F431:F625),WORKDAY(EOMONTH(F452,0)+$J$21+1,-1,'Business Day Paris'!F431:F625))</f>
        <v>58680</v>
      </c>
      <c r="K452" s="1238"/>
    </row>
    <row r="453" spans="2:11">
      <c r="B453" s="1248">
        <v>431</v>
      </c>
      <c r="C453" s="2"/>
      <c r="D453" s="1705">
        <f t="shared" si="20"/>
        <v>58654</v>
      </c>
      <c r="E453" s="1706">
        <f t="shared" si="18"/>
        <v>58684</v>
      </c>
      <c r="F453" s="1706">
        <f t="shared" si="19"/>
        <v>58684</v>
      </c>
      <c r="G453" s="1706">
        <f>WORKDAY(F453,$G$21,'Business Day Paris'!F432:F626)</f>
        <v>58698</v>
      </c>
      <c r="H453" s="1706">
        <f>WORKDAY(J453,$H$21,'Business Day Paris'!F432:F626)</f>
        <v>58704</v>
      </c>
      <c r="I453" s="1706">
        <f>WORKDAY(J453,$I$21,'Business Day Paris'!F432:F626)</f>
        <v>58706</v>
      </c>
      <c r="J453" s="1707">
        <f>IF(WORKDAY(EOMONTH(F453,0)+$J$21-1,1,'Business Day Paris'!F432:F626)&lt;=EOMONTH(Calendar!F454,0),WORKDAY(EOMONTH(F453,0)+$J$21-1,1,'Business Day Paris'!F432:F626),WORKDAY(EOMONTH(F453,0)+$J$21+1,-1,'Business Day Paris'!F432:F626))</f>
        <v>58711</v>
      </c>
      <c r="K453" s="1238"/>
    </row>
    <row r="454" spans="2:11">
      <c r="B454" s="1248">
        <v>432</v>
      </c>
      <c r="C454" s="2"/>
      <c r="D454" s="1705">
        <f t="shared" si="20"/>
        <v>58685</v>
      </c>
      <c r="E454" s="1706">
        <f t="shared" si="18"/>
        <v>58714</v>
      </c>
      <c r="F454" s="1706">
        <f t="shared" si="19"/>
        <v>58714</v>
      </c>
      <c r="G454" s="1706">
        <f>WORKDAY(F454,$G$21,'Business Day Paris'!F433:F627)</f>
        <v>58728</v>
      </c>
      <c r="H454" s="1706">
        <f>WORKDAY(J454,$H$21,'Business Day Paris'!F433:F627)</f>
        <v>58734</v>
      </c>
      <c r="I454" s="1706">
        <f>WORKDAY(J454,$I$21,'Business Day Paris'!F433:F627)</f>
        <v>58736</v>
      </c>
      <c r="J454" s="1707">
        <f>IF(WORKDAY(EOMONTH(F454,0)+$J$21-1,1,'Business Day Paris'!F433:F627)&lt;=EOMONTH(Calendar!F455,0),WORKDAY(EOMONTH(F454,0)+$J$21-1,1,'Business Day Paris'!F433:F627),WORKDAY(EOMONTH(F454,0)+$J$21+1,-1,'Business Day Paris'!F433:F627))</f>
        <v>58741</v>
      </c>
      <c r="K454" s="1238"/>
    </row>
    <row r="455" spans="2:11">
      <c r="B455" s="1248">
        <v>433</v>
      </c>
      <c r="C455" s="2"/>
      <c r="D455" s="1705">
        <f t="shared" si="20"/>
        <v>58715</v>
      </c>
      <c r="E455" s="1706">
        <f t="shared" si="18"/>
        <v>58745</v>
      </c>
      <c r="F455" s="1706">
        <f t="shared" si="19"/>
        <v>58745</v>
      </c>
      <c r="G455" s="1706">
        <f>WORKDAY(F455,$G$21,'Business Day Paris'!F434:F628)</f>
        <v>58757</v>
      </c>
      <c r="H455" s="1706">
        <f>WORKDAY(J455,$H$21,'Business Day Paris'!F434:F628)</f>
        <v>58767</v>
      </c>
      <c r="I455" s="1706">
        <f>WORKDAY(J455,$I$21,'Business Day Paris'!F434:F628)</f>
        <v>58769</v>
      </c>
      <c r="J455" s="1707">
        <f>IF(WORKDAY(EOMONTH(F455,0)+$J$21-1,1,'Business Day Paris'!F434:F628)&lt;=EOMONTH(Calendar!F456,0),WORKDAY(EOMONTH(F455,0)+$J$21-1,1,'Business Day Paris'!F434:F628),WORKDAY(EOMONTH(F455,0)+$J$21+1,-1,'Business Day Paris'!F434:F628))</f>
        <v>58774</v>
      </c>
      <c r="K455" s="1238"/>
    </row>
    <row r="456" spans="2:11">
      <c r="B456" s="1248">
        <v>434</v>
      </c>
      <c r="C456" s="2"/>
      <c r="D456" s="1705">
        <f t="shared" si="20"/>
        <v>58746</v>
      </c>
      <c r="E456" s="1706">
        <f t="shared" si="18"/>
        <v>58775</v>
      </c>
      <c r="F456" s="1706">
        <f t="shared" si="19"/>
        <v>58775</v>
      </c>
      <c r="G456" s="1706">
        <f>WORKDAY(F456,$G$21,'Business Day Paris'!F435:F629)</f>
        <v>58789</v>
      </c>
      <c r="H456" s="1706">
        <f>WORKDAY(J456,$H$21,'Business Day Paris'!F435:F629)</f>
        <v>58795</v>
      </c>
      <c r="I456" s="1706">
        <f>WORKDAY(J456,$I$21,'Business Day Paris'!F435:F629)</f>
        <v>58797</v>
      </c>
      <c r="J456" s="1707">
        <f>IF(WORKDAY(EOMONTH(F456,0)+$J$21-1,1,'Business Day Paris'!F435:F629)&lt;=EOMONTH(Calendar!F457,0),WORKDAY(EOMONTH(F456,0)+$J$21-1,1,'Business Day Paris'!F435:F629),WORKDAY(EOMONTH(F456,0)+$J$21+1,-1,'Business Day Paris'!F435:F629))</f>
        <v>58802</v>
      </c>
      <c r="K456" s="1238"/>
    </row>
    <row r="457" spans="2:11">
      <c r="B457" s="1248">
        <v>435</v>
      </c>
      <c r="C457" s="2"/>
      <c r="D457" s="1705">
        <f t="shared" si="20"/>
        <v>58776</v>
      </c>
      <c r="E457" s="1706">
        <f t="shared" si="18"/>
        <v>58806</v>
      </c>
      <c r="F457" s="1706">
        <f t="shared" si="19"/>
        <v>58806</v>
      </c>
      <c r="G457" s="1706">
        <f>WORKDAY(F457,$G$21,'Business Day Paris'!F436:F630)</f>
        <v>58820</v>
      </c>
      <c r="H457" s="1706">
        <f>WORKDAY(J457,$H$21,'Business Day Paris'!F436:F630)</f>
        <v>58826</v>
      </c>
      <c r="I457" s="1706">
        <f>WORKDAY(J457,$I$21,'Business Day Paris'!F436:F630)</f>
        <v>58830</v>
      </c>
      <c r="J457" s="1707">
        <f>IF(WORKDAY(EOMONTH(F457,0)+$J$21-1,1,'Business Day Paris'!F436:F630)&lt;=EOMONTH(Calendar!F458,0),WORKDAY(EOMONTH(F457,0)+$J$21-1,1,'Business Day Paris'!F436:F630),WORKDAY(EOMONTH(F457,0)+$J$21+1,-1,'Business Day Paris'!F436:F630))</f>
        <v>58833</v>
      </c>
      <c r="K457" s="1238"/>
    </row>
    <row r="458" spans="2:11">
      <c r="B458" s="1248">
        <v>436</v>
      </c>
      <c r="C458" s="2"/>
      <c r="D458" s="1705">
        <f t="shared" si="20"/>
        <v>58807</v>
      </c>
      <c r="E458" s="1706">
        <f t="shared" si="18"/>
        <v>58837</v>
      </c>
      <c r="F458" s="1706">
        <f t="shared" si="19"/>
        <v>58837</v>
      </c>
      <c r="G458" s="1706">
        <f>WORKDAY(F458,$G$21,'Business Day Paris'!F437:F631)</f>
        <v>58851</v>
      </c>
      <c r="H458" s="1706">
        <f>WORKDAY(J458,$H$21,'Business Day Paris'!F437:F631)</f>
        <v>58858</v>
      </c>
      <c r="I458" s="1706">
        <f>WORKDAY(J458,$I$21,'Business Day Paris'!F437:F631)</f>
        <v>58860</v>
      </c>
      <c r="J458" s="1707">
        <f>IF(WORKDAY(EOMONTH(F458,0)+$J$21-1,1,'Business Day Paris'!F437:F631)&lt;=EOMONTH(Calendar!F459,0),WORKDAY(EOMONTH(F458,0)+$J$21-1,1,'Business Day Paris'!F437:F631),WORKDAY(EOMONTH(F458,0)+$J$21+1,-1,'Business Day Paris'!F437:F631))</f>
        <v>58865</v>
      </c>
      <c r="K458" s="1238"/>
    </row>
    <row r="459" spans="2:11">
      <c r="B459" s="1248">
        <v>437</v>
      </c>
      <c r="C459" s="2"/>
      <c r="D459" s="1705">
        <f t="shared" si="20"/>
        <v>58838</v>
      </c>
      <c r="E459" s="1706">
        <f t="shared" si="18"/>
        <v>58865</v>
      </c>
      <c r="F459" s="1706">
        <f t="shared" si="19"/>
        <v>58865</v>
      </c>
      <c r="G459" s="1706">
        <f>WORKDAY(F459,$G$21,'Business Day Paris'!F438:F632)</f>
        <v>58879</v>
      </c>
      <c r="H459" s="1706">
        <f>WORKDAY(J459,$H$21,'Business Day Paris'!F438:F632)</f>
        <v>58886</v>
      </c>
      <c r="I459" s="1706">
        <f>WORKDAY(J459,$I$21,'Business Day Paris'!F438:F632)</f>
        <v>58888</v>
      </c>
      <c r="J459" s="1707">
        <f>IF(WORKDAY(EOMONTH(F459,0)+$J$21-1,1,'Business Day Paris'!F438:F632)&lt;=EOMONTH(Calendar!F460,0),WORKDAY(EOMONTH(F459,0)+$J$21-1,1,'Business Day Paris'!F438:F632),WORKDAY(EOMONTH(F459,0)+$J$21+1,-1,'Business Day Paris'!F438:F632))</f>
        <v>58893</v>
      </c>
      <c r="K459" s="1238"/>
    </row>
    <row r="460" spans="2:11">
      <c r="B460" s="1248">
        <v>438</v>
      </c>
      <c r="C460" s="2"/>
      <c r="D460" s="1705">
        <f t="shared" si="20"/>
        <v>58866</v>
      </c>
      <c r="E460" s="1706">
        <f t="shared" si="18"/>
        <v>58896</v>
      </c>
      <c r="F460" s="1706">
        <f t="shared" si="19"/>
        <v>58896</v>
      </c>
      <c r="G460" s="1706">
        <f>WORKDAY(F460,$G$21,'Business Day Paris'!F439:F633)</f>
        <v>58910</v>
      </c>
      <c r="H460" s="1706">
        <f>WORKDAY(J460,$H$21,'Business Day Paris'!F439:F633)</f>
        <v>58916</v>
      </c>
      <c r="I460" s="1706">
        <f>WORKDAY(J460,$I$21,'Business Day Paris'!F439:F633)</f>
        <v>58918</v>
      </c>
      <c r="J460" s="1707">
        <f>IF(WORKDAY(EOMONTH(F460,0)+$J$21-1,1,'Business Day Paris'!F439:F633)&lt;=EOMONTH(Calendar!F461,0),WORKDAY(EOMONTH(F460,0)+$J$21-1,1,'Business Day Paris'!F439:F633),WORKDAY(EOMONTH(F460,0)+$J$21+1,-1,'Business Day Paris'!F439:F633))</f>
        <v>58923</v>
      </c>
      <c r="K460" s="1238"/>
    </row>
    <row r="461" spans="2:11">
      <c r="B461" s="1248">
        <v>439</v>
      </c>
      <c r="C461" s="2"/>
      <c r="D461" s="1705">
        <f t="shared" si="20"/>
        <v>58897</v>
      </c>
      <c r="E461" s="1706">
        <f t="shared" si="18"/>
        <v>58926</v>
      </c>
      <c r="F461" s="1706">
        <f t="shared" si="19"/>
        <v>58926</v>
      </c>
      <c r="G461" s="1706">
        <f>WORKDAY(F461,$G$21,'Business Day Paris'!F440:F634)</f>
        <v>58939</v>
      </c>
      <c r="H461" s="1706">
        <f>WORKDAY(J461,$H$21,'Business Day Paris'!F440:F634)</f>
        <v>58946</v>
      </c>
      <c r="I461" s="1706">
        <f>WORKDAY(J461,$I$21,'Business Day Paris'!F440:F634)</f>
        <v>58950</v>
      </c>
      <c r="J461" s="1707">
        <f>IF(WORKDAY(EOMONTH(F461,0)+$J$21-1,1,'Business Day Paris'!F440:F634)&lt;=EOMONTH(Calendar!F462,0),WORKDAY(EOMONTH(F461,0)+$J$21-1,1,'Business Day Paris'!F440:F634),WORKDAY(EOMONTH(F461,0)+$J$21+1,-1,'Business Day Paris'!F440:F634))</f>
        <v>58953</v>
      </c>
      <c r="K461" s="1238"/>
    </row>
    <row r="462" spans="2:11">
      <c r="B462" s="1248">
        <v>440</v>
      </c>
      <c r="C462" s="2"/>
      <c r="D462" s="1705">
        <f t="shared" si="20"/>
        <v>58927</v>
      </c>
      <c r="E462" s="1706">
        <f t="shared" si="18"/>
        <v>58957</v>
      </c>
      <c r="F462" s="1706">
        <f t="shared" si="19"/>
        <v>58957</v>
      </c>
      <c r="G462" s="1706">
        <f>WORKDAY(F462,$G$21,'Business Day Paris'!F441:F635)</f>
        <v>58971</v>
      </c>
      <c r="H462" s="1706">
        <f>WORKDAY(J462,$H$21,'Business Day Paris'!F441:F635)</f>
        <v>58977</v>
      </c>
      <c r="I462" s="1706">
        <f>WORKDAY(J462,$I$21,'Business Day Paris'!F441:F635)</f>
        <v>58979</v>
      </c>
      <c r="J462" s="1707">
        <f>IF(WORKDAY(EOMONTH(F462,0)+$J$21-1,1,'Business Day Paris'!F441:F635)&lt;=EOMONTH(Calendar!F463,0),WORKDAY(EOMONTH(F462,0)+$J$21-1,1,'Business Day Paris'!F441:F635),WORKDAY(EOMONTH(F462,0)+$J$21+1,-1,'Business Day Paris'!F441:F635))</f>
        <v>58984</v>
      </c>
      <c r="K462" s="1238"/>
    </row>
    <row r="463" spans="2:11">
      <c r="B463" s="1248">
        <v>441</v>
      </c>
      <c r="C463" s="2"/>
      <c r="D463" s="1705">
        <f t="shared" si="20"/>
        <v>58958</v>
      </c>
      <c r="E463" s="1706">
        <f t="shared" si="18"/>
        <v>58987</v>
      </c>
      <c r="F463" s="1706">
        <f t="shared" si="19"/>
        <v>58987</v>
      </c>
      <c r="G463" s="1706">
        <f>WORKDAY(F463,$G$21,'Business Day Paris'!F442:F636)</f>
        <v>59001</v>
      </c>
      <c r="H463" s="1706">
        <f>WORKDAY(J463,$H$21,'Business Day Paris'!F442:F636)</f>
        <v>59007</v>
      </c>
      <c r="I463" s="1706">
        <f>WORKDAY(J463,$I$21,'Business Day Paris'!F442:F636)</f>
        <v>59009</v>
      </c>
      <c r="J463" s="1707">
        <f>IF(WORKDAY(EOMONTH(F463,0)+$J$21-1,1,'Business Day Paris'!F442:F636)&lt;=EOMONTH(Calendar!F464,0),WORKDAY(EOMONTH(F463,0)+$J$21-1,1,'Business Day Paris'!F442:F636),WORKDAY(EOMONTH(F463,0)+$J$21+1,-1,'Business Day Paris'!F442:F636))</f>
        <v>59014</v>
      </c>
      <c r="K463" s="1238"/>
    </row>
    <row r="464" spans="2:11">
      <c r="B464" s="1248">
        <v>442</v>
      </c>
      <c r="C464" s="2"/>
      <c r="D464" s="1705">
        <f t="shared" si="20"/>
        <v>58988</v>
      </c>
      <c r="E464" s="1706">
        <f t="shared" si="18"/>
        <v>59018</v>
      </c>
      <c r="F464" s="1706">
        <f t="shared" si="19"/>
        <v>59018</v>
      </c>
      <c r="G464" s="1706">
        <f>WORKDAY(F464,$G$21,'Business Day Paris'!F443:F637)</f>
        <v>59030</v>
      </c>
      <c r="H464" s="1706">
        <f>WORKDAY(J464,$H$21,'Business Day Paris'!F443:F637)</f>
        <v>59040</v>
      </c>
      <c r="I464" s="1706">
        <f>WORKDAY(J464,$I$21,'Business Day Paris'!F443:F637)</f>
        <v>59042</v>
      </c>
      <c r="J464" s="1707">
        <f>IF(WORKDAY(EOMONTH(F464,0)+$J$21-1,1,'Business Day Paris'!F443:F637)&lt;=EOMONTH(Calendar!F465,0),WORKDAY(EOMONTH(F464,0)+$J$21-1,1,'Business Day Paris'!F443:F637),WORKDAY(EOMONTH(F464,0)+$J$21+1,-1,'Business Day Paris'!F443:F637))</f>
        <v>59047</v>
      </c>
      <c r="K464" s="1238"/>
    </row>
    <row r="465" spans="2:11">
      <c r="B465" s="1248">
        <v>443</v>
      </c>
      <c r="C465" s="2"/>
      <c r="D465" s="1705">
        <f t="shared" si="20"/>
        <v>59019</v>
      </c>
      <c r="E465" s="1706">
        <f t="shared" si="18"/>
        <v>59049</v>
      </c>
      <c r="F465" s="1706">
        <f t="shared" si="19"/>
        <v>59049</v>
      </c>
      <c r="G465" s="1706">
        <f>WORKDAY(F465,$G$21,'Business Day Paris'!F444:F638)</f>
        <v>59063</v>
      </c>
      <c r="H465" s="1706">
        <f>WORKDAY(J465,$H$21,'Business Day Paris'!F444:F638)</f>
        <v>59069</v>
      </c>
      <c r="I465" s="1706">
        <f>WORKDAY(J465,$I$21,'Business Day Paris'!F444:F638)</f>
        <v>59071</v>
      </c>
      <c r="J465" s="1707">
        <f>IF(WORKDAY(EOMONTH(F465,0)+$J$21-1,1,'Business Day Paris'!F444:F638)&lt;=EOMONTH(Calendar!F466,0),WORKDAY(EOMONTH(F465,0)+$J$21-1,1,'Business Day Paris'!F444:F638),WORKDAY(EOMONTH(F465,0)+$J$21+1,-1,'Business Day Paris'!F444:F638))</f>
        <v>59076</v>
      </c>
      <c r="K465" s="1238"/>
    </row>
    <row r="466" spans="2:11">
      <c r="B466" s="1248">
        <v>444</v>
      </c>
      <c r="C466" s="2"/>
      <c r="D466" s="1705">
        <f t="shared" si="20"/>
        <v>59050</v>
      </c>
      <c r="E466" s="1706">
        <f t="shared" si="18"/>
        <v>59079</v>
      </c>
      <c r="F466" s="1706">
        <f t="shared" si="19"/>
        <v>59079</v>
      </c>
      <c r="G466" s="1706">
        <f>WORKDAY(F466,$G$21,'Business Day Paris'!F445:F639)</f>
        <v>59093</v>
      </c>
      <c r="H466" s="1706">
        <f>WORKDAY(J466,$H$21,'Business Day Paris'!F445:F639)</f>
        <v>59099</v>
      </c>
      <c r="I466" s="1706">
        <f>WORKDAY(J466,$I$21,'Business Day Paris'!F445:F639)</f>
        <v>59103</v>
      </c>
      <c r="J466" s="1707">
        <f>IF(WORKDAY(EOMONTH(F466,0)+$J$21-1,1,'Business Day Paris'!F445:F639)&lt;=EOMONTH(Calendar!F467,0),WORKDAY(EOMONTH(F466,0)+$J$21-1,1,'Business Day Paris'!F445:F639),WORKDAY(EOMONTH(F466,0)+$J$21+1,-1,'Business Day Paris'!F445:F639))</f>
        <v>59106</v>
      </c>
      <c r="K466" s="1238"/>
    </row>
    <row r="467" spans="2:11">
      <c r="B467" s="1248">
        <v>445</v>
      </c>
      <c r="C467" s="2"/>
      <c r="D467" s="1705">
        <f t="shared" si="20"/>
        <v>59080</v>
      </c>
      <c r="E467" s="1706">
        <f t="shared" si="18"/>
        <v>59110</v>
      </c>
      <c r="F467" s="1706">
        <f t="shared" si="19"/>
        <v>59110</v>
      </c>
      <c r="G467" s="1706">
        <f>WORKDAY(F467,$G$21,'Business Day Paris'!F446:F640)</f>
        <v>59124</v>
      </c>
      <c r="H467" s="1706">
        <f>WORKDAY(J467,$H$21,'Business Day Paris'!F446:F640)</f>
        <v>59131</v>
      </c>
      <c r="I467" s="1706">
        <f>WORKDAY(J467,$I$21,'Business Day Paris'!F446:F640)</f>
        <v>59133</v>
      </c>
      <c r="J467" s="1707">
        <f>IF(WORKDAY(EOMONTH(F467,0)+$J$21-1,1,'Business Day Paris'!F446:F640)&lt;=EOMONTH(Calendar!F468,0),WORKDAY(EOMONTH(F467,0)+$J$21-1,1,'Business Day Paris'!F446:F640),WORKDAY(EOMONTH(F467,0)+$J$21+1,-1,'Business Day Paris'!F446:F640))</f>
        <v>59138</v>
      </c>
      <c r="K467" s="1238"/>
    </row>
    <row r="468" spans="2:11">
      <c r="B468" s="1248">
        <v>446</v>
      </c>
      <c r="C468" s="2"/>
      <c r="D468" s="1705">
        <f t="shared" si="20"/>
        <v>59111</v>
      </c>
      <c r="E468" s="1706">
        <f t="shared" si="18"/>
        <v>59140</v>
      </c>
      <c r="F468" s="1706">
        <f t="shared" si="19"/>
        <v>59140</v>
      </c>
      <c r="G468" s="1706">
        <f>WORKDAY(F468,$G$21,'Business Day Paris'!F447:F641)</f>
        <v>59154</v>
      </c>
      <c r="H468" s="1706">
        <f>WORKDAY(J468,$H$21,'Business Day Paris'!F447:F641)</f>
        <v>59160</v>
      </c>
      <c r="I468" s="1706">
        <f>WORKDAY(J468,$I$21,'Business Day Paris'!F447:F641)</f>
        <v>59162</v>
      </c>
      <c r="J468" s="1707">
        <f>IF(WORKDAY(EOMONTH(F468,0)+$J$21-1,1,'Business Day Paris'!F447:F641)&lt;=EOMONTH(Calendar!F469,0),WORKDAY(EOMONTH(F468,0)+$J$21-1,1,'Business Day Paris'!F447:F641),WORKDAY(EOMONTH(F468,0)+$J$21+1,-1,'Business Day Paris'!F447:F641))</f>
        <v>59167</v>
      </c>
      <c r="K468" s="1238"/>
    </row>
    <row r="469" spans="2:11">
      <c r="B469" s="1248">
        <v>447</v>
      </c>
      <c r="C469" s="2"/>
      <c r="D469" s="1705">
        <f t="shared" si="20"/>
        <v>59141</v>
      </c>
      <c r="E469" s="1706">
        <f t="shared" si="18"/>
        <v>59171</v>
      </c>
      <c r="F469" s="1706">
        <f t="shared" si="19"/>
        <v>59171</v>
      </c>
      <c r="G469" s="1706">
        <f>WORKDAY(F469,$G$21,'Business Day Paris'!F448:F642)</f>
        <v>59184</v>
      </c>
      <c r="H469" s="1706">
        <f>WORKDAY(J469,$H$21,'Business Day Paris'!F448:F642)</f>
        <v>59191</v>
      </c>
      <c r="I469" s="1706">
        <f>WORKDAY(J469,$I$21,'Business Day Paris'!F448:F642)</f>
        <v>59195</v>
      </c>
      <c r="J469" s="1707">
        <f>IF(WORKDAY(EOMONTH(F469,0)+$J$21-1,1,'Business Day Paris'!F448:F642)&lt;=EOMONTH(Calendar!F470,0),WORKDAY(EOMONTH(F469,0)+$J$21-1,1,'Business Day Paris'!F448:F642),WORKDAY(EOMONTH(F469,0)+$J$21+1,-1,'Business Day Paris'!F448:F642))</f>
        <v>59198</v>
      </c>
      <c r="K469" s="1238"/>
    </row>
    <row r="470" spans="2:11">
      <c r="B470" s="1248">
        <v>448</v>
      </c>
      <c r="C470" s="2"/>
      <c r="D470" s="1705">
        <f t="shared" si="20"/>
        <v>59172</v>
      </c>
      <c r="E470" s="1706">
        <f t="shared" si="18"/>
        <v>59202</v>
      </c>
      <c r="F470" s="1706">
        <f t="shared" si="19"/>
        <v>59202</v>
      </c>
      <c r="G470" s="1706">
        <f>WORKDAY(F470,$G$21,'Business Day Paris'!F449:F643)</f>
        <v>59216</v>
      </c>
      <c r="H470" s="1706">
        <f>WORKDAY(J470,$H$21,'Business Day Paris'!F449:F643)</f>
        <v>59222</v>
      </c>
      <c r="I470" s="1706">
        <f>WORKDAY(J470,$I$21,'Business Day Paris'!F449:F643)</f>
        <v>59224</v>
      </c>
      <c r="J470" s="1707">
        <f>IF(WORKDAY(EOMONTH(F470,0)+$J$21-1,1,'Business Day Paris'!F449:F643)&lt;=EOMONTH(Calendar!F471,0),WORKDAY(EOMONTH(F470,0)+$J$21-1,1,'Business Day Paris'!F449:F643),WORKDAY(EOMONTH(F470,0)+$J$21+1,-1,'Business Day Paris'!F449:F643))</f>
        <v>59229</v>
      </c>
      <c r="K470" s="1238"/>
    </row>
    <row r="471" spans="2:11">
      <c r="B471" s="1248">
        <v>449</v>
      </c>
      <c r="C471" s="2"/>
      <c r="D471" s="1705">
        <f t="shared" si="20"/>
        <v>59203</v>
      </c>
      <c r="E471" s="1706">
        <f t="shared" si="18"/>
        <v>59230</v>
      </c>
      <c r="F471" s="1706">
        <f t="shared" si="19"/>
        <v>59230</v>
      </c>
      <c r="G471" s="1706">
        <f>WORKDAY(F471,$G$21,'Business Day Paris'!F450:F644)</f>
        <v>59244</v>
      </c>
      <c r="H471" s="1706">
        <f>WORKDAY(J471,$H$21,'Business Day Paris'!F450:F644)</f>
        <v>59250</v>
      </c>
      <c r="I471" s="1706">
        <f>WORKDAY(J471,$I$21,'Business Day Paris'!F450:F644)</f>
        <v>59252</v>
      </c>
      <c r="J471" s="1707">
        <f>IF(WORKDAY(EOMONTH(F471,0)+$J$21-1,1,'Business Day Paris'!F450:F644)&lt;=EOMONTH(Calendar!F472,0),WORKDAY(EOMONTH(F471,0)+$J$21-1,1,'Business Day Paris'!F450:F644),WORKDAY(EOMONTH(F471,0)+$J$21+1,-1,'Business Day Paris'!F450:F644))</f>
        <v>59257</v>
      </c>
      <c r="K471" s="1238"/>
    </row>
    <row r="472" spans="2:11">
      <c r="B472" s="1248">
        <v>450</v>
      </c>
      <c r="C472" s="2"/>
      <c r="D472" s="1705">
        <f t="shared" si="20"/>
        <v>59231</v>
      </c>
      <c r="E472" s="1706">
        <f t="shared" ref="E472:E478" si="21">EOMONTH(D472,0)</f>
        <v>59261</v>
      </c>
      <c r="F472" s="1706">
        <f t="shared" ref="F472:F478" si="22">E472</f>
        <v>59261</v>
      </c>
      <c r="G472" s="1706">
        <f>WORKDAY(F472,$G$21,'Business Day Paris'!F451:F645)</f>
        <v>59275</v>
      </c>
      <c r="H472" s="1706">
        <f>WORKDAY(J472,$H$21,'Business Day Paris'!F451:F645)</f>
        <v>59281</v>
      </c>
      <c r="I472" s="1706">
        <f>WORKDAY(J472,$I$21,'Business Day Paris'!F451:F645)</f>
        <v>59285</v>
      </c>
      <c r="J472" s="1707">
        <f>IF(WORKDAY(EOMONTH(F472,0)+$J$21-1,1,'Business Day Paris'!F451:F645)&lt;=EOMONTH(Calendar!F473,0),WORKDAY(EOMONTH(F472,0)+$J$21-1,1,'Business Day Paris'!F451:F645),WORKDAY(EOMONTH(F472,0)+$J$21+1,-1,'Business Day Paris'!F451:F645))</f>
        <v>59288</v>
      </c>
      <c r="K472" s="1238"/>
    </row>
    <row r="473" spans="2:11">
      <c r="B473" s="1248">
        <v>451</v>
      </c>
      <c r="C473" s="2"/>
      <c r="D473" s="1705">
        <f t="shared" ref="D473:D478" si="23">EOMONTH(D472,0)+1</f>
        <v>59262</v>
      </c>
      <c r="E473" s="1706">
        <f t="shared" si="21"/>
        <v>59291</v>
      </c>
      <c r="F473" s="1706">
        <f t="shared" si="22"/>
        <v>59291</v>
      </c>
      <c r="G473" s="1706">
        <f>WORKDAY(F473,$G$21,'Business Day Paris'!F452:F646)</f>
        <v>59303</v>
      </c>
      <c r="H473" s="1706">
        <f>WORKDAY(J473,$H$21,'Business Day Paris'!F452:F646)</f>
        <v>59313</v>
      </c>
      <c r="I473" s="1706">
        <f>WORKDAY(J473,$I$21,'Business Day Paris'!F452:F646)</f>
        <v>59315</v>
      </c>
      <c r="J473" s="1707">
        <f>IF(WORKDAY(EOMONTH(F473,0)+$J$21-1,1,'Business Day Paris'!F452:F646)&lt;=EOMONTH(Calendar!F474,0),WORKDAY(EOMONTH(F473,0)+$J$21-1,1,'Business Day Paris'!F452:F646),WORKDAY(EOMONTH(F473,0)+$J$21+1,-1,'Business Day Paris'!F452:F646))</f>
        <v>59320</v>
      </c>
      <c r="K473" s="1238"/>
    </row>
    <row r="474" spans="2:11">
      <c r="B474" s="1248">
        <v>452</v>
      </c>
      <c r="C474" s="2"/>
      <c r="D474" s="1705">
        <f t="shared" si="23"/>
        <v>59292</v>
      </c>
      <c r="E474" s="1706">
        <f t="shared" si="21"/>
        <v>59322</v>
      </c>
      <c r="F474" s="1706">
        <f t="shared" si="22"/>
        <v>59322</v>
      </c>
      <c r="G474" s="1706">
        <f>WORKDAY(F474,$G$21,'Business Day Paris'!F453:F647)</f>
        <v>59336</v>
      </c>
      <c r="H474" s="1706">
        <f>WORKDAY(J474,$H$21,'Business Day Paris'!F453:F647)</f>
        <v>59342</v>
      </c>
      <c r="I474" s="1706">
        <f>WORKDAY(J474,$I$21,'Business Day Paris'!F453:F647)</f>
        <v>59344</v>
      </c>
      <c r="J474" s="1707">
        <f>IF(WORKDAY(EOMONTH(F474,0)+$J$21-1,1,'Business Day Paris'!F453:F647)&lt;=EOMONTH(Calendar!F475,0),WORKDAY(EOMONTH(F474,0)+$J$21-1,1,'Business Day Paris'!F453:F647),WORKDAY(EOMONTH(F474,0)+$J$21+1,-1,'Business Day Paris'!F453:F647))</f>
        <v>59349</v>
      </c>
      <c r="K474" s="1238"/>
    </row>
    <row r="475" spans="2:11">
      <c r="B475" s="1248">
        <v>453</v>
      </c>
      <c r="C475" s="2"/>
      <c r="D475" s="1705">
        <f t="shared" si="23"/>
        <v>59323</v>
      </c>
      <c r="E475" s="1706">
        <f t="shared" si="21"/>
        <v>59352</v>
      </c>
      <c r="F475" s="1706">
        <f t="shared" si="22"/>
        <v>59352</v>
      </c>
      <c r="G475" s="1706">
        <f>WORKDAY(F475,$G$21,'Business Day Paris'!F454:F648)</f>
        <v>59366</v>
      </c>
      <c r="H475" s="1706">
        <f>WORKDAY(J475,$H$21,'Business Day Paris'!F454:F648)</f>
        <v>59372</v>
      </c>
      <c r="I475" s="1706">
        <f>WORKDAY(J475,$I$21,'Business Day Paris'!F454:F648)</f>
        <v>59376</v>
      </c>
      <c r="J475" s="1707">
        <f>IF(WORKDAY(EOMONTH(F475,0)+$J$21-1,1,'Business Day Paris'!F454:F648)&lt;=EOMONTH(Calendar!F476,0),WORKDAY(EOMONTH(F475,0)+$J$21-1,1,'Business Day Paris'!F454:F648),WORKDAY(EOMONTH(F475,0)+$J$21+1,-1,'Business Day Paris'!F454:F648))</f>
        <v>59379</v>
      </c>
      <c r="K475" s="1238"/>
    </row>
    <row r="476" spans="2:11">
      <c r="B476" s="1248">
        <v>454</v>
      </c>
      <c r="C476" s="2"/>
      <c r="D476" s="1705">
        <f t="shared" si="23"/>
        <v>59353</v>
      </c>
      <c r="E476" s="1706">
        <f t="shared" si="21"/>
        <v>59383</v>
      </c>
      <c r="F476" s="1706">
        <f t="shared" si="22"/>
        <v>59383</v>
      </c>
      <c r="G476" s="1706">
        <f>WORKDAY(F476,$G$21,'Business Day Paris'!F455:F649)</f>
        <v>59397</v>
      </c>
      <c r="H476" s="1706">
        <f>WORKDAY(J476,$H$21,'Business Day Paris'!F455:F649)</f>
        <v>59404</v>
      </c>
      <c r="I476" s="1706">
        <f>WORKDAY(J476,$I$21,'Business Day Paris'!F455:F649)</f>
        <v>59406</v>
      </c>
      <c r="J476" s="1707">
        <f>IF(WORKDAY(EOMONTH(F476,0)+$J$21-1,1,'Business Day Paris'!F455:F649)&lt;=EOMONTH(Calendar!F477,0),WORKDAY(EOMONTH(F476,0)+$J$21-1,1,'Business Day Paris'!F455:F649),WORKDAY(EOMONTH(F476,0)+$J$21+1,-1,'Business Day Paris'!F455:F649))</f>
        <v>59411</v>
      </c>
      <c r="K476" s="1238"/>
    </row>
    <row r="477" spans="2:11">
      <c r="B477" s="1248">
        <v>455</v>
      </c>
      <c r="C477" s="2"/>
      <c r="D477" s="1705">
        <f t="shared" si="23"/>
        <v>59384</v>
      </c>
      <c r="E477" s="1706">
        <f t="shared" si="21"/>
        <v>59414</v>
      </c>
      <c r="F477" s="1706">
        <f t="shared" si="22"/>
        <v>59414</v>
      </c>
      <c r="G477" s="1706">
        <f>WORKDAY(F477,$G$21,'Business Day Paris'!F456:F650)</f>
        <v>59428</v>
      </c>
      <c r="H477" s="1706">
        <f>WORKDAY(J477,$H$21,'Business Day Paris'!F456:F650)</f>
        <v>59434</v>
      </c>
      <c r="I477" s="1706">
        <f>WORKDAY(J477,$I$21,'Business Day Paris'!F456:F650)</f>
        <v>59436</v>
      </c>
      <c r="J477" s="1707">
        <f>IF(WORKDAY(EOMONTH(F477,0)+$J$21-1,1,'Business Day Paris'!F456:F650)&lt;=EOMONTH(Calendar!F478,0),WORKDAY(EOMONTH(F477,0)+$J$21-1,1,'Business Day Paris'!F456:F650),WORKDAY(EOMONTH(F477,0)+$J$21+1,-1,'Business Day Paris'!F456:F650))</f>
        <v>59441</v>
      </c>
      <c r="K477" s="1238"/>
    </row>
    <row r="478" spans="2:11" ht="15.75" thickBot="1">
      <c r="B478" s="1248">
        <v>456</v>
      </c>
      <c r="C478" s="1258"/>
      <c r="D478" s="1705">
        <f t="shared" si="23"/>
        <v>59415</v>
      </c>
      <c r="E478" s="1706">
        <f t="shared" si="21"/>
        <v>59444</v>
      </c>
      <c r="F478" s="1706">
        <f t="shared" si="22"/>
        <v>59444</v>
      </c>
      <c r="G478" s="1706">
        <f>WORKDAY(F478,$G$21,'Business Day Paris'!F457:F651)</f>
        <v>59457</v>
      </c>
      <c r="H478" s="1706">
        <f>WORKDAY(J478,$H$21,'Business Day Paris'!F457:F651)</f>
        <v>59464</v>
      </c>
      <c r="I478" s="1706">
        <f>WORKDAY(J478,$I$21,'Business Day Paris'!F457:F651)</f>
        <v>59468</v>
      </c>
      <c r="J478" s="1707">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zoomScale="85" zoomScaleNormal="85" workbookViewId="0"/>
  </sheetViews>
  <sheetFormatPr defaultColWidth="9.140625"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25" thickBot="1">
      <c r="A4" s="1613" t="s">
        <v>1382</v>
      </c>
      <c r="B4" s="1613" t="s">
        <v>1383</v>
      </c>
      <c r="C4" s="1611" t="s">
        <v>1389</v>
      </c>
      <c r="D4" s="1620" t="s">
        <v>1390</v>
      </c>
      <c r="E4" s="1621" t="s">
        <v>1391</v>
      </c>
      <c r="F4" s="1622" t="s">
        <v>1387</v>
      </c>
      <c r="G4" s="1622" t="s">
        <v>1387</v>
      </c>
      <c r="H4" s="1623" t="s">
        <v>1392</v>
      </c>
      <c r="I4" s="1636">
        <f>'00 - Cover'!F16</f>
        <v>46022</v>
      </c>
    </row>
    <row r="5" spans="1:9" ht="26.25" thickBot="1">
      <c r="A5" s="1613" t="s">
        <v>1382</v>
      </c>
      <c r="B5" s="1613" t="s">
        <v>1383</v>
      </c>
      <c r="C5" s="1611" t="s">
        <v>1393</v>
      </c>
      <c r="D5" s="1620" t="s">
        <v>1394</v>
      </c>
      <c r="E5" s="1621" t="s">
        <v>1395</v>
      </c>
      <c r="F5" s="1622" t="s">
        <v>1387</v>
      </c>
      <c r="G5" s="1622" t="s">
        <v>1387</v>
      </c>
      <c r="H5" s="1623" t="s">
        <v>1396</v>
      </c>
      <c r="I5" s="1623" t="s">
        <v>1316</v>
      </c>
    </row>
    <row r="6" spans="1:9" ht="39" thickBot="1">
      <c r="A6" s="1613" t="s">
        <v>1382</v>
      </c>
      <c r="B6" s="1613" t="s">
        <v>1383</v>
      </c>
      <c r="C6" s="1611" t="s">
        <v>1397</v>
      </c>
      <c r="D6" s="1620" t="s">
        <v>1398</v>
      </c>
      <c r="E6" s="1621" t="s">
        <v>1399</v>
      </c>
      <c r="F6" s="1622" t="s">
        <v>1387</v>
      </c>
      <c r="G6" s="1622" t="s">
        <v>1387</v>
      </c>
      <c r="H6" s="1623" t="s">
        <v>1396</v>
      </c>
      <c r="I6" s="1623" t="s">
        <v>1825</v>
      </c>
    </row>
    <row r="7" spans="1:9" ht="26.25" thickBot="1">
      <c r="A7" s="1613" t="s">
        <v>1382</v>
      </c>
      <c r="B7" s="1613" t="s">
        <v>1383</v>
      </c>
      <c r="C7" s="1611" t="s">
        <v>1400</v>
      </c>
      <c r="D7" s="1620" t="s">
        <v>1401</v>
      </c>
      <c r="E7" s="1621" t="s">
        <v>1402</v>
      </c>
      <c r="F7" s="1622" t="s">
        <v>1387</v>
      </c>
      <c r="G7" s="1622" t="s">
        <v>1387</v>
      </c>
      <c r="H7" s="1623" t="s">
        <v>1403</v>
      </c>
      <c r="I7" s="1637" t="s">
        <v>1826</v>
      </c>
    </row>
    <row r="8" spans="1:9" ht="26.25" thickBot="1">
      <c r="A8" s="1613" t="s">
        <v>1382</v>
      </c>
      <c r="B8" s="1613" t="s">
        <v>1383</v>
      </c>
      <c r="C8" s="1611" t="s">
        <v>1404</v>
      </c>
      <c r="D8" s="1620" t="s">
        <v>1405</v>
      </c>
      <c r="E8" s="1621" t="s">
        <v>1406</v>
      </c>
      <c r="F8" s="1622" t="s">
        <v>1387</v>
      </c>
      <c r="G8" s="1622" t="s">
        <v>1387</v>
      </c>
      <c r="H8" s="1623" t="s">
        <v>1407</v>
      </c>
      <c r="I8" s="1638" t="s">
        <v>1947</v>
      </c>
    </row>
    <row r="9" spans="1:9" ht="30.75" thickBot="1">
      <c r="A9" s="1613" t="s">
        <v>1382</v>
      </c>
      <c r="B9" s="1613" t="s">
        <v>1383</v>
      </c>
      <c r="C9" s="1611" t="s">
        <v>1408</v>
      </c>
      <c r="D9" s="1620" t="s">
        <v>1409</v>
      </c>
      <c r="E9" s="1621" t="s">
        <v>1410</v>
      </c>
      <c r="F9" s="1622" t="s">
        <v>1387</v>
      </c>
      <c r="G9" s="1622" t="s">
        <v>1387</v>
      </c>
      <c r="H9" s="1623" t="s">
        <v>1403</v>
      </c>
      <c r="I9" s="1637" t="s">
        <v>1824</v>
      </c>
    </row>
    <row r="10" spans="1:9" ht="128.25" thickBot="1">
      <c r="A10" s="1613" t="s">
        <v>1382</v>
      </c>
      <c r="B10" s="1613" t="s">
        <v>1383</v>
      </c>
      <c r="C10" s="1611" t="s">
        <v>1411</v>
      </c>
      <c r="D10" s="1620" t="s">
        <v>1412</v>
      </c>
      <c r="E10" s="1621" t="s">
        <v>1413</v>
      </c>
      <c r="F10" s="1622" t="s">
        <v>1387</v>
      </c>
      <c r="G10" s="1622" t="s">
        <v>1387</v>
      </c>
      <c r="H10" s="1623" t="s">
        <v>1414</v>
      </c>
      <c r="I10" s="1623" t="s">
        <v>1827</v>
      </c>
    </row>
    <row r="11" spans="1:9" ht="128.25" thickBot="1">
      <c r="A11" s="1613" t="s">
        <v>1382</v>
      </c>
      <c r="B11" s="1613" t="s">
        <v>1383</v>
      </c>
      <c r="C11" s="1611" t="s">
        <v>1415</v>
      </c>
      <c r="D11" s="1620" t="s">
        <v>1416</v>
      </c>
      <c r="E11" s="1621" t="s">
        <v>1417</v>
      </c>
      <c r="F11" s="1622" t="s">
        <v>1387</v>
      </c>
      <c r="G11" s="1622" t="s">
        <v>1387</v>
      </c>
      <c r="H11" s="1623" t="s">
        <v>1414</v>
      </c>
      <c r="I11" s="1623" t="s">
        <v>1828</v>
      </c>
    </row>
    <row r="12" spans="1:9" ht="192" thickBot="1">
      <c r="A12" s="1613" t="s">
        <v>1382</v>
      </c>
      <c r="B12" s="1613" t="s">
        <v>1383</v>
      </c>
      <c r="C12" s="1611" t="s">
        <v>1418</v>
      </c>
      <c r="D12" s="1620" t="s">
        <v>1419</v>
      </c>
      <c r="E12" s="1621" t="s">
        <v>1420</v>
      </c>
      <c r="F12" s="1622" t="s">
        <v>1387</v>
      </c>
      <c r="G12" s="1622" t="s">
        <v>1387</v>
      </c>
      <c r="H12" s="1623" t="s">
        <v>1414</v>
      </c>
      <c r="I12" s="1623" t="s">
        <v>1829</v>
      </c>
    </row>
    <row r="13" spans="1:9" ht="39" thickBot="1">
      <c r="A13" s="1613" t="s">
        <v>1382</v>
      </c>
      <c r="B13" s="1613" t="s">
        <v>1383</v>
      </c>
      <c r="C13" s="1611" t="s">
        <v>1421</v>
      </c>
      <c r="D13" s="1620" t="s">
        <v>1422</v>
      </c>
      <c r="E13" s="1621" t="s">
        <v>1423</v>
      </c>
      <c r="F13" s="1622" t="s">
        <v>1387</v>
      </c>
      <c r="G13" s="1622" t="s">
        <v>1387</v>
      </c>
      <c r="H13" s="1623" t="s">
        <v>1424</v>
      </c>
      <c r="I13" s="1623" t="s">
        <v>1830</v>
      </c>
    </row>
    <row r="14" spans="1:9" ht="39" thickBot="1">
      <c r="A14" s="1613" t="s">
        <v>1382</v>
      </c>
      <c r="B14" s="1613" t="s">
        <v>1383</v>
      </c>
      <c r="C14" s="1611" t="s">
        <v>1425</v>
      </c>
      <c r="D14" s="1620" t="s">
        <v>1426</v>
      </c>
      <c r="E14" s="1621" t="s">
        <v>1427</v>
      </c>
      <c r="F14" s="1622" t="s">
        <v>1387</v>
      </c>
      <c r="G14" s="1622" t="s">
        <v>1387</v>
      </c>
      <c r="H14" s="1623" t="s">
        <v>1424</v>
      </c>
      <c r="I14" s="1623" t="s">
        <v>1831</v>
      </c>
    </row>
    <row r="15" spans="1:9" ht="26.25" thickBot="1">
      <c r="A15" s="1613" t="s">
        <v>1382</v>
      </c>
      <c r="B15" s="1613" t="s">
        <v>1383</v>
      </c>
      <c r="C15" s="1611" t="s">
        <v>1428</v>
      </c>
      <c r="D15" s="1620" t="s">
        <v>1429</v>
      </c>
      <c r="E15" s="1621" t="s">
        <v>1430</v>
      </c>
      <c r="F15" s="1622" t="s">
        <v>1387</v>
      </c>
      <c r="G15" s="1622" t="s">
        <v>1431</v>
      </c>
      <c r="H15" s="1623" t="s">
        <v>1392</v>
      </c>
      <c r="I15" s="1623" t="s">
        <v>1832</v>
      </c>
    </row>
    <row r="16" spans="1:9" ht="39" thickBot="1">
      <c r="A16" s="1613" t="s">
        <v>1382</v>
      </c>
      <c r="B16" s="1613" t="s">
        <v>1383</v>
      </c>
      <c r="C16" s="1611" t="s">
        <v>1432</v>
      </c>
      <c r="D16" s="1620" t="s">
        <v>1433</v>
      </c>
      <c r="E16" s="1621" t="s">
        <v>1434</v>
      </c>
      <c r="F16" s="1622" t="s">
        <v>1387</v>
      </c>
      <c r="G16" s="1622" t="s">
        <v>1431</v>
      </c>
      <c r="H16" s="1623" t="s">
        <v>1435</v>
      </c>
      <c r="I16" s="1639">
        <f>'03 - Monthly Collection'!AA13</f>
        <v>8218.23</v>
      </c>
    </row>
    <row r="17" spans="1:9" ht="15.75" thickBot="1">
      <c r="A17" s="1613"/>
      <c r="B17" s="1613"/>
      <c r="C17" s="1611"/>
      <c r="D17" s="1620"/>
      <c r="E17" s="1621"/>
      <c r="F17" s="1622"/>
      <c r="G17" s="1622"/>
      <c r="H17" s="1623"/>
      <c r="I17" s="1623" t="s">
        <v>308</v>
      </c>
    </row>
    <row r="18" spans="1:9" ht="39" thickBot="1">
      <c r="A18" s="1613" t="s">
        <v>1382</v>
      </c>
      <c r="B18" s="1613" t="s">
        <v>1383</v>
      </c>
      <c r="C18" s="1611" t="s">
        <v>1436</v>
      </c>
      <c r="D18" s="1620" t="s">
        <v>1437</v>
      </c>
      <c r="E18" s="1621" t="s">
        <v>1438</v>
      </c>
      <c r="F18" s="1622" t="s">
        <v>1387</v>
      </c>
      <c r="G18" s="1622" t="s">
        <v>1431</v>
      </c>
      <c r="H18" s="1623" t="s">
        <v>1435</v>
      </c>
      <c r="I18" s="1639">
        <f>'03 - Monthly Collection'!AJ13</f>
        <v>2098.98</v>
      </c>
    </row>
    <row r="19" spans="1:9" ht="15.75" thickBot="1">
      <c r="A19" s="1613"/>
      <c r="B19" s="1613"/>
      <c r="C19" s="1611"/>
      <c r="D19" s="1620"/>
      <c r="E19" s="1621"/>
      <c r="F19" s="1622"/>
      <c r="G19" s="1622"/>
      <c r="H19" s="1623"/>
      <c r="I19" s="1623" t="s">
        <v>308</v>
      </c>
    </row>
    <row r="20" spans="1:9" ht="39" thickBot="1">
      <c r="A20" s="1613" t="s">
        <v>1382</v>
      </c>
      <c r="B20" s="1613" t="s">
        <v>1383</v>
      </c>
      <c r="C20" s="1611" t="s">
        <v>1439</v>
      </c>
      <c r="D20" s="1620" t="s">
        <v>1440</v>
      </c>
      <c r="E20" s="1621" t="s">
        <v>1441</v>
      </c>
      <c r="F20" s="1622" t="s">
        <v>1387</v>
      </c>
      <c r="G20" s="1622" t="s">
        <v>1431</v>
      </c>
      <c r="H20" s="1623" t="s">
        <v>1435</v>
      </c>
      <c r="I20" s="1639">
        <f>'03 - Monthly Collection'!H13</f>
        <v>86813881.359999999</v>
      </c>
    </row>
    <row r="21" spans="1:9" ht="15.75" thickBot="1">
      <c r="A21" s="1613"/>
      <c r="B21" s="1613"/>
      <c r="C21" s="1611"/>
      <c r="D21" s="1620"/>
      <c r="E21" s="1621"/>
      <c r="F21" s="1622"/>
      <c r="G21" s="1622"/>
      <c r="H21" s="1623"/>
      <c r="I21" s="1623" t="s">
        <v>308</v>
      </c>
    </row>
    <row r="22" spans="1:9" ht="39"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28635448.649999999</v>
      </c>
    </row>
    <row r="23" spans="1:9" ht="15.75" thickBot="1">
      <c r="A23" s="1613"/>
      <c r="B23" s="1613"/>
      <c r="C23" s="1611"/>
      <c r="D23" s="1620"/>
      <c r="E23" s="1621"/>
      <c r="F23" s="1622"/>
      <c r="G23" s="1622"/>
      <c r="H23" s="1623"/>
      <c r="I23" s="1623" t="s">
        <v>308</v>
      </c>
    </row>
    <row r="24" spans="1:9" ht="26.25" thickBot="1">
      <c r="A24" s="1613" t="s">
        <v>1382</v>
      </c>
      <c r="B24" s="1613" t="s">
        <v>1383</v>
      </c>
      <c r="C24" s="1611" t="s">
        <v>1445</v>
      </c>
      <c r="D24" s="1620" t="s">
        <v>1446</v>
      </c>
      <c r="E24" s="1621" t="s">
        <v>1447</v>
      </c>
      <c r="F24" s="1622" t="s">
        <v>1387</v>
      </c>
      <c r="G24" s="1622" t="s">
        <v>1431</v>
      </c>
      <c r="H24" s="1623" t="s">
        <v>1424</v>
      </c>
      <c r="I24" s="1623" t="s">
        <v>1831</v>
      </c>
    </row>
    <row r="25" spans="1:9" ht="51.75" thickBot="1">
      <c r="A25" s="1613" t="s">
        <v>1382</v>
      </c>
      <c r="B25" s="1613" t="s">
        <v>1383</v>
      </c>
      <c r="C25" s="1611" t="s">
        <v>1448</v>
      </c>
      <c r="D25" s="1620" t="s">
        <v>1449</v>
      </c>
      <c r="E25" s="1621" t="s">
        <v>1450</v>
      </c>
      <c r="F25" s="1622" t="s">
        <v>1387</v>
      </c>
      <c r="G25" s="1622" t="s">
        <v>1387</v>
      </c>
      <c r="H25" s="1623" t="s">
        <v>1435</v>
      </c>
      <c r="I25" s="1639">
        <f>'15 - Priority of Payments'!J35</f>
        <v>7094831.7599999327</v>
      </c>
    </row>
    <row r="26" spans="1:9" ht="15.75" thickBot="1">
      <c r="A26" s="1613"/>
      <c r="B26" s="1613"/>
      <c r="C26" s="1611"/>
      <c r="D26" s="1620"/>
      <c r="E26" s="1621"/>
      <c r="F26" s="1622"/>
      <c r="G26" s="1622"/>
      <c r="H26" s="1623"/>
      <c r="I26" s="1623" t="s">
        <v>308</v>
      </c>
    </row>
    <row r="27" spans="1:9" ht="26.25" thickBot="1">
      <c r="A27" s="1613" t="s">
        <v>1382</v>
      </c>
      <c r="B27" s="1613" t="s">
        <v>1383</v>
      </c>
      <c r="C27" s="1611" t="s">
        <v>1451</v>
      </c>
      <c r="D27" s="1624" t="s">
        <v>1452</v>
      </c>
      <c r="E27" s="1621" t="s">
        <v>1453</v>
      </c>
      <c r="F27" s="1622" t="s">
        <v>1387</v>
      </c>
      <c r="G27" s="1622" t="s">
        <v>1387</v>
      </c>
      <c r="H27" s="1622" t="s">
        <v>1424</v>
      </c>
      <c r="I27" s="1623" t="s">
        <v>1831</v>
      </c>
    </row>
    <row r="28" spans="1:9" ht="51.7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1.5321911037602123</v>
      </c>
    </row>
    <row r="29" spans="1:9" ht="77.2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2.9359228702020901</v>
      </c>
    </row>
    <row r="30" spans="1:9" ht="39" thickBot="1">
      <c r="A30" s="1613" t="s">
        <v>1382</v>
      </c>
      <c r="B30" s="1613" t="s">
        <v>1383</v>
      </c>
      <c r="C30" s="1611" t="s">
        <v>1461</v>
      </c>
      <c r="D30" s="1620" t="s">
        <v>1462</v>
      </c>
      <c r="E30" s="1621" t="s">
        <v>1463</v>
      </c>
      <c r="F30" s="1622" t="s">
        <v>1387</v>
      </c>
      <c r="G30" s="1622" t="s">
        <v>1387</v>
      </c>
      <c r="H30" s="1623" t="s">
        <v>1435</v>
      </c>
      <c r="I30" s="1644">
        <v>0</v>
      </c>
    </row>
    <row r="31" spans="1:9" ht="15.75" thickBot="1">
      <c r="A31" s="1613"/>
      <c r="B31" s="1613"/>
      <c r="C31" s="1611"/>
      <c r="D31" s="1620"/>
      <c r="E31" s="1621"/>
      <c r="F31" s="1622"/>
      <c r="G31" s="1622"/>
      <c r="H31" s="1623"/>
      <c r="I31" s="1623" t="s">
        <v>308</v>
      </c>
    </row>
    <row r="32" spans="1:9" ht="51.75" thickBot="1">
      <c r="A32" s="1613" t="s">
        <v>1382</v>
      </c>
      <c r="B32" s="1613" t="s">
        <v>1383</v>
      </c>
      <c r="C32" s="1611" t="s">
        <v>1464</v>
      </c>
      <c r="D32" s="1620" t="s">
        <v>1465</v>
      </c>
      <c r="E32" s="1621" t="s">
        <v>1466</v>
      </c>
      <c r="F32" s="1622" t="s">
        <v>1387</v>
      </c>
      <c r="G32" s="1622" t="s">
        <v>1387</v>
      </c>
      <c r="H32" s="1623" t="s">
        <v>1435</v>
      </c>
      <c r="I32" s="1644">
        <v>0</v>
      </c>
    </row>
    <row r="33" spans="1:9" ht="15.75" thickBot="1">
      <c r="A33" s="1613"/>
      <c r="B33" s="1613"/>
      <c r="C33" s="1611"/>
      <c r="D33" s="1620"/>
      <c r="E33" s="1621"/>
      <c r="F33" s="1622"/>
      <c r="G33" s="1622"/>
      <c r="H33" s="1623"/>
      <c r="I33" s="1623" t="s">
        <v>308</v>
      </c>
    </row>
    <row r="34" spans="1:9" ht="51.75" thickBot="1">
      <c r="A34" s="1613" t="s">
        <v>1382</v>
      </c>
      <c r="B34" s="1613" t="s">
        <v>1383</v>
      </c>
      <c r="C34" s="1611" t="s">
        <v>1467</v>
      </c>
      <c r="D34" s="1620" t="s">
        <v>1468</v>
      </c>
      <c r="E34" s="1621" t="s">
        <v>1469</v>
      </c>
      <c r="F34" s="1622" t="s">
        <v>1431</v>
      </c>
      <c r="G34" s="1622" t="s">
        <v>1431</v>
      </c>
      <c r="H34" s="1623" t="s">
        <v>1435</v>
      </c>
      <c r="I34" s="1639">
        <f>'02 - Monthly Asset Follow up'!M17</f>
        <v>6666114.5899999999</v>
      </c>
    </row>
    <row r="35" spans="1:9" ht="15.75" thickBot="1">
      <c r="A35" s="1613"/>
      <c r="B35" s="1613"/>
      <c r="C35" s="1611"/>
      <c r="D35" s="1620"/>
      <c r="E35" s="1621"/>
      <c r="F35" s="1622"/>
      <c r="G35" s="1622"/>
      <c r="H35" s="1623"/>
      <c r="I35" s="1623" t="s">
        <v>308</v>
      </c>
    </row>
    <row r="36" spans="1:9" ht="90" thickBot="1">
      <c r="A36" s="1613" t="s">
        <v>1382</v>
      </c>
      <c r="B36" s="1613" t="s">
        <v>1383</v>
      </c>
      <c r="C36" s="1611" t="s">
        <v>1470</v>
      </c>
      <c r="D36" s="1620" t="s">
        <v>1471</v>
      </c>
      <c r="E36" s="1621" t="s">
        <v>1472</v>
      </c>
      <c r="F36" s="1622" t="s">
        <v>1387</v>
      </c>
      <c r="G36" s="1622" t="s">
        <v>1387</v>
      </c>
      <c r="H36" s="1623" t="s">
        <v>1435</v>
      </c>
      <c r="I36" s="1623">
        <v>0</v>
      </c>
    </row>
    <row r="37" spans="1:9" ht="15.75" thickBot="1">
      <c r="A37" s="1613"/>
      <c r="B37" s="1613"/>
      <c r="C37" s="1611"/>
      <c r="D37" s="1620"/>
      <c r="E37" s="1621"/>
      <c r="F37" s="1622"/>
      <c r="G37" s="1622"/>
      <c r="H37" s="1623"/>
      <c r="I37" s="1623" t="s">
        <v>308</v>
      </c>
    </row>
    <row r="38" spans="1:9" ht="77.2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6.4792704857519201E-2</v>
      </c>
    </row>
    <row r="39" spans="1:9" ht="51.75" thickBot="1">
      <c r="A39" s="1613" t="s">
        <v>1382</v>
      </c>
      <c r="B39" s="1613" t="s">
        <v>1383</v>
      </c>
      <c r="C39" s="1611" t="s">
        <v>1476</v>
      </c>
      <c r="D39" s="1620" t="s">
        <v>1477</v>
      </c>
      <c r="E39" s="1621" t="s">
        <v>1478</v>
      </c>
      <c r="F39" s="1622" t="s">
        <v>1387</v>
      </c>
      <c r="G39" s="1622" t="s">
        <v>1387</v>
      </c>
      <c r="H39" s="1623" t="s">
        <v>1435</v>
      </c>
      <c r="I39" s="1639">
        <f>'02 - Monthly Asset Follow up'!BM17</f>
        <v>616282.82999999996</v>
      </c>
    </row>
    <row r="40" spans="1:9" ht="15.75" thickBot="1">
      <c r="A40" s="1613"/>
      <c r="B40" s="1613"/>
      <c r="C40" s="1611"/>
      <c r="D40" s="1620"/>
      <c r="E40" s="1621"/>
      <c r="F40" s="1622"/>
      <c r="G40" s="1622"/>
      <c r="H40" s="1623"/>
      <c r="I40" s="1623" t="s">
        <v>308</v>
      </c>
    </row>
    <row r="41" spans="1:9" ht="51.75" thickBot="1">
      <c r="A41" s="1613" t="s">
        <v>1382</v>
      </c>
      <c r="B41" s="1613" t="s">
        <v>1383</v>
      </c>
      <c r="C41" s="1611" t="s">
        <v>1479</v>
      </c>
      <c r="D41" s="1620" t="s">
        <v>1480</v>
      </c>
      <c r="E41" s="1621" t="s">
        <v>1481</v>
      </c>
      <c r="F41" s="1622" t="s">
        <v>1431</v>
      </c>
      <c r="G41" s="1622" t="s">
        <v>1431</v>
      </c>
      <c r="H41" s="1623" t="s">
        <v>1435</v>
      </c>
      <c r="I41" s="1623"/>
    </row>
    <row r="42" spans="1:9" ht="15.75" thickBot="1">
      <c r="A42" s="1613"/>
      <c r="B42" s="1613"/>
      <c r="C42" s="1611"/>
      <c r="D42" s="1620"/>
      <c r="E42" s="1621"/>
      <c r="F42" s="1622"/>
      <c r="G42" s="1622"/>
      <c r="H42" s="1623"/>
      <c r="I42" s="1623" t="s">
        <v>308</v>
      </c>
    </row>
    <row r="43" spans="1:9" ht="77.25" thickBot="1">
      <c r="A43" s="1613" t="s">
        <v>1382</v>
      </c>
      <c r="B43" s="1613" t="s">
        <v>1383</v>
      </c>
      <c r="C43" s="1611" t="s">
        <v>1482</v>
      </c>
      <c r="D43" s="1620" t="s">
        <v>1483</v>
      </c>
      <c r="E43" s="1621" t="s">
        <v>1484</v>
      </c>
      <c r="F43" s="1622" t="s">
        <v>1387</v>
      </c>
      <c r="G43" s="1622" t="s">
        <v>1431</v>
      </c>
      <c r="H43" s="1623" t="s">
        <v>1414</v>
      </c>
      <c r="I43" s="1623" t="s">
        <v>1832</v>
      </c>
    </row>
    <row r="44" spans="1:9" ht="51.75" thickBot="1">
      <c r="A44" s="1613" t="s">
        <v>1382</v>
      </c>
      <c r="B44" s="1613" t="s">
        <v>1383</v>
      </c>
      <c r="C44" s="1611" t="s">
        <v>1485</v>
      </c>
      <c r="D44" s="1620" t="s">
        <v>1486</v>
      </c>
      <c r="E44" s="1621" t="s">
        <v>1487</v>
      </c>
      <c r="F44" s="1622" t="s">
        <v>1387</v>
      </c>
      <c r="G44" s="1622" t="s">
        <v>1431</v>
      </c>
      <c r="H44" s="1623" t="s">
        <v>1457</v>
      </c>
      <c r="I44" s="1623" t="s">
        <v>1832</v>
      </c>
    </row>
    <row r="45" spans="1:9" ht="51.75" thickBot="1">
      <c r="A45" s="1613" t="s">
        <v>1382</v>
      </c>
      <c r="B45" s="1613" t="s">
        <v>1383</v>
      </c>
      <c r="C45" s="1611" t="s">
        <v>1488</v>
      </c>
      <c r="D45" s="1620" t="s">
        <v>1489</v>
      </c>
      <c r="E45" s="1621" t="s">
        <v>1490</v>
      </c>
      <c r="F45" s="1622" t="s">
        <v>1387</v>
      </c>
      <c r="G45" s="1622" t="s">
        <v>1431</v>
      </c>
      <c r="H45" s="1623" t="s">
        <v>1457</v>
      </c>
      <c r="I45" s="1623" t="s">
        <v>1832</v>
      </c>
    </row>
    <row r="46" spans="1:9" ht="51.75" thickBot="1">
      <c r="A46" s="1613" t="s">
        <v>1382</v>
      </c>
      <c r="B46" s="1613" t="s">
        <v>1383</v>
      </c>
      <c r="C46" s="1611" t="s">
        <v>1491</v>
      </c>
      <c r="D46" s="1620" t="s">
        <v>1492</v>
      </c>
      <c r="E46" s="1621" t="s">
        <v>1493</v>
      </c>
      <c r="F46" s="1622" t="s">
        <v>1387</v>
      </c>
      <c r="G46" s="1622" t="s">
        <v>1431</v>
      </c>
      <c r="H46" s="1623" t="s">
        <v>1457</v>
      </c>
      <c r="I46" s="1623" t="s">
        <v>1832</v>
      </c>
    </row>
    <row r="47" spans="1:9" ht="51.75" thickBot="1">
      <c r="A47" s="1613" t="s">
        <v>1382</v>
      </c>
      <c r="B47" s="1613" t="s">
        <v>1383</v>
      </c>
      <c r="C47" s="1611" t="s">
        <v>1494</v>
      </c>
      <c r="D47" s="1620" t="s">
        <v>1495</v>
      </c>
      <c r="E47" s="1621" t="s">
        <v>1496</v>
      </c>
      <c r="F47" s="1622" t="s">
        <v>1387</v>
      </c>
      <c r="G47" s="1622" t="s">
        <v>1431</v>
      </c>
      <c r="H47" s="1623" t="s">
        <v>1457</v>
      </c>
      <c r="I47" s="1623" t="s">
        <v>1832</v>
      </c>
    </row>
    <row r="48" spans="1:9" ht="51.75" thickBot="1">
      <c r="A48" s="1613" t="s">
        <v>1382</v>
      </c>
      <c r="B48" s="1613" t="s">
        <v>1383</v>
      </c>
      <c r="C48" s="1611" t="s">
        <v>1497</v>
      </c>
      <c r="D48" s="1620" t="s">
        <v>1498</v>
      </c>
      <c r="E48" s="1621" t="s">
        <v>1499</v>
      </c>
      <c r="F48" s="1622" t="s">
        <v>1387</v>
      </c>
      <c r="G48" s="1622" t="s">
        <v>1431</v>
      </c>
      <c r="H48" s="1623" t="s">
        <v>1457</v>
      </c>
      <c r="I48" s="1623" t="s">
        <v>1832</v>
      </c>
    </row>
    <row r="49" spans="1:16" ht="51.75" thickBot="1">
      <c r="A49" s="1613" t="s">
        <v>1382</v>
      </c>
      <c r="B49" s="1613" t="s">
        <v>1383</v>
      </c>
      <c r="C49" s="1611" t="s">
        <v>1500</v>
      </c>
      <c r="D49" s="1620" t="s">
        <v>1501</v>
      </c>
      <c r="E49" s="1621" t="s">
        <v>1502</v>
      </c>
      <c r="F49" s="1622" t="s">
        <v>1387</v>
      </c>
      <c r="G49" s="1622" t="s">
        <v>1431</v>
      </c>
      <c r="H49" s="1623" t="s">
        <v>1457</v>
      </c>
      <c r="I49" s="1623" t="s">
        <v>1832</v>
      </c>
    </row>
    <row r="50" spans="1:16" ht="39" thickBot="1">
      <c r="A50" s="1613" t="s">
        <v>1382</v>
      </c>
      <c r="B50" s="1613" t="s">
        <v>1383</v>
      </c>
      <c r="C50" s="1611" t="s">
        <v>1503</v>
      </c>
      <c r="D50" s="1620" t="s">
        <v>1504</v>
      </c>
      <c r="E50" s="1621" t="s">
        <v>1505</v>
      </c>
      <c r="F50" s="1622" t="s">
        <v>1387</v>
      </c>
      <c r="G50" s="1622" t="s">
        <v>1431</v>
      </c>
      <c r="H50" s="1623" t="s">
        <v>1457</v>
      </c>
      <c r="I50" s="1623" t="s">
        <v>1832</v>
      </c>
    </row>
    <row r="51" spans="1:16" ht="51.7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3.1239057389734984E-3</v>
      </c>
    </row>
    <row r="52" spans="1:16" ht="51.7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9.8631351228327217E-4</v>
      </c>
    </row>
    <row r="53" spans="1:16" ht="51.7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4.5142641220067593E-4</v>
      </c>
    </row>
    <row r="54" spans="1:16" ht="51.7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3.358949088014571E-4</v>
      </c>
    </row>
    <row r="55" spans="1:16" ht="51.7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1.0103960099490783E-4</v>
      </c>
    </row>
    <row r="56" spans="1:16" ht="51.7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6.7114641844276439E-5</v>
      </c>
    </row>
    <row r="57" spans="1:16" ht="51.7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3.3398973204592039E-4</v>
      </c>
    </row>
    <row r="58" spans="1:16" ht="26.25" thickBot="1">
      <c r="A58" s="1613" t="s">
        <v>1382</v>
      </c>
      <c r="B58" s="1613" t="s">
        <v>1527</v>
      </c>
      <c r="C58" s="1614" t="s">
        <v>1527</v>
      </c>
      <c r="D58" s="1615"/>
      <c r="E58" s="1616"/>
      <c r="F58" s="1617" t="s">
        <v>143</v>
      </c>
      <c r="G58" s="1617" t="s">
        <v>143</v>
      </c>
      <c r="H58" s="1618"/>
      <c r="I58" s="1619"/>
    </row>
    <row r="59" spans="1:16" ht="26.25" thickBot="1">
      <c r="A59" s="1613" t="s">
        <v>1382</v>
      </c>
      <c r="B59" s="1613" t="s">
        <v>1527</v>
      </c>
      <c r="C59" s="1611" t="s">
        <v>1528</v>
      </c>
      <c r="D59" s="1620" t="s">
        <v>1385</v>
      </c>
      <c r="E59" s="1621" t="s">
        <v>1529</v>
      </c>
      <c r="F59" s="1622" t="s">
        <v>1387</v>
      </c>
      <c r="G59" s="1622" t="s">
        <v>1387</v>
      </c>
      <c r="H59" s="1623" t="s">
        <v>1388</v>
      </c>
      <c r="I59" s="1623"/>
    </row>
    <row r="60" spans="1:16" ht="39"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39"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70.5"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1.7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9"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2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2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90"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75" thickBot="1">
      <c r="A69" s="1613" t="s">
        <v>1382</v>
      </c>
      <c r="B69" s="1613" t="s">
        <v>1561</v>
      </c>
      <c r="C69" s="1614" t="s">
        <v>1561</v>
      </c>
      <c r="D69" s="1615"/>
      <c r="E69" s="1616"/>
      <c r="F69" s="1617" t="s">
        <v>143</v>
      </c>
      <c r="G69" s="1617" t="s">
        <v>143</v>
      </c>
      <c r="H69" s="1618"/>
      <c r="I69" s="1619"/>
    </row>
    <row r="70" spans="1:17" ht="15.75" thickBot="1">
      <c r="A70" s="1613" t="s">
        <v>1382</v>
      </c>
      <c r="B70" s="1613" t="s">
        <v>1561</v>
      </c>
      <c r="C70" s="1611" t="s">
        <v>1562</v>
      </c>
      <c r="D70" s="1620" t="s">
        <v>1385</v>
      </c>
      <c r="E70" s="1621" t="s">
        <v>1529</v>
      </c>
      <c r="F70" s="1622" t="s">
        <v>1387</v>
      </c>
      <c r="G70" s="1622" t="s">
        <v>1387</v>
      </c>
      <c r="H70" s="1623" t="s">
        <v>1388</v>
      </c>
      <c r="I70" s="1623"/>
    </row>
    <row r="71" spans="1:17" ht="26.2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6.2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25.75"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7.25" thickBot="1">
      <c r="A74" s="1613" t="s">
        <v>1382</v>
      </c>
      <c r="B74" s="1613" t="s">
        <v>1561</v>
      </c>
      <c r="C74" s="1611" t="s">
        <v>1572</v>
      </c>
      <c r="D74" s="1620" t="s">
        <v>1573</v>
      </c>
      <c r="E74" s="1621" t="s">
        <v>1574</v>
      </c>
      <c r="F74" s="1622" t="s">
        <v>1387</v>
      </c>
      <c r="G74" s="1622" t="s">
        <v>1387</v>
      </c>
      <c r="H74" s="1623" t="s">
        <v>1435</v>
      </c>
      <c r="I74" s="1639">
        <f>'15 - Priority of Payments'!J27</f>
        <v>112142835.83000016</v>
      </c>
      <c r="J74" s="1641">
        <f t="array" ref="J74:Q74">-TRANSPOSE('15 - Priority of Payments'!J28:J35)</f>
        <v>-2420463.46</v>
      </c>
      <c r="K74" s="1641">
        <v>-5167484.04</v>
      </c>
      <c r="L74" s="1641">
        <v>0</v>
      </c>
      <c r="M74" s="1641">
        <v>-91503501.24000001</v>
      </c>
      <c r="N74" s="1641">
        <v>-679942.55999999994</v>
      </c>
      <c r="O74" s="1641">
        <v>-4815993.6000000006</v>
      </c>
      <c r="P74" s="1641">
        <v>-460000</v>
      </c>
      <c r="Q74" s="1641">
        <v>-7094831.7599999327</v>
      </c>
    </row>
    <row r="75" spans="1:17" ht="15.7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4.5"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112143135.83</v>
      </c>
      <c r="J76" s="1639">
        <v>109722672.37</v>
      </c>
      <c r="K76" s="1639">
        <v>104555188.33</v>
      </c>
      <c r="L76" s="1639">
        <v>104555188.33</v>
      </c>
      <c r="M76" s="1639">
        <v>13051687.09</v>
      </c>
      <c r="N76" s="1639">
        <v>12371744.529999999</v>
      </c>
      <c r="O76" s="1639">
        <v>7555750.9299999997</v>
      </c>
      <c r="P76" s="1639">
        <v>7095750.9299999997</v>
      </c>
      <c r="Q76" s="1639">
        <v>919.17</v>
      </c>
    </row>
    <row r="77" spans="1:17" ht="15.7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zoomScale="85" zoomScaleNormal="85" workbookViewId="0">
      <selection activeCell="AX14" sqref="AX14"/>
    </sheetView>
  </sheetViews>
  <sheetFormatPr defaultColWidth="9.140625" defaultRowHeight="12.75"/>
  <cols>
    <col min="1" max="1" width="3" style="170" customWidth="1"/>
    <col min="2" max="2" width="18" style="170" bestFit="1" customWidth="1"/>
    <col min="3" max="3" width="16" style="170" customWidth="1"/>
    <col min="4" max="4" width="1.42578125" style="170" customWidth="1"/>
    <col min="5" max="22" width="20.140625" style="170" customWidth="1"/>
    <col min="23" max="23" width="2.42578125" style="170" customWidth="1"/>
    <col min="24" max="41" width="20.140625" style="170" customWidth="1"/>
    <col min="42" max="42" width="2.42578125" style="170" customWidth="1"/>
    <col min="43" max="43" width="9.140625" style="170"/>
    <col min="44" max="44" width="20.140625" style="170" customWidth="1"/>
    <col min="45" max="45" width="9.140625" style="170"/>
    <col min="46" max="46" width="12.42578125" style="170" bestFit="1" customWidth="1"/>
    <col min="47" max="47" width="14.85546875" style="170" bestFit="1" customWidth="1"/>
    <col min="48" max="48" width="9.140625" style="170"/>
    <col min="49" max="49" width="20.140625" style="170" customWidth="1"/>
    <col min="50" max="16384" width="9.140625" style="170"/>
  </cols>
  <sheetData>
    <row r="3" spans="2:49">
      <c r="P3" s="1213" t="s">
        <v>99</v>
      </c>
      <c r="Q3" s="1213">
        <f>'00 - Cover'!$F$17</f>
        <v>46022</v>
      </c>
      <c r="AC3" s="171"/>
      <c r="AD3" s="171"/>
      <c r="AE3" s="171"/>
      <c r="AF3" s="171"/>
      <c r="AR3" s="1782"/>
    </row>
    <row r="4" spans="2:49">
      <c r="P4" s="1213" t="s">
        <v>4</v>
      </c>
      <c r="Q4" s="1213">
        <f>'00 - Cover'!$F$19</f>
        <v>46042</v>
      </c>
      <c r="AR4" s="1860">
        <f>AR5-AR13</f>
        <v>1.6838312149047852E-6</v>
      </c>
    </row>
    <row r="5" spans="2:49">
      <c r="P5" s="1213" t="s">
        <v>5</v>
      </c>
      <c r="Q5" s="1213">
        <f>'00 - Cover'!$F$20</f>
        <v>46049</v>
      </c>
      <c r="AR5" s="1860">
        <v>102920096.21000168</v>
      </c>
    </row>
    <row r="6" spans="2:49">
      <c r="AR6" s="1861"/>
      <c r="AT6" s="171"/>
    </row>
    <row r="7" spans="2:49" ht="15.7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T7" s="171"/>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5"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c r="B13" s="190">
        <f>'00 - Cover'!F15</f>
        <v>45992</v>
      </c>
      <c r="C13" s="191">
        <f>Q3</f>
        <v>46022</v>
      </c>
      <c r="E13" s="193">
        <f>IF($C13=0,"",SUMIFS(INPUT_DATA!AT:AT,INPUT_DATA!$A:$A,$C13,INPUT_DATA!$B:$B,"S"))</f>
        <v>58311574.539999999</v>
      </c>
      <c r="F13" s="194">
        <f>IF($C13=0,"",SUMIFS(INPUT_DATA!AU:AU,INPUT_DATA!$A:$A,$C13,INPUT_DATA!$B:$B,"S"))</f>
        <v>202390.91</v>
      </c>
      <c r="G13" s="195">
        <f>IF($C13=0,"",SUMIFS(INPUT_DATA!AV:AV,INPUT_DATA!$A:$A,$C13,INPUT_DATA!$B:$B,"S"))</f>
        <v>28299915.91</v>
      </c>
      <c r="H13" s="196">
        <f>IF($C13=0,"",E13+F13+G13)</f>
        <v>86813881.359999999</v>
      </c>
      <c r="I13" s="195">
        <f>IF($C13=0,"",SUMIFS(INPUT_DATA!AX:AX,INPUT_DATA!$A:$A,$C13,INPUT_DATA!$B:$B,"S"))</f>
        <v>15890388.619999999</v>
      </c>
      <c r="J13" s="195">
        <f>IF($C13=0,"",SUMIFS(INPUT_DATA!AY:AY,INPUT_DATA!$A:$A,$C13,INPUT_DATA!$B:$B,"S"))</f>
        <v>39626.28</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165882.74</v>
      </c>
      <c r="O13" s="195">
        <f>IF($C13=0,"",SUMIFS(INPUT_DATA!BD:BD,INPUT_DATA!$A:$A,$C13,INPUT_DATA!$B:$B,"S"))</f>
        <v>0</v>
      </c>
      <c r="P13" s="195">
        <f>IF($C13=0,"",SUMIFS(INPUT_DATA!BE:BE,INPUT_DATA!$A:$A,$C13,INPUT_DATA!$B:$B,"S"))</f>
        <v>0</v>
      </c>
      <c r="Q13" s="197">
        <f>IF($C13=0,"",I13+J13+K13+L13+M13+N13+O13+P13)</f>
        <v>16095897.639999999</v>
      </c>
      <c r="R13" s="198">
        <f>IF($C13=0,"",SUMIFS(INPUT_DATA!BG:BG,INPUT_DATA!$A:$A,$C13,INPUT_DATA!$B:$B,"S"))</f>
        <v>0</v>
      </c>
      <c r="S13" s="198">
        <f>IF($C13=0,"",SUMIFS(INPUT_DATA!BH:BH,INPUT_DATA!$A:$A,$C13,INPUT_DATA!$B:$B,"S"))</f>
        <v>0</v>
      </c>
      <c r="T13" s="197">
        <f>IF($C13=0,"",H13+Q13+R13-S13)</f>
        <v>102909779</v>
      </c>
      <c r="U13" s="199">
        <f>IF($C13=0,"",SUMIFS(INPUT_DATA!BK:BK,INPUT_DATA!$A:$A,$C13,INPUT_DATA!$B:$B,"S"))</f>
        <v>102909779</v>
      </c>
      <c r="V13" s="200">
        <f>IF($C13=0,"",T13-U13)</f>
        <v>0</v>
      </c>
      <c r="X13" s="201">
        <f>IF($C13=0,"",SUMIFS(INPUT_DATA!AT:AT,INPUT_DATA!$A:$A,$C13,INPUT_DATA!$B:$B,"D"))</f>
        <v>4235.05</v>
      </c>
      <c r="Y13" s="195">
        <f>IF($C13=0,"",SUMIFS(INPUT_DATA!AU:AU,INPUT_DATA!$A:$A,$C13,INPUT_DATA!$B:$B,"D"))</f>
        <v>3983.18</v>
      </c>
      <c r="Z13" s="195">
        <f>IF($C13=0,"",SUMIFS(INPUT_DATA!AV:AV,INPUT_DATA!$A:$A,$C13,INPUT_DATA!$B:$B,"D"))</f>
        <v>0</v>
      </c>
      <c r="AA13" s="196">
        <f>IF($C13=0,"",X13+Y13+Z13)</f>
        <v>8218.23</v>
      </c>
      <c r="AB13" s="195">
        <f>IF($C13=0,"",SUMIFS(INPUT_DATA!AX:AX,INPUT_DATA!$A:$A,$C13,INPUT_DATA!$B:$B,"D"))</f>
        <v>975.5</v>
      </c>
      <c r="AC13" s="195">
        <f>IF($C13=0,"",SUMIFS(INPUT_DATA!AY:AY,INPUT_DATA!$A:$A,$C13,INPUT_DATA!$B:$B,"D"))</f>
        <v>1123.48</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2098.98</v>
      </c>
      <c r="AK13" s="198">
        <f>IF($C13=0,"",SUMIFS(INPUT_DATA!BG:BG,INPUT_DATA!$A:$A,$C13,INPUT_DATA!$B:$B,"D"))</f>
        <v>0</v>
      </c>
      <c r="AL13" s="198">
        <f>IF($C13=0,"",SUMIFS(INPUT_DATA!BH:BH,INPUT_DATA!$A:$A,$C13,INPUT_DATA!$B:$B,"D"))</f>
        <v>0</v>
      </c>
      <c r="AM13" s="197">
        <f>IF($C13=0,"",AA13+AJ13+AK13)</f>
        <v>10317.209999999999</v>
      </c>
      <c r="AN13" s="199">
        <f>IF($C13=0,"",SUMIFS(INPUT_DATA!BK:BK,INPUT_DATA!$A:$A,$C13,INPUT_DATA!$B:$B,"D"))</f>
        <v>10317.209999999999</v>
      </c>
      <c r="AO13" s="200">
        <f>IF($C13=0,"",AM13-AN13)</f>
        <v>0</v>
      </c>
      <c r="AR13" s="200">
        <f>IF($C13=0,"",T13+AN13)</f>
        <v>102920096.20999999</v>
      </c>
      <c r="AS13" s="202"/>
      <c r="AT13" s="203">
        <f>IF($C13=0,"",'02 - Monthly Asset Follow up'!E17+'02 - Monthly Asset Follow up'!F17-'02 - Monthly Asset Follow up'!V17+'02 - Monthly Asset Follow up'!Y17-H13)</f>
        <v>0</v>
      </c>
      <c r="AU13" s="203">
        <f>IF($C13=0,"",'02 - Monthly Asset Follow up'!BB17+'02 - Monthly Asset Follow up'!BC17-'02 - Monthly Asset Follow up'!BR17+'02 - Monthly Asset Follow up'!BU17-AA13)</f>
        <v>-1.0913936421275139E-11</v>
      </c>
      <c r="AW13" s="204"/>
    </row>
    <row r="14" spans="2:49" s="192" customFormat="1">
      <c r="B14" s="1573">
        <f>IF(C15=0,"",C15+1)</f>
        <v>45962</v>
      </c>
      <c r="C14" s="1574">
        <f>'02 - Monthly Asset Follow up'!B18</f>
        <v>45991</v>
      </c>
      <c r="E14" s="205">
        <f>IF($C14=0,"",SUMIFS(INPUT_DATA!AT:AT,INPUT_DATA!$A:$A,$C14,INPUT_DATA!$B:$B,"S"))</f>
        <v>59356892.490000002</v>
      </c>
      <c r="F14" s="206">
        <f>IF($C14=0,"",SUMIFS(INPUT_DATA!AU:AU,INPUT_DATA!$A:$A,$C14,INPUT_DATA!$B:$B,"S"))</f>
        <v>114071.03999999999</v>
      </c>
      <c r="G14" s="206">
        <f>IF($C14=0,"",SUMIFS(INPUT_DATA!AV:AV,INPUT_DATA!$A:$A,$C14,INPUT_DATA!$B:$B,"S"))</f>
        <v>24036133.25</v>
      </c>
      <c r="H14" s="207">
        <f>IF($C14=0,"",E14+F14+G14)</f>
        <v>83507096.780000001</v>
      </c>
      <c r="I14" s="206">
        <f>IF($C14=0,"",SUMIFS(INPUT_DATA!AX:AX,INPUT_DATA!$A:$A,$C14,INPUT_DATA!$B:$B,"S"))</f>
        <v>16018641.640000001</v>
      </c>
      <c r="J14" s="206">
        <f>IF($C14=0,"",SUMIFS(INPUT_DATA!AY:AY,INPUT_DATA!$A:$A,$C14,INPUT_DATA!$B:$B,"S"))</f>
        <v>21453.08</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171150.36</v>
      </c>
      <c r="O14" s="206">
        <f>IF($C14=0,"",SUMIFS(INPUT_DATA!BD:BD,INPUT_DATA!$A:$A,$C14,INPUT_DATA!$B:$B,"S"))</f>
        <v>0</v>
      </c>
      <c r="P14" s="206">
        <f>IF($C14=0,"",SUMIFS(INPUT_DATA!BE:BE,INPUT_DATA!$A:$A,$C14,INPUT_DATA!$B:$B,"S"))</f>
        <v>0</v>
      </c>
      <c r="Q14" s="208">
        <f>IF($C14=0,"",I14+J14+K14+L14+M14+N14+O14+P14)</f>
        <v>16211245.08</v>
      </c>
      <c r="R14" s="209">
        <f>IF($C14=0,"",SUMIFS(INPUT_DATA!BG:BG,INPUT_DATA!$A:$A,$C14,INPUT_DATA!$B:$B,"S"))</f>
        <v>0</v>
      </c>
      <c r="S14" s="209">
        <f>IF($C14=0,"",SUMIFS(INPUT_DATA!BH:BH,INPUT_DATA!$A:$A,$C14,INPUT_DATA!$B:$B,"S"))</f>
        <v>0</v>
      </c>
      <c r="T14" s="208">
        <f>IF($C14=0,"",H14+Q14+R14-S14)</f>
        <v>99718341.859999999</v>
      </c>
      <c r="U14" s="210">
        <f>IF($C14=0,"",SUMIFS(INPUT_DATA!BK:BK,INPUT_DATA!$A:$A,$C14,INPUT_DATA!$B:$B,"S"))</f>
        <v>99718341.859999999</v>
      </c>
      <c r="V14" s="214">
        <f>IF($C14=0,"",T14-U14)</f>
        <v>0</v>
      </c>
      <c r="X14" s="205">
        <f>IF($C14=0,"",SUMIFS(INPUT_DATA!AT:AT,INPUT_DATA!$A:$A,$C14,INPUT_DATA!$B:$B,"D"))</f>
        <v>308704.78999999998</v>
      </c>
      <c r="Y14" s="206">
        <f>IF($C14=0,"",SUMIFS(INPUT_DATA!AU:AU,INPUT_DATA!$A:$A,$C14,INPUT_DATA!$B:$B,"D"))</f>
        <v>2024.32</v>
      </c>
      <c r="Z14" s="206">
        <f>IF($C14=0,"",SUMIFS(INPUT_DATA!AV:AV,INPUT_DATA!$A:$A,$C14,INPUT_DATA!$B:$B,"D"))</f>
        <v>0</v>
      </c>
      <c r="AA14" s="207">
        <f>IF($C14=0,"",X14+Y14+Z14)</f>
        <v>310729.11</v>
      </c>
      <c r="AB14" s="206">
        <f>IF($C14=0,"",SUMIFS(INPUT_DATA!AX:AX,INPUT_DATA!$A:$A,$C14,INPUT_DATA!$B:$B,"D"))</f>
        <v>530.45000000000005</v>
      </c>
      <c r="AC14" s="206">
        <f>IF($C14=0,"",SUMIFS(INPUT_DATA!AY:AY,INPUT_DATA!$A:$A,$C14,INPUT_DATA!$B:$B,"D"))</f>
        <v>364.63</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895.08</v>
      </c>
      <c r="AK14" s="209">
        <f>IF($C14=0,"",SUMIFS(INPUT_DATA!BG:BG,INPUT_DATA!$A:$A,$C14,INPUT_DATA!$B:$B,"D"))</f>
        <v>0</v>
      </c>
      <c r="AL14" s="209">
        <f>IF($C14=0,"",SUMIFS(INPUT_DATA!BH:BH,INPUT_DATA!$A:$A,$C14,INPUT_DATA!$B:$B,"D"))</f>
        <v>0</v>
      </c>
      <c r="AM14" s="208">
        <f>IF($C14=0,"",AA14+AJ14+AK14)</f>
        <v>311624.19</v>
      </c>
      <c r="AN14" s="210">
        <f>IF($C14=0,"",SUMIFS(INPUT_DATA!BK:BK,INPUT_DATA!$A:$A,$C14,INPUT_DATA!$B:$B,"D"))</f>
        <v>311624.19</v>
      </c>
      <c r="AO14" s="211">
        <f>IF($C14=0,"",AM14-AN14)</f>
        <v>0</v>
      </c>
      <c r="AR14" s="211">
        <f>IF($C14=0,"",T14+AN14)</f>
        <v>100029966.05</v>
      </c>
      <c r="AS14" s="202"/>
      <c r="AT14" s="203">
        <f>IF($C14=0,"",'02 - Monthly Asset Follow up'!E18+'02 - Monthly Asset Follow up'!F18-'02 - Monthly Asset Follow up'!V18+'02 - Monthly Asset Follow up'!Y18-H14)</f>
        <v>1.4901161193847656E-8</v>
      </c>
      <c r="AU14" s="203">
        <f>IF($C14=0,"",'02 - Monthly Asset Follow up'!BB18+'02 - Monthly Asset Follow up'!BC18-'02 - Monthly Asset Follow up'!BR18+'02 - Monthly Asset Follow up'!BU18-AA14)</f>
        <v>0</v>
      </c>
      <c r="AW14" s="204"/>
    </row>
    <row r="15" spans="2:49">
      <c r="B15" s="1573">
        <f t="shared" ref="B15:B78" si="0">IF(C16=0,"",C16+1)</f>
        <v>45931</v>
      </c>
      <c r="C15" s="1574">
        <f>'02 - Monthly Asset Follow up'!B19</f>
        <v>45961</v>
      </c>
      <c r="D15" s="212"/>
      <c r="E15" s="205">
        <f>IF($C15=0,"",SUMIFS(INPUT_DATA!AT:AT,INPUT_DATA!$A:$A,$C15,INPUT_DATA!$B:$B,"S"))</f>
        <v>60701513.700000003</v>
      </c>
      <c r="F15" s="206">
        <f>IF($C15=0,"",SUMIFS(INPUT_DATA!AU:AU,INPUT_DATA!$A:$A,$C15,INPUT_DATA!$B:$B,"S"))</f>
        <v>149461.65</v>
      </c>
      <c r="G15" s="206">
        <f>IF($C15=0,"",SUMIFS(INPUT_DATA!AV:AV,INPUT_DATA!$A:$A,$C15,INPUT_DATA!$B:$B,"S"))</f>
        <v>30948441.43</v>
      </c>
      <c r="H15" s="213">
        <f t="shared" ref="H15:H78" si="1">IF($C15=0,"",E15+F15+G15)</f>
        <v>91799416.780000001</v>
      </c>
      <c r="I15" s="206">
        <f>IF($C15=0,"",SUMIFS(INPUT_DATA!AX:AX,INPUT_DATA!$A:$A,$C15,INPUT_DATA!$B:$B,"S"))</f>
        <v>10924064.09</v>
      </c>
      <c r="J15" s="206">
        <f>IF($C15=0,"",SUMIFS(INPUT_DATA!AY:AY,INPUT_DATA!$A:$A,$C15,INPUT_DATA!$B:$B,"S"))</f>
        <v>24638.29</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193654.97</v>
      </c>
      <c r="O15" s="206">
        <f>IF($C15=0,"",SUMIFS(INPUT_DATA!BD:BD,INPUT_DATA!$A:$A,$C15,INPUT_DATA!$B:$B,"S"))</f>
        <v>0</v>
      </c>
      <c r="P15" s="206">
        <f>IF($C15=0,"",SUMIFS(INPUT_DATA!BE:BE,INPUT_DATA!$A:$A,$C15,INPUT_DATA!$B:$B,"S"))</f>
        <v>0</v>
      </c>
      <c r="Q15" s="208">
        <f t="shared" ref="Q15:Q78" si="2">IF($C15=0,"",I15+J15+K15+L15+M15+N15+O15+P15)</f>
        <v>11142357.35</v>
      </c>
      <c r="R15" s="209">
        <f>IF($C15=0,"",SUMIFS(INPUT_DATA!BG:BG,INPUT_DATA!$A:$A,$C15,INPUT_DATA!$B:$B,"S"))</f>
        <v>0</v>
      </c>
      <c r="S15" s="209">
        <f>IF($C15=0,"",SUMIFS(INPUT_DATA!BH:BH,INPUT_DATA!$A:$A,$C15,INPUT_DATA!$B:$B,"S"))</f>
        <v>0</v>
      </c>
      <c r="T15" s="208">
        <f t="shared" ref="T15:T78" si="3">IF($C15=0,"",H15+Q15+R15-S15)</f>
        <v>102941774.13</v>
      </c>
      <c r="U15" s="210">
        <f>IF($C15=0,"",SUMIFS(INPUT_DATA!BK:BK,INPUT_DATA!$A:$A,$C15,INPUT_DATA!$B:$B,"S"))</f>
        <v>102941774.13</v>
      </c>
      <c r="V15" s="214">
        <f t="shared" ref="V15:V78" si="4">IF($C15=0,"",T15-U15)</f>
        <v>0</v>
      </c>
      <c r="W15" s="212"/>
      <c r="X15" s="205">
        <f>IF($C15=0,"",SUMIFS(INPUT_DATA!AT:AT,INPUT_DATA!$A:$A,$C15,INPUT_DATA!$B:$B,"D"))</f>
        <v>982.61</v>
      </c>
      <c r="Y15" s="206">
        <f>IF($C15=0,"",SUMIFS(INPUT_DATA!AU:AU,INPUT_DATA!$A:$A,$C15,INPUT_DATA!$B:$B,"D"))</f>
        <v>0</v>
      </c>
      <c r="Z15" s="206">
        <f>IF($C15=0,"",SUMIFS(INPUT_DATA!AV:AV,INPUT_DATA!$A:$A,$C15,INPUT_DATA!$B:$B,"D"))</f>
        <v>0</v>
      </c>
      <c r="AA15" s="207">
        <f>IF($C15=0,"",X15+Y15+Z15)</f>
        <v>982.61</v>
      </c>
      <c r="AB15" s="206">
        <f>IF($C15=0,"",SUMIFS(INPUT_DATA!AX:AX,INPUT_DATA!$A:$A,$C15,INPUT_DATA!$B:$B,"D"))</f>
        <v>154.58000000000001</v>
      </c>
      <c r="AC15" s="206">
        <f>IF($C15=0,"",SUMIFS(INPUT_DATA!AY:AY,INPUT_DATA!$A:$A,$C15,INPUT_DATA!$B:$B,"D"))</f>
        <v>0</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154.58000000000001</v>
      </c>
      <c r="AK15" s="209">
        <f>IF($C15=0,"",SUMIFS(INPUT_DATA!BG:BG,INPUT_DATA!$A:$A,$C15,INPUT_DATA!$B:$B,"D"))</f>
        <v>0</v>
      </c>
      <c r="AL15" s="209">
        <f>IF($C15=0,"",SUMIFS(INPUT_DATA!BH:BH,INPUT_DATA!$A:$A,$C15,INPUT_DATA!$B:$B,"D"))</f>
        <v>0</v>
      </c>
      <c r="AM15" s="208">
        <f>IF($C15=0,"",AA15+AJ15+AK15)</f>
        <v>1137.19</v>
      </c>
      <c r="AN15" s="210">
        <f>IF($C15=0,"",SUMIFS(INPUT_DATA!BK:BK,INPUT_DATA!$A:$A,$C15,INPUT_DATA!$B:$B,"D"))</f>
        <v>1137.19</v>
      </c>
      <c r="AO15" s="211">
        <f>IF($C15=0,"",AM15-AN15)</f>
        <v>0</v>
      </c>
      <c r="AP15" s="212"/>
      <c r="AR15" s="211">
        <f t="shared" ref="AR15:AR78" si="5">IF($C15=0,"",T15+AN15)</f>
        <v>102942911.31999999</v>
      </c>
      <c r="AS15" s="171"/>
      <c r="AT15" s="203">
        <f>IF($C15=0,"",'02 - Monthly Asset Follow up'!E19+'02 - Monthly Asset Follow up'!F19-'02 - Monthly Asset Follow up'!V19+'02 - Monthly Asset Follow up'!Y19-H15)</f>
        <v>1.4901161193847656E-8</v>
      </c>
      <c r="AU15" s="203">
        <f>IF($C15=0,"",'02 - Monthly Asset Follow up'!BB19+'02 - Monthly Asset Follow up'!BC19-'02 - Monthly Asset Follow up'!BR19+'02 - Monthly Asset Follow up'!BU19-AA15)</f>
        <v>5.6843418860808015E-13</v>
      </c>
      <c r="AW15" s="215"/>
    </row>
    <row r="16" spans="2:49">
      <c r="B16" s="1573">
        <f t="shared" si="0"/>
        <v>45901</v>
      </c>
      <c r="C16" s="1574">
        <f>'02 - Monthly Asset Follow up'!B20</f>
        <v>45930</v>
      </c>
      <c r="D16" s="212"/>
      <c r="E16" s="205">
        <f>IF($C16=0,"",SUMIFS(INPUT_DATA!AT:AT,INPUT_DATA!$A:$A,$C16,INPUT_DATA!$B:$B,"S"))</f>
        <v>40759015.710000001</v>
      </c>
      <c r="F16" s="206">
        <f>IF($C16=0,"",SUMIFS(INPUT_DATA!AU:AU,INPUT_DATA!$A:$A,$C16,INPUT_DATA!$B:$B,"S"))</f>
        <v>343243.5</v>
      </c>
      <c r="G16" s="206">
        <f>IF($C16=0,"",SUMIFS(INPUT_DATA!AV:AV,INPUT_DATA!$A:$A,$C16,INPUT_DATA!$B:$B,"S"))</f>
        <v>18140271.010000002</v>
      </c>
      <c r="H16" s="213">
        <f t="shared" si="1"/>
        <v>59242530.219999999</v>
      </c>
      <c r="I16" s="206">
        <f>IF($C16=0,"",SUMIFS(INPUT_DATA!AX:AX,INPUT_DATA!$A:$A,$C16,INPUT_DATA!$B:$B,"S"))</f>
        <v>9190680.4800000004</v>
      </c>
      <c r="J16" s="206">
        <f>IF($C16=0,"",SUMIFS(INPUT_DATA!AY:AY,INPUT_DATA!$A:$A,$C16,INPUT_DATA!$B:$B,"S"))</f>
        <v>64031.839999999997</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81035.69</v>
      </c>
      <c r="O16" s="206">
        <f>IF($C16=0,"",SUMIFS(INPUT_DATA!BD:BD,INPUT_DATA!$A:$A,$C16,INPUT_DATA!$B:$B,"S"))</f>
        <v>0</v>
      </c>
      <c r="P16" s="206">
        <f>IF($C16=0,"",SUMIFS(INPUT_DATA!BE:BE,INPUT_DATA!$A:$A,$C16,INPUT_DATA!$B:$B,"S"))</f>
        <v>0</v>
      </c>
      <c r="Q16" s="208">
        <f t="shared" si="2"/>
        <v>9335748.0099999998</v>
      </c>
      <c r="R16" s="209">
        <f>IF($C16=0,"",SUMIFS(INPUT_DATA!BG:BG,INPUT_DATA!$A:$A,$C16,INPUT_DATA!$B:$B,"S"))</f>
        <v>0</v>
      </c>
      <c r="S16" s="209">
        <f>IF($C16=0,"",SUMIFS(INPUT_DATA!BH:BH,INPUT_DATA!$A:$A,$C16,INPUT_DATA!$B:$B,"S"))</f>
        <v>0</v>
      </c>
      <c r="T16" s="208">
        <f t="shared" si="3"/>
        <v>68578278.230000004</v>
      </c>
      <c r="U16" s="210">
        <f>IF($C16=0,"",SUMIFS(INPUT_DATA!BK:BK,INPUT_DATA!$A:$A,$C16,INPUT_DATA!$B:$B,"S"))</f>
        <v>68578278.230000004</v>
      </c>
      <c r="V16" s="214">
        <f t="shared" si="4"/>
        <v>0</v>
      </c>
      <c r="W16" s="212"/>
      <c r="X16" s="205">
        <f>IF($C16=0,"",SUMIFS(INPUT_DATA!AT:AT,INPUT_DATA!$A:$A,$C16,INPUT_DATA!$B:$B,"D"))</f>
        <v>1260.55</v>
      </c>
      <c r="Y16" s="206">
        <f>IF($C16=0,"",SUMIFS(INPUT_DATA!AU:AU,INPUT_DATA!$A:$A,$C16,INPUT_DATA!$B:$B,"D"))</f>
        <v>81.849999999999994</v>
      </c>
      <c r="Z16" s="206">
        <f>IF($C16=0,"",SUMIFS(INPUT_DATA!AV:AV,INPUT_DATA!$A:$A,$C16,INPUT_DATA!$B:$B,"D"))</f>
        <v>0</v>
      </c>
      <c r="AA16" s="207">
        <f>IF($C16=0,"",X16+Y16+Z16)</f>
        <v>1342.3999999999999</v>
      </c>
      <c r="AB16" s="206">
        <f>IF($C16=0,"",SUMIFS(INPUT_DATA!AX:AX,INPUT_DATA!$A:$A,$C16,INPUT_DATA!$B:$B,"D"))</f>
        <v>381.28</v>
      </c>
      <c r="AC16" s="206">
        <f>IF($C16=0,"",SUMIFS(INPUT_DATA!AY:AY,INPUT_DATA!$A:$A,$C16,INPUT_DATA!$B:$B,"D"))</f>
        <v>64.900000000000006</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446.17999999999995</v>
      </c>
      <c r="AK16" s="209">
        <f>IF($C16=0,"",SUMIFS(INPUT_DATA!BG:BG,INPUT_DATA!$A:$A,$C16,INPUT_DATA!$B:$B,"D"))</f>
        <v>0</v>
      </c>
      <c r="AL16" s="209">
        <f>IF($C16=0,"",SUMIFS(INPUT_DATA!BH:BH,INPUT_DATA!$A:$A,$C16,INPUT_DATA!$B:$B,"D"))</f>
        <v>0</v>
      </c>
      <c r="AM16" s="208">
        <f>IF($C16=0,"",AA16+AJ16+AK16)</f>
        <v>1788.58</v>
      </c>
      <c r="AN16" s="210">
        <f>IF($C16=0,"",SUMIFS(INPUT_DATA!BK:BK,INPUT_DATA!$A:$A,$C16,INPUT_DATA!$B:$B,"D"))</f>
        <v>1788.58</v>
      </c>
      <c r="AO16" s="211">
        <f>IF($C16=0,"",AM16-AN16)</f>
        <v>0</v>
      </c>
      <c r="AP16" s="212"/>
      <c r="AR16" s="211">
        <f t="shared" si="5"/>
        <v>68580066.810000002</v>
      </c>
      <c r="AT16" s="203">
        <f>IF($C16=0,"",'02 - Monthly Asset Follow up'!E20+'02 - Monthly Asset Follow up'!F20-'02 - Monthly Asset Follow up'!V20+'02 - Monthly Asset Follow up'!Y20-H16)</f>
        <v>0</v>
      </c>
      <c r="AU16" s="203">
        <f>IF($C16=0,"",'02 - Monthly Asset Follow up'!BB20+'02 - Monthly Asset Follow up'!BC20-'02 - Monthly Asset Follow up'!BR20+'02 - Monthly Asset Follow up'!BU20-AA16)</f>
        <v>0</v>
      </c>
      <c r="AW16" s="215"/>
    </row>
    <row r="17" spans="2:49">
      <c r="B17" s="1573">
        <f t="shared" si="0"/>
        <v>45870</v>
      </c>
      <c r="C17" s="1574">
        <f>'02 - Monthly Asset Follow up'!B21</f>
        <v>45900</v>
      </c>
      <c r="D17" s="212"/>
      <c r="E17" s="205">
        <f>IF($C17=0,"",SUMIFS(INPUT_DATA!AT:AT,INPUT_DATA!$A:$A,$C17,INPUT_DATA!$B:$B,"S"))</f>
        <v>40924805.490000002</v>
      </c>
      <c r="F17" s="206">
        <f>IF($C17=0,"",SUMIFS(INPUT_DATA!AU:AU,INPUT_DATA!$A:$A,$C17,INPUT_DATA!$B:$B,"S"))</f>
        <v>139224.46</v>
      </c>
      <c r="G17" s="206">
        <f>IF($C17=0,"",SUMIFS(INPUT_DATA!AV:AV,INPUT_DATA!$A:$A,$C17,INPUT_DATA!$B:$B,"S"))</f>
        <v>24368146.75</v>
      </c>
      <c r="H17" s="213">
        <f t="shared" si="1"/>
        <v>65432176.700000003</v>
      </c>
      <c r="I17" s="206">
        <f>IF($C17=0,"",SUMIFS(INPUT_DATA!AX:AX,INPUT_DATA!$A:$A,$C17,INPUT_DATA!$B:$B,"S"))</f>
        <v>9263814.8399999999</v>
      </c>
      <c r="J17" s="206">
        <f>IF($C17=0,"",SUMIFS(INPUT_DATA!AY:AY,INPUT_DATA!$A:$A,$C17,INPUT_DATA!$B:$B,"S"))</f>
        <v>36811.22</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98997.19</v>
      </c>
      <c r="O17" s="206">
        <f>IF($C17=0,"",SUMIFS(INPUT_DATA!BD:BD,INPUT_DATA!$A:$A,$C17,INPUT_DATA!$B:$B,"S"))</f>
        <v>0</v>
      </c>
      <c r="P17" s="206">
        <f>IF($C17=0,"",SUMIFS(INPUT_DATA!BE:BE,INPUT_DATA!$A:$A,$C17,INPUT_DATA!$B:$B,"S"))</f>
        <v>0</v>
      </c>
      <c r="Q17" s="208">
        <f t="shared" si="2"/>
        <v>9399623.25</v>
      </c>
      <c r="R17" s="209">
        <f>IF($C17=0,"",SUMIFS(INPUT_DATA!BG:BG,INPUT_DATA!$A:$A,$C17,INPUT_DATA!$B:$B,"S"))</f>
        <v>0</v>
      </c>
      <c r="S17" s="209">
        <f>IF($C17=0,"",SUMIFS(INPUT_DATA!BH:BH,INPUT_DATA!$A:$A,$C17,INPUT_DATA!$B:$B,"S"))</f>
        <v>0</v>
      </c>
      <c r="T17" s="208">
        <f t="shared" si="3"/>
        <v>74831799.950000003</v>
      </c>
      <c r="U17" s="210">
        <f>IF($C17=0,"",SUMIFS(INPUT_DATA!BK:BK,INPUT_DATA!$A:$A,$C17,INPUT_DATA!$B:$B,"S"))</f>
        <v>74831799.950000003</v>
      </c>
      <c r="V17" s="214">
        <f t="shared" si="4"/>
        <v>0</v>
      </c>
      <c r="W17" s="212"/>
      <c r="X17" s="205">
        <f>IF($C17=0,"",SUMIFS(INPUT_DATA!AT:AT,INPUT_DATA!$A:$A,$C17,INPUT_DATA!$B:$B,"D"))</f>
        <v>1716.2</v>
      </c>
      <c r="Y17" s="206">
        <f>IF($C17=0,"",SUMIFS(INPUT_DATA!AU:AU,INPUT_DATA!$A:$A,$C17,INPUT_DATA!$B:$B,"D"))</f>
        <v>0</v>
      </c>
      <c r="Z17" s="206">
        <f>IF($C17=0,"",SUMIFS(INPUT_DATA!AV:AV,INPUT_DATA!$A:$A,$C17,INPUT_DATA!$B:$B,"D"))</f>
        <v>0</v>
      </c>
      <c r="AA17" s="207">
        <f>IF($C17=0,"",X17+Y17+Z17)</f>
        <v>1716.2</v>
      </c>
      <c r="AB17" s="206">
        <f>IF($C17=0,"",SUMIFS(INPUT_DATA!AX:AX,INPUT_DATA!$A:$A,$C17,INPUT_DATA!$B:$B,"D"))</f>
        <v>756.14</v>
      </c>
      <c r="AC17" s="206">
        <f>IF($C17=0,"",SUMIFS(INPUT_DATA!AY:AY,INPUT_DATA!$A:$A,$C17,INPUT_DATA!$B:$B,"D"))</f>
        <v>0</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756.14</v>
      </c>
      <c r="AK17" s="209">
        <f>IF($C17=0,"",SUMIFS(INPUT_DATA!BG:BG,INPUT_DATA!$A:$A,$C17,INPUT_DATA!$B:$B,"D"))</f>
        <v>0</v>
      </c>
      <c r="AL17" s="209">
        <f>IF($C17=0,"",SUMIFS(INPUT_DATA!BH:BH,INPUT_DATA!$A:$A,$C17,INPUT_DATA!$B:$B,"D"))</f>
        <v>0</v>
      </c>
      <c r="AM17" s="208">
        <f>IF($C17=0,"",AA17+AJ17+AK17)</f>
        <v>2472.34</v>
      </c>
      <c r="AN17" s="210">
        <f>IF($C17=0,"",SUMIFS(INPUT_DATA!BK:BK,INPUT_DATA!$A:$A,$C17,INPUT_DATA!$B:$B,"D"))</f>
        <v>2472.34</v>
      </c>
      <c r="AO17" s="211">
        <f>IF($C17=0,"",AM17-AN17)</f>
        <v>0</v>
      </c>
      <c r="AP17" s="212"/>
      <c r="AR17" s="211">
        <f t="shared" si="5"/>
        <v>74834272.290000007</v>
      </c>
      <c r="AT17" s="203">
        <f>IF($C17=0,"",'02 - Monthly Asset Follow up'!E21+'02 - Monthly Asset Follow up'!F21-'02 - Monthly Asset Follow up'!V21+'02 - Monthly Asset Follow up'!Y21-H17)</f>
        <v>0</v>
      </c>
      <c r="AU17" s="203">
        <f>IF($C17=0,"",'02 - Monthly Asset Follow up'!BB21+'02 - Monthly Asset Follow up'!BC21-'02 - Monthly Asset Follow up'!BR21+'02 - Monthly Asset Follow up'!BU21-AA17)</f>
        <v>0</v>
      </c>
      <c r="AW17" s="215"/>
    </row>
    <row r="18" spans="2:49">
      <c r="B18" s="1573">
        <f t="shared" si="0"/>
        <v>45839</v>
      </c>
      <c r="C18" s="1574">
        <f>'02 - Monthly Asset Follow up'!B22</f>
        <v>45869</v>
      </c>
      <c r="D18" s="212"/>
      <c r="E18" s="205">
        <f>IF($C18=0,"",SUMIFS(INPUT_DATA!AT:AT,INPUT_DATA!$A:$A,$C18,INPUT_DATA!$B:$B,"S"))</f>
        <v>41219124.729999997</v>
      </c>
      <c r="F18" s="206">
        <f>IF($C18=0,"",SUMIFS(INPUT_DATA!AU:AU,INPUT_DATA!$A:$A,$C18,INPUT_DATA!$B:$B,"S"))</f>
        <v>164764.35</v>
      </c>
      <c r="G18" s="206">
        <f>IF($C18=0,"",SUMIFS(INPUT_DATA!AV:AV,INPUT_DATA!$A:$A,$C18,INPUT_DATA!$B:$B,"S"))</f>
        <v>23530806</v>
      </c>
      <c r="H18" s="213">
        <f t="shared" si="1"/>
        <v>64914695.079999998</v>
      </c>
      <c r="I18" s="206">
        <f>IF($C18=0,"",SUMIFS(INPUT_DATA!AX:AX,INPUT_DATA!$A:$A,$C18,INPUT_DATA!$B:$B,"S"))</f>
        <v>9325630.4000000004</v>
      </c>
      <c r="J18" s="206">
        <f>IF($C18=0,"",SUMIFS(INPUT_DATA!AY:AY,INPUT_DATA!$A:$A,$C18,INPUT_DATA!$B:$B,"S"))</f>
        <v>32176.720000000001</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100154.2</v>
      </c>
      <c r="O18" s="206">
        <f>IF($C18=0,"",SUMIFS(INPUT_DATA!BD:BD,INPUT_DATA!$A:$A,$C18,INPUT_DATA!$B:$B,"S"))</f>
        <v>0</v>
      </c>
      <c r="P18" s="206">
        <f>IF($C18=0,"",SUMIFS(INPUT_DATA!BE:BE,INPUT_DATA!$A:$A,$C18,INPUT_DATA!$B:$B,"S"))</f>
        <v>0</v>
      </c>
      <c r="Q18" s="208">
        <f t="shared" si="2"/>
        <v>9457961.3200000003</v>
      </c>
      <c r="R18" s="209">
        <f>IF($C18=0,"",SUMIFS(INPUT_DATA!BG:BG,INPUT_DATA!$A:$A,$C18,INPUT_DATA!$B:$B,"S"))</f>
        <v>0</v>
      </c>
      <c r="S18" s="209">
        <f>IF($C18=0,"",SUMIFS(INPUT_DATA!BH:BH,INPUT_DATA!$A:$A,$C18,INPUT_DATA!$B:$B,"S"))</f>
        <v>0</v>
      </c>
      <c r="T18" s="208">
        <f t="shared" si="3"/>
        <v>74372656.400000006</v>
      </c>
      <c r="U18" s="210">
        <f>IF($C18=0,"",SUMIFS(INPUT_DATA!BK:BK,INPUT_DATA!$A:$A,$C18,INPUT_DATA!$B:$B,"S"))</f>
        <v>74372656.400000006</v>
      </c>
      <c r="V18" s="214">
        <f t="shared" si="4"/>
        <v>0</v>
      </c>
      <c r="W18" s="212"/>
      <c r="X18" s="205">
        <f>IF($C18=0,"",SUMIFS(INPUT_DATA!AT:AT,INPUT_DATA!$A:$A,$C18,INPUT_DATA!$B:$B,"D"))</f>
        <v>2736.21</v>
      </c>
      <c r="Y18" s="206">
        <f>IF($C18=0,"",SUMIFS(INPUT_DATA!AU:AU,INPUT_DATA!$A:$A,$C18,INPUT_DATA!$B:$B,"D"))</f>
        <v>2013.48</v>
      </c>
      <c r="Z18" s="206">
        <f>IF($C18=0,"",SUMIFS(INPUT_DATA!AV:AV,INPUT_DATA!$A:$A,$C18,INPUT_DATA!$B:$B,"D"))</f>
        <v>0</v>
      </c>
      <c r="AA18" s="207">
        <f t="shared" ref="AA18:AA81" si="6">IF($C18=0,"",X18+Y18+Z18)</f>
        <v>4749.6900000000005</v>
      </c>
      <c r="AB18" s="206">
        <f>IF($C18=0,"",SUMIFS(INPUT_DATA!AX:AX,INPUT_DATA!$A:$A,$C18,INPUT_DATA!$B:$B,"D"))</f>
        <v>984.03</v>
      </c>
      <c r="AC18" s="206">
        <f>IF($C18=0,"",SUMIFS(INPUT_DATA!AY:AY,INPUT_DATA!$A:$A,$C18,INPUT_DATA!$B:$B,"D"))</f>
        <v>102.49</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1086.52</v>
      </c>
      <c r="AK18" s="209">
        <f>IF($C18=0,"",SUMIFS(INPUT_DATA!BG:BG,INPUT_DATA!$A:$A,$C18,INPUT_DATA!$B:$B,"D"))</f>
        <v>0</v>
      </c>
      <c r="AL18" s="209">
        <f>IF($C18=0,"",SUMIFS(INPUT_DATA!BH:BH,INPUT_DATA!$A:$A,$C18,INPUT_DATA!$B:$B,"D"))</f>
        <v>0</v>
      </c>
      <c r="AM18" s="208">
        <f t="shared" ref="AM18:AM81" si="8">IF($C18=0,"",AA18+AJ18+AK18)</f>
        <v>5836.2100000000009</v>
      </c>
      <c r="AN18" s="210">
        <f>IF($C18=0,"",SUMIFS(INPUT_DATA!BK:BK,INPUT_DATA!$A:$A,$C18,INPUT_DATA!$B:$B,"D"))</f>
        <v>5836.21</v>
      </c>
      <c r="AO18" s="211">
        <f t="shared" ref="AO18:AO81" si="9">IF($C18=0,"",AM18-AN18)</f>
        <v>9.0949470177292824E-13</v>
      </c>
      <c r="AP18" s="212"/>
      <c r="AR18" s="211">
        <f t="shared" si="5"/>
        <v>74378492.609999999</v>
      </c>
      <c r="AT18" s="203">
        <f>IF($C18=0,"",'02 - Monthly Asset Follow up'!E22+'02 - Monthly Asset Follow up'!F22-'02 - Monthly Asset Follow up'!V22+'02 - Monthly Asset Follow up'!Y22-H18)</f>
        <v>0</v>
      </c>
      <c r="AU18" s="203">
        <f>IF($C18=0,"",'02 - Monthly Asset Follow up'!BB22+'02 - Monthly Asset Follow up'!BC22-'02 - Monthly Asset Follow up'!BR22+'02 - Monthly Asset Follow up'!BU22-AA18)</f>
        <v>0</v>
      </c>
      <c r="AW18" s="215"/>
    </row>
    <row r="19" spans="2:49">
      <c r="B19" s="1573">
        <f t="shared" si="0"/>
        <v>45809</v>
      </c>
      <c r="C19" s="1574">
        <f>'02 - Monthly Asset Follow up'!B23</f>
        <v>45838</v>
      </c>
      <c r="D19" s="212"/>
      <c r="E19" s="205">
        <f>IF($C19=0,"",SUMIFS(INPUT_DATA!AT:AT,INPUT_DATA!$A:$A,$C19,INPUT_DATA!$B:$B,"S"))</f>
        <v>41181100.240000002</v>
      </c>
      <c r="F19" s="206">
        <f>IF($C19=0,"",SUMIFS(INPUT_DATA!AU:AU,INPUT_DATA!$A:$A,$C19,INPUT_DATA!$B:$B,"S"))</f>
        <v>129163.94</v>
      </c>
      <c r="G19" s="206">
        <f>IF($C19=0,"",SUMIFS(INPUT_DATA!AV:AV,INPUT_DATA!$A:$A,$C19,INPUT_DATA!$B:$B,"S"))</f>
        <v>17402933.100000001</v>
      </c>
      <c r="H19" s="213">
        <f t="shared" si="1"/>
        <v>58713197.280000001</v>
      </c>
      <c r="I19" s="206">
        <f>IF($C19=0,"",SUMIFS(INPUT_DATA!AX:AX,INPUT_DATA!$A:$A,$C19,INPUT_DATA!$B:$B,"S"))</f>
        <v>9425318.9800000004</v>
      </c>
      <c r="J19" s="206">
        <f>IF($C19=0,"",SUMIFS(INPUT_DATA!AY:AY,INPUT_DATA!$A:$A,$C19,INPUT_DATA!$B:$B,"S"))</f>
        <v>26974.45</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89792.07</v>
      </c>
      <c r="O19" s="206">
        <f>IF($C19=0,"",SUMIFS(INPUT_DATA!BD:BD,INPUT_DATA!$A:$A,$C19,INPUT_DATA!$B:$B,"S"))</f>
        <v>0</v>
      </c>
      <c r="P19" s="206">
        <f>IF($C19=0,"",SUMIFS(INPUT_DATA!BE:BE,INPUT_DATA!$A:$A,$C19,INPUT_DATA!$B:$B,"S"))</f>
        <v>0</v>
      </c>
      <c r="Q19" s="208">
        <f t="shared" si="2"/>
        <v>9542085.5</v>
      </c>
      <c r="R19" s="209">
        <f>IF($C19=0,"",SUMIFS(INPUT_DATA!BG:BG,INPUT_DATA!$A:$A,$C19,INPUT_DATA!$B:$B,"S"))</f>
        <v>0</v>
      </c>
      <c r="S19" s="209">
        <f>IF($C19=0,"",SUMIFS(INPUT_DATA!BH:BH,INPUT_DATA!$A:$A,$C19,INPUT_DATA!$B:$B,"S"))</f>
        <v>0</v>
      </c>
      <c r="T19" s="208">
        <f t="shared" si="3"/>
        <v>68255282.780000001</v>
      </c>
      <c r="U19" s="210">
        <f>IF($C19=0,"",SUMIFS(INPUT_DATA!BK:BK,INPUT_DATA!$A:$A,$C19,INPUT_DATA!$B:$B,"S"))</f>
        <v>68255282.780000001</v>
      </c>
      <c r="V19" s="214">
        <f t="shared" si="4"/>
        <v>0</v>
      </c>
      <c r="W19" s="212"/>
      <c r="X19" s="205">
        <f>IF($C19=0,"",SUMIFS(INPUT_DATA!AT:AT,INPUT_DATA!$A:$A,$C19,INPUT_DATA!$B:$B,"D"))</f>
        <v>7323</v>
      </c>
      <c r="Y19" s="206">
        <f>IF($C19=0,"",SUMIFS(INPUT_DATA!AU:AU,INPUT_DATA!$A:$A,$C19,INPUT_DATA!$B:$B,"D"))</f>
        <v>0</v>
      </c>
      <c r="Z19" s="206">
        <f>IF($C19=0,"",SUMIFS(INPUT_DATA!AV:AV,INPUT_DATA!$A:$A,$C19,INPUT_DATA!$B:$B,"D"))</f>
        <v>0</v>
      </c>
      <c r="AA19" s="207">
        <f t="shared" si="6"/>
        <v>7323</v>
      </c>
      <c r="AB19" s="206">
        <f>IF($C19=0,"",SUMIFS(INPUT_DATA!AX:AX,INPUT_DATA!$A:$A,$C19,INPUT_DATA!$B:$B,"D"))</f>
        <v>1442.27</v>
      </c>
      <c r="AC19" s="206">
        <f>IF($C19=0,"",SUMIFS(INPUT_DATA!AY:AY,INPUT_DATA!$A:$A,$C19,INPUT_DATA!$B:$B,"D"))</f>
        <v>0</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1442.27</v>
      </c>
      <c r="AK19" s="209">
        <f>IF($C19=0,"",SUMIFS(INPUT_DATA!BG:BG,INPUT_DATA!$A:$A,$C19,INPUT_DATA!$B:$B,"D"))</f>
        <v>0</v>
      </c>
      <c r="AL19" s="209">
        <f>IF($C19=0,"",SUMIFS(INPUT_DATA!BH:BH,INPUT_DATA!$A:$A,$C19,INPUT_DATA!$B:$B,"D"))</f>
        <v>0</v>
      </c>
      <c r="AM19" s="208">
        <f t="shared" si="8"/>
        <v>8765.27</v>
      </c>
      <c r="AN19" s="210">
        <f>IF($C19=0,"",SUMIFS(INPUT_DATA!BK:BK,INPUT_DATA!$A:$A,$C19,INPUT_DATA!$B:$B,"D"))</f>
        <v>8765.27</v>
      </c>
      <c r="AO19" s="211">
        <f t="shared" si="9"/>
        <v>0</v>
      </c>
      <c r="AP19" s="212"/>
      <c r="AR19" s="211">
        <f t="shared" si="5"/>
        <v>68264048.049999997</v>
      </c>
      <c r="AT19" s="203">
        <f>IF($C19=0,"",'02 - Monthly Asset Follow up'!E23+'02 - Monthly Asset Follow up'!F23-'02 - Monthly Asset Follow up'!V23+'02 - Monthly Asset Follow up'!Y23-H19)</f>
        <v>-7.4505805969238281E-9</v>
      </c>
      <c r="AU19" s="203">
        <f>IF($C19=0,"",'02 - Monthly Asset Follow up'!BB23+'02 - Monthly Asset Follow up'!BC23-'02 - Monthly Asset Follow up'!BR23+'02 - Monthly Asset Follow up'!BU23-AA19)</f>
        <v>0</v>
      </c>
      <c r="AW19" s="215"/>
    </row>
    <row r="20" spans="2:49">
      <c r="B20" s="1573">
        <f t="shared" si="0"/>
        <v>45778</v>
      </c>
      <c r="C20" s="1574">
        <f>'02 - Monthly Asset Follow up'!B24</f>
        <v>45808</v>
      </c>
      <c r="D20" s="212"/>
      <c r="E20" s="205">
        <f>IF($C20=0,"",SUMIFS(INPUT_DATA!AT:AT,INPUT_DATA!$A:$A,$C20,INPUT_DATA!$B:$B,"S"))</f>
        <v>41514607.759999998</v>
      </c>
      <c r="F20" s="206">
        <f>IF($C20=0,"",SUMIFS(INPUT_DATA!AU:AU,INPUT_DATA!$A:$A,$C20,INPUT_DATA!$B:$B,"S"))</f>
        <v>103621.29</v>
      </c>
      <c r="G20" s="206">
        <f>IF($C20=0,"",SUMIFS(INPUT_DATA!AV:AV,INPUT_DATA!$A:$A,$C20,INPUT_DATA!$B:$B,"S"))</f>
        <v>19519847.550000001</v>
      </c>
      <c r="H20" s="213">
        <f t="shared" si="1"/>
        <v>61138076.599999994</v>
      </c>
      <c r="I20" s="206">
        <f>IF($C20=0,"",SUMIFS(INPUT_DATA!AX:AX,INPUT_DATA!$A:$A,$C20,INPUT_DATA!$B:$B,"S"))</f>
        <v>9486828.6500000004</v>
      </c>
      <c r="J20" s="206">
        <f>IF($C20=0,"",SUMIFS(INPUT_DATA!AY:AY,INPUT_DATA!$A:$A,$C20,INPUT_DATA!$B:$B,"S"))</f>
        <v>18039.490000000002</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66814.11</v>
      </c>
      <c r="O20" s="206">
        <f>IF($C20=0,"",SUMIFS(INPUT_DATA!BD:BD,INPUT_DATA!$A:$A,$C20,INPUT_DATA!$B:$B,"S"))</f>
        <v>0</v>
      </c>
      <c r="P20" s="206">
        <f>IF($C20=0,"",SUMIFS(INPUT_DATA!BE:BE,INPUT_DATA!$A:$A,$C20,INPUT_DATA!$B:$B,"S"))</f>
        <v>0</v>
      </c>
      <c r="Q20" s="208">
        <f t="shared" si="2"/>
        <v>9571682.25</v>
      </c>
      <c r="R20" s="209">
        <f>IF($C20=0,"",SUMIFS(INPUT_DATA!BG:BG,INPUT_DATA!$A:$A,$C20,INPUT_DATA!$B:$B,"S"))</f>
        <v>0</v>
      </c>
      <c r="S20" s="209">
        <f>IF($C20=0,"",SUMIFS(INPUT_DATA!BH:BH,INPUT_DATA!$A:$A,$C20,INPUT_DATA!$B:$B,"S"))</f>
        <v>0</v>
      </c>
      <c r="T20" s="208">
        <f t="shared" si="3"/>
        <v>70709758.849999994</v>
      </c>
      <c r="U20" s="210">
        <f>IF($C20=0,"",SUMIFS(INPUT_DATA!BK:BK,INPUT_DATA!$A:$A,$C20,INPUT_DATA!$B:$B,"S"))</f>
        <v>70709758.849999994</v>
      </c>
      <c r="V20" s="214">
        <f t="shared" si="4"/>
        <v>0</v>
      </c>
      <c r="W20" s="212"/>
      <c r="X20" s="205">
        <f>IF($C20=0,"",SUMIFS(INPUT_DATA!AT:AT,INPUT_DATA!$A:$A,$C20,INPUT_DATA!$B:$B,"D"))</f>
        <v>9058.5400000000009</v>
      </c>
      <c r="Y20" s="206">
        <f>IF($C20=0,"",SUMIFS(INPUT_DATA!AU:AU,INPUT_DATA!$A:$A,$C20,INPUT_DATA!$B:$B,"D"))</f>
        <v>1846.72</v>
      </c>
      <c r="Z20" s="206">
        <f>IF($C20=0,"",SUMIFS(INPUT_DATA!AV:AV,INPUT_DATA!$A:$A,$C20,INPUT_DATA!$B:$B,"D"))</f>
        <v>0</v>
      </c>
      <c r="AA20" s="207">
        <f t="shared" si="6"/>
        <v>10905.26</v>
      </c>
      <c r="AB20" s="206">
        <f>IF($C20=0,"",SUMIFS(INPUT_DATA!AX:AX,INPUT_DATA!$A:$A,$C20,INPUT_DATA!$B:$B,"D"))</f>
        <v>2777.64</v>
      </c>
      <c r="AC20" s="206">
        <f>IF($C20=0,"",SUMIFS(INPUT_DATA!AY:AY,INPUT_DATA!$A:$A,$C20,INPUT_DATA!$B:$B,"D"))</f>
        <v>375.72</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3153.3599999999997</v>
      </c>
      <c r="AK20" s="209">
        <f>IF($C20=0,"",SUMIFS(INPUT_DATA!BG:BG,INPUT_DATA!$A:$A,$C20,INPUT_DATA!$B:$B,"D"))</f>
        <v>0</v>
      </c>
      <c r="AL20" s="209">
        <f>IF($C20=0,"",SUMIFS(INPUT_DATA!BH:BH,INPUT_DATA!$A:$A,$C20,INPUT_DATA!$B:$B,"D"))</f>
        <v>0</v>
      </c>
      <c r="AM20" s="208">
        <f t="shared" si="8"/>
        <v>14058.619999999999</v>
      </c>
      <c r="AN20" s="210">
        <f>IF($C20=0,"",SUMIFS(INPUT_DATA!BK:BK,INPUT_DATA!$A:$A,$C20,INPUT_DATA!$B:$B,"D"))</f>
        <v>14058.62</v>
      </c>
      <c r="AO20" s="211">
        <f t="shared" si="9"/>
        <v>-1.8189894035458565E-12</v>
      </c>
      <c r="AP20" s="212"/>
      <c r="AR20" s="211">
        <f t="shared" si="5"/>
        <v>70723817.469999999</v>
      </c>
      <c r="AT20" s="203">
        <f>IF($C20=0,"",'02 - Monthly Asset Follow up'!E24+'02 - Monthly Asset Follow up'!F24-'02 - Monthly Asset Follow up'!V24+'02 - Monthly Asset Follow up'!Y24-H20)</f>
        <v>7.4505805969238281E-9</v>
      </c>
      <c r="AU20" s="203">
        <f>IF($C20=0,"",'02 - Monthly Asset Follow up'!BB24+'02 - Monthly Asset Follow up'!BC24-'02 - Monthly Asset Follow up'!BR24+'02 - Monthly Asset Follow up'!BU24-AA20)</f>
        <v>0</v>
      </c>
      <c r="AW20" s="215"/>
    </row>
    <row r="21" spans="2:49">
      <c r="B21" s="1573">
        <f t="shared" si="0"/>
        <v>45748</v>
      </c>
      <c r="C21" s="1574">
        <f>'02 - Monthly Asset Follow up'!B25</f>
        <v>45777</v>
      </c>
      <c r="D21" s="212"/>
      <c r="E21" s="205">
        <f>IF($C21=0,"",SUMIFS(INPUT_DATA!AT:AT,INPUT_DATA!$A:$A,$C21,INPUT_DATA!$B:$B,"S"))</f>
        <v>41307849.829999998</v>
      </c>
      <c r="F21" s="206">
        <f>IF($C21=0,"",SUMIFS(INPUT_DATA!AU:AU,INPUT_DATA!$A:$A,$C21,INPUT_DATA!$B:$B,"S"))</f>
        <v>63727.519999999997</v>
      </c>
      <c r="G21" s="206">
        <f>IF($C21=0,"",SUMIFS(INPUT_DATA!AV:AV,INPUT_DATA!$A:$A,$C21,INPUT_DATA!$B:$B,"S"))</f>
        <v>14842897.939999999</v>
      </c>
      <c r="H21" s="213">
        <f t="shared" si="1"/>
        <v>56214475.289999999</v>
      </c>
      <c r="I21" s="206">
        <f>IF($C21=0,"",SUMIFS(INPUT_DATA!AX:AX,INPUT_DATA!$A:$A,$C21,INPUT_DATA!$B:$B,"S"))</f>
        <v>9577619.2100000009</v>
      </c>
      <c r="J21" s="206">
        <f>IF($C21=0,"",SUMIFS(INPUT_DATA!AY:AY,INPUT_DATA!$A:$A,$C21,INPUT_DATA!$B:$B,"S"))</f>
        <v>27098.03</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63036.82</v>
      </c>
      <c r="O21" s="206">
        <f>IF($C21=0,"",SUMIFS(INPUT_DATA!BD:BD,INPUT_DATA!$A:$A,$C21,INPUT_DATA!$B:$B,"S"))</f>
        <v>0</v>
      </c>
      <c r="P21" s="206">
        <f>IF($C21=0,"",SUMIFS(INPUT_DATA!BE:BE,INPUT_DATA!$A:$A,$C21,INPUT_DATA!$B:$B,"S"))</f>
        <v>0</v>
      </c>
      <c r="Q21" s="208">
        <f t="shared" si="2"/>
        <v>9667754.0600000005</v>
      </c>
      <c r="R21" s="209">
        <f>IF($C21=0,"",SUMIFS(INPUT_DATA!BG:BG,INPUT_DATA!$A:$A,$C21,INPUT_DATA!$B:$B,"S"))</f>
        <v>0</v>
      </c>
      <c r="S21" s="209">
        <f>IF($C21=0,"",SUMIFS(INPUT_DATA!BH:BH,INPUT_DATA!$A:$A,$C21,INPUT_DATA!$B:$B,"S"))</f>
        <v>0</v>
      </c>
      <c r="T21" s="208">
        <f t="shared" si="3"/>
        <v>65882229.350000001</v>
      </c>
      <c r="U21" s="210">
        <f>IF($C21=0,"",SUMIFS(INPUT_DATA!BK:BK,INPUT_DATA!$A:$A,$C21,INPUT_DATA!$B:$B,"S"))</f>
        <v>65882229.350000001</v>
      </c>
      <c r="V21" s="214">
        <f t="shared" si="4"/>
        <v>0</v>
      </c>
      <c r="W21" s="212"/>
      <c r="X21" s="205">
        <f>IF($C21=0,"",SUMIFS(INPUT_DATA!AT:AT,INPUT_DATA!$A:$A,$C21,INPUT_DATA!$B:$B,"D"))</f>
        <v>4348.53</v>
      </c>
      <c r="Y21" s="206">
        <f>IF($C21=0,"",SUMIFS(INPUT_DATA!AU:AU,INPUT_DATA!$A:$A,$C21,INPUT_DATA!$B:$B,"D"))</f>
        <v>0</v>
      </c>
      <c r="Z21" s="206">
        <f>IF($C21=0,"",SUMIFS(INPUT_DATA!AV:AV,INPUT_DATA!$A:$A,$C21,INPUT_DATA!$B:$B,"D"))</f>
        <v>0</v>
      </c>
      <c r="AA21" s="207">
        <f t="shared" si="6"/>
        <v>4348.53</v>
      </c>
      <c r="AB21" s="206">
        <f>IF($C21=0,"",SUMIFS(INPUT_DATA!AX:AX,INPUT_DATA!$A:$A,$C21,INPUT_DATA!$B:$B,"D"))</f>
        <v>1458.97</v>
      </c>
      <c r="AC21" s="206">
        <f>IF($C21=0,"",SUMIFS(INPUT_DATA!AY:AY,INPUT_DATA!$A:$A,$C21,INPUT_DATA!$B:$B,"D"))</f>
        <v>0</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1458.97</v>
      </c>
      <c r="AK21" s="209">
        <f>IF($C21=0,"",SUMIFS(INPUT_DATA!BG:BG,INPUT_DATA!$A:$A,$C21,INPUT_DATA!$B:$B,"D"))</f>
        <v>0</v>
      </c>
      <c r="AL21" s="209">
        <f>IF($C21=0,"",SUMIFS(INPUT_DATA!BH:BH,INPUT_DATA!$A:$A,$C21,INPUT_DATA!$B:$B,"D"))</f>
        <v>0</v>
      </c>
      <c r="AM21" s="208">
        <f t="shared" si="8"/>
        <v>5807.5</v>
      </c>
      <c r="AN21" s="210">
        <f>IF($C21=0,"",SUMIFS(INPUT_DATA!BK:BK,INPUT_DATA!$A:$A,$C21,INPUT_DATA!$B:$B,"D"))</f>
        <v>5807.5</v>
      </c>
      <c r="AO21" s="211">
        <f t="shared" si="9"/>
        <v>0</v>
      </c>
      <c r="AP21" s="212"/>
      <c r="AR21" s="211">
        <f t="shared" si="5"/>
        <v>65888036.850000001</v>
      </c>
      <c r="AT21" s="203">
        <f>IF($C21=0,"",'02 - Monthly Asset Follow up'!E25+'02 - Monthly Asset Follow up'!F25-'02 - Monthly Asset Follow up'!V25+'02 - Monthly Asset Follow up'!Y25-H21)</f>
        <v>0</v>
      </c>
      <c r="AU21" s="203">
        <f>IF($C21=0,"",'02 - Monthly Asset Follow up'!BB25+'02 - Monthly Asset Follow up'!BC25-'02 - Monthly Asset Follow up'!BR25+'02 - Monthly Asset Follow up'!BU25-AA21)</f>
        <v>9.0949470177292824E-13</v>
      </c>
      <c r="AW21" s="215"/>
    </row>
    <row r="22" spans="2:49">
      <c r="B22" s="1573">
        <f t="shared" si="0"/>
        <v>45717</v>
      </c>
      <c r="C22" s="1574">
        <f>'02 - Monthly Asset Follow up'!B26</f>
        <v>45747</v>
      </c>
      <c r="D22" s="212"/>
      <c r="E22" s="205">
        <f>IF($C22=0,"",SUMIFS(INPUT_DATA!AT:AT,INPUT_DATA!$A:$A,$C22,INPUT_DATA!$B:$B,"S"))</f>
        <v>41400952.920000002</v>
      </c>
      <c r="F22" s="206">
        <f>IF($C22=0,"",SUMIFS(INPUT_DATA!AU:AU,INPUT_DATA!$A:$A,$C22,INPUT_DATA!$B:$B,"S"))</f>
        <v>110479.05</v>
      </c>
      <c r="G22" s="206">
        <f>IF($C22=0,"",SUMIFS(INPUT_DATA!AV:AV,INPUT_DATA!$A:$A,$C22,INPUT_DATA!$B:$B,"S"))</f>
        <v>15107591.52</v>
      </c>
      <c r="H22" s="213">
        <f t="shared" si="1"/>
        <v>56619023.489999995</v>
      </c>
      <c r="I22" s="206">
        <f>IF($C22=0,"",SUMIFS(INPUT_DATA!AX:AX,INPUT_DATA!$A:$A,$C22,INPUT_DATA!$B:$B,"S"))</f>
        <v>9615918.6699999999</v>
      </c>
      <c r="J22" s="206">
        <f>IF($C22=0,"",SUMIFS(INPUT_DATA!AY:AY,INPUT_DATA!$A:$A,$C22,INPUT_DATA!$B:$B,"S"))</f>
        <v>26077.64</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76072.649999999994</v>
      </c>
      <c r="O22" s="206">
        <f>IF($C22=0,"",SUMIFS(INPUT_DATA!BD:BD,INPUT_DATA!$A:$A,$C22,INPUT_DATA!$B:$B,"S"))</f>
        <v>0</v>
      </c>
      <c r="P22" s="206">
        <f>IF($C22=0,"",SUMIFS(INPUT_DATA!BE:BE,INPUT_DATA!$A:$A,$C22,INPUT_DATA!$B:$B,"S"))</f>
        <v>0</v>
      </c>
      <c r="Q22" s="208">
        <f t="shared" si="2"/>
        <v>9718068.9600000009</v>
      </c>
      <c r="R22" s="209">
        <f>IF($C22=0,"",SUMIFS(INPUT_DATA!BG:BG,INPUT_DATA!$A:$A,$C22,INPUT_DATA!$B:$B,"S"))</f>
        <v>0</v>
      </c>
      <c r="S22" s="209">
        <f>IF($C22=0,"",SUMIFS(INPUT_DATA!BH:BH,INPUT_DATA!$A:$A,$C22,INPUT_DATA!$B:$B,"S"))</f>
        <v>0</v>
      </c>
      <c r="T22" s="208">
        <f t="shared" si="3"/>
        <v>66337092.449999996</v>
      </c>
      <c r="U22" s="210">
        <f>IF($C22=0,"",SUMIFS(INPUT_DATA!BK:BK,INPUT_DATA!$A:$A,$C22,INPUT_DATA!$B:$B,"S"))</f>
        <v>66337092.450000003</v>
      </c>
      <c r="V22" s="214">
        <f t="shared" si="4"/>
        <v>-7.4505805969238281E-9</v>
      </c>
      <c r="W22" s="212"/>
      <c r="X22" s="205">
        <f>IF($C22=0,"",SUMIFS(INPUT_DATA!AT:AT,INPUT_DATA!$A:$A,$C22,INPUT_DATA!$B:$B,"D"))</f>
        <v>114698.74</v>
      </c>
      <c r="Y22" s="206">
        <f>IF($C22=0,"",SUMIFS(INPUT_DATA!AU:AU,INPUT_DATA!$A:$A,$C22,INPUT_DATA!$B:$B,"D"))</f>
        <v>0</v>
      </c>
      <c r="Z22" s="206">
        <f>IF($C22=0,"",SUMIFS(INPUT_DATA!AV:AV,INPUT_DATA!$A:$A,$C22,INPUT_DATA!$B:$B,"D"))</f>
        <v>0</v>
      </c>
      <c r="AA22" s="207">
        <f t="shared" si="6"/>
        <v>114698.74</v>
      </c>
      <c r="AB22" s="206">
        <f>IF($C22=0,"",SUMIFS(INPUT_DATA!AX:AX,INPUT_DATA!$A:$A,$C22,INPUT_DATA!$B:$B,"D"))</f>
        <v>883.23</v>
      </c>
      <c r="AC22" s="206">
        <f>IF($C22=0,"",SUMIFS(INPUT_DATA!AY:AY,INPUT_DATA!$A:$A,$C22,INPUT_DATA!$B:$B,"D"))</f>
        <v>0</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883.23</v>
      </c>
      <c r="AK22" s="209">
        <f>IF($C22=0,"",SUMIFS(INPUT_DATA!BG:BG,INPUT_DATA!$A:$A,$C22,INPUT_DATA!$B:$B,"D"))</f>
        <v>0</v>
      </c>
      <c r="AL22" s="209">
        <f>IF($C22=0,"",SUMIFS(INPUT_DATA!BH:BH,INPUT_DATA!$A:$A,$C22,INPUT_DATA!$B:$B,"D"))</f>
        <v>0</v>
      </c>
      <c r="AM22" s="208">
        <f t="shared" si="8"/>
        <v>115581.97</v>
      </c>
      <c r="AN22" s="210">
        <f>IF($C22=0,"",SUMIFS(INPUT_DATA!BK:BK,INPUT_DATA!$A:$A,$C22,INPUT_DATA!$B:$B,"D"))</f>
        <v>115581.97</v>
      </c>
      <c r="AO22" s="211">
        <f t="shared" si="9"/>
        <v>0</v>
      </c>
      <c r="AP22" s="212"/>
      <c r="AR22" s="211">
        <f t="shared" si="5"/>
        <v>66452674.419999994</v>
      </c>
      <c r="AT22" s="203">
        <f>IF($C22=0,"",'02 - Monthly Asset Follow up'!E26+'02 - Monthly Asset Follow up'!F26-'02 - Monthly Asset Follow up'!V26+'02 - Monthly Asset Follow up'!Y26-H22)</f>
        <v>7.4505805969238281E-9</v>
      </c>
      <c r="AU22" s="203">
        <f>IF($C22=0,"",'02 - Monthly Asset Follow up'!BB26+'02 - Monthly Asset Follow up'!BC26-'02 - Monthly Asset Follow up'!BR26+'02 - Monthly Asset Follow up'!BU26-AA22)</f>
        <v>0</v>
      </c>
      <c r="AW22" s="215"/>
    </row>
    <row r="23" spans="2:49">
      <c r="B23" s="1573">
        <f t="shared" si="0"/>
        <v>45689</v>
      </c>
      <c r="C23" s="1574">
        <f>'02 - Monthly Asset Follow up'!B27</f>
        <v>45716</v>
      </c>
      <c r="D23" s="212"/>
      <c r="E23" s="205">
        <f>IF($C23=0,"",SUMIFS(INPUT_DATA!AT:AT,INPUT_DATA!$A:$A,$C23,INPUT_DATA!$B:$B,"S"))</f>
        <v>41797495.259999998</v>
      </c>
      <c r="F23" s="206">
        <f>IF($C23=0,"",SUMIFS(INPUT_DATA!AU:AU,INPUT_DATA!$A:$A,$C23,INPUT_DATA!$B:$B,"S"))</f>
        <v>98785.53</v>
      </c>
      <c r="G23" s="206">
        <f>IF($C23=0,"",SUMIFS(INPUT_DATA!AV:AV,INPUT_DATA!$A:$A,$C23,INPUT_DATA!$B:$B,"S"))</f>
        <v>13656654.539999999</v>
      </c>
      <c r="H23" s="213">
        <f t="shared" si="1"/>
        <v>55552935.329999998</v>
      </c>
      <c r="I23" s="206">
        <f>IF($C23=0,"",SUMIFS(INPUT_DATA!AX:AX,INPUT_DATA!$A:$A,$C23,INPUT_DATA!$B:$B,"S"))</f>
        <v>9736215.1199999992</v>
      </c>
      <c r="J23" s="206">
        <f>IF($C23=0,"",SUMIFS(INPUT_DATA!AY:AY,INPUT_DATA!$A:$A,$C23,INPUT_DATA!$B:$B,"S"))</f>
        <v>20560.64</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55144.93</v>
      </c>
      <c r="O23" s="206">
        <f>IF($C23=0,"",SUMIFS(INPUT_DATA!BD:BD,INPUT_DATA!$A:$A,$C23,INPUT_DATA!$B:$B,"S"))</f>
        <v>0</v>
      </c>
      <c r="P23" s="206">
        <f>IF($C23=0,"",SUMIFS(INPUT_DATA!BE:BE,INPUT_DATA!$A:$A,$C23,INPUT_DATA!$B:$B,"S"))</f>
        <v>0</v>
      </c>
      <c r="Q23" s="208">
        <f t="shared" si="2"/>
        <v>9811920.6899999995</v>
      </c>
      <c r="R23" s="209">
        <f>IF($C23=0,"",SUMIFS(INPUT_DATA!BG:BG,INPUT_DATA!$A:$A,$C23,INPUT_DATA!$B:$B,"S"))</f>
        <v>0</v>
      </c>
      <c r="S23" s="209">
        <f>IF($C23=0,"",SUMIFS(INPUT_DATA!BH:BH,INPUT_DATA!$A:$A,$C23,INPUT_DATA!$B:$B,"S"))</f>
        <v>0</v>
      </c>
      <c r="T23" s="208">
        <f t="shared" si="3"/>
        <v>65364856.019999996</v>
      </c>
      <c r="U23" s="210">
        <f>IF($C23=0,"",SUMIFS(INPUT_DATA!BK:BK,INPUT_DATA!$A:$A,$C23,INPUT_DATA!$B:$B,"S"))</f>
        <v>65364856.020000003</v>
      </c>
      <c r="V23" s="214">
        <f t="shared" si="4"/>
        <v>-7.4505805969238281E-9</v>
      </c>
      <c r="W23" s="212"/>
      <c r="X23" s="205">
        <f>IF($C23=0,"",SUMIFS(INPUT_DATA!AT:AT,INPUT_DATA!$A:$A,$C23,INPUT_DATA!$B:$B,"D"))</f>
        <v>2900.75</v>
      </c>
      <c r="Y23" s="206">
        <f>IF($C23=0,"",SUMIFS(INPUT_DATA!AU:AU,INPUT_DATA!$A:$A,$C23,INPUT_DATA!$B:$B,"D"))</f>
        <v>0</v>
      </c>
      <c r="Z23" s="206">
        <f>IF($C23=0,"",SUMIFS(INPUT_DATA!AV:AV,INPUT_DATA!$A:$A,$C23,INPUT_DATA!$B:$B,"D"))</f>
        <v>0</v>
      </c>
      <c r="AA23" s="207">
        <f t="shared" si="6"/>
        <v>2900.75</v>
      </c>
      <c r="AB23" s="206">
        <f>IF($C23=0,"",SUMIFS(INPUT_DATA!AX:AX,INPUT_DATA!$A:$A,$C23,INPUT_DATA!$B:$B,"D"))</f>
        <v>689.6</v>
      </c>
      <c r="AC23" s="206">
        <f>IF($C23=0,"",SUMIFS(INPUT_DATA!AY:AY,INPUT_DATA!$A:$A,$C23,INPUT_DATA!$B:$B,"D"))</f>
        <v>0</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689.6</v>
      </c>
      <c r="AK23" s="209">
        <f>IF($C23=0,"",SUMIFS(INPUT_DATA!BG:BG,INPUT_DATA!$A:$A,$C23,INPUT_DATA!$B:$B,"D"))</f>
        <v>0</v>
      </c>
      <c r="AL23" s="209">
        <f>IF($C23=0,"",SUMIFS(INPUT_DATA!BH:BH,INPUT_DATA!$A:$A,$C23,INPUT_DATA!$B:$B,"D"))</f>
        <v>0</v>
      </c>
      <c r="AM23" s="208">
        <f t="shared" si="8"/>
        <v>3590.35</v>
      </c>
      <c r="AN23" s="210">
        <f>IF($C23=0,"",SUMIFS(INPUT_DATA!BK:BK,INPUT_DATA!$A:$A,$C23,INPUT_DATA!$B:$B,"D"))</f>
        <v>3590.35</v>
      </c>
      <c r="AO23" s="211">
        <f t="shared" si="9"/>
        <v>0</v>
      </c>
      <c r="AP23" s="212"/>
      <c r="AR23" s="211">
        <f t="shared" si="5"/>
        <v>65368446.369999997</v>
      </c>
      <c r="AT23" s="203">
        <f>IF($C23=0,"",'02 - Monthly Asset Follow up'!E27+'02 - Monthly Asset Follow up'!F27-'02 - Monthly Asset Follow up'!V27+'02 - Monthly Asset Follow up'!Y27-H23)</f>
        <v>0</v>
      </c>
      <c r="AU23" s="203">
        <f>IF($C23=0,"",'02 - Monthly Asset Follow up'!BB27+'02 - Monthly Asset Follow up'!BC27-'02 - Monthly Asset Follow up'!BR27+'02 - Monthly Asset Follow up'!BU27-AA23)</f>
        <v>0</v>
      </c>
      <c r="AW23" s="215"/>
    </row>
    <row r="24" spans="2:49">
      <c r="B24" s="1573">
        <f t="shared" si="0"/>
        <v>45658</v>
      </c>
      <c r="C24" s="1574">
        <f>'02 - Monthly Asset Follow up'!B28</f>
        <v>45688</v>
      </c>
      <c r="D24" s="212"/>
      <c r="E24" s="205">
        <f>IF($C24=0,"",SUMIFS(INPUT_DATA!AT:AT,INPUT_DATA!$A:$A,$C24,INPUT_DATA!$B:$B,"S"))</f>
        <v>42071095.890000001</v>
      </c>
      <c r="F24" s="206">
        <f>IF($C24=0,"",SUMIFS(INPUT_DATA!AU:AU,INPUT_DATA!$A:$A,$C24,INPUT_DATA!$B:$B,"S"))</f>
        <v>71746.8</v>
      </c>
      <c r="G24" s="206">
        <f>IF($C24=0,"",SUMIFS(INPUT_DATA!AV:AV,INPUT_DATA!$A:$A,$C24,INPUT_DATA!$B:$B,"S"))</f>
        <v>13800626.789999999</v>
      </c>
      <c r="H24" s="213">
        <f t="shared" si="1"/>
        <v>55943469.479999997</v>
      </c>
      <c r="I24" s="206">
        <f>IF($C24=0,"",SUMIFS(INPUT_DATA!AX:AX,INPUT_DATA!$A:$A,$C24,INPUT_DATA!$B:$B,"S"))</f>
        <v>9811566.0999999996</v>
      </c>
      <c r="J24" s="206">
        <f>IF($C24=0,"",SUMIFS(INPUT_DATA!AY:AY,INPUT_DATA!$A:$A,$C24,INPUT_DATA!$B:$B,"S"))</f>
        <v>17792.560000000001</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75181.8</v>
      </c>
      <c r="O24" s="206">
        <f>IF($C24=0,"",SUMIFS(INPUT_DATA!BD:BD,INPUT_DATA!$A:$A,$C24,INPUT_DATA!$B:$B,"S"))</f>
        <v>0</v>
      </c>
      <c r="P24" s="206">
        <f>IF($C24=0,"",SUMIFS(INPUT_DATA!BE:BE,INPUT_DATA!$A:$A,$C24,INPUT_DATA!$B:$B,"S"))</f>
        <v>0</v>
      </c>
      <c r="Q24" s="208">
        <f t="shared" si="2"/>
        <v>9904540.4600000009</v>
      </c>
      <c r="R24" s="209">
        <f>IF($C24=0,"",SUMIFS(INPUT_DATA!BG:BG,INPUT_DATA!$A:$A,$C24,INPUT_DATA!$B:$B,"S"))</f>
        <v>0</v>
      </c>
      <c r="S24" s="209">
        <f>IF($C24=0,"",SUMIFS(INPUT_DATA!BH:BH,INPUT_DATA!$A:$A,$C24,INPUT_DATA!$B:$B,"S"))</f>
        <v>0</v>
      </c>
      <c r="T24" s="208">
        <f t="shared" si="3"/>
        <v>65848009.939999998</v>
      </c>
      <c r="U24" s="210">
        <f>IF($C24=0,"",SUMIFS(INPUT_DATA!BK:BK,INPUT_DATA!$A:$A,$C24,INPUT_DATA!$B:$B,"S"))</f>
        <v>65848009.939999998</v>
      </c>
      <c r="V24" s="214">
        <f t="shared" si="4"/>
        <v>0</v>
      </c>
      <c r="W24" s="212"/>
      <c r="X24" s="205">
        <f>IF($C24=0,"",SUMIFS(INPUT_DATA!AT:AT,INPUT_DATA!$A:$A,$C24,INPUT_DATA!$B:$B,"D"))</f>
        <v>642.67999999999995</v>
      </c>
      <c r="Y24" s="206">
        <f>IF($C24=0,"",SUMIFS(INPUT_DATA!AU:AU,INPUT_DATA!$A:$A,$C24,INPUT_DATA!$B:$B,"D"))</f>
        <v>969.07</v>
      </c>
      <c r="Z24" s="206">
        <f>IF($C24=0,"",SUMIFS(INPUT_DATA!AV:AV,INPUT_DATA!$A:$A,$C24,INPUT_DATA!$B:$B,"D"))</f>
        <v>0</v>
      </c>
      <c r="AA24" s="207">
        <f t="shared" si="6"/>
        <v>1611.75</v>
      </c>
      <c r="AB24" s="206">
        <f>IF($C24=0,"",SUMIFS(INPUT_DATA!AX:AX,INPUT_DATA!$A:$A,$C24,INPUT_DATA!$B:$B,"D"))</f>
        <v>12.58</v>
      </c>
      <c r="AC24" s="206">
        <f>IF($C24=0,"",SUMIFS(INPUT_DATA!AY:AY,INPUT_DATA!$A:$A,$C24,INPUT_DATA!$B:$B,"D"))</f>
        <v>13.51</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26.09</v>
      </c>
      <c r="AK24" s="209">
        <f>IF($C24=0,"",SUMIFS(INPUT_DATA!BG:BG,INPUT_DATA!$A:$A,$C24,INPUT_DATA!$B:$B,"D"))</f>
        <v>0</v>
      </c>
      <c r="AL24" s="209">
        <f>IF($C24=0,"",SUMIFS(INPUT_DATA!BH:BH,INPUT_DATA!$A:$A,$C24,INPUT_DATA!$B:$B,"D"))</f>
        <v>0</v>
      </c>
      <c r="AM24" s="208">
        <f t="shared" si="8"/>
        <v>1637.84</v>
      </c>
      <c r="AN24" s="210">
        <f>IF($C24=0,"",SUMIFS(INPUT_DATA!BK:BK,INPUT_DATA!$A:$A,$C24,INPUT_DATA!$B:$B,"D"))</f>
        <v>1637.84</v>
      </c>
      <c r="AO24" s="211">
        <f t="shared" si="9"/>
        <v>0</v>
      </c>
      <c r="AP24" s="212"/>
      <c r="AR24" s="211">
        <f t="shared" si="5"/>
        <v>65849647.780000001</v>
      </c>
      <c r="AT24" s="203">
        <f>IF($C24=0,"",'02 - Monthly Asset Follow up'!E28+'02 - Monthly Asset Follow up'!F28-'02 - Monthly Asset Follow up'!V28+'02 - Monthly Asset Follow up'!Y28-H24)</f>
        <v>0</v>
      </c>
      <c r="AU24" s="203">
        <f>IF($C24=0,"",'02 - Monthly Asset Follow up'!BB28+'02 - Monthly Asset Follow up'!BC28-'02 - Monthly Asset Follow up'!BR28+'02 - Monthly Asset Follow up'!BU28-AA24)</f>
        <v>0</v>
      </c>
      <c r="AW24" s="215"/>
    </row>
    <row r="25" spans="2:49">
      <c r="B25" s="1573">
        <f t="shared" si="0"/>
        <v>45627</v>
      </c>
      <c r="C25" s="1574">
        <f>'02 - Monthly Asset Follow up'!B29</f>
        <v>45657</v>
      </c>
      <c r="D25" s="212"/>
      <c r="E25" s="205">
        <f>IF($C25=0,"",SUMIFS(INPUT_DATA!AT:AT,INPUT_DATA!$A:$A,$C25,INPUT_DATA!$B:$B,"S"))</f>
        <v>41643394.18</v>
      </c>
      <c r="F25" s="206">
        <f>IF($C25=0,"",SUMIFS(INPUT_DATA!AU:AU,INPUT_DATA!$A:$A,$C25,INPUT_DATA!$B:$B,"S"))</f>
        <v>77115.009999999995</v>
      </c>
      <c r="G25" s="206">
        <f>IF($C25=0,"",SUMIFS(INPUT_DATA!AV:AV,INPUT_DATA!$A:$A,$C25,INPUT_DATA!$B:$B,"S"))</f>
        <v>14770590.32</v>
      </c>
      <c r="H25" s="213">
        <f t="shared" si="1"/>
        <v>56491099.509999998</v>
      </c>
      <c r="I25" s="206">
        <f>IF($C25=0,"",SUMIFS(INPUT_DATA!AX:AX,INPUT_DATA!$A:$A,$C25,INPUT_DATA!$B:$B,"S"))</f>
        <v>9926226.8000000007</v>
      </c>
      <c r="J25" s="206">
        <f>IF($C25=0,"",SUMIFS(INPUT_DATA!AY:AY,INPUT_DATA!$A:$A,$C25,INPUT_DATA!$B:$B,"S"))</f>
        <v>15738.69</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68938.8</v>
      </c>
      <c r="O25" s="206">
        <f>IF($C25=0,"",SUMIFS(INPUT_DATA!BD:BD,INPUT_DATA!$A:$A,$C25,INPUT_DATA!$B:$B,"S"))</f>
        <v>0</v>
      </c>
      <c r="P25" s="206">
        <f>IF($C25=0,"",SUMIFS(INPUT_DATA!BE:BE,INPUT_DATA!$A:$A,$C25,INPUT_DATA!$B:$B,"S"))</f>
        <v>0</v>
      </c>
      <c r="Q25" s="208">
        <f t="shared" si="2"/>
        <v>10010904.290000001</v>
      </c>
      <c r="R25" s="209">
        <f>IF($C25=0,"",SUMIFS(INPUT_DATA!BG:BG,INPUT_DATA!$A:$A,$C25,INPUT_DATA!$B:$B,"S"))</f>
        <v>0</v>
      </c>
      <c r="S25" s="209">
        <f>IF($C25=0,"",SUMIFS(INPUT_DATA!BH:BH,INPUT_DATA!$A:$A,$C25,INPUT_DATA!$B:$B,"S"))</f>
        <v>0</v>
      </c>
      <c r="T25" s="208">
        <f t="shared" si="3"/>
        <v>66502003.799999997</v>
      </c>
      <c r="U25" s="210">
        <f>IF($C25=0,"",SUMIFS(INPUT_DATA!BK:BK,INPUT_DATA!$A:$A,$C25,INPUT_DATA!$B:$B,"S"))</f>
        <v>66502003.799999997</v>
      </c>
      <c r="V25" s="214">
        <f t="shared" si="4"/>
        <v>0</v>
      </c>
      <c r="W25" s="212"/>
      <c r="X25" s="205">
        <f>IF($C25=0,"",SUMIFS(INPUT_DATA!AT:AT,INPUT_DATA!$A:$A,$C25,INPUT_DATA!$B:$B,"D"))</f>
        <v>45908.84</v>
      </c>
      <c r="Y25" s="206">
        <f>IF($C25=0,"",SUMIFS(INPUT_DATA!AU:AU,INPUT_DATA!$A:$A,$C25,INPUT_DATA!$B:$B,"D"))</f>
        <v>3909.79</v>
      </c>
      <c r="Z25" s="206">
        <f>IF($C25=0,"",SUMIFS(INPUT_DATA!AV:AV,INPUT_DATA!$A:$A,$C25,INPUT_DATA!$B:$B,"D"))</f>
        <v>0</v>
      </c>
      <c r="AA25" s="207">
        <f t="shared" si="6"/>
        <v>49818.63</v>
      </c>
      <c r="AB25" s="206">
        <f>IF($C25=0,"",SUMIFS(INPUT_DATA!AX:AX,INPUT_DATA!$A:$A,$C25,INPUT_DATA!$B:$B,"D"))</f>
        <v>866</v>
      </c>
      <c r="AC25" s="206">
        <f>IF($C25=0,"",SUMIFS(INPUT_DATA!AY:AY,INPUT_DATA!$A:$A,$C25,INPUT_DATA!$B:$B,"D"))</f>
        <v>230.22</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1096.22</v>
      </c>
      <c r="AK25" s="209">
        <f>IF($C25=0,"",SUMIFS(INPUT_DATA!BG:BG,INPUT_DATA!$A:$A,$C25,INPUT_DATA!$B:$B,"D"))</f>
        <v>0</v>
      </c>
      <c r="AL25" s="209">
        <f>IF($C25=0,"",SUMIFS(INPUT_DATA!BH:BH,INPUT_DATA!$A:$A,$C25,INPUT_DATA!$B:$B,"D"))</f>
        <v>0</v>
      </c>
      <c r="AM25" s="208">
        <f t="shared" si="8"/>
        <v>50914.85</v>
      </c>
      <c r="AN25" s="210">
        <f>IF($C25=0,"",SUMIFS(INPUT_DATA!BK:BK,INPUT_DATA!$A:$A,$C25,INPUT_DATA!$B:$B,"D"))</f>
        <v>50914.85</v>
      </c>
      <c r="AO25" s="211">
        <f t="shared" si="9"/>
        <v>0</v>
      </c>
      <c r="AP25" s="212"/>
      <c r="AR25" s="211">
        <f t="shared" si="5"/>
        <v>66552918.649999999</v>
      </c>
      <c r="AT25" s="203">
        <f>IF($C25=0,"",'02 - Monthly Asset Follow up'!E29+'02 - Monthly Asset Follow up'!F29-'02 - Monthly Asset Follow up'!V29+'02 - Monthly Asset Follow up'!Y29-H25)</f>
        <v>0</v>
      </c>
      <c r="AU25" s="203">
        <f>IF($C25=0,"",'02 - Monthly Asset Follow up'!BB29+'02 - Monthly Asset Follow up'!BC29-'02 - Monthly Asset Follow up'!BR29+'02 - Monthly Asset Follow up'!BU29-AA25)</f>
        <v>0</v>
      </c>
      <c r="AW25" s="215"/>
    </row>
    <row r="26" spans="2:49">
      <c r="B26" s="1573">
        <f t="shared" si="0"/>
        <v>45597</v>
      </c>
      <c r="C26" s="1574">
        <f>'02 - Monthly Asset Follow up'!B30</f>
        <v>45626</v>
      </c>
      <c r="D26" s="212"/>
      <c r="E26" s="205">
        <f>IF($C26=0,"",SUMIFS(INPUT_DATA!AT:AT,INPUT_DATA!$A:$A,$C26,INPUT_DATA!$B:$B,"S"))</f>
        <v>41864705.25</v>
      </c>
      <c r="F26" s="206">
        <f>IF($C26=0,"",SUMIFS(INPUT_DATA!AU:AU,INPUT_DATA!$A:$A,$C26,INPUT_DATA!$B:$B,"S"))</f>
        <v>0</v>
      </c>
      <c r="G26" s="206">
        <f>IF($C26=0,"",SUMIFS(INPUT_DATA!AV:AV,INPUT_DATA!$A:$A,$C26,INPUT_DATA!$B:$B,"S"))</f>
        <v>12780562.119999999</v>
      </c>
      <c r="H26" s="213">
        <f t="shared" si="1"/>
        <v>54645267.369999997</v>
      </c>
      <c r="I26" s="206">
        <f>IF($C26=0,"",SUMIFS(INPUT_DATA!AX:AX,INPUT_DATA!$A:$A,$C26,INPUT_DATA!$B:$B,"S"))</f>
        <v>10017515.09</v>
      </c>
      <c r="J26" s="206">
        <f>IF($C26=0,"",SUMIFS(INPUT_DATA!AY:AY,INPUT_DATA!$A:$A,$C26,INPUT_DATA!$B:$B,"S"))</f>
        <v>0</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56405.84</v>
      </c>
      <c r="O26" s="206">
        <f>IF($C26=0,"",SUMIFS(INPUT_DATA!BD:BD,INPUT_DATA!$A:$A,$C26,INPUT_DATA!$B:$B,"S"))</f>
        <v>0</v>
      </c>
      <c r="P26" s="206">
        <f>IF($C26=0,"",SUMIFS(INPUT_DATA!BE:BE,INPUT_DATA!$A:$A,$C26,INPUT_DATA!$B:$B,"S"))</f>
        <v>0</v>
      </c>
      <c r="Q26" s="208">
        <f t="shared" si="2"/>
        <v>10073920.93</v>
      </c>
      <c r="R26" s="209">
        <f>IF($C26=0,"",SUMIFS(INPUT_DATA!BG:BG,INPUT_DATA!$A:$A,$C26,INPUT_DATA!$B:$B,"S"))</f>
        <v>0</v>
      </c>
      <c r="S26" s="209">
        <f>IF($C26=0,"",SUMIFS(INPUT_DATA!BH:BH,INPUT_DATA!$A:$A,$C26,INPUT_DATA!$B:$B,"S"))</f>
        <v>0</v>
      </c>
      <c r="T26" s="208">
        <f t="shared" si="3"/>
        <v>64719188.299999997</v>
      </c>
      <c r="U26" s="210">
        <f>IF($C26=0,"",SUMIFS(INPUT_DATA!BK:BK,INPUT_DATA!$A:$A,$C26,INPUT_DATA!$B:$B,"S"))</f>
        <v>64719188.299999997</v>
      </c>
      <c r="V26" s="214">
        <f t="shared" si="4"/>
        <v>0</v>
      </c>
      <c r="W26" s="212"/>
      <c r="X26" s="205">
        <f>IF($C26=0,"",SUMIFS(INPUT_DATA!AT:AT,INPUT_DATA!$A:$A,$C26,INPUT_DATA!$B:$B,"D"))</f>
        <v>-1043.92</v>
      </c>
      <c r="Y26" s="206">
        <f>IF($C26=0,"",SUMIFS(INPUT_DATA!AU:AU,INPUT_DATA!$A:$A,$C26,INPUT_DATA!$B:$B,"D"))</f>
        <v>0</v>
      </c>
      <c r="Z26" s="206">
        <f>IF($C26=0,"",SUMIFS(INPUT_DATA!AV:AV,INPUT_DATA!$A:$A,$C26,INPUT_DATA!$B:$B,"D"))</f>
        <v>0</v>
      </c>
      <c r="AA26" s="207">
        <f t="shared" si="6"/>
        <v>-1043.92</v>
      </c>
      <c r="AB26" s="206">
        <f>IF($C26=0,"",SUMIFS(INPUT_DATA!AX:AX,INPUT_DATA!$A:$A,$C26,INPUT_DATA!$B:$B,"D"))</f>
        <v>485.35</v>
      </c>
      <c r="AC26" s="206">
        <f>IF($C26=0,"",SUMIFS(INPUT_DATA!AY:AY,INPUT_DATA!$A:$A,$C26,INPUT_DATA!$B:$B,"D"))</f>
        <v>0</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485.35</v>
      </c>
      <c r="AK26" s="209">
        <f>IF($C26=0,"",SUMIFS(INPUT_DATA!BG:BG,INPUT_DATA!$A:$A,$C26,INPUT_DATA!$B:$B,"D"))</f>
        <v>0</v>
      </c>
      <c r="AL26" s="209">
        <f>IF($C26=0,"",SUMIFS(INPUT_DATA!BH:BH,INPUT_DATA!$A:$A,$C26,INPUT_DATA!$B:$B,"D"))</f>
        <v>0</v>
      </c>
      <c r="AM26" s="208">
        <f t="shared" si="8"/>
        <v>-558.57000000000005</v>
      </c>
      <c r="AN26" s="210">
        <f>IF($C26=0,"",SUMIFS(INPUT_DATA!BK:BK,INPUT_DATA!$A:$A,$C26,INPUT_DATA!$B:$B,"D"))</f>
        <v>-558.57000000000005</v>
      </c>
      <c r="AO26" s="211">
        <f t="shared" si="9"/>
        <v>0</v>
      </c>
      <c r="AP26" s="212"/>
      <c r="AR26" s="211">
        <f t="shared" si="5"/>
        <v>64718629.729999997</v>
      </c>
      <c r="AT26" s="203">
        <f>IF($C26=0,"",'02 - Monthly Asset Follow up'!E30+'02 - Monthly Asset Follow up'!F30-'02 - Monthly Asset Follow up'!V30+'02 - Monthly Asset Follow up'!Y30-H26)</f>
        <v>0</v>
      </c>
      <c r="AU26" s="203">
        <f>IF($C26=0,"",'02 - Monthly Asset Follow up'!BB30+'02 - Monthly Asset Follow up'!BC30-'02 - Monthly Asset Follow up'!BR30+'02 - Monthly Asset Follow up'!BU30-AA26)</f>
        <v>0</v>
      </c>
      <c r="AW26" s="215"/>
    </row>
    <row r="27" spans="2:49">
      <c r="B27" s="1573">
        <f t="shared" si="0"/>
        <v>45566</v>
      </c>
      <c r="C27" s="1574">
        <f>'02 - Monthly Asset Follow up'!B31</f>
        <v>45596</v>
      </c>
      <c r="D27" s="212"/>
      <c r="E27" s="205">
        <f>IF($C27=0,"",SUMIFS(INPUT_DATA!AT:AT,INPUT_DATA!$A:$A,$C27,INPUT_DATA!$B:$B,"S"))</f>
        <v>42217161.75</v>
      </c>
      <c r="F27" s="206">
        <f>IF($C27=0,"",SUMIFS(INPUT_DATA!AU:AU,INPUT_DATA!$A:$A,$C27,INPUT_DATA!$B:$B,"S"))</f>
        <v>0</v>
      </c>
      <c r="G27" s="206">
        <f>IF($C27=0,"",SUMIFS(INPUT_DATA!AV:AV,INPUT_DATA!$A:$A,$C27,INPUT_DATA!$B:$B,"S"))</f>
        <v>12577297.26</v>
      </c>
      <c r="H27" s="213">
        <f t="shared" si="1"/>
        <v>54794459.009999998</v>
      </c>
      <c r="I27" s="206">
        <f>IF($C27=0,"",SUMIFS(INPUT_DATA!AX:AX,INPUT_DATA!$A:$A,$C27,INPUT_DATA!$B:$B,"S"))</f>
        <v>2544753.75</v>
      </c>
      <c r="J27" s="206">
        <f>IF($C27=0,"",SUMIFS(INPUT_DATA!AY:AY,INPUT_DATA!$A:$A,$C27,INPUT_DATA!$B:$B,"S"))</f>
        <v>0</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52923.47</v>
      </c>
      <c r="O27" s="206">
        <f>IF($C27=0,"",SUMIFS(INPUT_DATA!BD:BD,INPUT_DATA!$A:$A,$C27,INPUT_DATA!$B:$B,"S"))</f>
        <v>0</v>
      </c>
      <c r="P27" s="206">
        <f>IF($C27=0,"",SUMIFS(INPUT_DATA!BE:BE,INPUT_DATA!$A:$A,$C27,INPUT_DATA!$B:$B,"S"))</f>
        <v>0</v>
      </c>
      <c r="Q27" s="208">
        <f t="shared" si="2"/>
        <v>2597677.2200000002</v>
      </c>
      <c r="R27" s="209">
        <f>IF($C27=0,"",SUMIFS(INPUT_DATA!BG:BG,INPUT_DATA!$A:$A,$C27,INPUT_DATA!$B:$B,"S"))</f>
        <v>0</v>
      </c>
      <c r="S27" s="209">
        <f>IF($C27=0,"",SUMIFS(INPUT_DATA!BH:BH,INPUT_DATA!$A:$A,$C27,INPUT_DATA!$B:$B,"S"))</f>
        <v>0</v>
      </c>
      <c r="T27" s="208">
        <f t="shared" si="3"/>
        <v>57392136.229999997</v>
      </c>
      <c r="U27" s="210">
        <f>IF($C27=0,"",SUMIFS(INPUT_DATA!BK:BK,INPUT_DATA!$A:$A,$C27,INPUT_DATA!$B:$B,"S"))</f>
        <v>57392136.229999997</v>
      </c>
      <c r="V27" s="214">
        <f t="shared" si="4"/>
        <v>0</v>
      </c>
      <c r="W27" s="212"/>
      <c r="X27" s="205">
        <f>IF($C27=0,"",SUMIFS(INPUT_DATA!AT:AT,INPUT_DATA!$A:$A,$C27,INPUT_DATA!$B:$B,"D"))</f>
        <v>911.81</v>
      </c>
      <c r="Y27" s="206">
        <f>IF($C27=0,"",SUMIFS(INPUT_DATA!AU:AU,INPUT_DATA!$A:$A,$C27,INPUT_DATA!$B:$B,"D"))</f>
        <v>0</v>
      </c>
      <c r="Z27" s="206">
        <f>IF($C27=0,"",SUMIFS(INPUT_DATA!AV:AV,INPUT_DATA!$A:$A,$C27,INPUT_DATA!$B:$B,"D"))</f>
        <v>0</v>
      </c>
      <c r="AA27" s="207">
        <f t="shared" si="6"/>
        <v>911.81</v>
      </c>
      <c r="AB27" s="206">
        <f>IF($C27=0,"",SUMIFS(INPUT_DATA!AX:AX,INPUT_DATA!$A:$A,$C27,INPUT_DATA!$B:$B,"D"))</f>
        <v>31.79</v>
      </c>
      <c r="AC27" s="206">
        <f>IF($C27=0,"",SUMIFS(INPUT_DATA!AY:AY,INPUT_DATA!$A:$A,$C27,INPUT_DATA!$B:$B,"D"))</f>
        <v>0</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31.79</v>
      </c>
      <c r="AK27" s="209">
        <f>IF($C27=0,"",SUMIFS(INPUT_DATA!BG:BG,INPUT_DATA!$A:$A,$C27,INPUT_DATA!$B:$B,"D"))</f>
        <v>0</v>
      </c>
      <c r="AL27" s="209">
        <f>IF($C27=0,"",SUMIFS(INPUT_DATA!BH:BH,INPUT_DATA!$A:$A,$C27,INPUT_DATA!$B:$B,"D"))</f>
        <v>0</v>
      </c>
      <c r="AM27" s="208">
        <f t="shared" si="8"/>
        <v>943.59999999999991</v>
      </c>
      <c r="AN27" s="210">
        <f>IF($C27=0,"",SUMIFS(INPUT_DATA!BK:BK,INPUT_DATA!$A:$A,$C27,INPUT_DATA!$B:$B,"D"))</f>
        <v>943.6</v>
      </c>
      <c r="AO27" s="211">
        <f t="shared" si="9"/>
        <v>-1.1368683772161603E-13</v>
      </c>
      <c r="AP27" s="212"/>
      <c r="AR27" s="211">
        <f t="shared" si="5"/>
        <v>57393079.829999998</v>
      </c>
      <c r="AT27" s="203">
        <f>IF($C27=0,"",'02 - Monthly Asset Follow up'!E31+'02 - Monthly Asset Follow up'!F31-'02 - Monthly Asset Follow up'!V31+'02 - Monthly Asset Follow up'!Y31-H27)</f>
        <v>0</v>
      </c>
      <c r="AU27" s="203">
        <f>IF($C27=0,"",'02 - Monthly Asset Follow up'!BB31+'02 - Monthly Asset Follow up'!BC31-'02 - Monthly Asset Follow up'!BR31+'02 - Monthly Asset Follow up'!BU31-AA27)</f>
        <v>0</v>
      </c>
      <c r="AW27" s="215"/>
    </row>
    <row r="28" spans="2:49">
      <c r="B28" s="1573" t="str">
        <f t="shared" si="0"/>
        <v/>
      </c>
      <c r="C28" s="1574">
        <f>'02 - Monthly Asset Follow up'!B32</f>
        <v>45565</v>
      </c>
      <c r="D28" s="212"/>
      <c r="E28" s="205">
        <f>IF($C28=0,"",SUMIFS(INPUT_DATA!AT:AT,INPUT_DATA!$A:$A,$C28,INPUT_DATA!$B:$B,"S"))</f>
        <v>0</v>
      </c>
      <c r="F28" s="206">
        <f>IF($C28=0,"",SUMIFS(INPUT_DATA!AU:AU,INPUT_DATA!$A:$A,$C28,INPUT_DATA!$B:$B,"S"))</f>
        <v>0</v>
      </c>
      <c r="G28" s="206">
        <f>IF($C28=0,"",SUMIFS(INPUT_DATA!AV:AV,INPUT_DATA!$A:$A,$C28,INPUT_DATA!$B:$B,"S"))</f>
        <v>0</v>
      </c>
      <c r="H28" s="213">
        <f t="shared" si="1"/>
        <v>0</v>
      </c>
      <c r="I28" s="206">
        <f>IF($C28=0,"",SUMIFS(INPUT_DATA!AX:AX,INPUT_DATA!$A:$A,$C28,INPUT_DATA!$B:$B,"S"))</f>
        <v>0</v>
      </c>
      <c r="J28" s="206">
        <f>IF($C28=0,"",SUMIFS(INPUT_DATA!AY:AY,INPUT_DATA!$A:$A,$C28,INPUT_DATA!$B:$B,"S"))</f>
        <v>0</v>
      </c>
      <c r="K28" s="206">
        <f>IF($C28=0,"",SUMIFS(INPUT_DATA!AZ:AZ,INPUT_DATA!$A:$A,$C28,INPUT_DATA!$B:$B,"S"))</f>
        <v>0</v>
      </c>
      <c r="L28" s="206">
        <f>IF($C28=0,"",SUMIFS(INPUT_DATA!BA:BA,INPUT_DATA!$A:$A,$C28,INPUT_DATA!$B:$B,"S"))</f>
        <v>0</v>
      </c>
      <c r="M28" s="206">
        <f>IF($C28=0,"",SUMIFS(INPUT_DATA!BB:BB,INPUT_DATA!$A:$A,$C28,INPUT_DATA!$B:$B,"S"))</f>
        <v>0</v>
      </c>
      <c r="N28" s="206">
        <f>IF($C28=0,"",SUMIFS(INPUT_DATA!BC:BC,INPUT_DATA!$A:$A,$C28,INPUT_DATA!$B:$B,"S"))</f>
        <v>0</v>
      </c>
      <c r="O28" s="206">
        <f>IF($C28=0,"",SUMIFS(INPUT_DATA!BD:BD,INPUT_DATA!$A:$A,$C28,INPUT_DATA!$B:$B,"S"))</f>
        <v>0</v>
      </c>
      <c r="P28" s="206">
        <f>IF($C28=0,"",SUMIFS(INPUT_DATA!BE:BE,INPUT_DATA!$A:$A,$C28,INPUT_DATA!$B:$B,"S"))</f>
        <v>0</v>
      </c>
      <c r="Q28" s="208">
        <f t="shared" si="2"/>
        <v>0</v>
      </c>
      <c r="R28" s="209">
        <f>IF($C28=0,"",SUMIFS(INPUT_DATA!BG:BG,INPUT_DATA!$A:$A,$C28,INPUT_DATA!$B:$B,"S"))</f>
        <v>0</v>
      </c>
      <c r="S28" s="209">
        <f>IF($C28=0,"",SUMIFS(INPUT_DATA!BH:BH,INPUT_DATA!$A:$A,$C28,INPUT_DATA!$B:$B,"S"))</f>
        <v>0</v>
      </c>
      <c r="T28" s="208">
        <f t="shared" si="3"/>
        <v>0</v>
      </c>
      <c r="U28" s="210">
        <f>IF($C28=0,"",SUMIFS(INPUT_DATA!BK:BK,INPUT_DATA!$A:$A,$C28,INPUT_DATA!$B:$B,"S"))</f>
        <v>0</v>
      </c>
      <c r="V28" s="214">
        <f t="shared" si="4"/>
        <v>0</v>
      </c>
      <c r="W28" s="212"/>
      <c r="X28" s="205">
        <f>IF($C28=0,"",SUMIFS(INPUT_DATA!AT:AT,INPUT_DATA!$A:$A,$C28,INPUT_DATA!$B:$B,"D"))</f>
        <v>0</v>
      </c>
      <c r="Y28" s="206">
        <f>IF($C28=0,"",SUMIFS(INPUT_DATA!AU:AU,INPUT_DATA!$A:$A,$C28,INPUT_DATA!$B:$B,"D"))</f>
        <v>0</v>
      </c>
      <c r="Z28" s="206">
        <f>IF($C28=0,"",SUMIFS(INPUT_DATA!AV:AV,INPUT_DATA!$A:$A,$C28,INPUT_DATA!$B:$B,"D"))</f>
        <v>0</v>
      </c>
      <c r="AA28" s="207">
        <f t="shared" si="6"/>
        <v>0</v>
      </c>
      <c r="AB28" s="206">
        <f>IF($C28=0,"",SUMIFS(INPUT_DATA!AX:AX,INPUT_DATA!$A:$A,$C28,INPUT_DATA!$B:$B,"D"))</f>
        <v>0</v>
      </c>
      <c r="AC28" s="206">
        <f>IF($C28=0,"",SUMIFS(INPUT_DATA!AY:AY,INPUT_DATA!$A:$A,$C28,INPUT_DATA!$B:$B,"D"))</f>
        <v>0</v>
      </c>
      <c r="AD28" s="206">
        <f>IF($C28=0,"",SUMIFS(INPUT_DATA!AZ:AZ,INPUT_DATA!$A:$A,$C28,INPUT_DATA!$B:$B,"D"))</f>
        <v>0</v>
      </c>
      <c r="AE28" s="206">
        <f>IF($C28=0,"",SUMIFS(INPUT_DATA!BA:BA,INPUT_DATA!$A:$A,$C28,INPUT_DATA!$B:$B,"D"))</f>
        <v>0</v>
      </c>
      <c r="AF28" s="206">
        <f>IF($C28=0,"",SUMIFS(INPUT_DATA!BB:BB,INPUT_DATA!$A:$A,$C28,INPUT_DATA!$B:$B,"D"))</f>
        <v>0</v>
      </c>
      <c r="AG28" s="206">
        <f>IF($C28=0,"",SUMIFS(INPUT_DATA!BC:BC,INPUT_DATA!$A:$A,$C28,INPUT_DATA!$B:$B,"D"))</f>
        <v>0</v>
      </c>
      <c r="AH28" s="206">
        <f>IF($C28=0,"",SUMIFS(INPUT_DATA!BD:BD,INPUT_DATA!$A:$A,$C28,INPUT_DATA!$B:$B,"D"))</f>
        <v>0</v>
      </c>
      <c r="AI28" s="206">
        <f>IF($C28=0,"",SUMIFS(INPUT_DATA!BE:BE,INPUT_DATA!$A:$A,$C28,INPUT_DATA!$B:$B,"D"))</f>
        <v>0</v>
      </c>
      <c r="AJ28" s="208">
        <f t="shared" si="7"/>
        <v>0</v>
      </c>
      <c r="AK28" s="209">
        <f>IF($C28=0,"",SUMIFS(INPUT_DATA!BG:BG,INPUT_DATA!$A:$A,$C28,INPUT_DATA!$B:$B,"D"))</f>
        <v>0</v>
      </c>
      <c r="AL28" s="209">
        <f>IF($C28=0,"",SUMIFS(INPUT_DATA!BH:BH,INPUT_DATA!$A:$A,$C28,INPUT_DATA!$B:$B,"D"))</f>
        <v>0</v>
      </c>
      <c r="AM28" s="208">
        <f t="shared" si="8"/>
        <v>0</v>
      </c>
      <c r="AN28" s="210">
        <f>IF($C28=0,"",SUMIFS(INPUT_DATA!BK:BK,INPUT_DATA!$A:$A,$C28,INPUT_DATA!$B:$B,"D"))</f>
        <v>0</v>
      </c>
      <c r="AO28" s="211">
        <f t="shared" si="9"/>
        <v>0</v>
      </c>
      <c r="AP28" s="212"/>
      <c r="AR28" s="211">
        <f t="shared" si="5"/>
        <v>0</v>
      </c>
      <c r="AT28" s="203">
        <f>IF($C28=0,"",'02 - Monthly Asset Follow up'!E32+'02 - Monthly Asset Follow up'!F32-'02 - Monthly Asset Follow up'!V32+'02 - Monthly Asset Follow up'!Y32-H28)</f>
        <v>0</v>
      </c>
      <c r="AU28" s="203">
        <f>IF($C28=0,"",'02 - Monthly Asset Follow up'!BB32+'02 - Monthly Asset Follow up'!BC32-'02 - Monthly Asset Follow up'!BR32+'02 - Monthly Asset Follow up'!BU32-AA28)</f>
        <v>0</v>
      </c>
      <c r="AW28" s="215"/>
    </row>
    <row r="29" spans="2:49">
      <c r="B29" s="1573" t="str">
        <f t="shared" si="0"/>
        <v/>
      </c>
      <c r="C29" s="1574">
        <f>'02 - Monthly Asset Follow up'!B33</f>
        <v>0</v>
      </c>
      <c r="D29" s="212"/>
      <c r="E29" s="205" t="str">
        <f>IF($C29=0,"",SUMIFS(INPUT_DATA!AT:AT,INPUT_DATA!$A:$A,$C29,INPUT_DATA!$B:$B,"S"))</f>
        <v/>
      </c>
      <c r="F29" s="206" t="str">
        <f>IF($C29=0,"",SUMIFS(INPUT_DATA!AU:AU,INPUT_DATA!$A:$A,$C29,INPUT_DATA!$B:$B,"S"))</f>
        <v/>
      </c>
      <c r="G29" s="206" t="str">
        <f>IF($C29=0,"",SUMIFS(INPUT_DATA!AV:AV,INPUT_DATA!$A:$A,$C29,INPUT_DATA!$B:$B,"S"))</f>
        <v/>
      </c>
      <c r="H29" s="213" t="str">
        <f t="shared" si="1"/>
        <v/>
      </c>
      <c r="I29" s="206" t="str">
        <f>IF($C29=0,"",SUMIFS(INPUT_DATA!AX:AX,INPUT_DATA!$A:$A,$C29,INPUT_DATA!$B:$B,"S"))</f>
        <v/>
      </c>
      <c r="J29" s="206" t="str">
        <f>IF($C29=0,"",SUMIFS(INPUT_DATA!AY:AY,INPUT_DATA!$A:$A,$C29,INPUT_DATA!$B:$B,"S"))</f>
        <v/>
      </c>
      <c r="K29" s="206" t="str">
        <f>IF($C29=0,"",SUMIFS(INPUT_DATA!AZ:AZ,INPUT_DATA!$A:$A,$C29,INPUT_DATA!$B:$B,"S"))</f>
        <v/>
      </c>
      <c r="L29" s="206" t="str">
        <f>IF($C29=0,"",SUMIFS(INPUT_DATA!BA:BA,INPUT_DATA!$A:$A,$C29,INPUT_DATA!$B:$B,"S"))</f>
        <v/>
      </c>
      <c r="M29" s="206" t="str">
        <f>IF($C29=0,"",SUMIFS(INPUT_DATA!BB:BB,INPUT_DATA!$A:$A,$C29,INPUT_DATA!$B:$B,"S"))</f>
        <v/>
      </c>
      <c r="N29" s="206" t="str">
        <f>IF($C29=0,"",SUMIFS(INPUT_DATA!BC:BC,INPUT_DATA!$A:$A,$C29,INPUT_DATA!$B:$B,"S"))</f>
        <v/>
      </c>
      <c r="O29" s="206" t="str">
        <f>IF($C29=0,"",SUMIFS(INPUT_DATA!BD:BD,INPUT_DATA!$A:$A,$C29,INPUT_DATA!$B:$B,"S"))</f>
        <v/>
      </c>
      <c r="P29" s="206" t="str">
        <f>IF($C29=0,"",SUMIFS(INPUT_DATA!BE:BE,INPUT_DATA!$A:$A,$C29,INPUT_DATA!$B:$B,"S"))</f>
        <v/>
      </c>
      <c r="Q29" s="208" t="str">
        <f t="shared" si="2"/>
        <v/>
      </c>
      <c r="R29" s="209" t="str">
        <f>IF($C29=0,"",SUMIFS(INPUT_DATA!BG:BG,INPUT_DATA!$A:$A,$C29,INPUT_DATA!$B:$B,"S"))</f>
        <v/>
      </c>
      <c r="S29" s="209" t="str">
        <f>IF($C29=0,"",SUMIFS(INPUT_DATA!BH:BH,INPUT_DATA!$A:$A,$C29,INPUT_DATA!$B:$B,"S"))</f>
        <v/>
      </c>
      <c r="T29" s="208" t="str">
        <f t="shared" si="3"/>
        <v/>
      </c>
      <c r="U29" s="210" t="str">
        <f>IF($C29=0,"",SUMIFS(INPUT_DATA!BK:BK,INPUT_DATA!$A:$A,$C29,INPUT_DATA!$B:$B,"S"))</f>
        <v/>
      </c>
      <c r="V29" s="214" t="str">
        <f t="shared" si="4"/>
        <v/>
      </c>
      <c r="W29" s="212"/>
      <c r="X29" s="205" t="str">
        <f>IF($C29=0,"",SUMIFS(INPUT_DATA!AT:AT,INPUT_DATA!$A:$A,$C29,INPUT_DATA!$B:$B,"D"))</f>
        <v/>
      </c>
      <c r="Y29" s="206" t="str">
        <f>IF($C29=0,"",SUMIFS(INPUT_DATA!AU:AU,INPUT_DATA!$A:$A,$C29,INPUT_DATA!$B:$B,"D"))</f>
        <v/>
      </c>
      <c r="Z29" s="206" t="str">
        <f>IF($C29=0,"",SUMIFS(INPUT_DATA!AV:AV,INPUT_DATA!$A:$A,$C29,INPUT_DATA!$B:$B,"D"))</f>
        <v/>
      </c>
      <c r="AA29" s="207" t="str">
        <f t="shared" si="6"/>
        <v/>
      </c>
      <c r="AB29" s="206" t="str">
        <f>IF($C29=0,"",SUMIFS(INPUT_DATA!AX:AX,INPUT_DATA!$A:$A,$C29,INPUT_DATA!$B:$B,"D"))</f>
        <v/>
      </c>
      <c r="AC29" s="206" t="str">
        <f>IF($C29=0,"",SUMIFS(INPUT_DATA!AY:AY,INPUT_DATA!$A:$A,$C29,INPUT_DATA!$B:$B,"D"))</f>
        <v/>
      </c>
      <c r="AD29" s="206" t="str">
        <f>IF($C29=0,"",SUMIFS(INPUT_DATA!AZ:AZ,INPUT_DATA!$A:$A,$C29,INPUT_DATA!$B:$B,"D"))</f>
        <v/>
      </c>
      <c r="AE29" s="206" t="str">
        <f>IF($C29=0,"",SUMIFS(INPUT_DATA!BA:BA,INPUT_DATA!$A:$A,$C29,INPUT_DATA!$B:$B,"D"))</f>
        <v/>
      </c>
      <c r="AF29" s="206" t="str">
        <f>IF($C29=0,"",SUMIFS(INPUT_DATA!BB:BB,INPUT_DATA!$A:$A,$C29,INPUT_DATA!$B:$B,"D"))</f>
        <v/>
      </c>
      <c r="AG29" s="206" t="str">
        <f>IF($C29=0,"",SUMIFS(INPUT_DATA!BC:BC,INPUT_DATA!$A:$A,$C29,INPUT_DATA!$B:$B,"D"))</f>
        <v/>
      </c>
      <c r="AH29" s="206" t="str">
        <f>IF($C29=0,"",SUMIFS(INPUT_DATA!BD:BD,INPUT_DATA!$A:$A,$C29,INPUT_DATA!$B:$B,"D"))</f>
        <v/>
      </c>
      <c r="AI29" s="206" t="str">
        <f>IF($C29=0,"",SUMIFS(INPUT_DATA!BE:BE,INPUT_DATA!$A:$A,$C29,INPUT_DATA!$B:$B,"D"))</f>
        <v/>
      </c>
      <c r="AJ29" s="208" t="str">
        <f t="shared" si="7"/>
        <v/>
      </c>
      <c r="AK29" s="209" t="str">
        <f>IF($C29=0,"",SUMIFS(INPUT_DATA!BG:BG,INPUT_DATA!$A:$A,$C29,INPUT_DATA!$B:$B,"D"))</f>
        <v/>
      </c>
      <c r="AL29" s="209" t="str">
        <f>IF($C29=0,"",SUMIFS(INPUT_DATA!BH:BH,INPUT_DATA!$A:$A,$C29,INPUT_DATA!$B:$B,"D"))</f>
        <v/>
      </c>
      <c r="AM29" s="208" t="str">
        <f t="shared" si="8"/>
        <v/>
      </c>
      <c r="AN29" s="210" t="str">
        <f>IF($C29=0,"",SUMIFS(INPUT_DATA!BK:BK,INPUT_DATA!$A:$A,$C29,INPUT_DATA!$B:$B,"D"))</f>
        <v/>
      </c>
      <c r="AO29" s="211" t="str">
        <f t="shared" si="9"/>
        <v/>
      </c>
      <c r="AP29" s="212"/>
      <c r="AR29" s="211" t="str">
        <f t="shared" si="5"/>
        <v/>
      </c>
      <c r="AT29" s="203" t="str">
        <f>IF($C29=0,"",'02 - Monthly Asset Follow up'!E33+'02 - Monthly Asset Follow up'!F33-'02 - Monthly Asset Follow up'!V33+'02 - Monthly Asset Follow up'!Y33-H29)</f>
        <v/>
      </c>
      <c r="AU29" s="203" t="str">
        <f>IF($C29=0,"",'02 - Monthly Asset Follow up'!BB33+'02 - Monthly Asset Follow up'!BC33-'02 - Monthly Asset Follow up'!BR33+'02 - Monthly Asset Follow up'!BU33-AA29)</f>
        <v/>
      </c>
      <c r="AW29" s="215"/>
    </row>
    <row r="30" spans="2:49">
      <c r="B30" s="1573" t="str">
        <f t="shared" si="0"/>
        <v/>
      </c>
      <c r="C30" s="1574">
        <f>'02 - Monthly Asset Follow up'!B34</f>
        <v>0</v>
      </c>
      <c r="D30" s="212"/>
      <c r="E30" s="205" t="str">
        <f>IF($C30=0,"",SUMIFS(INPUT_DATA!AT:AT,INPUT_DATA!$A:$A,$C30,INPUT_DATA!$B:$B,"S"))</f>
        <v/>
      </c>
      <c r="F30" s="206" t="str">
        <f>IF($C30=0,"",SUMIFS(INPUT_DATA!AU:AU,INPUT_DATA!$A:$A,$C30,INPUT_DATA!$B:$B,"S"))</f>
        <v/>
      </c>
      <c r="G30" s="206" t="str">
        <f>IF($C30=0,"",SUMIFS(INPUT_DATA!AV:AV,INPUT_DATA!$A:$A,$C30,INPUT_DATA!$B:$B,"S"))</f>
        <v/>
      </c>
      <c r="H30" s="213" t="str">
        <f t="shared" si="1"/>
        <v/>
      </c>
      <c r="I30" s="206" t="str">
        <f>IF($C30=0,"",SUMIFS(INPUT_DATA!AX:AX,INPUT_DATA!$A:$A,$C30,INPUT_DATA!$B:$B,"S"))</f>
        <v/>
      </c>
      <c r="J30" s="206" t="str">
        <f>IF($C30=0,"",SUMIFS(INPUT_DATA!AY:AY,INPUT_DATA!$A:$A,$C30,INPUT_DATA!$B:$B,"S"))</f>
        <v/>
      </c>
      <c r="K30" s="206" t="str">
        <f>IF($C30=0,"",SUMIFS(INPUT_DATA!AZ:AZ,INPUT_DATA!$A:$A,$C30,INPUT_DATA!$B:$B,"S"))</f>
        <v/>
      </c>
      <c r="L30" s="206" t="str">
        <f>IF($C30=0,"",SUMIFS(INPUT_DATA!BA:BA,INPUT_DATA!$A:$A,$C30,INPUT_DATA!$B:$B,"S"))</f>
        <v/>
      </c>
      <c r="M30" s="206" t="str">
        <f>IF($C30=0,"",SUMIFS(INPUT_DATA!BB:BB,INPUT_DATA!$A:$A,$C30,INPUT_DATA!$B:$B,"S"))</f>
        <v/>
      </c>
      <c r="N30" s="206" t="str">
        <f>IF($C30=0,"",SUMIFS(INPUT_DATA!BC:BC,INPUT_DATA!$A:$A,$C30,INPUT_DATA!$B:$B,"S"))</f>
        <v/>
      </c>
      <c r="O30" s="206" t="str">
        <f>IF($C30=0,"",SUMIFS(INPUT_DATA!BD:BD,INPUT_DATA!$A:$A,$C30,INPUT_DATA!$B:$B,"S"))</f>
        <v/>
      </c>
      <c r="P30" s="206" t="str">
        <f>IF($C30=0,"",SUMIFS(INPUT_DATA!BE:BE,INPUT_DATA!$A:$A,$C30,INPUT_DATA!$B:$B,"S"))</f>
        <v/>
      </c>
      <c r="Q30" s="208" t="str">
        <f t="shared" si="2"/>
        <v/>
      </c>
      <c r="R30" s="209" t="str">
        <f>IF($C30=0,"",SUMIFS(INPUT_DATA!BG:BG,INPUT_DATA!$A:$A,$C30,INPUT_DATA!$B:$B,"S"))</f>
        <v/>
      </c>
      <c r="S30" s="209" t="str">
        <f>IF($C30=0,"",SUMIFS(INPUT_DATA!BH:BH,INPUT_DATA!$A:$A,$C30,INPUT_DATA!$B:$B,"S"))</f>
        <v/>
      </c>
      <c r="T30" s="208" t="str">
        <f t="shared" si="3"/>
        <v/>
      </c>
      <c r="U30" s="210" t="str">
        <f>IF($C30=0,"",SUMIFS(INPUT_DATA!BK:BK,INPUT_DATA!$A:$A,$C30,INPUT_DATA!$B:$B,"S"))</f>
        <v/>
      </c>
      <c r="V30" s="214" t="str">
        <f t="shared" si="4"/>
        <v/>
      </c>
      <c r="W30" s="212"/>
      <c r="X30" s="205" t="str">
        <f>IF($C30=0,"",SUMIFS(INPUT_DATA!AT:AT,INPUT_DATA!$A:$A,$C30,INPUT_DATA!$B:$B,"D"))</f>
        <v/>
      </c>
      <c r="Y30" s="206" t="str">
        <f>IF($C30=0,"",SUMIFS(INPUT_DATA!AU:AU,INPUT_DATA!$A:$A,$C30,INPUT_DATA!$B:$B,"D"))</f>
        <v/>
      </c>
      <c r="Z30" s="206" t="str">
        <f>IF($C30=0,"",SUMIFS(INPUT_DATA!AV:AV,INPUT_DATA!$A:$A,$C30,INPUT_DATA!$B:$B,"D"))</f>
        <v/>
      </c>
      <c r="AA30" s="207" t="str">
        <f t="shared" si="6"/>
        <v/>
      </c>
      <c r="AB30" s="206" t="str">
        <f>IF($C30=0,"",SUMIFS(INPUT_DATA!AX:AX,INPUT_DATA!$A:$A,$C30,INPUT_DATA!$B:$B,"D"))</f>
        <v/>
      </c>
      <c r="AC30" s="206" t="str">
        <f>IF($C30=0,"",SUMIFS(INPUT_DATA!AY:AY,INPUT_DATA!$A:$A,$C30,INPUT_DATA!$B:$B,"D"))</f>
        <v/>
      </c>
      <c r="AD30" s="206" t="str">
        <f>IF($C30=0,"",SUMIFS(INPUT_DATA!AZ:AZ,INPUT_DATA!$A:$A,$C30,INPUT_DATA!$B:$B,"D"))</f>
        <v/>
      </c>
      <c r="AE30" s="206" t="str">
        <f>IF($C30=0,"",SUMIFS(INPUT_DATA!BA:BA,INPUT_DATA!$A:$A,$C30,INPUT_DATA!$B:$B,"D"))</f>
        <v/>
      </c>
      <c r="AF30" s="206" t="str">
        <f>IF($C30=0,"",SUMIFS(INPUT_DATA!BB:BB,INPUT_DATA!$A:$A,$C30,INPUT_DATA!$B:$B,"D"))</f>
        <v/>
      </c>
      <c r="AG30" s="206" t="str">
        <f>IF($C30=0,"",SUMIFS(INPUT_DATA!BC:BC,INPUT_DATA!$A:$A,$C30,INPUT_DATA!$B:$B,"D"))</f>
        <v/>
      </c>
      <c r="AH30" s="206" t="str">
        <f>IF($C30=0,"",SUMIFS(INPUT_DATA!BD:BD,INPUT_DATA!$A:$A,$C30,INPUT_DATA!$B:$B,"D"))</f>
        <v/>
      </c>
      <c r="AI30" s="206" t="str">
        <f>IF($C30=0,"",SUMIFS(INPUT_DATA!BE:BE,INPUT_DATA!$A:$A,$C30,INPUT_DATA!$B:$B,"D"))</f>
        <v/>
      </c>
      <c r="AJ30" s="208" t="str">
        <f t="shared" si="7"/>
        <v/>
      </c>
      <c r="AK30" s="209" t="str">
        <f>IF($C30=0,"",SUMIFS(INPUT_DATA!BG:BG,INPUT_DATA!$A:$A,$C30,INPUT_DATA!$B:$B,"D"))</f>
        <v/>
      </c>
      <c r="AL30" s="209" t="str">
        <f>IF($C30=0,"",SUMIFS(INPUT_DATA!BH:BH,INPUT_DATA!$A:$A,$C30,INPUT_DATA!$B:$B,"D"))</f>
        <v/>
      </c>
      <c r="AM30" s="208" t="str">
        <f t="shared" si="8"/>
        <v/>
      </c>
      <c r="AN30" s="210" t="str">
        <f>IF($C30=0,"",SUMIFS(INPUT_DATA!BK:BK,INPUT_DATA!$A:$A,$C30,INPUT_DATA!$B:$B,"D"))</f>
        <v/>
      </c>
      <c r="AO30" s="211" t="str">
        <f t="shared" si="9"/>
        <v/>
      </c>
      <c r="AP30" s="212"/>
      <c r="AR30" s="211" t="str">
        <f t="shared" si="5"/>
        <v/>
      </c>
      <c r="AT30" s="203" t="str">
        <f>IF($C30=0,"",'02 - Monthly Asset Follow up'!E34+'02 - Monthly Asset Follow up'!F34-'02 - Monthly Asset Follow up'!V34+'02 - Monthly Asset Follow up'!Y34-H30)</f>
        <v/>
      </c>
      <c r="AU30" s="203" t="str">
        <f>IF($C30=0,"",'02 - Monthly Asset Follow up'!BB34+'02 - Monthly Asset Follow up'!BC34-'02 - Monthly Asset Follow up'!BR34+'02 - Monthly Asset Follow up'!BU34-AA30)</f>
        <v/>
      </c>
      <c r="AW30" s="215"/>
    </row>
    <row r="31" spans="2:49">
      <c r="B31" s="1573" t="str">
        <f t="shared" si="0"/>
        <v/>
      </c>
      <c r="C31" s="1574">
        <f>'02 - Monthly Asset Follow up'!B35</f>
        <v>0</v>
      </c>
      <c r="D31" s="212"/>
      <c r="E31" s="205" t="str">
        <f>IF($C31=0,"",SUMIFS(INPUT_DATA!AT:AT,INPUT_DATA!$A:$A,$C31,INPUT_DATA!$B:$B,"S"))</f>
        <v/>
      </c>
      <c r="F31" s="206" t="str">
        <f>IF($C31=0,"",SUMIFS(INPUT_DATA!AU:AU,INPUT_DATA!$A:$A,$C31,INPUT_DATA!$B:$B,"S"))</f>
        <v/>
      </c>
      <c r="G31" s="206" t="str">
        <f>IF($C31=0,"",SUMIFS(INPUT_DATA!AV:AV,INPUT_DATA!$A:$A,$C31,INPUT_DATA!$B:$B,"S"))</f>
        <v/>
      </c>
      <c r="H31" s="213" t="str">
        <f t="shared" si="1"/>
        <v/>
      </c>
      <c r="I31" s="206" t="str">
        <f>IF($C31=0,"",SUMIFS(INPUT_DATA!AX:AX,INPUT_DATA!$A:$A,$C31,INPUT_DATA!$B:$B,"S"))</f>
        <v/>
      </c>
      <c r="J31" s="206" t="str">
        <f>IF($C31=0,"",SUMIFS(INPUT_DATA!AY:AY,INPUT_DATA!$A:$A,$C31,INPUT_DATA!$B:$B,"S"))</f>
        <v/>
      </c>
      <c r="K31" s="206" t="str">
        <f>IF($C31=0,"",SUMIFS(INPUT_DATA!AZ:AZ,INPUT_DATA!$A:$A,$C31,INPUT_DATA!$B:$B,"S"))</f>
        <v/>
      </c>
      <c r="L31" s="206" t="str">
        <f>IF($C31=0,"",SUMIFS(INPUT_DATA!BA:BA,INPUT_DATA!$A:$A,$C31,INPUT_DATA!$B:$B,"S"))</f>
        <v/>
      </c>
      <c r="M31" s="206" t="str">
        <f>IF($C31=0,"",SUMIFS(INPUT_DATA!BB:BB,INPUT_DATA!$A:$A,$C31,INPUT_DATA!$B:$B,"S"))</f>
        <v/>
      </c>
      <c r="N31" s="206" t="str">
        <f>IF($C31=0,"",SUMIFS(INPUT_DATA!BC:BC,INPUT_DATA!$A:$A,$C31,INPUT_DATA!$B:$B,"S"))</f>
        <v/>
      </c>
      <c r="O31" s="206" t="str">
        <f>IF($C31=0,"",SUMIFS(INPUT_DATA!BD:BD,INPUT_DATA!$A:$A,$C31,INPUT_DATA!$B:$B,"S"))</f>
        <v/>
      </c>
      <c r="P31" s="206" t="str">
        <f>IF($C31=0,"",SUMIFS(INPUT_DATA!BE:BE,INPUT_DATA!$A:$A,$C31,INPUT_DATA!$B:$B,"S"))</f>
        <v/>
      </c>
      <c r="Q31" s="208" t="str">
        <f t="shared" si="2"/>
        <v/>
      </c>
      <c r="R31" s="209" t="str">
        <f>IF($C31=0,"",SUMIFS(INPUT_DATA!BG:BG,INPUT_DATA!$A:$A,$C31,INPUT_DATA!$B:$B,"S"))</f>
        <v/>
      </c>
      <c r="S31" s="209" t="str">
        <f>IF($C31=0,"",SUMIFS(INPUT_DATA!BH:BH,INPUT_DATA!$A:$A,$C31,INPUT_DATA!$B:$B,"S"))</f>
        <v/>
      </c>
      <c r="T31" s="208" t="str">
        <f t="shared" si="3"/>
        <v/>
      </c>
      <c r="U31" s="210" t="str">
        <f>IF($C31=0,"",SUMIFS(INPUT_DATA!BK:BK,INPUT_DATA!$A:$A,$C31,INPUT_DATA!$B:$B,"S"))</f>
        <v/>
      </c>
      <c r="V31" s="214" t="str">
        <f t="shared" si="4"/>
        <v/>
      </c>
      <c r="W31" s="212"/>
      <c r="X31" s="205" t="str">
        <f>IF($C31=0,"",SUMIFS(INPUT_DATA!AT:AT,INPUT_DATA!$A:$A,$C31,INPUT_DATA!$B:$B,"D"))</f>
        <v/>
      </c>
      <c r="Y31" s="206" t="str">
        <f>IF($C31=0,"",SUMIFS(INPUT_DATA!AU:AU,INPUT_DATA!$A:$A,$C31,INPUT_DATA!$B:$B,"D"))</f>
        <v/>
      </c>
      <c r="Z31" s="206" t="str">
        <f>IF($C31=0,"",SUMIFS(INPUT_DATA!AV:AV,INPUT_DATA!$A:$A,$C31,INPUT_DATA!$B:$B,"D"))</f>
        <v/>
      </c>
      <c r="AA31" s="207" t="str">
        <f t="shared" si="6"/>
        <v/>
      </c>
      <c r="AB31" s="206" t="str">
        <f>IF($C31=0,"",SUMIFS(INPUT_DATA!AX:AX,INPUT_DATA!$A:$A,$C31,INPUT_DATA!$B:$B,"D"))</f>
        <v/>
      </c>
      <c r="AC31" s="206" t="str">
        <f>IF($C31=0,"",SUMIFS(INPUT_DATA!AY:AY,INPUT_DATA!$A:$A,$C31,INPUT_DATA!$B:$B,"D"))</f>
        <v/>
      </c>
      <c r="AD31" s="206" t="str">
        <f>IF($C31=0,"",SUMIFS(INPUT_DATA!AZ:AZ,INPUT_DATA!$A:$A,$C31,INPUT_DATA!$B:$B,"D"))</f>
        <v/>
      </c>
      <c r="AE31" s="206" t="str">
        <f>IF($C31=0,"",SUMIFS(INPUT_DATA!BA:BA,INPUT_DATA!$A:$A,$C31,INPUT_DATA!$B:$B,"D"))</f>
        <v/>
      </c>
      <c r="AF31" s="206" t="str">
        <f>IF($C31=0,"",SUMIFS(INPUT_DATA!BB:BB,INPUT_DATA!$A:$A,$C31,INPUT_DATA!$B:$B,"D"))</f>
        <v/>
      </c>
      <c r="AG31" s="206" t="str">
        <f>IF($C31=0,"",SUMIFS(INPUT_DATA!BC:BC,INPUT_DATA!$A:$A,$C31,INPUT_DATA!$B:$B,"D"))</f>
        <v/>
      </c>
      <c r="AH31" s="206" t="str">
        <f>IF($C31=0,"",SUMIFS(INPUT_DATA!BD:BD,INPUT_DATA!$A:$A,$C31,INPUT_DATA!$B:$B,"D"))</f>
        <v/>
      </c>
      <c r="AI31" s="206" t="str">
        <f>IF($C31=0,"",SUMIFS(INPUT_DATA!BE:BE,INPUT_DATA!$A:$A,$C31,INPUT_DATA!$B:$B,"D"))</f>
        <v/>
      </c>
      <c r="AJ31" s="208" t="str">
        <f t="shared" si="7"/>
        <v/>
      </c>
      <c r="AK31" s="209" t="str">
        <f>IF($C31=0,"",SUMIFS(INPUT_DATA!BG:BG,INPUT_DATA!$A:$A,$C31,INPUT_DATA!$B:$B,"D"))</f>
        <v/>
      </c>
      <c r="AL31" s="209" t="str">
        <f>IF($C31=0,"",SUMIFS(INPUT_DATA!BH:BH,INPUT_DATA!$A:$A,$C31,INPUT_DATA!$B:$B,"D"))</f>
        <v/>
      </c>
      <c r="AM31" s="208" t="str">
        <f t="shared" si="8"/>
        <v/>
      </c>
      <c r="AN31" s="210" t="str">
        <f>IF($C31=0,"",SUMIFS(INPUT_DATA!BK:BK,INPUT_DATA!$A:$A,$C31,INPUT_DATA!$B:$B,"D"))</f>
        <v/>
      </c>
      <c r="AO31" s="211" t="str">
        <f t="shared" si="9"/>
        <v/>
      </c>
      <c r="AP31" s="212"/>
      <c r="AR31" s="211" t="str">
        <f t="shared" si="5"/>
        <v/>
      </c>
      <c r="AT31" s="203" t="str">
        <f>IF($C31=0,"",'02 - Monthly Asset Follow up'!E35+'02 - Monthly Asset Follow up'!F35-'02 - Monthly Asset Follow up'!V35+'02 - Monthly Asset Follow up'!Y35-H31)</f>
        <v/>
      </c>
      <c r="AU31" s="203" t="str">
        <f>IF($C31=0,"",'02 - Monthly Asset Follow up'!BB35+'02 - Monthly Asset Follow up'!BC35-'02 - Monthly Asset Follow up'!BR35+'02 - Monthly Asset Follow up'!BU35-AA31)</f>
        <v/>
      </c>
      <c r="AW31" s="215"/>
    </row>
    <row r="32" spans="2:49">
      <c r="B32" s="1573" t="str">
        <f t="shared" si="0"/>
        <v/>
      </c>
      <c r="C32" s="1574">
        <f>'02 - Monthly Asset Follow up'!B36</f>
        <v>0</v>
      </c>
      <c r="D32" s="212"/>
      <c r="E32" s="205" t="str">
        <f>IF($C32=0,"",SUMIFS(INPUT_DATA!AT:AT,INPUT_DATA!$A:$A,$C32,INPUT_DATA!$B:$B,"S"))</f>
        <v/>
      </c>
      <c r="F32" s="206" t="str">
        <f>IF($C32=0,"",SUMIFS(INPUT_DATA!AU:AU,INPUT_DATA!$A:$A,$C32,INPUT_DATA!$B:$B,"S"))</f>
        <v/>
      </c>
      <c r="G32" s="206" t="str">
        <f>IF($C32=0,"",SUMIFS(INPUT_DATA!AV:AV,INPUT_DATA!$A:$A,$C32,INPUT_DATA!$B:$B,"S"))</f>
        <v/>
      </c>
      <c r="H32" s="213" t="str">
        <f t="shared" si="1"/>
        <v/>
      </c>
      <c r="I32" s="206" t="str">
        <f>IF($C32=0,"",SUMIFS(INPUT_DATA!AX:AX,INPUT_DATA!$A:$A,$C32,INPUT_DATA!$B:$B,"S"))</f>
        <v/>
      </c>
      <c r="J32" s="206" t="str">
        <f>IF($C32=0,"",SUMIFS(INPUT_DATA!AY:AY,INPUT_DATA!$A:$A,$C32,INPUT_DATA!$B:$B,"S"))</f>
        <v/>
      </c>
      <c r="K32" s="206" t="str">
        <f>IF($C32=0,"",SUMIFS(INPUT_DATA!AZ:AZ,INPUT_DATA!$A:$A,$C32,INPUT_DATA!$B:$B,"S"))</f>
        <v/>
      </c>
      <c r="L32" s="206" t="str">
        <f>IF($C32=0,"",SUMIFS(INPUT_DATA!BA:BA,INPUT_DATA!$A:$A,$C32,INPUT_DATA!$B:$B,"S"))</f>
        <v/>
      </c>
      <c r="M32" s="206" t="str">
        <f>IF($C32=0,"",SUMIFS(INPUT_DATA!BB:BB,INPUT_DATA!$A:$A,$C32,INPUT_DATA!$B:$B,"S"))</f>
        <v/>
      </c>
      <c r="N32" s="206" t="str">
        <f>IF($C32=0,"",SUMIFS(INPUT_DATA!BC:BC,INPUT_DATA!$A:$A,$C32,INPUT_DATA!$B:$B,"S"))</f>
        <v/>
      </c>
      <c r="O32" s="206" t="str">
        <f>IF($C32=0,"",SUMIFS(INPUT_DATA!BD:BD,INPUT_DATA!$A:$A,$C32,INPUT_DATA!$B:$B,"S"))</f>
        <v/>
      </c>
      <c r="P32" s="206" t="str">
        <f>IF($C32=0,"",SUMIFS(INPUT_DATA!BE:BE,INPUT_DATA!$A:$A,$C32,INPUT_DATA!$B:$B,"S"))</f>
        <v/>
      </c>
      <c r="Q32" s="208" t="str">
        <f t="shared" si="2"/>
        <v/>
      </c>
      <c r="R32" s="209" t="str">
        <f>IF($C32=0,"",SUMIFS(INPUT_DATA!BG:BG,INPUT_DATA!$A:$A,$C32,INPUT_DATA!$B:$B,"S"))</f>
        <v/>
      </c>
      <c r="S32" s="209" t="str">
        <f>IF($C32=0,"",SUMIFS(INPUT_DATA!BH:BH,INPUT_DATA!$A:$A,$C32,INPUT_DATA!$B:$B,"S"))</f>
        <v/>
      </c>
      <c r="T32" s="208" t="str">
        <f t="shared" si="3"/>
        <v/>
      </c>
      <c r="U32" s="210" t="str">
        <f>IF($C32=0,"",SUMIFS(INPUT_DATA!BK:BK,INPUT_DATA!$A:$A,$C32,INPUT_DATA!$B:$B,"S"))</f>
        <v/>
      </c>
      <c r="V32" s="214" t="str">
        <f t="shared" si="4"/>
        <v/>
      </c>
      <c r="W32" s="212"/>
      <c r="X32" s="205" t="str">
        <f>IF($C32=0,"",SUMIFS(INPUT_DATA!AT:AT,INPUT_DATA!$A:$A,$C32,INPUT_DATA!$B:$B,"D"))</f>
        <v/>
      </c>
      <c r="Y32" s="206" t="str">
        <f>IF($C32=0,"",SUMIFS(INPUT_DATA!AU:AU,INPUT_DATA!$A:$A,$C32,INPUT_DATA!$B:$B,"D"))</f>
        <v/>
      </c>
      <c r="Z32" s="206" t="str">
        <f>IF($C32=0,"",SUMIFS(INPUT_DATA!AV:AV,INPUT_DATA!$A:$A,$C32,INPUT_DATA!$B:$B,"D"))</f>
        <v/>
      </c>
      <c r="AA32" s="207" t="str">
        <f t="shared" si="6"/>
        <v/>
      </c>
      <c r="AB32" s="206" t="str">
        <f>IF($C32=0,"",SUMIFS(INPUT_DATA!AX:AX,INPUT_DATA!$A:$A,$C32,INPUT_DATA!$B:$B,"D"))</f>
        <v/>
      </c>
      <c r="AC32" s="206" t="str">
        <f>IF($C32=0,"",SUMIFS(INPUT_DATA!AY:AY,INPUT_DATA!$A:$A,$C32,INPUT_DATA!$B:$B,"D"))</f>
        <v/>
      </c>
      <c r="AD32" s="206" t="str">
        <f>IF($C32=0,"",SUMIFS(INPUT_DATA!AZ:AZ,INPUT_DATA!$A:$A,$C32,INPUT_DATA!$B:$B,"D"))</f>
        <v/>
      </c>
      <c r="AE32" s="206" t="str">
        <f>IF($C32=0,"",SUMIFS(INPUT_DATA!BA:BA,INPUT_DATA!$A:$A,$C32,INPUT_DATA!$B:$B,"D"))</f>
        <v/>
      </c>
      <c r="AF32" s="206" t="str">
        <f>IF($C32=0,"",SUMIFS(INPUT_DATA!BB:BB,INPUT_DATA!$A:$A,$C32,INPUT_DATA!$B:$B,"D"))</f>
        <v/>
      </c>
      <c r="AG32" s="206" t="str">
        <f>IF($C32=0,"",SUMIFS(INPUT_DATA!BC:BC,INPUT_DATA!$A:$A,$C32,INPUT_DATA!$B:$B,"D"))</f>
        <v/>
      </c>
      <c r="AH32" s="206" t="str">
        <f>IF($C32=0,"",SUMIFS(INPUT_DATA!BD:BD,INPUT_DATA!$A:$A,$C32,INPUT_DATA!$B:$B,"D"))</f>
        <v/>
      </c>
      <c r="AI32" s="206" t="str">
        <f>IF($C32=0,"",SUMIFS(INPUT_DATA!BE:BE,INPUT_DATA!$A:$A,$C32,INPUT_DATA!$B:$B,"D"))</f>
        <v/>
      </c>
      <c r="AJ32" s="208" t="str">
        <f t="shared" si="7"/>
        <v/>
      </c>
      <c r="AK32" s="209" t="str">
        <f>IF($C32=0,"",SUMIFS(INPUT_DATA!BG:BG,INPUT_DATA!$A:$A,$C32,INPUT_DATA!$B:$B,"D"))</f>
        <v/>
      </c>
      <c r="AL32" s="209" t="str">
        <f>IF($C32=0,"",SUMIFS(INPUT_DATA!BH:BH,INPUT_DATA!$A:$A,$C32,INPUT_DATA!$B:$B,"D"))</f>
        <v/>
      </c>
      <c r="AM32" s="208" t="str">
        <f t="shared" si="8"/>
        <v/>
      </c>
      <c r="AN32" s="210" t="str">
        <f>IF($C32=0,"",SUMIFS(INPUT_DATA!BK:BK,INPUT_DATA!$A:$A,$C32,INPUT_DATA!$B:$B,"D"))</f>
        <v/>
      </c>
      <c r="AO32" s="211" t="str">
        <f t="shared" si="9"/>
        <v/>
      </c>
      <c r="AP32" s="212"/>
      <c r="AR32" s="211" t="str">
        <f t="shared" si="5"/>
        <v/>
      </c>
      <c r="AT32" s="203" t="str">
        <f>IF($C32=0,"",'02 - Monthly Asset Follow up'!E36+'02 - Monthly Asset Follow up'!F36-'02 - Monthly Asset Follow up'!V36+'02 - Monthly Asset Follow up'!Y36-H32)</f>
        <v/>
      </c>
      <c r="AU32" s="203" t="str">
        <f>IF($C32=0,"",'02 - Monthly Asset Follow up'!BB36+'02 - Monthly Asset Follow up'!BC36-'02 - Monthly Asset Follow up'!BR36+'02 - Monthly Asset Follow up'!BU36-AA32)</f>
        <v/>
      </c>
      <c r="AW32" s="215"/>
    </row>
    <row r="33" spans="2:49">
      <c r="B33" s="1573" t="str">
        <f t="shared" si="0"/>
        <v/>
      </c>
      <c r="C33" s="1574">
        <f>'02 - Monthly Asset Follow up'!B37</f>
        <v>0</v>
      </c>
      <c r="D33" s="212"/>
      <c r="E33" s="205" t="str">
        <f>IF($C33=0,"",SUMIFS(INPUT_DATA!AT:AT,INPUT_DATA!$A:$A,$C33,INPUT_DATA!$B:$B,"S"))</f>
        <v/>
      </c>
      <c r="F33" s="206" t="str">
        <f>IF($C33=0,"",SUMIFS(INPUT_DATA!AU:AU,INPUT_DATA!$A:$A,$C33,INPUT_DATA!$B:$B,"S"))</f>
        <v/>
      </c>
      <c r="G33" s="206" t="str">
        <f>IF($C33=0,"",SUMIFS(INPUT_DATA!AV:AV,INPUT_DATA!$A:$A,$C33,INPUT_DATA!$B:$B,"S"))</f>
        <v/>
      </c>
      <c r="H33" s="213" t="str">
        <f t="shared" si="1"/>
        <v/>
      </c>
      <c r="I33" s="206" t="str">
        <f>IF($C33=0,"",SUMIFS(INPUT_DATA!AX:AX,INPUT_DATA!$A:$A,$C33,INPUT_DATA!$B:$B,"S"))</f>
        <v/>
      </c>
      <c r="J33" s="206" t="str">
        <f>IF($C33=0,"",SUMIFS(INPUT_DATA!AY:AY,INPUT_DATA!$A:$A,$C33,INPUT_DATA!$B:$B,"S"))</f>
        <v/>
      </c>
      <c r="K33" s="206" t="str">
        <f>IF($C33=0,"",SUMIFS(INPUT_DATA!AZ:AZ,INPUT_DATA!$A:$A,$C33,INPUT_DATA!$B:$B,"S"))</f>
        <v/>
      </c>
      <c r="L33" s="206" t="str">
        <f>IF($C33=0,"",SUMIFS(INPUT_DATA!BA:BA,INPUT_DATA!$A:$A,$C33,INPUT_DATA!$B:$B,"S"))</f>
        <v/>
      </c>
      <c r="M33" s="206" t="str">
        <f>IF($C33=0,"",SUMIFS(INPUT_DATA!BB:BB,INPUT_DATA!$A:$A,$C33,INPUT_DATA!$B:$B,"S"))</f>
        <v/>
      </c>
      <c r="N33" s="206" t="str">
        <f>IF($C33=0,"",SUMIFS(INPUT_DATA!BC:BC,INPUT_DATA!$A:$A,$C33,INPUT_DATA!$B:$B,"S"))</f>
        <v/>
      </c>
      <c r="O33" s="206" t="str">
        <f>IF($C33=0,"",SUMIFS(INPUT_DATA!BD:BD,INPUT_DATA!$A:$A,$C33,INPUT_DATA!$B:$B,"S"))</f>
        <v/>
      </c>
      <c r="P33" s="206" t="str">
        <f>IF($C33=0,"",SUMIFS(INPUT_DATA!BE:BE,INPUT_DATA!$A:$A,$C33,INPUT_DATA!$B:$B,"S"))</f>
        <v/>
      </c>
      <c r="Q33" s="208" t="str">
        <f t="shared" si="2"/>
        <v/>
      </c>
      <c r="R33" s="209" t="str">
        <f>IF($C33=0,"",SUMIFS(INPUT_DATA!BG:BG,INPUT_DATA!$A:$A,$C33,INPUT_DATA!$B:$B,"S"))</f>
        <v/>
      </c>
      <c r="S33" s="209" t="str">
        <f>IF($C33=0,"",SUMIFS(INPUT_DATA!BH:BH,INPUT_DATA!$A:$A,$C33,INPUT_DATA!$B:$B,"S"))</f>
        <v/>
      </c>
      <c r="T33" s="208" t="str">
        <f t="shared" si="3"/>
        <v/>
      </c>
      <c r="U33" s="210" t="str">
        <f>IF($C33=0,"",SUMIFS(INPUT_DATA!BK:BK,INPUT_DATA!$A:$A,$C33,INPUT_DATA!$B:$B,"S"))</f>
        <v/>
      </c>
      <c r="V33" s="214" t="str">
        <f t="shared" si="4"/>
        <v/>
      </c>
      <c r="W33" s="212"/>
      <c r="X33" s="205" t="str">
        <f>IF($C33=0,"",SUMIFS(INPUT_DATA!AT:AT,INPUT_DATA!$A:$A,$C33,INPUT_DATA!$B:$B,"D"))</f>
        <v/>
      </c>
      <c r="Y33" s="206" t="str">
        <f>IF($C33=0,"",SUMIFS(INPUT_DATA!AU:AU,INPUT_DATA!$A:$A,$C33,INPUT_DATA!$B:$B,"D"))</f>
        <v/>
      </c>
      <c r="Z33" s="206" t="str">
        <f>IF($C33=0,"",SUMIFS(INPUT_DATA!AV:AV,INPUT_DATA!$A:$A,$C33,INPUT_DATA!$B:$B,"D"))</f>
        <v/>
      </c>
      <c r="AA33" s="207" t="str">
        <f t="shared" si="6"/>
        <v/>
      </c>
      <c r="AB33" s="206" t="str">
        <f>IF($C33=0,"",SUMIFS(INPUT_DATA!AX:AX,INPUT_DATA!$A:$A,$C33,INPUT_DATA!$B:$B,"D"))</f>
        <v/>
      </c>
      <c r="AC33" s="206" t="str">
        <f>IF($C33=0,"",SUMIFS(INPUT_DATA!AY:AY,INPUT_DATA!$A:$A,$C33,INPUT_DATA!$B:$B,"D"))</f>
        <v/>
      </c>
      <c r="AD33" s="206" t="str">
        <f>IF($C33=0,"",SUMIFS(INPUT_DATA!AZ:AZ,INPUT_DATA!$A:$A,$C33,INPUT_DATA!$B:$B,"D"))</f>
        <v/>
      </c>
      <c r="AE33" s="206" t="str">
        <f>IF($C33=0,"",SUMIFS(INPUT_DATA!BA:BA,INPUT_DATA!$A:$A,$C33,INPUT_DATA!$B:$B,"D"))</f>
        <v/>
      </c>
      <c r="AF33" s="206" t="str">
        <f>IF($C33=0,"",SUMIFS(INPUT_DATA!BB:BB,INPUT_DATA!$A:$A,$C33,INPUT_DATA!$B:$B,"D"))</f>
        <v/>
      </c>
      <c r="AG33" s="206" t="str">
        <f>IF($C33=0,"",SUMIFS(INPUT_DATA!BC:BC,INPUT_DATA!$A:$A,$C33,INPUT_DATA!$B:$B,"D"))</f>
        <v/>
      </c>
      <c r="AH33" s="206" t="str">
        <f>IF($C33=0,"",SUMIFS(INPUT_DATA!BD:BD,INPUT_DATA!$A:$A,$C33,INPUT_DATA!$B:$B,"D"))</f>
        <v/>
      </c>
      <c r="AI33" s="206" t="str">
        <f>IF($C33=0,"",SUMIFS(INPUT_DATA!BE:BE,INPUT_DATA!$A:$A,$C33,INPUT_DATA!$B:$B,"D"))</f>
        <v/>
      </c>
      <c r="AJ33" s="208" t="str">
        <f t="shared" si="7"/>
        <v/>
      </c>
      <c r="AK33" s="209" t="str">
        <f>IF($C33=0,"",SUMIFS(INPUT_DATA!BG:BG,INPUT_DATA!$A:$A,$C33,INPUT_DATA!$B:$B,"D"))</f>
        <v/>
      </c>
      <c r="AL33" s="209" t="str">
        <f>IF($C33=0,"",SUMIFS(INPUT_DATA!BH:BH,INPUT_DATA!$A:$A,$C33,INPUT_DATA!$B:$B,"D"))</f>
        <v/>
      </c>
      <c r="AM33" s="208" t="str">
        <f t="shared" si="8"/>
        <v/>
      </c>
      <c r="AN33" s="210" t="str">
        <f>IF($C33=0,"",SUMIFS(INPUT_DATA!BK:BK,INPUT_DATA!$A:$A,$C33,INPUT_DATA!$B:$B,"D"))</f>
        <v/>
      </c>
      <c r="AO33" s="211" t="str">
        <f t="shared" si="9"/>
        <v/>
      </c>
      <c r="AP33" s="212"/>
      <c r="AR33" s="211" t="str">
        <f t="shared" si="5"/>
        <v/>
      </c>
      <c r="AT33" s="203" t="str">
        <f>IF($C33=0,"",'02 - Monthly Asset Follow up'!E37+'02 - Monthly Asset Follow up'!F37-'02 - Monthly Asset Follow up'!V37+'02 - Monthly Asset Follow up'!Y37-H33)</f>
        <v/>
      </c>
      <c r="AU33" s="203" t="str">
        <f>IF($C33=0,"",'02 - Monthly Asset Follow up'!BB37+'02 - Monthly Asset Follow up'!BC37-'02 - Monthly Asset Follow up'!BR37+'02 - Monthly Asset Follow up'!BU37-AA33)</f>
        <v/>
      </c>
      <c r="AW33" s="215"/>
    </row>
    <row r="34" spans="2:49">
      <c r="B34" s="1573" t="str">
        <f t="shared" si="0"/>
        <v/>
      </c>
      <c r="C34" s="1574">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c r="B35" s="1573" t="str">
        <f t="shared" si="0"/>
        <v/>
      </c>
      <c r="C35" s="1574">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defaultColWidth="9.140625"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85" zoomScaleNormal="85" workbookViewId="0"/>
  </sheetViews>
  <sheetFormatPr defaultColWidth="9.140625" defaultRowHeight="15"/>
  <cols>
    <col min="1" max="1" width="31.42578125" customWidth="1"/>
    <col min="2" max="4" width="26.7109375" customWidth="1"/>
    <col min="5" max="10" width="31.42578125" customWidth="1"/>
    <col min="11" max="19" width="28.85546875" customWidth="1"/>
  </cols>
  <sheetData>
    <row r="1" spans="1:10" ht="26.25" thickBot="1">
      <c r="A1" s="1610" t="s">
        <v>1373</v>
      </c>
      <c r="B1" s="1610" t="s">
        <v>1374</v>
      </c>
      <c r="C1" s="1611" t="s">
        <v>1375</v>
      </c>
      <c r="D1" s="1610" t="s">
        <v>1376</v>
      </c>
      <c r="E1" s="1610" t="s">
        <v>1377</v>
      </c>
      <c r="F1" s="1610" t="s">
        <v>1378</v>
      </c>
      <c r="G1" s="1610" t="s">
        <v>1379</v>
      </c>
      <c r="H1" s="1610" t="s">
        <v>1380</v>
      </c>
      <c r="I1" s="1612" t="s">
        <v>1381</v>
      </c>
      <c r="J1" s="1840"/>
    </row>
    <row r="2" spans="1:10" ht="39" thickBot="1">
      <c r="A2" s="1625" t="s">
        <v>1578</v>
      </c>
      <c r="B2" s="1613" t="s">
        <v>1383</v>
      </c>
      <c r="C2" s="1614" t="s">
        <v>1383</v>
      </c>
      <c r="D2" s="1615"/>
      <c r="E2" s="1616"/>
      <c r="F2" s="1617" t="s">
        <v>143</v>
      </c>
      <c r="G2" s="1617" t="s">
        <v>143</v>
      </c>
      <c r="H2" s="1618"/>
      <c r="I2" s="1619"/>
      <c r="J2" s="1841"/>
    </row>
    <row r="3" spans="1:10" ht="64.5" thickBot="1">
      <c r="A3" s="1625" t="s">
        <v>1578</v>
      </c>
      <c r="B3" s="1613" t="s">
        <v>1383</v>
      </c>
      <c r="C3" s="1611" t="s">
        <v>1579</v>
      </c>
      <c r="D3" s="1620" t="s">
        <v>1385</v>
      </c>
      <c r="E3" s="1621" t="s">
        <v>1386</v>
      </c>
      <c r="F3" s="1626" t="s">
        <v>1387</v>
      </c>
      <c r="G3" s="1622" t="s">
        <v>1387</v>
      </c>
      <c r="H3" s="1623" t="s">
        <v>1388</v>
      </c>
      <c r="I3" s="1623" t="s">
        <v>1068</v>
      </c>
      <c r="J3" s="1842"/>
    </row>
    <row r="4" spans="1:10" ht="102.75" thickBot="1">
      <c r="A4" s="1625" t="s">
        <v>1578</v>
      </c>
      <c r="B4" s="1613" t="s">
        <v>1383</v>
      </c>
      <c r="C4" s="1611" t="s">
        <v>1580</v>
      </c>
      <c r="D4" s="1620" t="s">
        <v>1390</v>
      </c>
      <c r="E4" s="1621" t="s">
        <v>1581</v>
      </c>
      <c r="F4" s="1626" t="s">
        <v>1387</v>
      </c>
      <c r="G4" s="1622" t="s">
        <v>1387</v>
      </c>
      <c r="H4" s="1623" t="s">
        <v>1392</v>
      </c>
      <c r="I4" s="1636">
        <f>'00 - Cover'!F17</f>
        <v>46022</v>
      </c>
      <c r="J4" s="1843"/>
    </row>
    <row r="5" spans="1:10" ht="51.75" thickBot="1">
      <c r="A5" s="1625" t="s">
        <v>1578</v>
      </c>
      <c r="B5" s="1613" t="s">
        <v>1383</v>
      </c>
      <c r="C5" s="1611" t="s">
        <v>1582</v>
      </c>
      <c r="D5" s="1620" t="s">
        <v>1583</v>
      </c>
      <c r="E5" s="1621" t="s">
        <v>1584</v>
      </c>
      <c r="F5" s="1622" t="s">
        <v>1387</v>
      </c>
      <c r="G5" s="1622" t="s">
        <v>1431</v>
      </c>
      <c r="H5" s="1623" t="s">
        <v>1424</v>
      </c>
      <c r="I5" s="1623" t="s">
        <v>1832</v>
      </c>
      <c r="J5" s="1842"/>
    </row>
    <row r="6" spans="1:10" ht="64.5" thickBot="1">
      <c r="A6" s="1625" t="s">
        <v>1578</v>
      </c>
      <c r="B6" s="1613" t="s">
        <v>1383</v>
      </c>
      <c r="C6" s="1611" t="s">
        <v>1585</v>
      </c>
      <c r="D6" s="1620" t="s">
        <v>1586</v>
      </c>
      <c r="E6" s="1621" t="s">
        <v>1587</v>
      </c>
      <c r="F6" s="1622" t="s">
        <v>1387</v>
      </c>
      <c r="G6" s="1622" t="s">
        <v>1431</v>
      </c>
      <c r="H6" s="1623" t="s">
        <v>1424</v>
      </c>
      <c r="I6" s="1623" t="s">
        <v>1831</v>
      </c>
      <c r="J6" s="1842"/>
    </row>
    <row r="7" spans="1:10" ht="64.5" thickBot="1">
      <c r="A7" s="1625" t="s">
        <v>1578</v>
      </c>
      <c r="B7" s="1613" t="s">
        <v>1383</v>
      </c>
      <c r="C7" s="1611" t="s">
        <v>1588</v>
      </c>
      <c r="D7" s="1620" t="s">
        <v>1589</v>
      </c>
      <c r="E7" s="1621" t="s">
        <v>1590</v>
      </c>
      <c r="F7" s="1622" t="s">
        <v>1387</v>
      </c>
      <c r="G7" s="1622" t="s">
        <v>1431</v>
      </c>
      <c r="H7" s="1623" t="s">
        <v>1424</v>
      </c>
      <c r="I7" s="1623" t="s">
        <v>1831</v>
      </c>
      <c r="J7" s="1842"/>
    </row>
    <row r="8" spans="1:10" ht="77.25" thickBot="1">
      <c r="A8" s="1625" t="s">
        <v>1578</v>
      </c>
      <c r="B8" s="1613" t="s">
        <v>1383</v>
      </c>
      <c r="C8" s="1611" t="s">
        <v>1591</v>
      </c>
      <c r="D8" s="1620" t="s">
        <v>1592</v>
      </c>
      <c r="E8" s="1621" t="s">
        <v>1593</v>
      </c>
      <c r="F8" s="1622" t="s">
        <v>1387</v>
      </c>
      <c r="G8" s="1622" t="s">
        <v>1431</v>
      </c>
      <c r="H8" s="1623" t="s">
        <v>1540</v>
      </c>
      <c r="I8" s="1623" t="s">
        <v>1832</v>
      </c>
      <c r="J8" s="1842"/>
    </row>
    <row r="9" spans="1:10" ht="77.25" thickBot="1">
      <c r="A9" s="1625" t="s">
        <v>1578</v>
      </c>
      <c r="B9" s="1613" t="s">
        <v>1383</v>
      </c>
      <c r="C9" s="1611" t="s">
        <v>1594</v>
      </c>
      <c r="D9" s="1620" t="s">
        <v>1595</v>
      </c>
      <c r="E9" s="1621" t="s">
        <v>1596</v>
      </c>
      <c r="F9" s="1622" t="s">
        <v>1387</v>
      </c>
      <c r="G9" s="1622" t="s">
        <v>1431</v>
      </c>
      <c r="H9" s="1623" t="s">
        <v>1424</v>
      </c>
      <c r="I9" s="1623" t="s">
        <v>1830</v>
      </c>
      <c r="J9" s="1842"/>
    </row>
    <row r="10" spans="1:10" ht="192" thickBot="1">
      <c r="A10" s="1625" t="s">
        <v>1578</v>
      </c>
      <c r="B10" s="1613" t="s">
        <v>1383</v>
      </c>
      <c r="C10" s="1611" t="s">
        <v>1597</v>
      </c>
      <c r="D10" s="1620" t="s">
        <v>1598</v>
      </c>
      <c r="E10" s="1621" t="s">
        <v>1599</v>
      </c>
      <c r="F10" s="1622" t="s">
        <v>1387</v>
      </c>
      <c r="G10" s="1622" t="s">
        <v>1387</v>
      </c>
      <c r="H10" s="1623" t="s">
        <v>1414</v>
      </c>
      <c r="I10" s="1623" t="s">
        <v>1844</v>
      </c>
      <c r="J10" s="1842"/>
    </row>
    <row r="11" spans="1:10" ht="204.75" thickBot="1">
      <c r="A11" s="1625" t="s">
        <v>1578</v>
      </c>
      <c r="B11" s="1613" t="s">
        <v>1383</v>
      </c>
      <c r="C11" s="1611" t="s">
        <v>1600</v>
      </c>
      <c r="D11" s="1620" t="s">
        <v>1601</v>
      </c>
      <c r="E11" s="1621" t="s">
        <v>1602</v>
      </c>
      <c r="F11" s="1622" t="s">
        <v>1387</v>
      </c>
      <c r="G11" s="1622" t="s">
        <v>1431</v>
      </c>
      <c r="H11" s="1623" t="s">
        <v>1414</v>
      </c>
      <c r="I11" s="1623" t="s">
        <v>1832</v>
      </c>
      <c r="J11" s="1842"/>
    </row>
    <row r="12" spans="1:10" ht="128.25" thickBot="1">
      <c r="A12" s="1625" t="s">
        <v>1578</v>
      </c>
      <c r="B12" s="1613" t="s">
        <v>1383</v>
      </c>
      <c r="C12" s="1611" t="s">
        <v>1603</v>
      </c>
      <c r="D12" s="1620" t="s">
        <v>1604</v>
      </c>
      <c r="E12" s="1621" t="s">
        <v>1605</v>
      </c>
      <c r="F12" s="1622" t="s">
        <v>1387</v>
      </c>
      <c r="G12" s="1622" t="s">
        <v>1431</v>
      </c>
      <c r="H12" s="1623" t="s">
        <v>1435</v>
      </c>
      <c r="I12" s="1623" t="s">
        <v>1832</v>
      </c>
      <c r="J12" s="1842"/>
    </row>
    <row r="13" spans="1:10" ht="15.75" thickBot="1">
      <c r="A13" s="1625"/>
      <c r="B13" s="1613"/>
      <c r="C13" s="1611"/>
      <c r="D13" s="1620"/>
      <c r="E13" s="1621"/>
      <c r="F13" s="1622"/>
      <c r="G13" s="1622"/>
      <c r="H13" s="1623"/>
      <c r="I13" s="1623" t="s">
        <v>308</v>
      </c>
      <c r="J13" s="1842"/>
    </row>
    <row r="14" spans="1:10" ht="128.25" thickBot="1">
      <c r="A14" s="1625" t="s">
        <v>1578</v>
      </c>
      <c r="B14" s="1613" t="s">
        <v>1383</v>
      </c>
      <c r="C14" s="1611" t="s">
        <v>1606</v>
      </c>
      <c r="D14" s="1620" t="s">
        <v>1607</v>
      </c>
      <c r="E14" s="1621" t="s">
        <v>1608</v>
      </c>
      <c r="F14" s="1622" t="s">
        <v>1387</v>
      </c>
      <c r="G14" s="1622" t="s">
        <v>1431</v>
      </c>
      <c r="H14" s="1623" t="s">
        <v>1435</v>
      </c>
      <c r="I14" s="1623" t="s">
        <v>1832</v>
      </c>
      <c r="J14" s="1842"/>
    </row>
    <row r="15" spans="1:10" ht="15.75" thickBot="1">
      <c r="A15" s="1625"/>
      <c r="B15" s="1613"/>
      <c r="C15" s="1611"/>
      <c r="D15" s="1620"/>
      <c r="E15" s="1621"/>
      <c r="F15" s="1622"/>
      <c r="G15" s="1622"/>
      <c r="H15" s="1623"/>
      <c r="I15" s="1623" t="s">
        <v>308</v>
      </c>
      <c r="J15" s="1842"/>
    </row>
    <row r="16" spans="1:10" ht="64.5" thickBot="1">
      <c r="A16" s="1625" t="s">
        <v>1578</v>
      </c>
      <c r="B16" s="1613" t="s">
        <v>1383</v>
      </c>
      <c r="C16" s="1611" t="s">
        <v>1609</v>
      </c>
      <c r="D16" s="1620" t="s">
        <v>1610</v>
      </c>
      <c r="E16" s="1621" t="s">
        <v>1611</v>
      </c>
      <c r="F16" s="1622" t="s">
        <v>1387</v>
      </c>
      <c r="G16" s="1622" t="s">
        <v>1431</v>
      </c>
      <c r="H16" s="1623" t="s">
        <v>1612</v>
      </c>
      <c r="I16" s="1623" t="s">
        <v>1832</v>
      </c>
      <c r="J16" s="1842"/>
    </row>
    <row r="17" spans="1:10" ht="115.5" thickBot="1">
      <c r="A17" s="1625" t="s">
        <v>1578</v>
      </c>
      <c r="B17" s="1613" t="s">
        <v>1383</v>
      </c>
      <c r="C17" s="1611" t="s">
        <v>1613</v>
      </c>
      <c r="D17" s="1620" t="s">
        <v>1614</v>
      </c>
      <c r="E17" s="1621" t="s">
        <v>1615</v>
      </c>
      <c r="F17" s="1622" t="s">
        <v>1387</v>
      </c>
      <c r="G17" s="1622" t="s">
        <v>1431</v>
      </c>
      <c r="H17" s="1623" t="s">
        <v>1435</v>
      </c>
      <c r="I17" s="1623" t="s">
        <v>1832</v>
      </c>
      <c r="J17" s="1842"/>
    </row>
    <row r="18" spans="1:10" ht="15.75" thickBot="1">
      <c r="A18" s="1625"/>
      <c r="B18" s="1613"/>
      <c r="C18" s="1611"/>
      <c r="D18" s="1620"/>
      <c r="E18" s="1621"/>
      <c r="F18" s="1622"/>
      <c r="G18" s="1622"/>
      <c r="H18" s="1623"/>
      <c r="I18" s="1623" t="s">
        <v>308</v>
      </c>
      <c r="J18" s="1842"/>
    </row>
    <row r="19" spans="1:10" ht="77.25" thickBot="1">
      <c r="A19" s="1625" t="s">
        <v>1578</v>
      </c>
      <c r="B19" s="1613" t="s">
        <v>1383</v>
      </c>
      <c r="C19" s="1611" t="s">
        <v>1616</v>
      </c>
      <c r="D19" s="1620" t="s">
        <v>1617</v>
      </c>
      <c r="E19" s="1621" t="s">
        <v>1618</v>
      </c>
      <c r="F19" s="1622" t="s">
        <v>1387</v>
      </c>
      <c r="G19" s="1622" t="s">
        <v>1431</v>
      </c>
      <c r="H19" s="1623" t="s">
        <v>1457</v>
      </c>
      <c r="I19" s="1623" t="s">
        <v>1832</v>
      </c>
      <c r="J19" s="1842"/>
    </row>
    <row r="20" spans="1:10" ht="64.5" thickBot="1">
      <c r="A20" s="1625" t="s">
        <v>1578</v>
      </c>
      <c r="B20" s="1613" t="s">
        <v>1383</v>
      </c>
      <c r="C20" s="1611" t="s">
        <v>1619</v>
      </c>
      <c r="D20" s="1620" t="s">
        <v>1620</v>
      </c>
      <c r="E20" s="1621" t="s">
        <v>1621</v>
      </c>
      <c r="F20" s="1622" t="s">
        <v>1387</v>
      </c>
      <c r="G20" s="1622" t="s">
        <v>1431</v>
      </c>
      <c r="H20" s="1623" t="s">
        <v>1457</v>
      </c>
      <c r="I20" s="1623" t="s">
        <v>1832</v>
      </c>
      <c r="J20" s="1842"/>
    </row>
    <row r="21" spans="1:10" ht="102.75" thickBot="1">
      <c r="A21" s="1625" t="s">
        <v>1578</v>
      </c>
      <c r="B21" s="1613" t="s">
        <v>1383</v>
      </c>
      <c r="C21" s="1611" t="s">
        <v>1622</v>
      </c>
      <c r="D21" s="1620" t="s">
        <v>1623</v>
      </c>
      <c r="E21" s="1621" t="s">
        <v>1624</v>
      </c>
      <c r="F21" s="1622" t="s">
        <v>1387</v>
      </c>
      <c r="G21" s="1622" t="s">
        <v>1431</v>
      </c>
      <c r="H21" s="1623" t="s">
        <v>1435</v>
      </c>
      <c r="I21" s="1623" t="s">
        <v>1832</v>
      </c>
      <c r="J21" s="1842"/>
    </row>
    <row r="22" spans="1:10" ht="15.75" thickBot="1">
      <c r="A22" s="1625"/>
      <c r="B22" s="1613"/>
      <c r="C22" s="1611"/>
      <c r="D22" s="1620"/>
      <c r="E22" s="1621"/>
      <c r="F22" s="1622"/>
      <c r="G22" s="1622"/>
      <c r="H22" s="1623"/>
      <c r="I22" s="1623" t="s">
        <v>308</v>
      </c>
      <c r="J22" s="1842"/>
    </row>
    <row r="23" spans="1:10" ht="409.6" thickBot="1">
      <c r="A23" s="1625" t="s">
        <v>1578</v>
      </c>
      <c r="B23" s="1613" t="s">
        <v>1383</v>
      </c>
      <c r="C23" s="1611" t="s">
        <v>1625</v>
      </c>
      <c r="D23" s="1624" t="s">
        <v>1626</v>
      </c>
      <c r="E23" s="1621" t="s">
        <v>1627</v>
      </c>
      <c r="F23" s="1622" t="s">
        <v>1387</v>
      </c>
      <c r="G23" s="1622" t="s">
        <v>1431</v>
      </c>
      <c r="H23" s="1623" t="s">
        <v>1414</v>
      </c>
      <c r="I23" s="1623" t="s">
        <v>1832</v>
      </c>
      <c r="J23" s="1842"/>
    </row>
    <row r="24" spans="1:10" ht="39" thickBot="1">
      <c r="A24" s="1625" t="s">
        <v>1578</v>
      </c>
      <c r="B24" s="1613" t="s">
        <v>1383</v>
      </c>
      <c r="C24" s="1611" t="s">
        <v>1628</v>
      </c>
      <c r="D24" s="1624" t="s">
        <v>1629</v>
      </c>
      <c r="E24" s="1621" t="s">
        <v>1630</v>
      </c>
      <c r="F24" s="1622" t="s">
        <v>1387</v>
      </c>
      <c r="G24" s="1622" t="s">
        <v>1431</v>
      </c>
      <c r="H24" s="1623" t="s">
        <v>1392</v>
      </c>
      <c r="I24" s="1623" t="s">
        <v>1832</v>
      </c>
      <c r="J24" s="1842"/>
    </row>
    <row r="25" spans="1:10" ht="77.25" thickBot="1">
      <c r="A25" s="1625" t="s">
        <v>1578</v>
      </c>
      <c r="B25" s="1613" t="s">
        <v>1383</v>
      </c>
      <c r="C25" s="1611" t="s">
        <v>1631</v>
      </c>
      <c r="D25" s="1624" t="s">
        <v>1632</v>
      </c>
      <c r="E25" s="1621" t="s">
        <v>1633</v>
      </c>
      <c r="F25" s="1622" t="s">
        <v>1387</v>
      </c>
      <c r="G25" s="1622" t="s">
        <v>1431</v>
      </c>
      <c r="H25" s="1623" t="s">
        <v>1435</v>
      </c>
      <c r="I25" s="1623" t="s">
        <v>1832</v>
      </c>
      <c r="J25" s="1842"/>
    </row>
    <row r="26" spans="1:10" ht="15.75" thickBot="1">
      <c r="A26" s="1625"/>
      <c r="B26" s="1613"/>
      <c r="C26" s="1611"/>
      <c r="D26" s="1624"/>
      <c r="E26" s="1621"/>
      <c r="F26" s="1622"/>
      <c r="G26" s="1622"/>
      <c r="H26" s="1623"/>
      <c r="I26" s="1623" t="s">
        <v>308</v>
      </c>
      <c r="J26" s="1842"/>
    </row>
    <row r="27" spans="1:10" ht="39" thickBot="1">
      <c r="A27" s="1625" t="s">
        <v>1578</v>
      </c>
      <c r="B27" s="1613" t="s">
        <v>1383</v>
      </c>
      <c r="C27" s="1611" t="s">
        <v>1634</v>
      </c>
      <c r="D27" s="1624" t="s">
        <v>1635</v>
      </c>
      <c r="E27" s="1621" t="s">
        <v>1636</v>
      </c>
      <c r="F27" s="1622" t="s">
        <v>1387</v>
      </c>
      <c r="G27" s="1622" t="s">
        <v>1431</v>
      </c>
      <c r="H27" s="1623" t="s">
        <v>1637</v>
      </c>
      <c r="I27" s="1623" t="s">
        <v>1832</v>
      </c>
      <c r="J27" s="1842"/>
    </row>
    <row r="28" spans="1:10" ht="39" thickBot="1">
      <c r="A28" s="1625" t="s">
        <v>1578</v>
      </c>
      <c r="B28" s="1613" t="s">
        <v>1383</v>
      </c>
      <c r="C28" s="1611" t="s">
        <v>1638</v>
      </c>
      <c r="D28" s="1624" t="s">
        <v>1639</v>
      </c>
      <c r="E28" s="1621" t="s">
        <v>1640</v>
      </c>
      <c r="F28" s="1622" t="s">
        <v>1387</v>
      </c>
      <c r="G28" s="1622" t="s">
        <v>1431</v>
      </c>
      <c r="H28" s="1623" t="s">
        <v>1637</v>
      </c>
      <c r="I28" s="1623" t="s">
        <v>1832</v>
      </c>
      <c r="J28" s="1842"/>
    </row>
    <row r="29" spans="1:10" ht="39" thickBot="1">
      <c r="A29" s="1625" t="s">
        <v>1578</v>
      </c>
      <c r="B29" s="1613" t="s">
        <v>1383</v>
      </c>
      <c r="C29" s="1611" t="s">
        <v>1641</v>
      </c>
      <c r="D29" s="1624" t="s">
        <v>1642</v>
      </c>
      <c r="E29" s="1621" t="s">
        <v>1643</v>
      </c>
      <c r="F29" s="1622" t="s">
        <v>1387</v>
      </c>
      <c r="G29" s="1622" t="s">
        <v>1431</v>
      </c>
      <c r="H29" s="1623" t="s">
        <v>1457</v>
      </c>
      <c r="I29" s="1623" t="s">
        <v>1832</v>
      </c>
      <c r="J29" s="1842"/>
    </row>
    <row r="30" spans="1:10" ht="39" thickBot="1">
      <c r="A30" s="1625" t="s">
        <v>1578</v>
      </c>
      <c r="B30" s="1613" t="s">
        <v>1383</v>
      </c>
      <c r="C30" s="1611" t="s">
        <v>1644</v>
      </c>
      <c r="D30" s="1624" t="s">
        <v>1645</v>
      </c>
      <c r="E30" s="1621" t="s">
        <v>1646</v>
      </c>
      <c r="F30" s="1622" t="s">
        <v>1387</v>
      </c>
      <c r="G30" s="1622" t="s">
        <v>1431</v>
      </c>
      <c r="H30" s="1623" t="s">
        <v>1392</v>
      </c>
      <c r="I30" s="1623" t="s">
        <v>1832</v>
      </c>
      <c r="J30" s="1842"/>
    </row>
    <row r="31" spans="1:10" ht="77.25" thickBot="1">
      <c r="A31" s="1625" t="s">
        <v>1578</v>
      </c>
      <c r="B31" s="1613" t="s">
        <v>1383</v>
      </c>
      <c r="C31" s="1611" t="s">
        <v>1647</v>
      </c>
      <c r="D31" s="1624" t="s">
        <v>1648</v>
      </c>
      <c r="E31" s="1621" t="s">
        <v>1649</v>
      </c>
      <c r="F31" s="1622" t="s">
        <v>1387</v>
      </c>
      <c r="G31" s="1622" t="s">
        <v>1431</v>
      </c>
      <c r="H31" s="1623" t="s">
        <v>1435</v>
      </c>
      <c r="I31" s="1623" t="s">
        <v>1832</v>
      </c>
      <c r="J31" s="1842"/>
    </row>
    <row r="32" spans="1:10" ht="15.75" thickBot="1">
      <c r="A32" s="1625"/>
      <c r="B32" s="1613"/>
      <c r="C32" s="1645"/>
      <c r="D32" s="1646"/>
      <c r="E32" s="1647"/>
      <c r="F32" s="1626"/>
      <c r="G32" s="1626"/>
      <c r="H32" s="1648"/>
      <c r="I32" s="1623" t="s">
        <v>308</v>
      </c>
      <c r="J32" s="1842"/>
    </row>
    <row r="33" spans="1:12" ht="39" thickBot="1">
      <c r="A33" s="1625" t="s">
        <v>1578</v>
      </c>
      <c r="B33" s="1613" t="s">
        <v>1650</v>
      </c>
      <c r="C33" s="1614" t="s">
        <v>1651</v>
      </c>
      <c r="D33" s="1615"/>
      <c r="E33" s="1616"/>
      <c r="F33" s="1617" t="s">
        <v>143</v>
      </c>
      <c r="G33" s="1617" t="s">
        <v>143</v>
      </c>
      <c r="H33" s="1618"/>
      <c r="I33" s="1619"/>
      <c r="J33" s="1841"/>
    </row>
    <row r="34" spans="1:12" ht="39"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51.7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90"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2" t="str">
        <f>'11 - Notes Follow-up'!M17</f>
        <v>FR0014012LN9</v>
      </c>
      <c r="K37" s="1623" t="s">
        <v>1832</v>
      </c>
      <c r="L37" s="1623" t="s">
        <v>1832</v>
      </c>
    </row>
    <row r="38" spans="1:12" ht="90"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04.7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7.2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75" thickBot="1">
      <c r="A42" s="1625"/>
      <c r="B42" s="1613"/>
      <c r="C42" s="1611"/>
      <c r="D42" s="1620"/>
      <c r="E42" s="1621"/>
      <c r="F42" s="1622"/>
      <c r="G42" s="1622"/>
      <c r="H42" s="1623"/>
      <c r="I42" s="1623" t="s">
        <v>308</v>
      </c>
      <c r="J42" s="1623" t="s">
        <v>308</v>
      </c>
      <c r="K42" s="1623" t="s">
        <v>308</v>
      </c>
      <c r="L42" s="1623" t="s">
        <v>308</v>
      </c>
    </row>
    <row r="43" spans="1:12" ht="90" thickBot="1">
      <c r="A43" s="1625" t="s">
        <v>1578</v>
      </c>
      <c r="B43" s="1613" t="s">
        <v>1650</v>
      </c>
      <c r="C43" s="1611" t="s">
        <v>1674</v>
      </c>
      <c r="D43" s="1620" t="s">
        <v>435</v>
      </c>
      <c r="E43" s="1621" t="s">
        <v>1675</v>
      </c>
      <c r="F43" s="1622" t="s">
        <v>1387</v>
      </c>
      <c r="G43" s="1622" t="s">
        <v>1387</v>
      </c>
      <c r="H43" s="1623" t="s">
        <v>1435</v>
      </c>
      <c r="I43" s="1639">
        <f>'11 - Notes Follow-up'!G25</f>
        <v>6818629275.04</v>
      </c>
      <c r="J43" s="1639">
        <f>'11 - Notes Follow-up'!O25</f>
        <v>3929880846.4000001</v>
      </c>
      <c r="K43" s="1639">
        <f>'11 - Notes Follow-up'!W25</f>
        <v>565711048.32000005</v>
      </c>
      <c r="L43" s="1639">
        <f>'11 - Notes Follow-up'!AD25</f>
        <v>300</v>
      </c>
    </row>
    <row r="44" spans="1:12" ht="15.75" thickBot="1">
      <c r="A44" s="1625"/>
      <c r="B44" s="1613"/>
      <c r="C44" s="1611"/>
      <c r="D44" s="1620"/>
      <c r="E44" s="1621"/>
      <c r="F44" s="1622"/>
      <c r="G44" s="1622"/>
      <c r="H44" s="1623"/>
      <c r="I44" s="1623" t="s">
        <v>308</v>
      </c>
      <c r="J44" s="1623" t="s">
        <v>308</v>
      </c>
      <c r="K44" s="1623" t="s">
        <v>308</v>
      </c>
      <c r="L44" s="1623" t="s">
        <v>308</v>
      </c>
    </row>
    <row r="45" spans="1:12" ht="102.7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4.5" thickBot="1">
      <c r="A46" s="1625" t="s">
        <v>1578</v>
      </c>
      <c r="B46" s="1613" t="s">
        <v>1650</v>
      </c>
      <c r="C46" s="1611" t="s">
        <v>1679</v>
      </c>
      <c r="D46" s="1620" t="s">
        <v>1680</v>
      </c>
      <c r="E46" s="1621" t="s">
        <v>1681</v>
      </c>
      <c r="F46" s="1622" t="s">
        <v>1387</v>
      </c>
      <c r="G46" s="1622" t="s">
        <v>1431</v>
      </c>
      <c r="H46" s="1623" t="s">
        <v>1392</v>
      </c>
      <c r="I46" s="1636">
        <f>'11 - Notes Follow-up'!$B$25</f>
        <v>46049</v>
      </c>
      <c r="J46" s="1636">
        <f>'11 - Notes Follow-up'!$B$25</f>
        <v>46049</v>
      </c>
      <c r="K46" s="1636">
        <f>I46</f>
        <v>46049</v>
      </c>
      <c r="L46" s="1636">
        <f>K46</f>
        <v>46049</v>
      </c>
    </row>
    <row r="47" spans="1:12" ht="64.5" thickBot="1">
      <c r="A47" s="1625" t="s">
        <v>1578</v>
      </c>
      <c r="B47" s="1613" t="s">
        <v>1650</v>
      </c>
      <c r="C47" s="1611" t="s">
        <v>1682</v>
      </c>
      <c r="D47" s="1620" t="s">
        <v>1683</v>
      </c>
      <c r="E47" s="1621" t="s">
        <v>1684</v>
      </c>
      <c r="F47" s="1622" t="s">
        <v>1387</v>
      </c>
      <c r="G47" s="1622" t="s">
        <v>1431</v>
      </c>
      <c r="H47" s="1623" t="s">
        <v>1392</v>
      </c>
      <c r="I47" s="1636">
        <f>I46</f>
        <v>46049</v>
      </c>
      <c r="J47" s="1636">
        <f>J46</f>
        <v>46049</v>
      </c>
      <c r="K47" s="1636">
        <f>K46</f>
        <v>46049</v>
      </c>
      <c r="L47" s="1636">
        <f>K47</f>
        <v>46049</v>
      </c>
    </row>
    <row r="48" spans="1:12" ht="39"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64.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1.7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4.5"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90"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7.5"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41"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4.5"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3.7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5.7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1.7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4.5"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1.7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17.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5.5"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2.7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90"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75" thickBot="1">
      <c r="A74" s="1625"/>
      <c r="B74" s="1613"/>
      <c r="C74" s="1611"/>
      <c r="D74" s="1620"/>
      <c r="E74" s="1621"/>
      <c r="F74" s="1622"/>
      <c r="G74" s="1622"/>
      <c r="H74" s="1623"/>
      <c r="I74" s="1623" t="s">
        <v>308</v>
      </c>
      <c r="J74" s="1623" t="s">
        <v>308</v>
      </c>
      <c r="K74" s="1623" t="s">
        <v>308</v>
      </c>
    </row>
    <row r="75" spans="1:12" ht="90"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7.2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2.7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41"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 thickBot="1">
      <c r="A79" s="1625" t="s">
        <v>1578</v>
      </c>
      <c r="B79" s="1613" t="s">
        <v>1775</v>
      </c>
      <c r="C79" s="1614" t="s">
        <v>1776</v>
      </c>
      <c r="D79" s="1615"/>
      <c r="E79" s="1616"/>
      <c r="F79" s="1617" t="s">
        <v>143</v>
      </c>
      <c r="G79" s="1617" t="s">
        <v>143</v>
      </c>
      <c r="H79" s="1618"/>
      <c r="I79" s="1619"/>
      <c r="J79" s="1619"/>
    </row>
    <row r="80" spans="1:12" ht="39" thickBot="1">
      <c r="A80" s="1625" t="s">
        <v>1578</v>
      </c>
      <c r="B80" s="1613" t="s">
        <v>1775</v>
      </c>
      <c r="C80" s="1611" t="s">
        <v>1777</v>
      </c>
      <c r="D80" s="1620" t="s">
        <v>1385</v>
      </c>
      <c r="E80" s="1621" t="s">
        <v>1653</v>
      </c>
      <c r="F80" s="1622" t="s">
        <v>1387</v>
      </c>
      <c r="G80" s="1622" t="s">
        <v>1387</v>
      </c>
      <c r="H80" s="1623" t="s">
        <v>1388</v>
      </c>
      <c r="I80" s="1623"/>
      <c r="J80" s="1623"/>
      <c r="K80" s="1623"/>
    </row>
    <row r="81" spans="1:18" ht="39"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102.75"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5.5"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15.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53750000</v>
      </c>
      <c r="K84" s="1623" t="s">
        <v>1832</v>
      </c>
    </row>
    <row r="85" spans="1:18" ht="15.75" thickBot="1">
      <c r="A85" s="1625"/>
      <c r="B85" s="1613"/>
      <c r="C85" s="1611"/>
      <c r="D85" s="1620"/>
      <c r="E85" s="1621"/>
      <c r="F85" s="1622"/>
      <c r="G85" s="1622"/>
      <c r="H85" s="1623"/>
      <c r="I85" s="1623" t="s">
        <v>308</v>
      </c>
      <c r="J85" s="1623" t="s">
        <v>308</v>
      </c>
      <c r="K85" s="1623" t="s">
        <v>308</v>
      </c>
    </row>
    <row r="86" spans="1:18" ht="90" thickBot="1">
      <c r="A86" s="1625" t="s">
        <v>1578</v>
      </c>
      <c r="B86" s="1613" t="s">
        <v>1775</v>
      </c>
      <c r="C86" s="1611" t="s">
        <v>1790</v>
      </c>
      <c r="D86" s="1620" t="s">
        <v>1791</v>
      </c>
      <c r="E86" s="1621" t="s">
        <v>1792</v>
      </c>
      <c r="F86" s="1622" t="s">
        <v>1387</v>
      </c>
      <c r="G86" s="1622" t="s">
        <v>1387</v>
      </c>
      <c r="H86" s="1623" t="s">
        <v>1435</v>
      </c>
      <c r="I86" s="1623">
        <f>'13 - Issuer Account'!I29</f>
        <v>95084.780007839203</v>
      </c>
      <c r="J86" s="1639">
        <f>'13 - Issuer Account'!I41</f>
        <v>53750000</v>
      </c>
      <c r="K86" s="1623">
        <f>'13 - Issuer Account'!I52</f>
        <v>0</v>
      </c>
    </row>
    <row r="87" spans="1:18" ht="15.75" thickBot="1">
      <c r="A87" s="1625"/>
      <c r="B87" s="1613"/>
      <c r="C87" s="1611"/>
      <c r="D87" s="1620"/>
      <c r="E87" s="1621"/>
      <c r="F87" s="1622"/>
      <c r="G87" s="1622"/>
      <c r="H87" s="1623"/>
      <c r="I87" s="1623" t="s">
        <v>308</v>
      </c>
      <c r="J87" s="1623" t="s">
        <v>308</v>
      </c>
      <c r="K87" s="1623" t="s">
        <v>308</v>
      </c>
    </row>
    <row r="88" spans="1:18" ht="39"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 thickBot="1">
      <c r="A89" s="1625" t="s">
        <v>1578</v>
      </c>
      <c r="B89" s="1613" t="s">
        <v>1796</v>
      </c>
      <c r="C89" s="1614" t="s">
        <v>1797</v>
      </c>
      <c r="D89" s="1615"/>
      <c r="E89" s="1616"/>
      <c r="F89" s="1617" t="s">
        <v>143</v>
      </c>
      <c r="G89" s="1617" t="s">
        <v>143</v>
      </c>
      <c r="H89" s="1618"/>
      <c r="I89" s="1619"/>
      <c r="J89" s="1841"/>
    </row>
    <row r="90" spans="1:18" ht="39" thickBot="1">
      <c r="A90" s="1625" t="s">
        <v>1578</v>
      </c>
      <c r="B90" s="1613" t="s">
        <v>1796</v>
      </c>
      <c r="C90" s="1611" t="s">
        <v>1798</v>
      </c>
      <c r="D90" s="1620" t="s">
        <v>1385</v>
      </c>
      <c r="E90" s="1621" t="s">
        <v>1653</v>
      </c>
      <c r="F90" s="1622" t="s">
        <v>1387</v>
      </c>
      <c r="G90" s="1622" t="s">
        <v>1387</v>
      </c>
      <c r="H90" s="1623" t="s">
        <v>1388</v>
      </c>
      <c r="I90" s="1623"/>
      <c r="J90" s="1842"/>
    </row>
    <row r="91" spans="1:18" ht="51.7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77.25"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41"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53.75"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192"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204.75"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defaultColWidth="9.140625" defaultRowHeight="15"/>
  <cols>
    <col min="1" max="1" width="34.5703125" bestFit="1" customWidth="1"/>
    <col min="2" max="2" width="23.42578125" bestFit="1" customWidth="1"/>
    <col min="3" max="3" width="32.28515625" bestFit="1" customWidth="1"/>
    <col min="4" max="4" width="36.28515625" bestFit="1" customWidth="1"/>
    <col min="5" max="5" width="34.5703125" bestFit="1" customWidth="1"/>
    <col min="6" max="6" width="24.140625" bestFit="1" customWidth="1"/>
    <col min="7" max="7" width="23.140625" bestFit="1" customWidth="1"/>
    <col min="8" max="8" width="26.5703125" bestFit="1" customWidth="1"/>
    <col min="9" max="9" width="22.28515625" bestFit="1" customWidth="1"/>
    <col min="10" max="10" width="30.85546875" bestFit="1" customWidth="1"/>
    <col min="11" max="11" width="38.140625" bestFit="1" customWidth="1"/>
    <col min="12" max="12" width="35.140625" bestFit="1" customWidth="1"/>
    <col min="13" max="13" width="18.42578125" bestFit="1" customWidth="1"/>
    <col min="14" max="14" width="34.28515625" bestFit="1" customWidth="1"/>
    <col min="15" max="15" width="18.42578125" bestFit="1" customWidth="1"/>
    <col min="16" max="16" width="35.5703125" bestFit="1" customWidth="1"/>
    <col min="17" max="17" width="18.42578125" bestFit="1" customWidth="1"/>
    <col min="18" max="18" width="34.5703125" bestFit="1" customWidth="1"/>
    <col min="19" max="19" width="18.42578125" bestFit="1" customWidth="1"/>
    <col min="20" max="20" width="34.140625" bestFit="1" customWidth="1"/>
    <col min="21" max="21" width="29.5703125" bestFit="1" customWidth="1"/>
    <col min="22" max="22" width="18.42578125" bestFit="1" customWidth="1"/>
    <col min="23" max="23" width="36.7109375" bestFit="1" customWidth="1"/>
    <col min="24" max="24" width="30.140625" bestFit="1" customWidth="1"/>
    <col min="25" max="25" width="39.5703125" bestFit="1" customWidth="1"/>
    <col min="26" max="26" width="10.28515625" bestFit="1" customWidth="1"/>
    <col min="27" max="27" width="18.42578125" bestFit="1" customWidth="1"/>
    <col min="28" max="28" width="32.7109375" bestFit="1" customWidth="1"/>
    <col min="29" max="29" width="18.42578125" bestFit="1" customWidth="1"/>
    <col min="30" max="30" width="24.85546875" bestFit="1" customWidth="1"/>
    <col min="31" max="31" width="18.42578125" bestFit="1" customWidth="1"/>
    <col min="32" max="32" width="24.42578125" bestFit="1" customWidth="1"/>
    <col min="33" max="33" width="18.42578125" bestFit="1" customWidth="1"/>
    <col min="34" max="34" width="35.28515625" bestFit="1" customWidth="1"/>
    <col min="35" max="35" width="21.7109375" bestFit="1" customWidth="1"/>
    <col min="36" max="36" width="18.42578125" bestFit="1" customWidth="1"/>
    <col min="37" max="37" width="26" bestFit="1" customWidth="1"/>
    <col min="38" max="38" width="18.42578125" bestFit="1" customWidth="1"/>
    <col min="39" max="39" width="22.85546875" bestFit="1" customWidth="1"/>
    <col min="40" max="43" width="53.85546875" bestFit="1" customWidth="1"/>
    <col min="44" max="44" width="55.140625" bestFit="1" customWidth="1"/>
    <col min="45" max="45" width="57.28515625" bestFit="1" customWidth="1"/>
    <col min="46" max="46" width="38" bestFit="1" customWidth="1"/>
    <col min="47" max="47" width="18" bestFit="1" customWidth="1"/>
    <col min="48" max="49" width="19.28515625" bestFit="1" customWidth="1"/>
    <col min="50" max="50" width="20.28515625" bestFit="1" customWidth="1"/>
    <col min="51" max="52" width="21.42578125" bestFit="1" customWidth="1"/>
    <col min="53" max="53" width="18.42578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8218.23</v>
      </c>
      <c r="M3" t="str">
        <f>IFERROR(VLOOKUP(M1,'Annex 12'!$C$3:$I$57,7,FALSE),"EUR")</f>
        <v>EUR</v>
      </c>
      <c r="N3">
        <f>IFERROR(VLOOKUP(N1,'Annex 12'!$C$3:$I$57,7,FALSE),"EUR")</f>
        <v>2098.98</v>
      </c>
      <c r="O3" t="str">
        <f>IFERROR(VLOOKUP(O1,'Annex 12'!$C$3:$I$57,7,FALSE),"EUR")</f>
        <v>EUR</v>
      </c>
      <c r="P3">
        <f>IFERROR(VLOOKUP(P1,'Annex 12'!$C$3:$I$57,7,FALSE),"EUR")</f>
        <v>86813881.359999999</v>
      </c>
      <c r="Q3" t="str">
        <f>IFERROR(VLOOKUP(Q1,'Annex 12'!$C$3:$I$57,7,FALSE),"EUR")</f>
        <v>EUR</v>
      </c>
      <c r="R3">
        <f>IFERROR(VLOOKUP(R1,'Annex 12'!$C$3:$I$57,7,FALSE),"EUR")</f>
        <v>28635448.649999999</v>
      </c>
      <c r="S3" t="str">
        <f>IFERROR(VLOOKUP(S1,'Annex 12'!$C$3:$I$57,7,FALSE),"EUR")</f>
        <v>EUR</v>
      </c>
      <c r="T3" t="str">
        <f>IFERROR(VLOOKUP(T1,'Annex 12'!$C$3:$I$57,7,FALSE),"EUR")</f>
        <v>N</v>
      </c>
      <c r="U3">
        <f>IFERROR(VLOOKUP(U1,'Annex 12'!$C$3:$I$57,7,FALSE),"EUR")</f>
        <v>7094831.7599999327</v>
      </c>
      <c r="V3" t="str">
        <f>IFERROR(VLOOKUP(V1,'Annex 12'!$C$3:$I$57,7,FALSE),"EUR")</f>
        <v>EUR</v>
      </c>
      <c r="W3" t="str">
        <f>IFERROR(VLOOKUP(W1,'Annex 12'!$C$3:$I$57,7,FALSE),"EUR")</f>
        <v>N</v>
      </c>
      <c r="X3">
        <f>IFERROR(VLOOKUP(X1,'Annex 12'!$C$3:$I$57,7,FALSE),"EUR")</f>
        <v>1.5321911037602123</v>
      </c>
      <c r="Y3">
        <f>IFERROR(VLOOKUP(Y1,'Annex 12'!$C$3:$I$57,7,FALSE),"EUR")</f>
        <v>2.9359228702020901</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6666114.5899999999</v>
      </c>
      <c r="AE3" t="str">
        <f>IFERROR(VLOOKUP(AE1,'Annex 12'!$C$3:$I$57,7,FALSE),"EUR")</f>
        <v>EUR</v>
      </c>
      <c r="AF3">
        <f>IFERROR(VLOOKUP(AF1,'Annex 12'!$C$3:$I$57,7,FALSE),"EUR")</f>
        <v>0</v>
      </c>
      <c r="AG3" t="str">
        <f>IFERROR(VLOOKUP(AG1,'Annex 12'!$C$3:$I$57,7,FALSE),"EUR")</f>
        <v>EUR</v>
      </c>
      <c r="AH3">
        <f>IFERROR(VLOOKUP(AH1,'Annex 12'!$C$3:$I$57,7,FALSE),"EUR")</f>
        <v>6.4792704857519201E-2</v>
      </c>
      <c r="AI3">
        <f>IFERROR(VLOOKUP(AI1,'Annex 12'!$C$3:$I$57,7,FALSE),"EUR")</f>
        <v>616282.82999999996</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3.1239057389734984E-3</v>
      </c>
      <c r="AV3">
        <f>IFERROR(VLOOKUP(AV1,'Annex 12'!$C$3:$I$57,7,FALSE),"EUR")</f>
        <v>9.8631351228327217E-4</v>
      </c>
      <c r="AW3">
        <f>IFERROR(VLOOKUP(AW1,'Annex 12'!$C$3:$I$57,7,FALSE),"EUR")</f>
        <v>4.5142641220067593E-4</v>
      </c>
      <c r="AX3">
        <f>IFERROR(VLOOKUP(AX1,'Annex 12'!$C$3:$I$57,7,FALSE),"EUR")</f>
        <v>3.358949088014571E-4</v>
      </c>
      <c r="AY3" s="1702">
        <f>IFERROR(VLOOKUP(AY1,'Annex 12'!$C$3:$I$57,7,FALSE),"EUR")</f>
        <v>1.0103960099490783E-4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topLeftCell="D1" zoomScale="85" zoomScaleNormal="85" workbookViewId="0"/>
  </sheetViews>
  <sheetFormatPr defaultColWidth="9.140625" defaultRowHeight="15"/>
  <cols>
    <col min="1" max="1" width="30.7109375" bestFit="1" customWidth="1"/>
    <col min="2" max="2" width="27.7109375" bestFit="1" customWidth="1"/>
    <col min="3" max="3" width="255.7109375" bestFit="1" customWidth="1"/>
    <col min="4" max="4" width="25.5703125" bestFit="1" customWidth="1"/>
    <col min="5" max="5" width="16.28515625" bestFit="1" customWidth="1"/>
    <col min="6" max="6" width="19.5703125" bestFit="1" customWidth="1"/>
    <col min="7" max="7" width="16.285156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112142835.83000016</v>
      </c>
      <c r="E3" t="s">
        <v>308</v>
      </c>
      <c r="F3">
        <f t="array" ref="F3:F11">TRANSPOSE('Annex 12'!I76:Q76)</f>
        <v>112143135.83</v>
      </c>
      <c r="G3" t="s">
        <v>308</v>
      </c>
    </row>
    <row r="4" spans="1:7">
      <c r="A4" t="s">
        <v>1834</v>
      </c>
      <c r="B4" t="s">
        <v>1834</v>
      </c>
      <c r="C4" t="s">
        <v>1916</v>
      </c>
      <c r="D4">
        <v>-2420463.46</v>
      </c>
      <c r="E4" t="s">
        <v>308</v>
      </c>
      <c r="F4">
        <v>109722672.37</v>
      </c>
      <c r="G4" t="s">
        <v>308</v>
      </c>
    </row>
    <row r="5" spans="1:7">
      <c r="A5" t="s">
        <v>1835</v>
      </c>
      <c r="B5" t="s">
        <v>1835</v>
      </c>
      <c r="C5" t="s">
        <v>1917</v>
      </c>
      <c r="D5">
        <v>-5167484.04</v>
      </c>
      <c r="E5" t="s">
        <v>308</v>
      </c>
      <c r="F5">
        <v>104555188.33</v>
      </c>
      <c r="G5" t="s">
        <v>308</v>
      </c>
    </row>
    <row r="6" spans="1:7">
      <c r="A6" t="s">
        <v>1836</v>
      </c>
      <c r="B6" t="s">
        <v>1836</v>
      </c>
      <c r="C6" t="s">
        <v>1918</v>
      </c>
      <c r="D6">
        <v>0</v>
      </c>
      <c r="E6" t="s">
        <v>308</v>
      </c>
      <c r="F6">
        <v>104555188.33</v>
      </c>
      <c r="G6" t="s">
        <v>308</v>
      </c>
    </row>
    <row r="7" spans="1:7">
      <c r="A7" t="s">
        <v>1837</v>
      </c>
      <c r="B7" t="s">
        <v>1837</v>
      </c>
      <c r="C7" t="s">
        <v>1919</v>
      </c>
      <c r="D7">
        <v>-91503501.24000001</v>
      </c>
      <c r="E7" t="s">
        <v>308</v>
      </c>
      <c r="F7">
        <v>13051687.09</v>
      </c>
      <c r="G7" t="s">
        <v>308</v>
      </c>
    </row>
    <row r="8" spans="1:7">
      <c r="A8" t="s">
        <v>1838</v>
      </c>
      <c r="B8" t="s">
        <v>1838</v>
      </c>
      <c r="C8" t="s">
        <v>1920</v>
      </c>
      <c r="D8">
        <v>-679942.55999999994</v>
      </c>
      <c r="E8" t="s">
        <v>308</v>
      </c>
      <c r="F8">
        <v>12371744.529999999</v>
      </c>
      <c r="G8" t="s">
        <v>308</v>
      </c>
    </row>
    <row r="9" spans="1:7">
      <c r="A9" t="s">
        <v>1839</v>
      </c>
      <c r="B9" t="s">
        <v>1839</v>
      </c>
      <c r="C9" t="s">
        <v>1921</v>
      </c>
      <c r="D9">
        <v>-4815993.6000000006</v>
      </c>
      <c r="E9" t="s">
        <v>308</v>
      </c>
      <c r="F9">
        <v>7555750.9299999997</v>
      </c>
      <c r="G9" t="s">
        <v>308</v>
      </c>
    </row>
    <row r="10" spans="1:7">
      <c r="A10" t="s">
        <v>1840</v>
      </c>
      <c r="B10" t="s">
        <v>1840</v>
      </c>
      <c r="C10" t="s">
        <v>1922</v>
      </c>
      <c r="D10">
        <v>-460000</v>
      </c>
      <c r="E10" t="s">
        <v>308</v>
      </c>
      <c r="F10">
        <v>7095750.9299999997</v>
      </c>
      <c r="G10" t="s">
        <v>308</v>
      </c>
    </row>
    <row r="11" spans="1:7">
      <c r="A11" t="s">
        <v>1841</v>
      </c>
      <c r="B11" t="s">
        <v>1841</v>
      </c>
      <c r="C11" t="s">
        <v>1923</v>
      </c>
      <c r="D11">
        <v>-7094831.7599999327</v>
      </c>
      <c r="E11" t="s">
        <v>308</v>
      </c>
      <c r="F11">
        <v>919.17</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defaultColWidth="9.140625"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defaultColWidth="9.140625" defaultRowHeight="1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defaultColWidth="9.140625" defaultRowHeight="15"/>
  <cols>
    <col min="4" max="4" width="17.28515625" customWidth="1"/>
    <col min="6" max="6" width="14.710937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95084.780007839203</v>
      </c>
      <c r="G3" t="s">
        <v>308</v>
      </c>
      <c r="H3" t="s">
        <v>1831</v>
      </c>
    </row>
    <row r="4" spans="1:8">
      <c r="A4" t="s">
        <v>1875</v>
      </c>
      <c r="B4" t="s">
        <v>1875</v>
      </c>
      <c r="C4" t="s">
        <v>1868</v>
      </c>
      <c r="D4">
        <f>'10 - Reserve calculation'!H12</f>
        <v>53750000</v>
      </c>
      <c r="E4" t="s">
        <v>308</v>
      </c>
      <c r="F4">
        <f>'13 - Issuer Account'!I41</f>
        <v>53750000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defaultColWidth="9.140625"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6818629275.04</v>
      </c>
      <c r="J3" t="s">
        <v>308</v>
      </c>
      <c r="K3" t="s">
        <v>1847</v>
      </c>
      <c r="L3" s="1669" t="str">
        <f>TEXT('00 - Cover'!$F$20,"AAAA-MM-JJ")</f>
        <v>2026-01-27</v>
      </c>
      <c r="M3" s="1669" t="str">
        <f>TEXT('00 - Cover'!$F$20,"AAAA-MM-JJ")</f>
        <v>2026-01-27</v>
      </c>
      <c r="N3">
        <v>60</v>
      </c>
      <c r="O3">
        <v>0</v>
      </c>
      <c r="P3" t="s">
        <v>1832</v>
      </c>
      <c r="Q3" t="s">
        <v>1832</v>
      </c>
      <c r="R3" t="s">
        <v>1832</v>
      </c>
      <c r="S3" t="s">
        <v>1832</v>
      </c>
      <c r="T3" t="s">
        <v>1848</v>
      </c>
      <c r="U3" t="s">
        <v>1832</v>
      </c>
      <c r="V3" t="s">
        <v>1832</v>
      </c>
      <c r="W3" s="1238" t="str">
        <f>TEXT("23/10/2024","AAAA-MM-JJ")</f>
        <v>2024-10-23</v>
      </c>
      <c r="X3" s="1669" t="str">
        <f>TEXT('00 - Cover'!$F$20,"AAAA-MM-JJ")</f>
        <v>2026-01-27</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3929880846.4000001</v>
      </c>
      <c r="J4" t="s">
        <v>308</v>
      </c>
      <c r="K4" t="s">
        <v>1847</v>
      </c>
      <c r="L4" s="1669" t="str">
        <f>TEXT('00 - Cover'!$F$20,"AAAA-MM-JJ")</f>
        <v>2026-01-27</v>
      </c>
      <c r="M4" s="1669" t="str">
        <f>TEXT('00 - Cover'!$F$20,"AAAA-MM-JJ")</f>
        <v>2026-01-27</v>
      </c>
      <c r="N4">
        <v>60</v>
      </c>
      <c r="O4">
        <v>0</v>
      </c>
      <c r="P4" t="s">
        <v>1832</v>
      </c>
      <c r="Q4" t="s">
        <v>1832</v>
      </c>
      <c r="R4" t="s">
        <v>1832</v>
      </c>
      <c r="S4" t="s">
        <v>1832</v>
      </c>
      <c r="T4" t="s">
        <v>1848</v>
      </c>
      <c r="U4" t="s">
        <v>1832</v>
      </c>
      <c r="V4" t="s">
        <v>1832</v>
      </c>
      <c r="W4" s="1238" t="str">
        <f>TEXT("27/10/2025","AAAA-MM-JJ")</f>
        <v>2025-10-27</v>
      </c>
      <c r="X4" s="1669" t="str">
        <f>TEXT('00 - Cover'!$F$20,"AAAA-MM-JJ")</f>
        <v>2026-01-27</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565711048.32000005</v>
      </c>
      <c r="J5" t="s">
        <v>308</v>
      </c>
      <c r="K5" t="s">
        <v>1847</v>
      </c>
      <c r="L5" s="1669" t="str">
        <f>TEXT('00 - Cover'!$F$20,"AAAA-MM-JJ")</f>
        <v>2026-01-27</v>
      </c>
      <c r="M5" s="1669" t="str">
        <f>TEXT('00 - Cover'!$F$20,"AAAA-MM-JJ")</f>
        <v>2026-01-27</v>
      </c>
      <c r="N5">
        <v>150</v>
      </c>
      <c r="O5">
        <v>0</v>
      </c>
      <c r="P5" t="s">
        <v>1832</v>
      </c>
      <c r="Q5" t="s">
        <v>1832</v>
      </c>
      <c r="R5" t="s">
        <v>1832</v>
      </c>
      <c r="S5" t="s">
        <v>1832</v>
      </c>
      <c r="T5" t="s">
        <v>1848</v>
      </c>
      <c r="U5" t="s">
        <v>1832</v>
      </c>
      <c r="V5" t="s">
        <v>1832</v>
      </c>
      <c r="W5" s="1238" t="str">
        <f>TEXT("23/10/2024","AAAA-MM-JJ")</f>
        <v>2024-10-23</v>
      </c>
      <c r="X5" s="1669" t="str">
        <f>TEXT('00 - Cover'!$F$20,"AAAA-MM-JJ")</f>
        <v>2026-01-27</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2026-01-27</v>
      </c>
      <c r="M6" s="1669" t="str">
        <f>TEXT('00 - Cover'!$F$20,"AAAA-MM-JJ")</f>
        <v>2026-01-27</v>
      </c>
      <c r="N6">
        <v>0</v>
      </c>
      <c r="O6">
        <v>0</v>
      </c>
      <c r="P6" t="s">
        <v>1832</v>
      </c>
      <c r="Q6" t="s">
        <v>1832</v>
      </c>
      <c r="R6" t="s">
        <v>1832</v>
      </c>
      <c r="S6" t="s">
        <v>1832</v>
      </c>
      <c r="T6" t="s">
        <v>1848</v>
      </c>
      <c r="U6" t="s">
        <v>1832</v>
      </c>
      <c r="V6" t="s">
        <v>1832</v>
      </c>
      <c r="W6" s="1238" t="str">
        <f>TEXT("23/10/2024","AAAA-MM-JJ")</f>
        <v>2024-10-23</v>
      </c>
      <c r="X6" s="1669" t="str">
        <f>TEXT('00 - Cover'!$F$20,"AAAA-MM-JJ")</f>
        <v>2026-01-27</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defaultColWidth="9.140625" defaultRowHeight="1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B83"/>
  <sheetViews>
    <sheetView showGridLines="0" zoomScale="85" zoomScaleNormal="85" workbookViewId="0">
      <selection activeCell="B1" sqref="B1"/>
    </sheetView>
  </sheetViews>
  <sheetFormatPr defaultColWidth="9.140625" defaultRowHeight="15"/>
  <cols>
    <col min="1" max="1" width="3" customWidth="1"/>
    <col min="2" max="2" width="18" bestFit="1" customWidth="1"/>
    <col min="3" max="3" width="17.42578125" style="1241" customWidth="1"/>
    <col min="4" max="6" width="17.42578125" customWidth="1"/>
    <col min="7" max="7" width="18.85546875" style="1241" customWidth="1"/>
    <col min="8" max="10" width="18.85546875" customWidth="1"/>
    <col min="11" max="11" width="16.7109375" style="1241" customWidth="1"/>
    <col min="12" max="14" width="16.7109375" customWidth="1"/>
    <col min="15" max="15" width="15.85546875" style="1241" customWidth="1"/>
    <col min="16" max="18" width="15.85546875" customWidth="1"/>
    <col min="19" max="21" width="20.140625" customWidth="1"/>
    <col min="22" max="22" width="20.140625" style="1298" customWidth="1"/>
    <col min="23" max="27" width="20.140625" customWidth="1"/>
    <col min="28" max="28" width="20.140625" style="1298" customWidth="1"/>
    <col min="29" max="29" width="20.140625" style="1239" customWidth="1"/>
    <col min="30" max="30" width="20.140625" customWidth="1"/>
    <col min="31" max="31" width="20.140625" style="1241" customWidth="1"/>
    <col min="32" max="33" width="20.140625" customWidth="1"/>
    <col min="34" max="34" width="40.42578125" customWidth="1"/>
    <col min="35" max="35" width="20.140625" style="1298" customWidth="1"/>
    <col min="36" max="36" width="20.140625" style="1239" customWidth="1"/>
    <col min="37" max="37" width="20.140625" customWidth="1"/>
    <col min="38" max="38" width="20.140625" style="1241" customWidth="1"/>
    <col min="39" max="39" width="20.140625" customWidth="1"/>
    <col min="40" max="40" width="20.140625" style="1241" customWidth="1"/>
    <col min="41" max="53" width="20.140625" customWidth="1"/>
    <col min="54" max="54" width="2.42578125" customWidth="1"/>
    <col min="56" max="56" width="20.140625" customWidth="1"/>
    <col min="58" max="58" width="12.42578125" bestFit="1" customWidth="1"/>
    <col min="59" max="59" width="14.85546875" bestFit="1" customWidth="1"/>
    <col min="61" max="61" width="20.140625" customWidth="1"/>
  </cols>
  <sheetData>
    <row r="1" spans="2:54" s="170" customFormat="1" ht="12.75">
      <c r="C1" s="1269"/>
      <c r="G1" s="1269"/>
      <c r="K1" s="1269"/>
      <c r="O1" s="1269"/>
      <c r="V1" s="1293"/>
      <c r="AB1" s="1293"/>
      <c r="AC1" s="171"/>
      <c r="AE1" s="1269"/>
      <c r="AI1" s="1293"/>
      <c r="AJ1" s="171"/>
      <c r="AL1" s="1269"/>
      <c r="AN1" s="1269"/>
    </row>
    <row r="2" spans="2:54" s="170" customFormat="1" ht="12.75">
      <c r="C2" s="1269"/>
      <c r="G2" s="1269"/>
      <c r="K2" s="1269"/>
      <c r="O2" s="1269"/>
      <c r="V2" s="1293"/>
      <c r="AB2" s="1293"/>
      <c r="AC2" s="171"/>
      <c r="AE2" s="1269"/>
      <c r="AI2" s="1293"/>
      <c r="AJ2" s="171"/>
      <c r="AL2" s="1269"/>
      <c r="AN2" s="1269"/>
    </row>
    <row r="3" spans="2:54" s="170" customFormat="1" ht="12.75">
      <c r="C3" s="1269"/>
      <c r="G3" s="1269"/>
      <c r="K3" s="1269"/>
      <c r="O3" s="1269"/>
      <c r="V3" s="1293"/>
      <c r="AB3" s="1293"/>
      <c r="AC3" s="171"/>
      <c r="AE3" s="1213" t="s">
        <v>99</v>
      </c>
      <c r="AF3" s="1213">
        <f>'00 - Cover'!$F$17</f>
        <v>46022</v>
      </c>
      <c r="AI3" s="1293"/>
      <c r="AJ3" s="171"/>
      <c r="AL3" s="1269"/>
      <c r="AN3" s="1269"/>
      <c r="AO3" s="171"/>
      <c r="AP3" s="171"/>
      <c r="AQ3" s="171"/>
      <c r="AR3" s="171"/>
    </row>
    <row r="4" spans="2:54" s="170" customFormat="1" ht="12.75">
      <c r="C4" s="1269"/>
      <c r="G4" s="1269"/>
      <c r="K4" s="1269"/>
      <c r="O4" s="1269"/>
      <c r="V4" s="1293"/>
      <c r="AB4" s="1293"/>
      <c r="AC4" s="171"/>
      <c r="AE4" s="1213" t="s">
        <v>4</v>
      </c>
      <c r="AF4" s="1213">
        <f>'00 - Cover'!$F$19</f>
        <v>46042</v>
      </c>
      <c r="AI4" s="1293"/>
      <c r="AJ4" s="171"/>
      <c r="AL4" s="1269"/>
      <c r="AN4" s="1269"/>
    </row>
    <row r="5" spans="2:54" s="170" customFormat="1" ht="12.75">
      <c r="C5" s="1269"/>
      <c r="G5" s="1269"/>
      <c r="K5" s="1269"/>
      <c r="O5" s="1269"/>
      <c r="V5" s="1293"/>
      <c r="AB5" s="1293"/>
      <c r="AC5" s="171"/>
      <c r="AE5" s="1213" t="s">
        <v>5</v>
      </c>
      <c r="AF5" s="1213">
        <f>'00 - Cover'!$F$20</f>
        <v>46049</v>
      </c>
      <c r="AI5" s="1293"/>
      <c r="AJ5" s="171"/>
      <c r="AL5" s="1269"/>
      <c r="AM5" s="171"/>
      <c r="AN5" s="1269"/>
    </row>
    <row r="6" spans="2:54" s="170" customFormat="1" ht="12.75">
      <c r="C6" s="1269"/>
      <c r="G6" s="1269"/>
      <c r="K6" s="1269"/>
      <c r="O6" s="1269"/>
      <c r="V6" s="1293"/>
      <c r="AB6" s="1293"/>
      <c r="AC6" s="171"/>
      <c r="AE6" s="1269"/>
      <c r="AI6" s="1293"/>
      <c r="AJ6" s="171"/>
      <c r="AL6" s="1269"/>
      <c r="AN6" s="1269"/>
    </row>
    <row r="7" spans="2:54" s="170" customFormat="1" ht="15.75">
      <c r="B7" s="44" t="s">
        <v>1999</v>
      </c>
      <c r="C7" s="1270"/>
      <c r="D7" s="84"/>
      <c r="E7" s="84"/>
      <c r="F7" s="84"/>
      <c r="G7" s="1270"/>
      <c r="H7" s="84"/>
      <c r="I7" s="84"/>
      <c r="J7" s="84"/>
      <c r="K7" s="1270"/>
      <c r="L7" s="84"/>
      <c r="M7" s="84"/>
      <c r="N7" s="84"/>
      <c r="O7" s="1270"/>
      <c r="P7" s="84"/>
      <c r="Q7" s="84"/>
      <c r="R7" s="84"/>
      <c r="S7" s="84"/>
      <c r="T7" s="84"/>
      <c r="U7" s="84"/>
      <c r="V7" s="1294"/>
      <c r="W7" s="84"/>
      <c r="X7" s="84"/>
      <c r="Y7" s="84"/>
      <c r="Z7" s="84"/>
      <c r="AA7" s="84"/>
      <c r="AB7" s="1294"/>
      <c r="AC7" s="1673"/>
      <c r="AD7" s="84"/>
      <c r="AE7" s="1270"/>
      <c r="AF7" s="84"/>
      <c r="AG7" s="84"/>
      <c r="AH7" s="84"/>
      <c r="AI7" s="1294"/>
      <c r="AJ7" s="1673"/>
      <c r="AK7" s="84"/>
      <c r="AL7" s="1270"/>
      <c r="AM7" s="84"/>
      <c r="AN7" s="1270"/>
      <c r="AO7" s="84"/>
      <c r="AP7" s="84"/>
      <c r="AQ7" s="84"/>
      <c r="AR7" s="84"/>
      <c r="AS7" s="84"/>
      <c r="AT7" s="84"/>
      <c r="AU7" s="84"/>
      <c r="AV7" s="84"/>
      <c r="AW7" s="84"/>
      <c r="AX7" s="84"/>
      <c r="AY7" s="84"/>
      <c r="AZ7" s="84"/>
      <c r="BA7" s="84"/>
      <c r="BB7" s="84"/>
    </row>
    <row r="8" spans="2:54" s="170" customFormat="1" ht="13.5" thickBot="1">
      <c r="C8" s="1269"/>
      <c r="G8" s="1269"/>
      <c r="K8" s="1269"/>
      <c r="O8" s="1269"/>
      <c r="V8" s="1293"/>
      <c r="AB8" s="171"/>
      <c r="AC8" s="171"/>
      <c r="AE8" s="1269"/>
      <c r="AG8" s="171"/>
      <c r="AI8" s="1293"/>
      <c r="AJ8" s="171"/>
      <c r="AL8" s="1269"/>
      <c r="AN8" s="1269"/>
      <c r="AO8" s="171"/>
      <c r="AP8" s="171"/>
      <c r="AQ8" s="171"/>
      <c r="AR8" s="171"/>
    </row>
    <row r="9" spans="2:54" ht="15.75" thickBot="1">
      <c r="C9" s="1279" t="s">
        <v>765</v>
      </c>
      <c r="D9" s="173"/>
      <c r="E9" s="173"/>
      <c r="F9" s="173"/>
      <c r="G9" s="1279"/>
      <c r="H9" s="173"/>
      <c r="I9" s="173"/>
      <c r="J9" s="173"/>
      <c r="K9" s="1279"/>
      <c r="L9" s="173"/>
      <c r="M9" s="173"/>
      <c r="N9" s="173"/>
      <c r="O9" s="1279"/>
      <c r="P9" s="173"/>
      <c r="Q9" s="173"/>
      <c r="R9" s="172"/>
      <c r="S9" s="173" t="s">
        <v>776</v>
      </c>
      <c r="T9" s="173"/>
      <c r="U9" s="173"/>
      <c r="V9" s="1295"/>
      <c r="W9" s="173"/>
      <c r="X9" s="172"/>
      <c r="Y9" s="173"/>
      <c r="Z9" s="173"/>
      <c r="AA9" s="173"/>
      <c r="AB9" s="1295"/>
      <c r="AC9" s="1674"/>
      <c r="AD9" s="173"/>
      <c r="AE9" s="1271"/>
      <c r="AF9" s="173"/>
      <c r="AG9" s="173"/>
      <c r="AH9" s="173"/>
      <c r="AI9" s="1295"/>
      <c r="AJ9" s="1674"/>
      <c r="AK9" s="173"/>
      <c r="AL9" s="1271"/>
      <c r="AM9" s="173"/>
      <c r="AN9" s="1271"/>
    </row>
    <row r="10" spans="2:54" ht="54.75" customHeight="1">
      <c r="B10" s="1931" t="s">
        <v>44</v>
      </c>
      <c r="C10" s="1289" t="s">
        <v>766</v>
      </c>
      <c r="D10" s="1277"/>
      <c r="E10" s="1277"/>
      <c r="F10" s="1277"/>
      <c r="G10" s="1280" t="s">
        <v>767</v>
      </c>
      <c r="H10" s="1278"/>
      <c r="I10" s="1278"/>
      <c r="J10" s="1278"/>
      <c r="K10" s="1280" t="s">
        <v>768</v>
      </c>
      <c r="L10" s="1278"/>
      <c r="M10" s="1278"/>
      <c r="N10" s="1278"/>
      <c r="O10" s="1280" t="s">
        <v>769</v>
      </c>
      <c r="P10" s="1278"/>
      <c r="Q10" s="1278"/>
      <c r="R10" s="1278"/>
      <c r="S10" s="1260" t="s">
        <v>771</v>
      </c>
      <c r="T10" s="1260"/>
      <c r="U10" s="1260"/>
      <c r="V10" s="1296"/>
      <c r="W10" s="1261"/>
      <c r="X10" s="1264"/>
      <c r="Y10" s="1260" t="s">
        <v>777</v>
      </c>
      <c r="Z10" s="1260"/>
      <c r="AA10" s="1260"/>
      <c r="AB10" s="1296"/>
      <c r="AC10" s="1675"/>
      <c r="AD10" s="1261"/>
      <c r="AE10" s="1301"/>
      <c r="AF10" s="1260" t="s">
        <v>778</v>
      </c>
      <c r="AG10" s="1260"/>
      <c r="AH10" s="1260"/>
      <c r="AI10" s="1296"/>
      <c r="AJ10" s="1675"/>
      <c r="AK10" s="1261"/>
      <c r="AL10" s="1301"/>
      <c r="AM10" s="1267" t="s">
        <v>415</v>
      </c>
      <c r="AN10" s="1272"/>
    </row>
    <row r="11" spans="2:54" ht="124.5" customHeight="1" thickBot="1">
      <c r="B11" s="1932"/>
      <c r="C11" s="1281" t="s">
        <v>710</v>
      </c>
      <c r="D11" s="1263" t="s">
        <v>398</v>
      </c>
      <c r="E11" s="1263" t="s">
        <v>770</v>
      </c>
      <c r="F11" s="1263" t="s">
        <v>96</v>
      </c>
      <c r="G11" s="1281" t="s">
        <v>710</v>
      </c>
      <c r="H11" s="1263" t="s">
        <v>398</v>
      </c>
      <c r="I11" s="1263" t="s">
        <v>770</v>
      </c>
      <c r="J11" s="1263" t="s">
        <v>96</v>
      </c>
      <c r="K11" s="1281" t="s">
        <v>710</v>
      </c>
      <c r="L11" s="1263" t="s">
        <v>398</v>
      </c>
      <c r="M11" s="1263" t="s">
        <v>770</v>
      </c>
      <c r="N11" s="1263" t="s">
        <v>96</v>
      </c>
      <c r="O11" s="1281" t="s">
        <v>710</v>
      </c>
      <c r="P11" s="1263" t="s">
        <v>398</v>
      </c>
      <c r="Q11" s="1263" t="s">
        <v>770</v>
      </c>
      <c r="R11" s="1263" t="s">
        <v>96</v>
      </c>
      <c r="S11" s="1262" t="s">
        <v>772</v>
      </c>
      <c r="T11" s="1263" t="s">
        <v>773</v>
      </c>
      <c r="U11" s="1263" t="s">
        <v>774</v>
      </c>
      <c r="V11" s="1297" t="s">
        <v>166</v>
      </c>
      <c r="W11" s="1263" t="s">
        <v>96</v>
      </c>
      <c r="X11" s="1265" t="s">
        <v>775</v>
      </c>
      <c r="Y11" s="1262" t="s">
        <v>772</v>
      </c>
      <c r="Z11" s="1263" t="s">
        <v>773</v>
      </c>
      <c r="AA11" s="1263" t="s">
        <v>774</v>
      </c>
      <c r="AB11" s="1297" t="s">
        <v>166</v>
      </c>
      <c r="AC11" s="1676" t="s">
        <v>1948</v>
      </c>
      <c r="AD11" s="1263" t="s">
        <v>96</v>
      </c>
      <c r="AE11" s="1302" t="s">
        <v>775</v>
      </c>
      <c r="AF11" s="1262" t="s">
        <v>772</v>
      </c>
      <c r="AG11" s="1263" t="s">
        <v>773</v>
      </c>
      <c r="AH11" s="1263" t="s">
        <v>774</v>
      </c>
      <c r="AI11" s="1297" t="s">
        <v>166</v>
      </c>
      <c r="AJ11" s="1676" t="s">
        <v>1948</v>
      </c>
      <c r="AK11" s="1263" t="s">
        <v>96</v>
      </c>
      <c r="AL11" s="1302" t="s">
        <v>775</v>
      </c>
      <c r="AM11" s="1268" t="s">
        <v>96</v>
      </c>
      <c r="AN11" s="1273" t="s">
        <v>775</v>
      </c>
    </row>
    <row r="12" spans="2:54" ht="3" customHeight="1">
      <c r="B12" s="116"/>
      <c r="C12" s="1282"/>
      <c r="D12" s="116"/>
      <c r="E12" s="116"/>
      <c r="F12" s="116"/>
      <c r="G12" s="1282"/>
      <c r="H12" s="116"/>
      <c r="I12" s="116"/>
      <c r="J12" s="116"/>
      <c r="K12" s="1282"/>
      <c r="L12" s="116"/>
      <c r="M12" s="116"/>
      <c r="N12" s="116"/>
      <c r="O12" s="1282" t="str">
        <f t="shared" ref="O12:Q13" si="0">IF($B12=0,"",SUM(C12,G12,K12))</f>
        <v/>
      </c>
      <c r="P12" s="116" t="str">
        <f t="shared" si="0"/>
        <v/>
      </c>
      <c r="Q12" s="116" t="str">
        <f t="shared" si="0"/>
        <v/>
      </c>
      <c r="R12" s="116"/>
    </row>
    <row r="13" spans="2:54">
      <c r="B13" s="1266">
        <f>'00 - Cover'!F16</f>
        <v>46022</v>
      </c>
      <c r="C13" s="1290">
        <f>IF($B13=0,"",_xlfn.XLOOKUP($B13,INPUT_DATA!$BP:$BP,INPUT_DATA!BQ:BQ))</f>
        <v>2</v>
      </c>
      <c r="D13" s="1276">
        <f>IF($B13=0,"",_xlfn.XLOOKUP($B13,INPUT_DATA!$BP:$BP,INPUT_DATA!BR:BR))</f>
        <v>94955.07</v>
      </c>
      <c r="E13" s="1276">
        <f>IF($B13=0,"",_xlfn.XLOOKUP($B13,INPUT_DATA!$BP:$BP,INPUT_DATA!BS:BS))</f>
        <v>68.259999999999991</v>
      </c>
      <c r="F13" s="1276">
        <f>IF($B13=0,"",D13+E13)</f>
        <v>95023.33</v>
      </c>
      <c r="G13" s="1292">
        <f>IF($B13=0,"",_xlfn.XLOOKUP($B13,INPUT_DATA!$BP:$BP,INPUT_DATA!BT:BT))</f>
        <v>3</v>
      </c>
      <c r="H13" s="125">
        <f>IF($B13=0,"",_xlfn.XLOOKUP($B13,INPUT_DATA!$BP:$BP,INPUT_DATA!BU:BU))</f>
        <v>2485301.84</v>
      </c>
      <c r="I13" s="125">
        <f>IF($B13=0,"",_xlfn.XLOOKUP($B13,INPUT_DATA!$BP:$BP,INPUT_DATA!BV:BV))</f>
        <v>1794.97</v>
      </c>
      <c r="J13" s="125">
        <f>IF($B13=0,"",H13+I13)</f>
        <v>2487096.81</v>
      </c>
      <c r="K13" s="1292">
        <f>IF($B13=0,"",_xlfn.XLOOKUP($B13,INPUT_DATA!$BP:$BP,INPUT_DATA!BW:BW))</f>
        <v>28</v>
      </c>
      <c r="L13" s="125">
        <f>IF($B13=0,"",_xlfn.XLOOKUP($B13,INPUT_DATA!$BP:$BP,INPUT_DATA!BX:BX))</f>
        <v>4085857.6799999992</v>
      </c>
      <c r="M13" s="125">
        <f>IF($B13=0,"",_xlfn.XLOOKUP($B13,INPUT_DATA!$BP:$BP,INPUT_DATA!BY:BY))</f>
        <v>4515.8999999999996</v>
      </c>
      <c r="N13" s="125">
        <f>IF($B13=0,"",L13+M13)</f>
        <v>4090373.5799999991</v>
      </c>
      <c r="O13" s="1274">
        <f t="shared" si="0"/>
        <v>33</v>
      </c>
      <c r="P13" s="124">
        <f t="shared" si="0"/>
        <v>6666114.5899999989</v>
      </c>
      <c r="Q13" s="124">
        <f t="shared" si="0"/>
        <v>6379.1299999999992</v>
      </c>
      <c r="R13" s="124">
        <f>IF($B13=0,"",SUM(F13,J13,N13))</f>
        <v>6672493.7199999988</v>
      </c>
      <c r="S13" s="125">
        <f>IF($B13=0,"",_xlfn.XLOOKUP($B13,INPUT_DATA!$BP:$BP,INPUT_DATA!BZ:BZ))</f>
        <v>6314729.9999999991</v>
      </c>
      <c r="T13" s="125">
        <f>IF($B13=0,"",_xlfn.XLOOKUP($B13,INPUT_DATA!$BP:$BP,INPUT_DATA!CA:CA))</f>
        <v>6141.46</v>
      </c>
      <c r="U13" s="125">
        <f>IF($B13=0,"",_xlfn.XLOOKUP($B13,INPUT_DATA!$BP:$BP,INPUT_DATA!CB:CB))</f>
        <v>1206.92</v>
      </c>
      <c r="V13" s="1299">
        <f>IF($B13=0,"",100%)</f>
        <v>1</v>
      </c>
      <c r="W13" s="124">
        <f>IF($B13=0,"",SUM(S13:U13)*V13)</f>
        <v>6322078.379999999</v>
      </c>
      <c r="X13" s="124">
        <f>IF($B13=0,"",_xlfn.XLOOKUP($B13,INPUT_DATA!$BP:$BP,INPUT_DATA!CC:CC))</f>
        <v>31</v>
      </c>
      <c r="Y13" s="125">
        <f>IF($B13=0,"",_xlfn.XLOOKUP($B13,INPUT_DATA!$BP:$BP,INPUT_DATA!CD:CD))</f>
        <v>351384.58999999997</v>
      </c>
      <c r="Z13" s="125">
        <f>IF($B13=0,"",_xlfn.XLOOKUP($B13,INPUT_DATA!$BP:$BP,INPUT_DATA!CE:CE))</f>
        <v>237.67</v>
      </c>
      <c r="AA13" s="125">
        <f>IF($B13=0,"",_xlfn.XLOOKUP($B13,INPUT_DATA!$BP:$BP,INPUT_DATA!CF:CF))</f>
        <v>1592.54</v>
      </c>
      <c r="AB13" s="1299">
        <v>0.93</v>
      </c>
      <c r="AC13" s="124">
        <f>IF($B13=0,"",_xlfn.XLOOKUP($B13,INPUT_DATA!$BP:$BP,INPUT_DATA!CG:CG))</f>
        <v>0</v>
      </c>
      <c r="AD13" s="124">
        <f>IF($B13=0,"",SUM(Y13:AA13)-AC13)</f>
        <v>353214.79999999993</v>
      </c>
      <c r="AE13" s="1274">
        <f>IF($B13=0,"",_xlfn.XLOOKUP($B13,INPUT_DATA!$BP:$BP,INPUT_DATA!CH:CH))</f>
        <v>2</v>
      </c>
      <c r="AF13" s="125">
        <f>IF($B13=0,"",_xlfn.XLOOKUP($B13,INPUT_DATA!$BP:$BP,INPUT_DATA!CI:CI))</f>
        <v>253037.17</v>
      </c>
      <c r="AG13" s="125">
        <f>IF($B13=0,"",_xlfn.XLOOKUP($B13,INPUT_DATA!$BP:$BP,INPUT_DATA!CJ:CJ))</f>
        <v>194.13</v>
      </c>
      <c r="AH13" s="125">
        <f>IF($B13=0,"",_xlfn.XLOOKUP($B13,INPUT_DATA!$BP:$BP,INPUT_DATA!CK:CK))</f>
        <v>1071.6600000000001</v>
      </c>
      <c r="AI13" s="1299">
        <f>IF($B13=0,"",60%)</f>
        <v>0.6</v>
      </c>
      <c r="AJ13" s="1758">
        <f>IF($B13=0,"",_xlfn.XLOOKUP($B13,INPUT_DATA!$BP:$BP,INPUT_DATA!CL:CL))</f>
        <v>0</v>
      </c>
      <c r="AK13" s="1759">
        <f>IF($B13=0,"",AF13+AG13-AJ13+AH13)</f>
        <v>254302.96000000002</v>
      </c>
      <c r="AL13" s="1760">
        <f>IF($B13=0,"",_xlfn.XLOOKUP($B13,INPUT_DATA!$BP:$BP,INPUT_DATA!CM:CM))</f>
        <v>6</v>
      </c>
      <c r="AM13" s="1759">
        <f>IF($B13=0,"",SUM(W13,AD13,AK13))</f>
        <v>6929596.1399999987</v>
      </c>
      <c r="AN13" s="1760">
        <f>IF($B13=0,"",SUM(X13,AE13,AL13))</f>
        <v>39</v>
      </c>
      <c r="AO13" s="1853">
        <f>AM13+AJ13-AG13-T13-Z13</f>
        <v>6923022.879999999</v>
      </c>
      <c r="AP13" s="1853">
        <f>AO13-'02 - Monthly Asset Follow up'!Q11</f>
        <v>0</v>
      </c>
    </row>
    <row r="14" spans="2:54">
      <c r="B14" s="137">
        <f>INPUT_DATA!BP5</f>
        <v>45991</v>
      </c>
      <c r="C14" s="1291">
        <f>IF($B14=0,"",_xlfn.XLOOKUP($B14,INPUT_DATA!$BP:$BP,INPUT_DATA!BQ:BQ))</f>
        <v>2</v>
      </c>
      <c r="D14" s="140">
        <f>IF($B14=0,"",_xlfn.XLOOKUP($B14,INPUT_DATA!$BP:$BP,INPUT_DATA!BR:BR))</f>
        <v>117467.51000000001</v>
      </c>
      <c r="E14" s="140">
        <f>IF($B14=0,"",_xlfn.XLOOKUP($B14,INPUT_DATA!$BP:$BP,INPUT_DATA!BS:BS))</f>
        <v>97.600000000000009</v>
      </c>
      <c r="F14" s="140">
        <f t="shared" ref="F14:F77" si="1">IF($B14=0,"",D14+E14)</f>
        <v>117565.11000000002</v>
      </c>
      <c r="G14" s="1291">
        <f>IF($B14=0,"",_xlfn.XLOOKUP($B14,INPUT_DATA!$BP:$BP,INPUT_DATA!BT:BT))</f>
        <v>3</v>
      </c>
      <c r="H14" s="140">
        <f>IF($B14=0,"",_xlfn.XLOOKUP($B14,INPUT_DATA!$BP:$BP,INPUT_DATA!BU:BU))</f>
        <v>572210.66999999993</v>
      </c>
      <c r="I14" s="140">
        <f>IF($B14=0,"",_xlfn.XLOOKUP($B14,INPUT_DATA!$BP:$BP,INPUT_DATA!BV:BV))</f>
        <v>557.45999999999992</v>
      </c>
      <c r="J14" s="140">
        <f t="shared" ref="J14:J77" si="2">IF($B14=0,"",H14+I14)</f>
        <v>572768.12999999989</v>
      </c>
      <c r="K14" s="1291">
        <f>IF($B14=0,"",_xlfn.XLOOKUP($B14,INPUT_DATA!$BP:$BP,INPUT_DATA!BW:BW))</f>
        <v>28</v>
      </c>
      <c r="L14" s="140">
        <f>IF($B14=0,"",_xlfn.XLOOKUP($B14,INPUT_DATA!$BP:$BP,INPUT_DATA!BX:BX))</f>
        <v>3832595.1799999988</v>
      </c>
      <c r="M14" s="140">
        <f>IF($B14=0,"",_xlfn.XLOOKUP($B14,INPUT_DATA!$BP:$BP,INPUT_DATA!BY:BY))</f>
        <v>4311.12</v>
      </c>
      <c r="N14" s="140">
        <f t="shared" ref="N14:N77" si="3">IF($B14=0,"",L14+M14)</f>
        <v>3836906.2999999989</v>
      </c>
      <c r="O14" s="1275">
        <f t="shared" ref="O14:O77" si="4">IF($B14=0,"",SUM(C14,G14,K14))</f>
        <v>33</v>
      </c>
      <c r="P14" s="139">
        <f t="shared" ref="P14:P77" si="5">IF($B14=0,"",SUM(D14,H14,L14))</f>
        <v>4522273.3599999985</v>
      </c>
      <c r="Q14" s="139">
        <f t="shared" ref="Q14:Q77" si="6">IF($B14=0,"",SUM(E14,I14,M14))</f>
        <v>4966.18</v>
      </c>
      <c r="R14" s="139">
        <f t="shared" ref="R14:R77" si="7">IF($B14=0,"",SUM(F14,J14,N14))</f>
        <v>4527239.5399999991</v>
      </c>
      <c r="S14" s="140">
        <f>IF($B14=0,"",_xlfn.XLOOKUP($B14,INPUT_DATA!$BP:$BP,INPUT_DATA!BZ:BZ))</f>
        <v>4397497.5299999984</v>
      </c>
      <c r="T14" s="140">
        <f>IF($B14=0,"",_xlfn.XLOOKUP($B14,INPUT_DATA!$BP:$BP,INPUT_DATA!CA:CA))</f>
        <v>4876.8999999999996</v>
      </c>
      <c r="U14" s="140">
        <f>IF($B14=0,"",_xlfn.XLOOKUP($B14,INPUT_DATA!$BP:$BP,INPUT_DATA!CB:CB))</f>
        <v>0</v>
      </c>
      <c r="V14" s="1300">
        <f t="shared" ref="V14:V77" si="8">IF($B14=0,"",100%)</f>
        <v>1</v>
      </c>
      <c r="W14" s="139">
        <f t="shared" ref="W14:W77" si="9">IF($B14=0,"",SUM(S14:U14)*V14)</f>
        <v>4402374.4299999988</v>
      </c>
      <c r="X14" s="139">
        <f>IF($B14=0,"",_xlfn.XLOOKUP($B14,INPUT_DATA!$BP:$BP,INPUT_DATA!CC:CC))</f>
        <v>32</v>
      </c>
      <c r="Y14" s="140">
        <f>IF($B14=0,"",_xlfn.XLOOKUP($B14,INPUT_DATA!$BP:$BP,INPUT_DATA!CD:CD))</f>
        <v>124775.83</v>
      </c>
      <c r="Z14" s="140">
        <f>IF($B14=0,"",_xlfn.XLOOKUP($B14,INPUT_DATA!$BP:$BP,INPUT_DATA!CE:CE))</f>
        <v>89.28</v>
      </c>
      <c r="AA14" s="140">
        <f>IF($B14=0,"",_xlfn.XLOOKUP($B14,INPUT_DATA!$BP:$BP,INPUT_DATA!CF:CF))</f>
        <v>0</v>
      </c>
      <c r="AB14" s="1300">
        <f t="shared" ref="AB14:AB77" si="10">IF($B14=0,"",93%)</f>
        <v>0.93</v>
      </c>
      <c r="AC14" s="139">
        <f>IF($B14=0,"",_xlfn.XLOOKUP($B14,INPUT_DATA!$BP:$BP,INPUT_DATA!CG:CG))</f>
        <v>0</v>
      </c>
      <c r="AD14" s="139">
        <f t="shared" ref="AD14:AD25" si="11">IF($B14=0,"",SUM(Y14:AA14)-AC14)</f>
        <v>124865.11</v>
      </c>
      <c r="AE14" s="1275">
        <f>IF($B14=0,"",_xlfn.XLOOKUP($B14,INPUT_DATA!$BP:$BP,INPUT_DATA!CH:CH))</f>
        <v>1</v>
      </c>
      <c r="AF14" s="140">
        <f>IF($B14=0,"",_xlfn.XLOOKUP($B14,INPUT_DATA!$BP:$BP,INPUT_DATA!CI:CI))</f>
        <v>210535.09</v>
      </c>
      <c r="AG14" s="140">
        <f>IF($B14=0,"",_xlfn.XLOOKUP($B14,INPUT_DATA!$BP:$BP,INPUT_DATA!CJ:CJ))</f>
        <v>0</v>
      </c>
      <c r="AH14" s="140">
        <f>IF($B14=0,"",_xlfn.XLOOKUP($B14,INPUT_DATA!$BP:$BP,INPUT_DATA!CK:CK))</f>
        <v>19588.48</v>
      </c>
      <c r="AI14" s="1300">
        <f t="shared" ref="AI14:AI77" si="12">IF($B14=0,"",60%)</f>
        <v>0.6</v>
      </c>
      <c r="AJ14" s="1761">
        <f>IF($B14=0,"",_xlfn.XLOOKUP($B14,INPUT_DATA!$BP:$BP,INPUT_DATA!CL:CL))</f>
        <v>0</v>
      </c>
      <c r="AK14" s="1761">
        <f t="shared" ref="AK14:AK77" si="13">IF($B14=0,"",AF14+AG14-AJ14+AH14)</f>
        <v>230123.57</v>
      </c>
      <c r="AL14" s="1762">
        <f>IF($B14=0,"",_xlfn.XLOOKUP($B14,INPUT_DATA!$BP:$BP,INPUT_DATA!CM:CM))</f>
        <v>3</v>
      </c>
      <c r="AM14" s="1761">
        <f>IF($B14=0,"",SUM(W14,AD14,AK14))</f>
        <v>4757363.1099999994</v>
      </c>
      <c r="AN14" s="1762">
        <f t="shared" ref="AN14:AN77" si="14">IF($B14=0,"",SUM(X14,AE14,AL14))</f>
        <v>36</v>
      </c>
      <c r="AO14" s="1239"/>
      <c r="AP14" s="1239"/>
    </row>
    <row r="15" spans="2:54">
      <c r="B15" s="137">
        <f>INPUT_DATA!BP6</f>
        <v>45961</v>
      </c>
      <c r="C15" s="1291">
        <f>IF($B15=0,"",_xlfn.XLOOKUP($B15,INPUT_DATA!$BP:$BP,INPUT_DATA!BQ:BQ))</f>
        <v>4</v>
      </c>
      <c r="D15" s="140">
        <f>IF($B15=0,"",_xlfn.XLOOKUP($B15,INPUT_DATA!$BP:$BP,INPUT_DATA!BR:BR))</f>
        <v>531251.02</v>
      </c>
      <c r="E15" s="140">
        <f>IF($B15=0,"",_xlfn.XLOOKUP($B15,INPUT_DATA!$BP:$BP,INPUT_DATA!BS:BS))</f>
        <v>860.11999999999989</v>
      </c>
      <c r="F15" s="140">
        <f t="shared" si="1"/>
        <v>532111.14</v>
      </c>
      <c r="G15" s="1291">
        <f>IF($B15=0,"",_xlfn.XLOOKUP($B15,INPUT_DATA!$BP:$BP,INPUT_DATA!BT:BT))</f>
        <v>69</v>
      </c>
      <c r="H15" s="140">
        <f>IF($B15=0,"",_xlfn.XLOOKUP($B15,INPUT_DATA!$BP:$BP,INPUT_DATA!BU:BU))</f>
        <v>16480703.700000001</v>
      </c>
      <c r="I15" s="140">
        <f>IF($B15=0,"",_xlfn.XLOOKUP($B15,INPUT_DATA!$BP:$BP,INPUT_DATA!BV:BV))</f>
        <v>13733.740000000002</v>
      </c>
      <c r="J15" s="140">
        <f t="shared" si="2"/>
        <v>16494437.440000001</v>
      </c>
      <c r="K15" s="1291">
        <f>IF($B15=0,"",_xlfn.XLOOKUP($B15,INPUT_DATA!$BP:$BP,INPUT_DATA!BW:BW))</f>
        <v>0</v>
      </c>
      <c r="L15" s="140">
        <f>IF($B15=0,"",_xlfn.XLOOKUP($B15,INPUT_DATA!$BP:$BP,INPUT_DATA!BX:BX))</f>
        <v>0</v>
      </c>
      <c r="M15" s="140">
        <f>IF($B15=0,"",_xlfn.XLOOKUP($B15,INPUT_DATA!$BP:$BP,INPUT_DATA!BY:BY))</f>
        <v>0</v>
      </c>
      <c r="N15" s="140">
        <f t="shared" si="3"/>
        <v>0</v>
      </c>
      <c r="O15" s="1275">
        <f t="shared" si="4"/>
        <v>73</v>
      </c>
      <c r="P15" s="139">
        <f t="shared" si="5"/>
        <v>17011954.720000003</v>
      </c>
      <c r="Q15" s="139">
        <f t="shared" si="6"/>
        <v>14593.86</v>
      </c>
      <c r="R15" s="139">
        <f t="shared" si="7"/>
        <v>17026548.580000002</v>
      </c>
      <c r="S15" s="140">
        <f>IF($B15=0,"",_xlfn.XLOOKUP($B15,INPUT_DATA!$BP:$BP,INPUT_DATA!BZ:BZ))</f>
        <v>16920356.800000001</v>
      </c>
      <c r="T15" s="140">
        <f>IF($B15=0,"",_xlfn.XLOOKUP($B15,INPUT_DATA!$BP:$BP,INPUT_DATA!CA:CA))</f>
        <v>14538.29</v>
      </c>
      <c r="U15" s="140">
        <f>IF($B15=0,"",_xlfn.XLOOKUP($B15,INPUT_DATA!$BP:$BP,INPUT_DATA!CB:CB))</f>
        <v>3595.38</v>
      </c>
      <c r="V15" s="1300">
        <f t="shared" si="8"/>
        <v>1</v>
      </c>
      <c r="W15" s="139">
        <f t="shared" si="9"/>
        <v>16938490.469999999</v>
      </c>
      <c r="X15" s="139">
        <f>IF($B15=0,"",_xlfn.XLOOKUP($B15,INPUT_DATA!$BP:$BP,INPUT_DATA!CC:CC))</f>
        <v>72</v>
      </c>
      <c r="Y15" s="140">
        <f>IF($B15=0,"",_xlfn.XLOOKUP($B15,INPUT_DATA!$BP:$BP,INPUT_DATA!CD:CD))</f>
        <v>91597.92</v>
      </c>
      <c r="Z15" s="140">
        <f>IF($B15=0,"",_xlfn.XLOOKUP($B15,INPUT_DATA!$BP:$BP,INPUT_DATA!CE:CE))</f>
        <v>55.57</v>
      </c>
      <c r="AA15" s="140">
        <f>IF($B15=0,"",_xlfn.XLOOKUP($B15,INPUT_DATA!$BP:$BP,INPUT_DATA!CF:CF))</f>
        <v>0</v>
      </c>
      <c r="AB15" s="1300">
        <f t="shared" si="10"/>
        <v>0.93</v>
      </c>
      <c r="AC15" s="139">
        <f>IF($B15=0,"",_xlfn.XLOOKUP($B15,INPUT_DATA!$BP:$BP,INPUT_DATA!CG:CG))</f>
        <v>0</v>
      </c>
      <c r="AD15" s="139">
        <f t="shared" si="11"/>
        <v>91653.49</v>
      </c>
      <c r="AE15" s="1275">
        <f>IF($B15=0,"",_xlfn.XLOOKUP($B15,INPUT_DATA!$BP:$BP,INPUT_DATA!CH:CH))</f>
        <v>1</v>
      </c>
      <c r="AF15" s="140">
        <f>IF($B15=0,"",_xlfn.XLOOKUP($B15,INPUT_DATA!$BP:$BP,INPUT_DATA!CI:CI))</f>
        <v>0</v>
      </c>
      <c r="AG15" s="140">
        <f>IF($B15=0,"",_xlfn.XLOOKUP($B15,INPUT_DATA!$BP:$BP,INPUT_DATA!CJ:CJ))</f>
        <v>0</v>
      </c>
      <c r="AH15" s="140">
        <f>IF($B15=0,"",_xlfn.XLOOKUP($B15,INPUT_DATA!$BP:$BP,INPUT_DATA!CK:CK))</f>
        <v>0</v>
      </c>
      <c r="AI15" s="1300">
        <f t="shared" si="12"/>
        <v>0.6</v>
      </c>
      <c r="AJ15" s="1761">
        <f>IF($B15=0,"",_xlfn.XLOOKUP($B15,INPUT_DATA!$BP:$BP,INPUT_DATA!CL:CL))</f>
        <v>0</v>
      </c>
      <c r="AK15" s="1761">
        <f t="shared" si="13"/>
        <v>0</v>
      </c>
      <c r="AL15" s="1762">
        <f>IF($B15=0,"",_xlfn.XLOOKUP($B15,INPUT_DATA!$BP:$BP,INPUT_DATA!CM:CM))</f>
        <v>0</v>
      </c>
      <c r="AM15" s="1761">
        <f t="shared" ref="AM15:AM22" si="15">IF($B15=0,"",SUM(W15,AD15,AK15))</f>
        <v>17030143.959999997</v>
      </c>
      <c r="AN15" s="1762">
        <f t="shared" si="14"/>
        <v>73</v>
      </c>
    </row>
    <row r="16" spans="2:54">
      <c r="B16" s="137">
        <f>INPUT_DATA!BP7</f>
        <v>45930</v>
      </c>
      <c r="C16" s="1291">
        <f>IF($B16=0,"",_xlfn.XLOOKUP($B16,INPUT_DATA!$BP:$BP,INPUT_DATA!BQ:BQ))</f>
        <v>3</v>
      </c>
      <c r="D16" s="140">
        <f>IF($B16=0,"",_xlfn.XLOOKUP($B16,INPUT_DATA!$BP:$BP,INPUT_DATA!BR:BR))</f>
        <v>226821.57</v>
      </c>
      <c r="E16" s="140">
        <f>IF($B16=0,"",_xlfn.XLOOKUP($B16,INPUT_DATA!$BP:$BP,INPUT_DATA!BS:BS))</f>
        <v>128.74</v>
      </c>
      <c r="F16" s="140">
        <f t="shared" si="1"/>
        <v>226950.31</v>
      </c>
      <c r="G16" s="1291">
        <f>IF($B16=0,"",_xlfn.XLOOKUP($B16,INPUT_DATA!$BP:$BP,INPUT_DATA!BT:BT))</f>
        <v>26</v>
      </c>
      <c r="H16" s="140">
        <f>IF($B16=0,"",_xlfn.XLOOKUP($B16,INPUT_DATA!$BP:$BP,INPUT_DATA!BU:BU))</f>
        <v>3436121.1</v>
      </c>
      <c r="I16" s="140">
        <f>IF($B16=0,"",_xlfn.XLOOKUP($B16,INPUT_DATA!$BP:$BP,INPUT_DATA!BV:BV))</f>
        <v>2889.5200000000004</v>
      </c>
      <c r="J16" s="140">
        <f t="shared" si="2"/>
        <v>3439010.62</v>
      </c>
      <c r="K16" s="1291">
        <f>IF($B16=0,"",_xlfn.XLOOKUP($B16,INPUT_DATA!$BP:$BP,INPUT_DATA!BW:BW))</f>
        <v>0</v>
      </c>
      <c r="L16" s="140">
        <f>IF($B16=0,"",_xlfn.XLOOKUP($B16,INPUT_DATA!$BP:$BP,INPUT_DATA!BX:BX))</f>
        <v>0</v>
      </c>
      <c r="M16" s="140">
        <f>IF($B16=0,"",_xlfn.XLOOKUP($B16,INPUT_DATA!$BP:$BP,INPUT_DATA!BY:BY))</f>
        <v>0</v>
      </c>
      <c r="N16" s="140">
        <f t="shared" si="3"/>
        <v>0</v>
      </c>
      <c r="O16" s="1275">
        <f t="shared" si="4"/>
        <v>29</v>
      </c>
      <c r="P16" s="139">
        <f t="shared" si="5"/>
        <v>3662942.67</v>
      </c>
      <c r="Q16" s="139">
        <f t="shared" si="6"/>
        <v>3018.26</v>
      </c>
      <c r="R16" s="139">
        <f t="shared" si="7"/>
        <v>3665960.93</v>
      </c>
      <c r="S16" s="140">
        <f>IF($B16=0,"",_xlfn.XLOOKUP($B16,INPUT_DATA!$BP:$BP,INPUT_DATA!BZ:BZ))</f>
        <v>3615386.7300000004</v>
      </c>
      <c r="T16" s="140">
        <f>IF($B16=0,"",_xlfn.XLOOKUP($B16,INPUT_DATA!$BP:$BP,INPUT_DATA!CA:CA))</f>
        <v>3000.33</v>
      </c>
      <c r="U16" s="140">
        <f>IF($B16=0,"",_xlfn.XLOOKUP($B16,INPUT_DATA!$BP:$BP,INPUT_DATA!CB:CB))</f>
        <v>0</v>
      </c>
      <c r="V16" s="1300">
        <f t="shared" si="8"/>
        <v>1</v>
      </c>
      <c r="W16" s="139">
        <f t="shared" si="9"/>
        <v>3618387.0600000005</v>
      </c>
      <c r="X16" s="139">
        <f>IF($B16=0,"",_xlfn.XLOOKUP($B16,INPUT_DATA!$BP:$BP,INPUT_DATA!CC:CC))</f>
        <v>28</v>
      </c>
      <c r="Y16" s="140">
        <f>IF($B16=0,"",_xlfn.XLOOKUP($B16,INPUT_DATA!$BP:$BP,INPUT_DATA!CD:CD))</f>
        <v>47555.94</v>
      </c>
      <c r="Z16" s="140">
        <f>IF($B16=0,"",_xlfn.XLOOKUP($B16,INPUT_DATA!$BP:$BP,INPUT_DATA!CE:CE))</f>
        <v>17.93</v>
      </c>
      <c r="AA16" s="140">
        <f>IF($B16=0,"",_xlfn.XLOOKUP($B16,INPUT_DATA!$BP:$BP,INPUT_DATA!CF:CF))</f>
        <v>1682.74</v>
      </c>
      <c r="AB16" s="1300">
        <f t="shared" si="10"/>
        <v>0.93</v>
      </c>
      <c r="AC16" s="139">
        <f>IF($B16=0,"",_xlfn.XLOOKUP($B16,INPUT_DATA!$BP:$BP,INPUT_DATA!CG:CG))</f>
        <v>0</v>
      </c>
      <c r="AD16" s="139">
        <f t="shared" si="11"/>
        <v>49256.61</v>
      </c>
      <c r="AE16" s="1275">
        <f>IF($B16=0,"",_xlfn.XLOOKUP($B16,INPUT_DATA!$BP:$BP,INPUT_DATA!CH:CH))</f>
        <v>1</v>
      </c>
      <c r="AF16" s="140">
        <f>IF($B16=0,"",_xlfn.XLOOKUP($B16,INPUT_DATA!$BP:$BP,INPUT_DATA!CI:CI))</f>
        <v>738031.12999999989</v>
      </c>
      <c r="AG16" s="140">
        <f>IF($B16=0,"",_xlfn.XLOOKUP($B16,INPUT_DATA!$BP:$BP,INPUT_DATA!CJ:CJ))</f>
        <v>544.57000000000005</v>
      </c>
      <c r="AH16" s="140">
        <f>IF($B16=0,"",_xlfn.XLOOKUP($B16,INPUT_DATA!$BP:$BP,INPUT_DATA!CK:CK))</f>
        <v>1737.02</v>
      </c>
      <c r="AI16" s="1300">
        <f t="shared" si="12"/>
        <v>0.6</v>
      </c>
      <c r="AJ16" s="1761">
        <f>IF($B16=0,"",_xlfn.XLOOKUP($B16,INPUT_DATA!$BP:$BP,INPUT_DATA!CL:CL))</f>
        <v>0</v>
      </c>
      <c r="AK16" s="1761">
        <f t="shared" si="13"/>
        <v>740312.71999999986</v>
      </c>
      <c r="AL16" s="1762">
        <f>IF($B16=0,"",_xlfn.XLOOKUP($B16,INPUT_DATA!$BP:$BP,INPUT_DATA!CM:CM))</f>
        <v>10</v>
      </c>
      <c r="AM16" s="1761">
        <f t="shared" si="15"/>
        <v>4407956.3900000006</v>
      </c>
      <c r="AN16" s="1762">
        <f t="shared" si="14"/>
        <v>39</v>
      </c>
      <c r="AO16" s="1239"/>
    </row>
    <row r="17" spans="2:41">
      <c r="B17" s="137">
        <f>INPUT_DATA!BP8</f>
        <v>45900</v>
      </c>
      <c r="C17" s="1291">
        <f>IF($B17=0,"",_xlfn.XLOOKUP($B17,INPUT_DATA!$BP:$BP,INPUT_DATA!BQ:BQ))</f>
        <v>2</v>
      </c>
      <c r="D17" s="140">
        <f>IF($B17=0,"",_xlfn.XLOOKUP($B17,INPUT_DATA!$BP:$BP,INPUT_DATA!BR:BR))</f>
        <v>275408</v>
      </c>
      <c r="E17" s="140">
        <f>IF($B17=0,"",_xlfn.XLOOKUP($B17,INPUT_DATA!$BP:$BP,INPUT_DATA!BS:BS))</f>
        <v>152.67000000000002</v>
      </c>
      <c r="F17" s="140">
        <f t="shared" si="1"/>
        <v>275560.67</v>
      </c>
      <c r="G17" s="1291">
        <f>IF($B17=0,"",_xlfn.XLOOKUP($B17,INPUT_DATA!$BP:$BP,INPUT_DATA!BT:BT))</f>
        <v>22</v>
      </c>
      <c r="H17" s="140">
        <f>IF($B17=0,"",_xlfn.XLOOKUP($B17,INPUT_DATA!$BP:$BP,INPUT_DATA!BU:BU))</f>
        <v>4528335.8899999997</v>
      </c>
      <c r="I17" s="140">
        <f>IF($B17=0,"",_xlfn.XLOOKUP($B17,INPUT_DATA!$BP:$BP,INPUT_DATA!BV:BV))</f>
        <v>3529.58</v>
      </c>
      <c r="J17" s="140">
        <f t="shared" si="2"/>
        <v>4531865.47</v>
      </c>
      <c r="K17" s="1291">
        <f>IF($B17=0,"",_xlfn.XLOOKUP($B17,INPUT_DATA!$BP:$BP,INPUT_DATA!BW:BW))</f>
        <v>0</v>
      </c>
      <c r="L17" s="140">
        <f>IF($B17=0,"",_xlfn.XLOOKUP($B17,INPUT_DATA!$BP:$BP,INPUT_DATA!BX:BX))</f>
        <v>0</v>
      </c>
      <c r="M17" s="140">
        <f>IF($B17=0,"",_xlfn.XLOOKUP($B17,INPUT_DATA!$BP:$BP,INPUT_DATA!BY:BY))</f>
        <v>0</v>
      </c>
      <c r="N17" s="140">
        <f t="shared" si="3"/>
        <v>0</v>
      </c>
      <c r="O17" s="1275">
        <f t="shared" si="4"/>
        <v>24</v>
      </c>
      <c r="P17" s="139">
        <f t="shared" si="5"/>
        <v>4803743.8899999997</v>
      </c>
      <c r="Q17" s="139">
        <f t="shared" si="6"/>
        <v>3682.25</v>
      </c>
      <c r="R17" s="139">
        <f t="shared" si="7"/>
        <v>4807426.1399999997</v>
      </c>
      <c r="S17" s="140">
        <f>IF($B17=0,"",_xlfn.XLOOKUP($B17,INPUT_DATA!$BP:$BP,INPUT_DATA!BZ:BZ))</f>
        <v>4803743.8899999997</v>
      </c>
      <c r="T17" s="140">
        <f>IF($B17=0,"",_xlfn.XLOOKUP($B17,INPUT_DATA!$BP:$BP,INPUT_DATA!CA:CA))</f>
        <v>3682.25</v>
      </c>
      <c r="U17" s="140">
        <f>IF($B17=0,"",_xlfn.XLOOKUP($B17,INPUT_DATA!$BP:$BP,INPUT_DATA!CB:CB))</f>
        <v>0</v>
      </c>
      <c r="V17" s="1300">
        <f t="shared" si="8"/>
        <v>1</v>
      </c>
      <c r="W17" s="139">
        <f t="shared" si="9"/>
        <v>4807426.1399999997</v>
      </c>
      <c r="X17" s="139">
        <f>IF($B17=0,"",_xlfn.XLOOKUP($B17,INPUT_DATA!$BP:$BP,INPUT_DATA!CC:CC))</f>
        <v>24</v>
      </c>
      <c r="Y17" s="140">
        <f>IF($B17=0,"",_xlfn.XLOOKUP($B17,INPUT_DATA!$BP:$BP,INPUT_DATA!CD:CD))</f>
        <v>0</v>
      </c>
      <c r="Z17" s="140">
        <f>IF($B17=0,"",_xlfn.XLOOKUP($B17,INPUT_DATA!$BP:$BP,INPUT_DATA!CE:CE))</f>
        <v>0</v>
      </c>
      <c r="AA17" s="140">
        <f>IF($B17=0,"",_xlfn.XLOOKUP($B17,INPUT_DATA!$BP:$BP,INPUT_DATA!CF:CF))</f>
        <v>0</v>
      </c>
      <c r="AB17" s="1300">
        <f t="shared" si="10"/>
        <v>0.93</v>
      </c>
      <c r="AC17" s="139">
        <f>IF($B17=0,"",_xlfn.XLOOKUP($B17,INPUT_DATA!$BP:$BP,INPUT_DATA!CG:CG))</f>
        <v>0</v>
      </c>
      <c r="AD17" s="139">
        <f t="shared" si="11"/>
        <v>0</v>
      </c>
      <c r="AE17" s="1275">
        <f>IF($B17=0,"",_xlfn.XLOOKUP($B17,INPUT_DATA!$BP:$BP,INPUT_DATA!CH:CH))</f>
        <v>0</v>
      </c>
      <c r="AF17" s="140">
        <f>IF($B17=0,"",_xlfn.XLOOKUP($B17,INPUT_DATA!$BP:$BP,INPUT_DATA!CI:CI))</f>
        <v>615408.64000000001</v>
      </c>
      <c r="AG17" s="140">
        <f>IF($B17=0,"",_xlfn.XLOOKUP($B17,INPUT_DATA!$BP:$BP,INPUT_DATA!CJ:CJ))</f>
        <v>467.13</v>
      </c>
      <c r="AH17" s="140">
        <f>IF($B17=0,"",_xlfn.XLOOKUP($B17,INPUT_DATA!$BP:$BP,INPUT_DATA!CK:CK))</f>
        <v>2943.67</v>
      </c>
      <c r="AI17" s="1300">
        <f t="shared" si="12"/>
        <v>0.6</v>
      </c>
      <c r="AJ17" s="1761">
        <f>IF($B17=0,"",_xlfn.XLOOKUP($B17,INPUT_DATA!$BP:$BP,INPUT_DATA!CL:CL))</f>
        <v>173771.76800000001</v>
      </c>
      <c r="AK17" s="1761">
        <f t="shared" si="13"/>
        <v>445047.67199999996</v>
      </c>
      <c r="AL17" s="1762">
        <f>IF($B17=0,"",_xlfn.XLOOKUP($B17,INPUT_DATA!$BP:$BP,INPUT_DATA!CM:CM))</f>
        <v>5</v>
      </c>
      <c r="AM17" s="1761">
        <f t="shared" si="15"/>
        <v>5252473.8119999999</v>
      </c>
      <c r="AN17" s="1762">
        <f t="shared" si="14"/>
        <v>29</v>
      </c>
      <c r="AO17" s="1239"/>
    </row>
    <row r="18" spans="2:41">
      <c r="B18" s="137">
        <f>INPUT_DATA!BP9</f>
        <v>45869</v>
      </c>
      <c r="C18" s="1291">
        <f>IF($B18=0,"",_xlfn.XLOOKUP($B18,INPUT_DATA!$BP:$BP,INPUT_DATA!BQ:BQ))</f>
        <v>0</v>
      </c>
      <c r="D18" s="140">
        <f>IF($B18=0,"",_xlfn.XLOOKUP($B18,INPUT_DATA!$BP:$BP,INPUT_DATA!BR:BR))</f>
        <v>0</v>
      </c>
      <c r="E18" s="140">
        <f>IF($B18=0,"",_xlfn.XLOOKUP($B18,INPUT_DATA!$BP:$BP,INPUT_DATA!BS:BS))</f>
        <v>0</v>
      </c>
      <c r="F18" s="140">
        <f t="shared" si="1"/>
        <v>0</v>
      </c>
      <c r="G18" s="1291">
        <f>IF($B18=0,"",_xlfn.XLOOKUP($B18,INPUT_DATA!$BP:$BP,INPUT_DATA!BT:BT))</f>
        <v>19</v>
      </c>
      <c r="H18" s="140">
        <f>IF($B18=0,"",_xlfn.XLOOKUP($B18,INPUT_DATA!$BP:$BP,INPUT_DATA!BU:BU))</f>
        <v>3048750.8400000008</v>
      </c>
      <c r="I18" s="140">
        <f>IF($B18=0,"",_xlfn.XLOOKUP($B18,INPUT_DATA!$BP:$BP,INPUT_DATA!BV:BV))</f>
        <v>3700.88</v>
      </c>
      <c r="J18" s="140">
        <f t="shared" si="2"/>
        <v>3052451.7200000007</v>
      </c>
      <c r="K18" s="1291">
        <f>IF($B18=0,"",_xlfn.XLOOKUP($B18,INPUT_DATA!$BP:$BP,INPUT_DATA!BW:BW))</f>
        <v>0</v>
      </c>
      <c r="L18" s="140">
        <f>IF($B18=0,"",_xlfn.XLOOKUP($B18,INPUT_DATA!$BP:$BP,INPUT_DATA!BX:BX))</f>
        <v>0</v>
      </c>
      <c r="M18" s="140">
        <f>IF($B18=0,"",_xlfn.XLOOKUP($B18,INPUT_DATA!$BP:$BP,INPUT_DATA!BY:BY))</f>
        <v>0</v>
      </c>
      <c r="N18" s="140">
        <f t="shared" si="3"/>
        <v>0</v>
      </c>
      <c r="O18" s="1275">
        <f t="shared" si="4"/>
        <v>19</v>
      </c>
      <c r="P18" s="139">
        <f t="shared" si="5"/>
        <v>3048750.8400000008</v>
      </c>
      <c r="Q18" s="139">
        <f t="shared" si="6"/>
        <v>3700.88</v>
      </c>
      <c r="R18" s="139">
        <f t="shared" si="7"/>
        <v>3052451.7200000007</v>
      </c>
      <c r="S18" s="140">
        <f>IF($B18=0,"",_xlfn.XLOOKUP($B18,INPUT_DATA!$BP:$BP,INPUT_DATA!BZ:BZ))</f>
        <v>3048750.8400000008</v>
      </c>
      <c r="T18" s="140">
        <f>IF($B18=0,"",_xlfn.XLOOKUP($B18,INPUT_DATA!$BP:$BP,INPUT_DATA!CA:CA))</f>
        <v>3700.88</v>
      </c>
      <c r="U18" s="140">
        <f>IF($B18=0,"",_xlfn.XLOOKUP($B18,INPUT_DATA!$BP:$BP,INPUT_DATA!CB:CB))</f>
        <v>0</v>
      </c>
      <c r="V18" s="1300">
        <f t="shared" si="8"/>
        <v>1</v>
      </c>
      <c r="W18" s="139">
        <f t="shared" si="9"/>
        <v>3052451.7200000007</v>
      </c>
      <c r="X18" s="139">
        <f>IF($B18=0,"",_xlfn.XLOOKUP($B18,INPUT_DATA!$BP:$BP,INPUT_DATA!CC:CC))</f>
        <v>19</v>
      </c>
      <c r="Y18" s="140">
        <f>IF($B18=0,"",_xlfn.XLOOKUP($B18,INPUT_DATA!$BP:$BP,INPUT_DATA!CD:CD))</f>
        <v>0</v>
      </c>
      <c r="Z18" s="140">
        <f>IF($B18=0,"",_xlfn.XLOOKUP($B18,INPUT_DATA!$BP:$BP,INPUT_DATA!CE:CE))</f>
        <v>0</v>
      </c>
      <c r="AA18" s="140">
        <f>IF($B18=0,"",_xlfn.XLOOKUP($B18,INPUT_DATA!$BP:$BP,INPUT_DATA!CF:CF))</f>
        <v>0</v>
      </c>
      <c r="AB18" s="1300">
        <f t="shared" si="10"/>
        <v>0.93</v>
      </c>
      <c r="AC18" s="139">
        <f>IF($B18=0,"",_xlfn.XLOOKUP($B18,INPUT_DATA!$BP:$BP,INPUT_DATA!CG:CG))</f>
        <v>0</v>
      </c>
      <c r="AD18" s="139">
        <f t="shared" si="11"/>
        <v>0</v>
      </c>
      <c r="AE18" s="1275">
        <f>IF($B18=0,"",_xlfn.XLOOKUP($B18,INPUT_DATA!$BP:$BP,INPUT_DATA!CH:CH))</f>
        <v>0</v>
      </c>
      <c r="AF18" s="140">
        <f>IF($B18=0,"",_xlfn.XLOOKUP($B18,INPUT_DATA!$BP:$BP,INPUT_DATA!CI:CI))</f>
        <v>180060.56</v>
      </c>
      <c r="AG18" s="140">
        <f>IF($B18=0,"",_xlfn.XLOOKUP($B18,INPUT_DATA!$BP:$BP,INPUT_DATA!CJ:CJ))</f>
        <v>192.42</v>
      </c>
      <c r="AH18" s="140">
        <f>IF($B18=0,"",_xlfn.XLOOKUP($B18,INPUT_DATA!$BP:$BP,INPUT_DATA!CK:CK))</f>
        <v>0</v>
      </c>
      <c r="AI18" s="1300">
        <f t="shared" si="12"/>
        <v>0.6</v>
      </c>
      <c r="AJ18" s="1761">
        <f>IF($B18=0,"",_xlfn.XLOOKUP($B18,INPUT_DATA!$BP:$BP,INPUT_DATA!CL:CL))</f>
        <v>19118.566800000001</v>
      </c>
      <c r="AK18" s="1761">
        <f t="shared" si="13"/>
        <v>161134.41320000001</v>
      </c>
      <c r="AL18" s="1275">
        <f>IF($B18=0,"",_xlfn.XLOOKUP($B18,INPUT_DATA!$BP:$BP,INPUT_DATA!CM:CM))</f>
        <v>3</v>
      </c>
      <c r="AM18" s="1761">
        <f t="shared" si="15"/>
        <v>3213586.1332000005</v>
      </c>
      <c r="AN18" s="1275">
        <f t="shared" si="14"/>
        <v>22</v>
      </c>
      <c r="AO18" s="1239"/>
    </row>
    <row r="19" spans="2:41">
      <c r="B19" s="137">
        <f>INPUT_DATA!BP10</f>
        <v>45838</v>
      </c>
      <c r="C19" s="1291">
        <f>IF($B19=0,"",_xlfn.XLOOKUP($B19,INPUT_DATA!$BP:$BP,INPUT_DATA!BQ:BQ))</f>
        <v>0</v>
      </c>
      <c r="D19" s="140">
        <f>IF($B19=0,"",_xlfn.XLOOKUP($B19,INPUT_DATA!$BP:$BP,INPUT_DATA!BR:BR))</f>
        <v>0</v>
      </c>
      <c r="E19" s="140">
        <f>IF($B19=0,"",_xlfn.XLOOKUP($B19,INPUT_DATA!$BP:$BP,INPUT_DATA!BS:BS))</f>
        <v>0</v>
      </c>
      <c r="F19" s="140">
        <f t="shared" si="1"/>
        <v>0</v>
      </c>
      <c r="G19" s="1291">
        <f>IF($B19=0,"",_xlfn.XLOOKUP($B19,INPUT_DATA!$BP:$BP,INPUT_DATA!BT:BT))</f>
        <v>25</v>
      </c>
      <c r="H19" s="140">
        <f>IF($B19=0,"",_xlfn.XLOOKUP($B19,INPUT_DATA!$BP:$BP,INPUT_DATA!BU:BU))</f>
        <v>6188091.2599999988</v>
      </c>
      <c r="I19" s="140">
        <f>IF($B19=0,"",_xlfn.XLOOKUP($B19,INPUT_DATA!$BP:$BP,INPUT_DATA!BV:BV))</f>
        <v>4150.1000000000004</v>
      </c>
      <c r="J19" s="140">
        <f t="shared" si="2"/>
        <v>6192241.3599999985</v>
      </c>
      <c r="K19" s="1291">
        <f>IF($B19=0,"",_xlfn.XLOOKUP($B19,INPUT_DATA!$BP:$BP,INPUT_DATA!BW:BW))</f>
        <v>0</v>
      </c>
      <c r="L19" s="140">
        <f>IF($B19=0,"",_xlfn.XLOOKUP($B19,INPUT_DATA!$BP:$BP,INPUT_DATA!BX:BX))</f>
        <v>0</v>
      </c>
      <c r="M19" s="140">
        <f>IF($B19=0,"",_xlfn.XLOOKUP($B19,INPUT_DATA!$BP:$BP,INPUT_DATA!BY:BY))</f>
        <v>0</v>
      </c>
      <c r="N19" s="140">
        <f t="shared" si="3"/>
        <v>0</v>
      </c>
      <c r="O19" s="1275">
        <f t="shared" si="4"/>
        <v>25</v>
      </c>
      <c r="P19" s="139">
        <f t="shared" si="5"/>
        <v>6188091.2599999988</v>
      </c>
      <c r="Q19" s="139">
        <f t="shared" si="6"/>
        <v>4150.1000000000004</v>
      </c>
      <c r="R19" s="139">
        <f t="shared" si="7"/>
        <v>6192241.3599999985</v>
      </c>
      <c r="S19" s="140">
        <f>IF($B19=0,"",_xlfn.XLOOKUP($B19,INPUT_DATA!$BP:$BP,INPUT_DATA!BZ:BZ))</f>
        <v>6188091.2599999988</v>
      </c>
      <c r="T19" s="140">
        <f>IF($B19=0,"",_xlfn.XLOOKUP($B19,INPUT_DATA!$BP:$BP,INPUT_DATA!CA:CA))</f>
        <v>4150.1000000000004</v>
      </c>
      <c r="U19" s="140">
        <f>IF($B19=0,"",_xlfn.XLOOKUP($B19,INPUT_DATA!$BP:$BP,INPUT_DATA!CB:CB))</f>
        <v>0</v>
      </c>
      <c r="V19" s="1300">
        <f t="shared" si="8"/>
        <v>1</v>
      </c>
      <c r="W19" s="139">
        <f t="shared" si="9"/>
        <v>6192241.3599999985</v>
      </c>
      <c r="X19" s="139">
        <f>IF($B19=0,"",_xlfn.XLOOKUP($B19,INPUT_DATA!$BP:$BP,INPUT_DATA!CC:CC))</f>
        <v>25</v>
      </c>
      <c r="Y19" s="140">
        <f>IF($B19=0,"",_xlfn.XLOOKUP($B19,INPUT_DATA!$BP:$BP,INPUT_DATA!CD:CD))</f>
        <v>0</v>
      </c>
      <c r="Z19" s="140">
        <f>IF($B19=0,"",_xlfn.XLOOKUP($B19,INPUT_DATA!$BP:$BP,INPUT_DATA!CE:CE))</f>
        <v>0</v>
      </c>
      <c r="AA19" s="140">
        <f>IF($B19=0,"",_xlfn.XLOOKUP($B19,INPUT_DATA!$BP:$BP,INPUT_DATA!CF:CF))</f>
        <v>0</v>
      </c>
      <c r="AB19" s="1300">
        <f t="shared" si="10"/>
        <v>0.93</v>
      </c>
      <c r="AC19" s="139">
        <f>IF($B19=0,"",_xlfn.XLOOKUP($B19,INPUT_DATA!$BP:$BP,INPUT_DATA!CG:CG))</f>
        <v>0</v>
      </c>
      <c r="AD19" s="139">
        <f t="shared" si="11"/>
        <v>0</v>
      </c>
      <c r="AE19" s="1275">
        <f>IF($B19=0,"",_xlfn.XLOOKUP($B19,INPUT_DATA!$BP:$BP,INPUT_DATA!CH:CH))</f>
        <v>0</v>
      </c>
      <c r="AF19" s="140">
        <f>IF($B19=0,"",_xlfn.XLOOKUP($B19,INPUT_DATA!$BP:$BP,INPUT_DATA!CI:CI))</f>
        <v>714376.95000000007</v>
      </c>
      <c r="AG19" s="140">
        <f>IF($B19=0,"",_xlfn.XLOOKUP($B19,INPUT_DATA!$BP:$BP,INPUT_DATA!CJ:CJ))</f>
        <v>975.79</v>
      </c>
      <c r="AH19" s="140">
        <f>IF($B19=0,"",_xlfn.XLOOKUP($B19,INPUT_DATA!$BP:$BP,INPUT_DATA!CK:CK))</f>
        <v>0</v>
      </c>
      <c r="AI19" s="1300">
        <f t="shared" si="12"/>
        <v>0.6</v>
      </c>
      <c r="AJ19" s="1761">
        <f>IF($B19=0,"",_xlfn.XLOOKUP($B19,INPUT_DATA!$BP:$BP,INPUT_DATA!CL:CL))</f>
        <v>0</v>
      </c>
      <c r="AK19" s="1761">
        <f t="shared" si="13"/>
        <v>715352.74000000011</v>
      </c>
      <c r="AL19" s="1275">
        <f>IF($B19=0,"",_xlfn.XLOOKUP($B19,INPUT_DATA!$BP:$BP,INPUT_DATA!CM:CM))</f>
        <v>10</v>
      </c>
      <c r="AM19" s="1761">
        <f t="shared" si="15"/>
        <v>6907594.0999999987</v>
      </c>
      <c r="AN19" s="1275">
        <f t="shared" si="14"/>
        <v>35</v>
      </c>
      <c r="AO19" s="1239"/>
    </row>
    <row r="20" spans="2:41">
      <c r="B20" s="137">
        <f>INPUT_DATA!BP11</f>
        <v>45808</v>
      </c>
      <c r="C20" s="1291">
        <f>IF($B20=0,"",_xlfn.XLOOKUP($B20,INPUT_DATA!$BP:$BP,INPUT_DATA!BQ:BQ))</f>
        <v>2</v>
      </c>
      <c r="D20" s="140">
        <f>IF($B20=0,"",_xlfn.XLOOKUP($B20,INPUT_DATA!$BP:$BP,INPUT_DATA!BR:BR))</f>
        <v>322233.44</v>
      </c>
      <c r="E20" s="140">
        <f>IF($B20=0,"",_xlfn.XLOOKUP($B20,INPUT_DATA!$BP:$BP,INPUT_DATA!BS:BS))</f>
        <v>284.75</v>
      </c>
      <c r="F20" s="140">
        <f t="shared" si="1"/>
        <v>322518.19</v>
      </c>
      <c r="G20" s="1291">
        <f>IF($B20=0,"",_xlfn.XLOOKUP($B20,INPUT_DATA!$BP:$BP,INPUT_DATA!BT:BT))</f>
        <v>21</v>
      </c>
      <c r="H20" s="140">
        <f>IF($B20=0,"",_xlfn.XLOOKUP($B20,INPUT_DATA!$BP:$BP,INPUT_DATA!BU:BU))</f>
        <v>3429887.7700000005</v>
      </c>
      <c r="I20" s="140">
        <f>IF($B20=0,"",_xlfn.XLOOKUP($B20,INPUT_DATA!$BP:$BP,INPUT_DATA!BV:BV))</f>
        <v>2942.6600000000003</v>
      </c>
      <c r="J20" s="140">
        <f t="shared" si="2"/>
        <v>3432830.4300000006</v>
      </c>
      <c r="K20" s="1291">
        <f>IF($B20=0,"",_xlfn.XLOOKUP($B20,INPUT_DATA!$BP:$BP,INPUT_DATA!BW:BW))</f>
        <v>0</v>
      </c>
      <c r="L20" s="140">
        <f>IF($B20=0,"",_xlfn.XLOOKUP($B20,INPUT_DATA!$BP:$BP,INPUT_DATA!BX:BX))</f>
        <v>0</v>
      </c>
      <c r="M20" s="140">
        <f>IF($B20=0,"",_xlfn.XLOOKUP($B20,INPUT_DATA!$BP:$BP,INPUT_DATA!BY:BY))</f>
        <v>0</v>
      </c>
      <c r="N20" s="140">
        <f t="shared" si="3"/>
        <v>0</v>
      </c>
      <c r="O20" s="1275">
        <f t="shared" si="4"/>
        <v>23</v>
      </c>
      <c r="P20" s="139">
        <f t="shared" si="5"/>
        <v>3752121.2100000004</v>
      </c>
      <c r="Q20" s="139">
        <f t="shared" si="6"/>
        <v>3227.4100000000003</v>
      </c>
      <c r="R20" s="139">
        <f t="shared" si="7"/>
        <v>3755348.6200000006</v>
      </c>
      <c r="S20" s="140">
        <f>IF($B20=0,"",_xlfn.XLOOKUP($B20,INPUT_DATA!$BP:$BP,INPUT_DATA!BZ:BZ))</f>
        <v>3752121.2100000004</v>
      </c>
      <c r="T20" s="140">
        <f>IF($B20=0,"",_xlfn.XLOOKUP($B20,INPUT_DATA!$BP:$BP,INPUT_DATA!CA:CA))</f>
        <v>3227.4100000000003</v>
      </c>
      <c r="U20" s="140">
        <f>IF($B20=0,"",_xlfn.XLOOKUP($B20,INPUT_DATA!$BP:$BP,INPUT_DATA!CB:CB))</f>
        <v>1342.65</v>
      </c>
      <c r="V20" s="1300">
        <f t="shared" si="8"/>
        <v>1</v>
      </c>
      <c r="W20" s="139">
        <f t="shared" si="9"/>
        <v>3756691.2700000005</v>
      </c>
      <c r="X20" s="139">
        <f>IF($B20=0,"",_xlfn.XLOOKUP($B20,INPUT_DATA!$BP:$BP,INPUT_DATA!CC:CC))</f>
        <v>23</v>
      </c>
      <c r="Y20" s="140">
        <f>IF($B20=0,"",_xlfn.XLOOKUP($B20,INPUT_DATA!$BP:$BP,INPUT_DATA!CD:CD))</f>
        <v>0</v>
      </c>
      <c r="Z20" s="140">
        <f>IF($B20=0,"",_xlfn.XLOOKUP($B20,INPUT_DATA!$BP:$BP,INPUT_DATA!CE:CE))</f>
        <v>0</v>
      </c>
      <c r="AA20" s="140">
        <f>IF($B20=0,"",_xlfn.XLOOKUP($B20,INPUT_DATA!$BP:$BP,INPUT_DATA!CF:CF))</f>
        <v>0</v>
      </c>
      <c r="AB20" s="1300">
        <f t="shared" si="10"/>
        <v>0.93</v>
      </c>
      <c r="AC20" s="139">
        <f>IF($B20=0,"",_xlfn.XLOOKUP($B20,INPUT_DATA!$BP:$BP,INPUT_DATA!CG:CG))</f>
        <v>0</v>
      </c>
      <c r="AD20" s="139">
        <f t="shared" si="11"/>
        <v>0</v>
      </c>
      <c r="AE20" s="1275">
        <f>IF($B20=0,"",_xlfn.XLOOKUP($B20,INPUT_DATA!$BP:$BP,INPUT_DATA!CH:CH))</f>
        <v>0</v>
      </c>
      <c r="AF20" s="140">
        <f>IF($B20=0,"",_xlfn.XLOOKUP($B20,INPUT_DATA!$BP:$BP,INPUT_DATA!CI:CI))</f>
        <v>1227113.95</v>
      </c>
      <c r="AG20" s="140">
        <f>IF($B20=0,"",_xlfn.XLOOKUP($B20,INPUT_DATA!$BP:$BP,INPUT_DATA!CJ:CJ))</f>
        <v>1398.9199999999998</v>
      </c>
      <c r="AH20" s="140">
        <f>IF($B20=0,"",_xlfn.XLOOKUP($B20,INPUT_DATA!$BP:$BP,INPUT_DATA!CK:CK))</f>
        <v>0</v>
      </c>
      <c r="AI20" s="1300">
        <f t="shared" si="12"/>
        <v>0.6</v>
      </c>
      <c r="AJ20" s="1761">
        <f>IF($B20=0,"",_xlfn.XLOOKUP($B20,INPUT_DATA!$BP:$BP,INPUT_DATA!CL:CL))</f>
        <v>7044.9869000000008</v>
      </c>
      <c r="AK20" s="1761">
        <f t="shared" si="13"/>
        <v>1221467.8831</v>
      </c>
      <c r="AL20" s="1275">
        <f>IF($B20=0,"",_xlfn.XLOOKUP($B20,INPUT_DATA!$BP:$BP,INPUT_DATA!CM:CM))</f>
        <v>10</v>
      </c>
      <c r="AM20" s="1761">
        <f t="shared" si="15"/>
        <v>4978159.1531000007</v>
      </c>
      <c r="AN20" s="1275">
        <f t="shared" si="14"/>
        <v>33</v>
      </c>
    </row>
    <row r="21" spans="2:41">
      <c r="B21" s="137">
        <f>INPUT_DATA!BP12</f>
        <v>45777</v>
      </c>
      <c r="C21" s="1291">
        <f>IF($B21=0,"",_xlfn.XLOOKUP($B21,INPUT_DATA!$BP:$BP,INPUT_DATA!BQ:BQ))</f>
        <v>1</v>
      </c>
      <c r="D21" s="140">
        <f>IF($B21=0,"",_xlfn.XLOOKUP($B21,INPUT_DATA!$BP:$BP,INPUT_DATA!BR:BR))</f>
        <v>78474.25</v>
      </c>
      <c r="E21" s="140">
        <f>IF($B21=0,"",_xlfn.XLOOKUP($B21,INPUT_DATA!$BP:$BP,INPUT_DATA!BS:BS))</f>
        <v>75.2</v>
      </c>
      <c r="F21" s="140">
        <f t="shared" si="1"/>
        <v>78549.45</v>
      </c>
      <c r="G21" s="1291">
        <f>IF($B21=0,"",_xlfn.XLOOKUP($B21,INPUT_DATA!$BP:$BP,INPUT_DATA!BT:BT))</f>
        <v>21</v>
      </c>
      <c r="H21" s="140">
        <f>IF($B21=0,"",_xlfn.XLOOKUP($B21,INPUT_DATA!$BP:$BP,INPUT_DATA!BU:BU))</f>
        <v>4040646.3600000003</v>
      </c>
      <c r="I21" s="140">
        <f>IF($B21=0,"",_xlfn.XLOOKUP($B21,INPUT_DATA!$BP:$BP,INPUT_DATA!BV:BV))</f>
        <v>2824.41</v>
      </c>
      <c r="J21" s="140">
        <f t="shared" si="2"/>
        <v>4043470.7700000005</v>
      </c>
      <c r="K21" s="1291">
        <f>IF($B21=0,"",_xlfn.XLOOKUP($B21,INPUT_DATA!$BP:$BP,INPUT_DATA!BW:BW))</f>
        <v>0</v>
      </c>
      <c r="L21" s="140">
        <f>IF($B21=0,"",_xlfn.XLOOKUP($B21,INPUT_DATA!$BP:$BP,INPUT_DATA!BX:BX))</f>
        <v>0</v>
      </c>
      <c r="M21" s="140">
        <f>IF($B21=0,"",_xlfn.XLOOKUP($B21,INPUT_DATA!$BP:$BP,INPUT_DATA!BY:BY))</f>
        <v>0</v>
      </c>
      <c r="N21" s="140">
        <f t="shared" si="3"/>
        <v>0</v>
      </c>
      <c r="O21" s="1275">
        <f t="shared" si="4"/>
        <v>22</v>
      </c>
      <c r="P21" s="139">
        <f t="shared" si="5"/>
        <v>4119120.6100000003</v>
      </c>
      <c r="Q21" s="139">
        <f t="shared" si="6"/>
        <v>2899.6099999999997</v>
      </c>
      <c r="R21" s="139">
        <f t="shared" si="7"/>
        <v>4122020.2200000007</v>
      </c>
      <c r="S21" s="140">
        <f>IF($B21=0,"",_xlfn.XLOOKUP($B21,INPUT_DATA!$BP:$BP,INPUT_DATA!BZ:BZ))</f>
        <v>4119120.6100000003</v>
      </c>
      <c r="T21" s="140">
        <f>IF($B21=0,"",_xlfn.XLOOKUP($B21,INPUT_DATA!$BP:$BP,INPUT_DATA!CA:CA))</f>
        <v>2899.6099999999997</v>
      </c>
      <c r="U21" s="140">
        <f>IF($B21=0,"",_xlfn.XLOOKUP($B21,INPUT_DATA!$BP:$BP,INPUT_DATA!CB:CB))</f>
        <v>0</v>
      </c>
      <c r="V21" s="1300">
        <f t="shared" si="8"/>
        <v>1</v>
      </c>
      <c r="W21" s="139">
        <f t="shared" si="9"/>
        <v>4122020.22</v>
      </c>
      <c r="X21" s="139">
        <f>IF($B21=0,"",_xlfn.XLOOKUP($B21,INPUT_DATA!$BP:$BP,INPUT_DATA!CC:CC))</f>
        <v>22</v>
      </c>
      <c r="Y21" s="140">
        <f>IF($B21=0,"",_xlfn.XLOOKUP($B21,INPUT_DATA!$BP:$BP,INPUT_DATA!CD:CD))</f>
        <v>0</v>
      </c>
      <c r="Z21" s="140">
        <f>IF($B21=0,"",_xlfn.XLOOKUP($B21,INPUT_DATA!$BP:$BP,INPUT_DATA!CE:CE))</f>
        <v>0</v>
      </c>
      <c r="AA21" s="140">
        <f>IF($B21=0,"",_xlfn.XLOOKUP($B21,INPUT_DATA!$BP:$BP,INPUT_DATA!CF:CF))</f>
        <v>0</v>
      </c>
      <c r="AB21" s="1300">
        <f t="shared" si="10"/>
        <v>0.93</v>
      </c>
      <c r="AC21" s="139">
        <f>IF($B21=0,"",_xlfn.XLOOKUP($B21,INPUT_DATA!$BP:$BP,INPUT_DATA!CG:CG))</f>
        <v>0</v>
      </c>
      <c r="AD21" s="139">
        <f t="shared" si="11"/>
        <v>0</v>
      </c>
      <c r="AE21" s="1275">
        <f>IF($B21=0,"",_xlfn.XLOOKUP($B21,INPUT_DATA!$BP:$BP,INPUT_DATA!CH:CH))</f>
        <v>0</v>
      </c>
      <c r="AF21" s="140">
        <f>IF($B21=0,"",_xlfn.XLOOKUP($B21,INPUT_DATA!$BP:$BP,INPUT_DATA!CI:CI))</f>
        <v>279860.35000000003</v>
      </c>
      <c r="AG21" s="140">
        <f>IF($B21=0,"",_xlfn.XLOOKUP($B21,INPUT_DATA!$BP:$BP,INPUT_DATA!CJ:CJ))</f>
        <v>140.32</v>
      </c>
      <c r="AH21" s="140">
        <f>IF($B21=0,"",_xlfn.XLOOKUP($B21,INPUT_DATA!$BP:$BP,INPUT_DATA!CK:CK))</f>
        <v>2841.66</v>
      </c>
      <c r="AI21" s="1300">
        <f t="shared" si="12"/>
        <v>0.6</v>
      </c>
      <c r="AJ21" s="1761">
        <f>IF($B21=0,"",_xlfn.XLOOKUP($B21,INPUT_DATA!$BP:$BP,INPUT_DATA!CL:CL))</f>
        <v>0</v>
      </c>
      <c r="AK21" s="1761">
        <f t="shared" si="13"/>
        <v>282842.33</v>
      </c>
      <c r="AL21" s="1275">
        <f>IF($B21=0,"",_xlfn.XLOOKUP($B21,INPUT_DATA!$BP:$BP,INPUT_DATA!CM:CM))</f>
        <v>4</v>
      </c>
      <c r="AM21" s="1761">
        <f t="shared" si="15"/>
        <v>4404862.55</v>
      </c>
      <c r="AN21" s="1275">
        <f t="shared" si="14"/>
        <v>26</v>
      </c>
    </row>
    <row r="22" spans="2:41">
      <c r="B22" s="137">
        <f>INPUT_DATA!BP13</f>
        <v>45747</v>
      </c>
      <c r="C22" s="1291">
        <f>IF($B22=0,"",_xlfn.XLOOKUP($B22,INPUT_DATA!$BP:$BP,INPUT_DATA!BQ:BQ))</f>
        <v>0</v>
      </c>
      <c r="D22" s="140">
        <f>IF($B22=0,"",_xlfn.XLOOKUP($B22,INPUT_DATA!$BP:$BP,INPUT_DATA!BR:BR))</f>
        <v>0</v>
      </c>
      <c r="E22" s="140">
        <f>IF($B22=0,"",_xlfn.XLOOKUP($B22,INPUT_DATA!$BP:$BP,INPUT_DATA!BS:BS))</f>
        <v>0</v>
      </c>
      <c r="F22" s="140">
        <f t="shared" si="1"/>
        <v>0</v>
      </c>
      <c r="G22" s="1291">
        <f>IF($B22=0,"",_xlfn.XLOOKUP($B22,INPUT_DATA!$BP:$BP,INPUT_DATA!BT:BT))</f>
        <v>19</v>
      </c>
      <c r="H22" s="140">
        <f>IF($B22=0,"",_xlfn.XLOOKUP($B22,INPUT_DATA!$BP:$BP,INPUT_DATA!BU:BU))</f>
        <v>1994383.5400000005</v>
      </c>
      <c r="I22" s="140">
        <f>IF($B22=0,"",_xlfn.XLOOKUP($B22,INPUT_DATA!$BP:$BP,INPUT_DATA!BV:BV))</f>
        <v>1968.1099999999997</v>
      </c>
      <c r="J22" s="140">
        <f t="shared" si="2"/>
        <v>1996351.6500000006</v>
      </c>
      <c r="K22" s="1291">
        <f>IF($B22=0,"",_xlfn.XLOOKUP($B22,INPUT_DATA!$BP:$BP,INPUT_DATA!BW:BW))</f>
        <v>0</v>
      </c>
      <c r="L22" s="140">
        <f>IF($B22=0,"",_xlfn.XLOOKUP($B22,INPUT_DATA!$BP:$BP,INPUT_DATA!BX:BX))</f>
        <v>0</v>
      </c>
      <c r="M22" s="140">
        <f>IF($B22=0,"",_xlfn.XLOOKUP($B22,INPUT_DATA!$BP:$BP,INPUT_DATA!BY:BY))</f>
        <v>0</v>
      </c>
      <c r="N22" s="140">
        <f t="shared" si="3"/>
        <v>0</v>
      </c>
      <c r="O22" s="1275">
        <f t="shared" si="4"/>
        <v>19</v>
      </c>
      <c r="P22" s="139">
        <f t="shared" si="5"/>
        <v>1994383.5400000005</v>
      </c>
      <c r="Q22" s="139">
        <f t="shared" si="6"/>
        <v>1968.1099999999997</v>
      </c>
      <c r="R22" s="139">
        <f t="shared" si="7"/>
        <v>1996351.6500000006</v>
      </c>
      <c r="S22" s="140">
        <f>IF($B22=0,"",_xlfn.XLOOKUP($B22,INPUT_DATA!$BP:$BP,INPUT_DATA!BZ:BZ))</f>
        <v>1994383.5400000005</v>
      </c>
      <c r="T22" s="140">
        <f>IF($B22=0,"",_xlfn.XLOOKUP($B22,INPUT_DATA!$BP:$BP,INPUT_DATA!CA:CA))</f>
        <v>1968.1099999999997</v>
      </c>
      <c r="U22" s="140">
        <f>IF($B22=0,"",_xlfn.XLOOKUP($B22,INPUT_DATA!$BP:$BP,INPUT_DATA!CB:CB))</f>
        <v>0</v>
      </c>
      <c r="V22" s="1300">
        <f t="shared" si="8"/>
        <v>1</v>
      </c>
      <c r="W22" s="139">
        <f t="shared" si="9"/>
        <v>1996351.6500000006</v>
      </c>
      <c r="X22" s="139">
        <f>IF($B22=0,"",_xlfn.XLOOKUP($B22,INPUT_DATA!$BP:$BP,INPUT_DATA!CC:CC))</f>
        <v>19</v>
      </c>
      <c r="Y22" s="140">
        <f>IF($B22=0,"",_xlfn.XLOOKUP($B22,INPUT_DATA!$BP:$BP,INPUT_DATA!CD:CD))</f>
        <v>0</v>
      </c>
      <c r="Z22" s="140">
        <f>IF($B22=0,"",_xlfn.XLOOKUP($B22,INPUT_DATA!$BP:$BP,INPUT_DATA!CE:CE))</f>
        <v>0</v>
      </c>
      <c r="AA22" s="140">
        <f>IF($B22=0,"",_xlfn.XLOOKUP($B22,INPUT_DATA!$BP:$BP,INPUT_DATA!CF:CF))</f>
        <v>0</v>
      </c>
      <c r="AB22" s="1300">
        <f t="shared" si="10"/>
        <v>0.93</v>
      </c>
      <c r="AC22" s="139">
        <f>IF($B22=0,"",_xlfn.XLOOKUP($B22,INPUT_DATA!$BP:$BP,INPUT_DATA!CG:CG))</f>
        <v>0</v>
      </c>
      <c r="AD22" s="139">
        <f t="shared" si="11"/>
        <v>0</v>
      </c>
      <c r="AE22" s="1275">
        <f>IF($B22=0,"",_xlfn.XLOOKUP($B22,INPUT_DATA!$BP:$BP,INPUT_DATA!CH:CH))</f>
        <v>0</v>
      </c>
      <c r="AF22" s="140">
        <f>IF($B22=0,"",_xlfn.XLOOKUP($B22,INPUT_DATA!$BP:$BP,INPUT_DATA!CI:CI))</f>
        <v>206709.84000000003</v>
      </c>
      <c r="AG22" s="140">
        <f>IF($B22=0,"",_xlfn.XLOOKUP($B22,INPUT_DATA!$BP:$BP,INPUT_DATA!CJ:CJ))</f>
        <v>359.76</v>
      </c>
      <c r="AH22" s="140">
        <f>IF($B22=0,"",_xlfn.XLOOKUP($B22,INPUT_DATA!$BP:$BP,INPUT_DATA!CK:CK))</f>
        <v>0</v>
      </c>
      <c r="AI22" s="1300">
        <f t="shared" si="12"/>
        <v>0.6</v>
      </c>
      <c r="AJ22" s="139">
        <f>IF($B22=0,"",_xlfn.XLOOKUP($B22,INPUT_DATA!$BP:$BP,INPUT_DATA!CL:CL))</f>
        <v>0</v>
      </c>
      <c r="AK22" s="1761">
        <f t="shared" si="13"/>
        <v>207069.60000000003</v>
      </c>
      <c r="AL22" s="1275">
        <f>IF($B22=0,"",_xlfn.XLOOKUP($B22,INPUT_DATA!$BP:$BP,INPUT_DATA!CM:CM))</f>
        <v>2</v>
      </c>
      <c r="AM22" s="1761">
        <f t="shared" si="15"/>
        <v>2203421.2500000005</v>
      </c>
      <c r="AN22" s="1275">
        <f t="shared" si="14"/>
        <v>21</v>
      </c>
    </row>
    <row r="23" spans="2:41">
      <c r="B23" s="137">
        <f>INPUT_DATA!BP14</f>
        <v>45716</v>
      </c>
      <c r="C23" s="1291">
        <f>IF($B23=0,"",_xlfn.XLOOKUP($B23,INPUT_DATA!$BP:$BP,INPUT_DATA!BQ:BQ))</f>
        <v>0</v>
      </c>
      <c r="D23" s="140">
        <f>IF($B23=0,"",_xlfn.XLOOKUP($B23,INPUT_DATA!$BP:$BP,INPUT_DATA!BR:BR))</f>
        <v>0</v>
      </c>
      <c r="E23" s="140">
        <f>IF($B23=0,"",_xlfn.XLOOKUP($B23,INPUT_DATA!$BP:$BP,INPUT_DATA!BS:BS))</f>
        <v>0</v>
      </c>
      <c r="F23" s="140">
        <f t="shared" si="1"/>
        <v>0</v>
      </c>
      <c r="G23" s="1291">
        <f>IF($B23=0,"",_xlfn.XLOOKUP($B23,INPUT_DATA!$BP:$BP,INPUT_DATA!BT:BT))</f>
        <v>20</v>
      </c>
      <c r="H23" s="140">
        <f>IF($B23=0,"",_xlfn.XLOOKUP($B23,INPUT_DATA!$BP:$BP,INPUT_DATA!BU:BU))</f>
        <v>4466570.6999999993</v>
      </c>
      <c r="I23" s="140">
        <f>IF($B23=0,"",_xlfn.XLOOKUP($B23,INPUT_DATA!$BP:$BP,INPUT_DATA!BV:BV))</f>
        <v>3668.8299999999995</v>
      </c>
      <c r="J23" s="140">
        <f t="shared" si="2"/>
        <v>4470239.5299999993</v>
      </c>
      <c r="K23" s="1291">
        <f>IF($B23=0,"",_xlfn.XLOOKUP($B23,INPUT_DATA!$BP:$BP,INPUT_DATA!BW:BW))</f>
        <v>0</v>
      </c>
      <c r="L23" s="140">
        <f>IF($B23=0,"",_xlfn.XLOOKUP($B23,INPUT_DATA!$BP:$BP,INPUT_DATA!BX:BX))</f>
        <v>0</v>
      </c>
      <c r="M23" s="140">
        <f>IF($B23=0,"",_xlfn.XLOOKUP($B23,INPUT_DATA!$BP:$BP,INPUT_DATA!BY:BY))</f>
        <v>0</v>
      </c>
      <c r="N23" s="140">
        <f t="shared" si="3"/>
        <v>0</v>
      </c>
      <c r="O23" s="1275">
        <f t="shared" si="4"/>
        <v>20</v>
      </c>
      <c r="P23" s="139">
        <f t="shared" si="5"/>
        <v>4466570.6999999993</v>
      </c>
      <c r="Q23" s="139">
        <f t="shared" si="6"/>
        <v>3668.8299999999995</v>
      </c>
      <c r="R23" s="139">
        <f t="shared" si="7"/>
        <v>4470239.5299999993</v>
      </c>
      <c r="S23" s="140">
        <f>IF($B23=0,"",_xlfn.XLOOKUP($B23,INPUT_DATA!$BP:$BP,INPUT_DATA!BZ:BZ))</f>
        <v>4466570.6999999993</v>
      </c>
      <c r="T23" s="140">
        <f>IF($B23=0,"",_xlfn.XLOOKUP($B23,INPUT_DATA!$BP:$BP,INPUT_DATA!CA:CA))</f>
        <v>3668.8299999999995</v>
      </c>
      <c r="U23" s="140">
        <f>IF($B23=0,"",_xlfn.XLOOKUP($B23,INPUT_DATA!$BP:$BP,INPUT_DATA!CB:CB))</f>
        <v>0</v>
      </c>
      <c r="V23" s="1300">
        <f t="shared" si="8"/>
        <v>1</v>
      </c>
      <c r="W23" s="139">
        <f t="shared" si="9"/>
        <v>4470239.5299999993</v>
      </c>
      <c r="X23" s="139">
        <f>IF($B23=0,"",_xlfn.XLOOKUP($B23,INPUT_DATA!$BP:$BP,INPUT_DATA!CC:CC))</f>
        <v>20</v>
      </c>
      <c r="Y23" s="140">
        <f>IF($B23=0,"",_xlfn.XLOOKUP($B23,INPUT_DATA!$BP:$BP,INPUT_DATA!CD:CD))</f>
        <v>0</v>
      </c>
      <c r="Z23" s="140">
        <f>IF($B23=0,"",_xlfn.XLOOKUP($B23,INPUT_DATA!$BP:$BP,INPUT_DATA!CE:CE))</f>
        <v>0</v>
      </c>
      <c r="AA23" s="140">
        <f>IF($B23=0,"",_xlfn.XLOOKUP($B23,INPUT_DATA!$BP:$BP,INPUT_DATA!CF:CF))</f>
        <v>0</v>
      </c>
      <c r="AB23" s="1300">
        <f t="shared" si="10"/>
        <v>0.93</v>
      </c>
      <c r="AC23" s="139">
        <f>IF($B23=0,"",_xlfn.XLOOKUP($B23,INPUT_DATA!$BP:$BP,INPUT_DATA!CG:CG))</f>
        <v>0</v>
      </c>
      <c r="AD23" s="139">
        <f t="shared" si="11"/>
        <v>0</v>
      </c>
      <c r="AE23" s="1275">
        <f>IF($B23=0,"",_xlfn.XLOOKUP($B23,INPUT_DATA!$BP:$BP,INPUT_DATA!CH:CH))</f>
        <v>0</v>
      </c>
      <c r="AF23" s="140">
        <f>IF($B23=0,"",_xlfn.XLOOKUP($B23,INPUT_DATA!$BP:$BP,INPUT_DATA!CI:CI))</f>
        <v>409364.52000000008</v>
      </c>
      <c r="AG23" s="140">
        <f>IF($B23=0,"",_xlfn.XLOOKUP($B23,INPUT_DATA!$BP:$BP,INPUT_DATA!CJ:CJ))</f>
        <v>168.14</v>
      </c>
      <c r="AH23" s="140">
        <f>IF($B23=0,"",_xlfn.XLOOKUP($B23,INPUT_DATA!$BP:$BP,INPUT_DATA!CK:CK))</f>
        <v>0</v>
      </c>
      <c r="AI23" s="1300">
        <f t="shared" si="12"/>
        <v>0.6</v>
      </c>
      <c r="AJ23" s="139">
        <f>IF($B23=0,"",_xlfn.XLOOKUP($B23,INPUT_DATA!$BP:$BP,INPUT_DATA!CL:CL))</f>
        <v>0</v>
      </c>
      <c r="AK23" s="139">
        <f t="shared" si="13"/>
        <v>409532.66000000009</v>
      </c>
      <c r="AL23" s="1275">
        <f>IF($B23=0,"",_xlfn.XLOOKUP($B23,INPUT_DATA!$BP:$BP,INPUT_DATA!CM:CM))</f>
        <v>6</v>
      </c>
      <c r="AM23" s="139">
        <f t="shared" ref="AM23:AM77" si="16">IF($B23=0,"",SUM(W23,AD23,AK23))</f>
        <v>4879772.1899999995</v>
      </c>
      <c r="AN23" s="1275">
        <f t="shared" si="14"/>
        <v>26</v>
      </c>
    </row>
    <row r="24" spans="2:41">
      <c r="B24" s="137">
        <f>INPUT_DATA!BP15</f>
        <v>45688</v>
      </c>
      <c r="C24" s="1291">
        <f>IF($B24=0,"",_xlfn.XLOOKUP($B24,INPUT_DATA!$BP:$BP,INPUT_DATA!BQ:BQ))</f>
        <v>1</v>
      </c>
      <c r="D24" s="140">
        <f>IF($B24=0,"",_xlfn.XLOOKUP($B24,INPUT_DATA!$BP:$BP,INPUT_DATA!BR:BR))</f>
        <v>72001.25</v>
      </c>
      <c r="E24" s="140">
        <f>IF($B24=0,"",_xlfn.XLOOKUP($B24,INPUT_DATA!$BP:$BP,INPUT_DATA!BS:BS))</f>
        <v>50.4</v>
      </c>
      <c r="F24" s="140">
        <f t="shared" si="1"/>
        <v>72051.649999999994</v>
      </c>
      <c r="G24" s="1291">
        <f>IF($B24=0,"",_xlfn.XLOOKUP($B24,INPUT_DATA!$BP:$BP,INPUT_DATA!BT:BT))</f>
        <v>20</v>
      </c>
      <c r="H24" s="140">
        <f>IF($B24=0,"",_xlfn.XLOOKUP($B24,INPUT_DATA!$BP:$BP,INPUT_DATA!BU:BU))</f>
        <v>3671628.52</v>
      </c>
      <c r="I24" s="140">
        <f>IF($B24=0,"",_xlfn.XLOOKUP($B24,INPUT_DATA!$BP:$BP,INPUT_DATA!BV:BV))</f>
        <v>3756.21</v>
      </c>
      <c r="J24" s="140"/>
      <c r="K24" s="1291">
        <f>IF($B24=0,"",_xlfn.XLOOKUP($B24,INPUT_DATA!$BP:$BP,INPUT_DATA!BW:BW))</f>
        <v>0</v>
      </c>
      <c r="L24" s="140">
        <f>IF($B24=0,"",_xlfn.XLOOKUP($B24,INPUT_DATA!$BP:$BP,INPUT_DATA!BX:BX))</f>
        <v>0</v>
      </c>
      <c r="M24" s="140">
        <f>IF($B24=0,"",_xlfn.XLOOKUP($B24,INPUT_DATA!$BP:$BP,INPUT_DATA!BY:BY))</f>
        <v>0</v>
      </c>
      <c r="N24" s="140">
        <f t="shared" si="3"/>
        <v>0</v>
      </c>
      <c r="O24" s="1275">
        <f t="shared" si="4"/>
        <v>21</v>
      </c>
      <c r="P24" s="139">
        <f t="shared" si="5"/>
        <v>3743629.77</v>
      </c>
      <c r="Q24" s="139">
        <f t="shared" si="6"/>
        <v>3806.61</v>
      </c>
      <c r="R24" s="139">
        <f t="shared" si="7"/>
        <v>72051.649999999994</v>
      </c>
      <c r="S24" s="140">
        <f>IF($B24=0,"",_xlfn.XLOOKUP($B24,INPUT_DATA!$BP:$BP,INPUT_DATA!BZ:BZ))</f>
        <v>3743629.77</v>
      </c>
      <c r="T24" s="140">
        <f>IF($B24=0,"",_xlfn.XLOOKUP($B24,INPUT_DATA!$BP:$BP,INPUT_DATA!CA:CA))</f>
        <v>3806.61</v>
      </c>
      <c r="U24" s="140">
        <f>IF($B24=0,"",_xlfn.XLOOKUP($B24,INPUT_DATA!$BP:$BP,INPUT_DATA!CB:CB))</f>
        <v>0</v>
      </c>
      <c r="V24" s="1300">
        <f t="shared" si="8"/>
        <v>1</v>
      </c>
      <c r="W24" s="139">
        <f t="shared" si="9"/>
        <v>3747436.38</v>
      </c>
      <c r="X24" s="139">
        <f>IF($B24=0,"",_xlfn.XLOOKUP($B24,INPUT_DATA!$BP:$BP,INPUT_DATA!CC:CC))</f>
        <v>21</v>
      </c>
      <c r="Y24" s="140">
        <f>IF($B24=0,"",_xlfn.XLOOKUP($B24,INPUT_DATA!$BP:$BP,INPUT_DATA!CD:CD))</f>
        <v>0</v>
      </c>
      <c r="Z24" s="140">
        <f>IF($B24=0,"",_xlfn.XLOOKUP($B24,INPUT_DATA!$BP:$BP,INPUT_DATA!CE:CE))</f>
        <v>0</v>
      </c>
      <c r="AA24" s="140">
        <f>IF($B24=0,"",_xlfn.XLOOKUP($B24,INPUT_DATA!$BP:$BP,INPUT_DATA!CF:CF))</f>
        <v>0</v>
      </c>
      <c r="AB24" s="1300">
        <f t="shared" si="10"/>
        <v>0.93</v>
      </c>
      <c r="AC24" s="139">
        <f>IF($B24=0,"",_xlfn.XLOOKUP($B24,INPUT_DATA!$BP:$BP,INPUT_DATA!CG:CG))</f>
        <v>0</v>
      </c>
      <c r="AD24" s="139">
        <f t="shared" si="11"/>
        <v>0</v>
      </c>
      <c r="AE24" s="1275">
        <f>IF($B24=0,"",_xlfn.XLOOKUP($B24,INPUT_DATA!$BP:$BP,INPUT_DATA!CH:CH))</f>
        <v>0</v>
      </c>
      <c r="AF24" s="140">
        <f>IF($B24=0,"",_xlfn.XLOOKUP($B24,INPUT_DATA!$BP:$BP,INPUT_DATA!CI:CI))</f>
        <v>238668.41</v>
      </c>
      <c r="AG24" s="140">
        <f>IF($B24=0,"",_xlfn.XLOOKUP($B24,INPUT_DATA!$BP:$BP,INPUT_DATA!CJ:CJ))</f>
        <v>90.25</v>
      </c>
      <c r="AH24" s="140">
        <f>IF($B24=0,"",_xlfn.XLOOKUP($B24,INPUT_DATA!$BP:$BP,INPUT_DATA!CK:CK))</f>
        <v>0</v>
      </c>
      <c r="AI24" s="1300">
        <f t="shared" si="12"/>
        <v>0.6</v>
      </c>
      <c r="AJ24" s="139">
        <f>IF($B24=0,"",_xlfn.XLOOKUP($B24,INPUT_DATA!$BP:$BP,INPUT_DATA!CL:CL))</f>
        <v>0</v>
      </c>
      <c r="AK24" s="139">
        <f t="shared" si="13"/>
        <v>238758.66</v>
      </c>
      <c r="AL24" s="1275">
        <f>IF($B24=0,"",_xlfn.XLOOKUP($B24,INPUT_DATA!$BP:$BP,INPUT_DATA!CM:CM))</f>
        <v>2</v>
      </c>
      <c r="AM24" s="139">
        <f t="shared" si="16"/>
        <v>3986195.04</v>
      </c>
      <c r="AN24" s="1275">
        <f t="shared" si="14"/>
        <v>23</v>
      </c>
    </row>
    <row r="25" spans="2:41">
      <c r="B25" s="137">
        <f>INPUT_DATA!BP16</f>
        <v>45657</v>
      </c>
      <c r="C25" s="1291">
        <f>IF($B25=0,"",_xlfn.XLOOKUP($B25,INPUT_DATA!$BP:$BP,INPUT_DATA!BQ:BQ))</f>
        <v>2</v>
      </c>
      <c r="D25" s="140">
        <f>IF($B25=0,"",_xlfn.XLOOKUP($B25,INPUT_DATA!$BP:$BP,INPUT_DATA!BR:BR))</f>
        <v>574406.91999999993</v>
      </c>
      <c r="E25" s="140">
        <f>IF($B25=0,"",_xlfn.XLOOKUP($B25,INPUT_DATA!$BP:$BP,INPUT_DATA!BS:BS))</f>
        <v>417.5</v>
      </c>
      <c r="F25" s="140">
        <f t="shared" si="1"/>
        <v>574824.41999999993</v>
      </c>
      <c r="G25" s="1291">
        <f>IF($B25=0,"",_xlfn.XLOOKUP($B25,INPUT_DATA!$BP:$BP,INPUT_DATA!BT:BT))</f>
        <v>6</v>
      </c>
      <c r="H25" s="140">
        <f>IF($B25=0,"",_xlfn.XLOOKUP($B25,INPUT_DATA!$BP:$BP,INPUT_DATA!BU:BU))</f>
        <v>820697.87</v>
      </c>
      <c r="I25" s="140">
        <f>IF($B25=0,"",_xlfn.XLOOKUP($B25,INPUT_DATA!$BP:$BP,INPUT_DATA!BV:BV))</f>
        <v>1068.02</v>
      </c>
      <c r="J25" s="140">
        <f t="shared" si="2"/>
        <v>821765.89</v>
      </c>
      <c r="K25" s="1291">
        <f>IF($B25=0,"",_xlfn.XLOOKUP($B25,INPUT_DATA!$BP:$BP,INPUT_DATA!BW:BW))</f>
        <v>14</v>
      </c>
      <c r="L25" s="140">
        <f>IF($B25=0,"",_xlfn.XLOOKUP($B25,INPUT_DATA!$BP:$BP,INPUT_DATA!BX:BX))</f>
        <v>1995804.8499999996</v>
      </c>
      <c r="M25" s="140">
        <f>IF($B25=0,"",_xlfn.XLOOKUP($B25,INPUT_DATA!$BP:$BP,INPUT_DATA!BY:BY))</f>
        <v>1808.9099999999996</v>
      </c>
      <c r="N25" s="140">
        <f t="shared" si="3"/>
        <v>1997613.7599999995</v>
      </c>
      <c r="O25" s="1275">
        <f t="shared" si="4"/>
        <v>22</v>
      </c>
      <c r="P25" s="139">
        <f t="shared" si="5"/>
        <v>3390909.6399999997</v>
      </c>
      <c r="Q25" s="139">
        <f t="shared" si="6"/>
        <v>3294.4299999999994</v>
      </c>
      <c r="R25" s="139">
        <f t="shared" si="7"/>
        <v>3394204.0699999994</v>
      </c>
      <c r="S25" s="140">
        <f>IF($B25=0,"",_xlfn.XLOOKUP($B25,INPUT_DATA!$BP:$BP,INPUT_DATA!BZ:BZ))</f>
        <v>3390909.6399999997</v>
      </c>
      <c r="T25" s="140">
        <f>IF($B25=0,"",_xlfn.XLOOKUP($B25,INPUT_DATA!$BP:$BP,INPUT_DATA!CA:CA))</f>
        <v>3294.4299999999994</v>
      </c>
      <c r="U25" s="140">
        <f>IF($B25=0,"",_xlfn.XLOOKUP($B25,INPUT_DATA!$BP:$BP,INPUT_DATA!CB:CB))</f>
        <v>0</v>
      </c>
      <c r="V25" s="1300">
        <f t="shared" si="8"/>
        <v>1</v>
      </c>
      <c r="W25" s="139">
        <f t="shared" si="9"/>
        <v>3394204.07</v>
      </c>
      <c r="X25" s="139">
        <f>IF($B25=0,"",_xlfn.XLOOKUP($B25,INPUT_DATA!$BP:$BP,INPUT_DATA!CC:CC))</f>
        <v>22</v>
      </c>
      <c r="Y25" s="140">
        <f>IF($B25=0,"",_xlfn.XLOOKUP($B25,INPUT_DATA!$BP:$BP,INPUT_DATA!CD:CD))</f>
        <v>0</v>
      </c>
      <c r="Z25" s="140">
        <f>IF($B25=0,"",_xlfn.XLOOKUP($B25,INPUT_DATA!$BP:$BP,INPUT_DATA!CE:CE))</f>
        <v>0</v>
      </c>
      <c r="AA25" s="140">
        <f>IF($B25=0,"",_xlfn.XLOOKUP($B25,INPUT_DATA!$BP:$BP,INPUT_DATA!CF:CF))</f>
        <v>0</v>
      </c>
      <c r="AB25" s="1300">
        <f t="shared" si="10"/>
        <v>0.93</v>
      </c>
      <c r="AC25" s="139">
        <f>IF($B25=0,"",_xlfn.XLOOKUP($B25,INPUT_DATA!$BP:$BP,INPUT_DATA!CG:CG))</f>
        <v>0</v>
      </c>
      <c r="AD25" s="139">
        <f t="shared" si="11"/>
        <v>0</v>
      </c>
      <c r="AE25" s="1275">
        <f>IF($B25=0,"",_xlfn.XLOOKUP($B25,INPUT_DATA!$BP:$BP,INPUT_DATA!CH:CH))</f>
        <v>0</v>
      </c>
      <c r="AF25" s="140">
        <f>IF($B25=0,"",_xlfn.XLOOKUP($B25,INPUT_DATA!$BP:$BP,INPUT_DATA!CI:CI))</f>
        <v>254831.75</v>
      </c>
      <c r="AG25" s="140">
        <f>IF($B25=0,"",_xlfn.XLOOKUP($B25,INPUT_DATA!$BP:$BP,INPUT_DATA!CJ:CJ))</f>
        <v>459.87</v>
      </c>
      <c r="AH25" s="140">
        <f>IF($B25=0,"",_xlfn.XLOOKUP($B25,INPUT_DATA!$BP:$BP,INPUT_DATA!CK:CK))</f>
        <v>0</v>
      </c>
      <c r="AI25" s="1300">
        <f t="shared" si="12"/>
        <v>0.6</v>
      </c>
      <c r="AJ25" s="139">
        <f>IF($B25=0,"",_xlfn.XLOOKUP($B25,INPUT_DATA!$BP:$BP,INPUT_DATA!CL:CL))</f>
        <v>10910.39</v>
      </c>
      <c r="AK25" s="139">
        <f t="shared" si="13"/>
        <v>244381.22999999998</v>
      </c>
      <c r="AL25" s="1275">
        <f>IF($B25=0,"",_xlfn.XLOOKUP($B25,INPUT_DATA!$BP:$BP,INPUT_DATA!CM:CM))</f>
        <v>2</v>
      </c>
      <c r="AM25" s="139">
        <f t="shared" si="16"/>
        <v>3638585.3</v>
      </c>
      <c r="AN25" s="1275">
        <f t="shared" si="14"/>
        <v>24</v>
      </c>
    </row>
    <row r="26" spans="2:41">
      <c r="B26" s="137">
        <f>INPUT_DATA!BP17</f>
        <v>45626</v>
      </c>
      <c r="C26" s="1291">
        <f>IF($B26=0,"",_xlfn.XLOOKUP($B26,INPUT_DATA!$BP:$BP,INPUT_DATA!BQ:BQ))</f>
        <v>4</v>
      </c>
      <c r="D26" s="140">
        <f>IF($B26=0,"",_xlfn.XLOOKUP($B26,INPUT_DATA!$BP:$BP,INPUT_DATA!BR:BR))</f>
        <v>408945.69999999995</v>
      </c>
      <c r="E26" s="140">
        <f>IF($B26=0,"",_xlfn.XLOOKUP($B26,INPUT_DATA!$BP:$BP,INPUT_DATA!BS:BS))</f>
        <v>436.15000000000003</v>
      </c>
      <c r="F26" s="140">
        <f t="shared" si="1"/>
        <v>409381.85</v>
      </c>
      <c r="G26" s="1291">
        <f>IF($B26=0,"",_xlfn.XLOOKUP($B26,INPUT_DATA!$BP:$BP,INPUT_DATA!BT:BT))</f>
        <v>22</v>
      </c>
      <c r="H26" s="140">
        <f>IF($B26=0,"",_xlfn.XLOOKUP($B26,INPUT_DATA!$BP:$BP,INPUT_DATA!BU:BU))</f>
        <v>2678021.54</v>
      </c>
      <c r="I26" s="140">
        <f>IF($B26=0,"",_xlfn.XLOOKUP($B26,INPUT_DATA!$BP:$BP,INPUT_DATA!BV:BV))</f>
        <v>1937.04</v>
      </c>
      <c r="J26" s="140">
        <f t="shared" si="2"/>
        <v>2679958.58</v>
      </c>
      <c r="K26" s="1291">
        <f>IF($B26=0,"",_xlfn.XLOOKUP($B26,INPUT_DATA!$BP:$BP,INPUT_DATA!BW:BW))</f>
        <v>0</v>
      </c>
      <c r="L26" s="140">
        <f>IF($B26=0,"",_xlfn.XLOOKUP($B26,INPUT_DATA!$BP:$BP,INPUT_DATA!BX:BX))</f>
        <v>0</v>
      </c>
      <c r="M26" s="140">
        <f>IF($B26=0,"",_xlfn.XLOOKUP($B26,INPUT_DATA!$BP:$BP,INPUT_DATA!BY:BY))</f>
        <v>0</v>
      </c>
      <c r="N26" s="140">
        <f t="shared" si="3"/>
        <v>0</v>
      </c>
      <c r="O26" s="1275">
        <f t="shared" si="4"/>
        <v>26</v>
      </c>
      <c r="P26" s="139">
        <f t="shared" si="5"/>
        <v>3086967.24</v>
      </c>
      <c r="Q26" s="139">
        <f t="shared" si="6"/>
        <v>2373.19</v>
      </c>
      <c r="R26" s="139">
        <f t="shared" si="7"/>
        <v>3089340.43</v>
      </c>
      <c r="S26" s="140">
        <f>IF($B26=0,"",_xlfn.XLOOKUP($B26,INPUT_DATA!$BP:$BP,INPUT_DATA!BZ:BZ))</f>
        <v>3086967.2399999998</v>
      </c>
      <c r="T26" s="140">
        <f>IF($B26=0,"",_xlfn.XLOOKUP($B26,INPUT_DATA!$BP:$BP,INPUT_DATA!CA:CA))</f>
        <v>2373.19</v>
      </c>
      <c r="U26" s="140">
        <f>IF($B26=0,"",_xlfn.XLOOKUP($B26,INPUT_DATA!$BP:$BP,INPUT_DATA!CB:CB))</f>
        <v>0</v>
      </c>
      <c r="V26" s="1300">
        <f t="shared" si="8"/>
        <v>1</v>
      </c>
      <c r="W26" s="139">
        <f t="shared" si="9"/>
        <v>3089340.4299999997</v>
      </c>
      <c r="X26" s="139">
        <f>IF($B26=0,"",_xlfn.XLOOKUP($B26,INPUT_DATA!$BP:$BP,INPUT_DATA!CC:CC))</f>
        <v>26</v>
      </c>
      <c r="Y26" s="140">
        <f>IF($B26=0,"",_xlfn.XLOOKUP($B26,INPUT_DATA!$BP:$BP,INPUT_DATA!CD:CD))</f>
        <v>0</v>
      </c>
      <c r="Z26" s="140">
        <f>IF($B26=0,"",_xlfn.XLOOKUP($B26,INPUT_DATA!$BP:$BP,INPUT_DATA!CE:CE))</f>
        <v>0</v>
      </c>
      <c r="AA26" s="140">
        <f>IF($B26=0,"",_xlfn.XLOOKUP($B26,INPUT_DATA!$BP:$BP,INPUT_DATA!CF:CF))</f>
        <v>0</v>
      </c>
      <c r="AB26" s="1300">
        <f t="shared" si="10"/>
        <v>0.93</v>
      </c>
      <c r="AC26" s="139"/>
      <c r="AD26" s="139">
        <f t="shared" ref="AD26:AD77" si="17">IF($B26=0,"",SUM(Y26:AA26)*AB26)</f>
        <v>0</v>
      </c>
      <c r="AE26" s="1275">
        <f>IF($B26=0,"",_xlfn.XLOOKUP($B26,INPUT_DATA!$BP:$BP,INPUT_DATA!CH:CH))</f>
        <v>0</v>
      </c>
      <c r="AF26" s="140">
        <f>IF($B26=0,"",_xlfn.XLOOKUP($B26,INPUT_DATA!$BP:$BP,INPUT_DATA!CI:CI))</f>
        <v>63768.42</v>
      </c>
      <c r="AG26" s="140">
        <f>IF($B26=0,"",_xlfn.XLOOKUP($B26,INPUT_DATA!$BP:$BP,INPUT_DATA!CJ:CJ))</f>
        <v>101.85</v>
      </c>
      <c r="AH26" s="140">
        <f>IF($B26=0,"",_xlfn.XLOOKUP($B26,INPUT_DATA!$BP:$BP,INPUT_DATA!CK:CK))</f>
        <v>0</v>
      </c>
      <c r="AI26" s="1300">
        <f t="shared" si="12"/>
        <v>0.6</v>
      </c>
      <c r="AJ26" s="139">
        <f>IF($B26=0,"",_xlfn.XLOOKUP($B26,INPUT_DATA!$BP:$BP,INPUT_DATA!CL:CL))</f>
        <v>0</v>
      </c>
      <c r="AK26" s="139">
        <f t="shared" si="13"/>
        <v>63870.27</v>
      </c>
      <c r="AL26" s="1275">
        <f>IF($B26=0,"",_xlfn.XLOOKUP($B26,INPUT_DATA!$BP:$BP,INPUT_DATA!CM:CM))</f>
        <v>1</v>
      </c>
      <c r="AM26" s="139">
        <f t="shared" si="16"/>
        <v>3153210.6999999997</v>
      </c>
      <c r="AN26" s="1275">
        <f t="shared" si="14"/>
        <v>27</v>
      </c>
    </row>
    <row r="27" spans="2:41">
      <c r="B27" s="137">
        <f>INPUT_DATA!BP18</f>
        <v>45596</v>
      </c>
      <c r="C27" s="1291">
        <f>IF($B27=0,"",_xlfn.XLOOKUP($B27,INPUT_DATA!$BP:$BP,INPUT_DATA!BQ:BQ))</f>
        <v>0</v>
      </c>
      <c r="D27" s="140">
        <f>IF($B27=0,"",_xlfn.XLOOKUP($B27,INPUT_DATA!$BP:$BP,INPUT_DATA!BR:BR))</f>
        <v>0</v>
      </c>
      <c r="E27" s="140">
        <f>IF($B27=0,"",_xlfn.XLOOKUP($B27,INPUT_DATA!$BP:$BP,INPUT_DATA!BS:BS))</f>
        <v>0</v>
      </c>
      <c r="F27" s="140">
        <f t="shared" si="1"/>
        <v>0</v>
      </c>
      <c r="G27" s="1291">
        <f>IF($B27=0,"",_xlfn.XLOOKUP($B27,INPUT_DATA!$BP:$BP,INPUT_DATA!BT:BT))</f>
        <v>2</v>
      </c>
      <c r="H27" s="140">
        <f>IF($B27=0,"",_xlfn.XLOOKUP($B27,INPUT_DATA!$BP:$BP,INPUT_DATA!BU:BU))</f>
        <v>262375.61</v>
      </c>
      <c r="I27" s="140">
        <f>IF($B27=0,"",_xlfn.XLOOKUP($B27,INPUT_DATA!$BP:$BP,INPUT_DATA!BV:BV))</f>
        <v>232.45</v>
      </c>
      <c r="J27" s="140">
        <f t="shared" si="2"/>
        <v>262608.06</v>
      </c>
      <c r="K27" s="1291">
        <f>IF($B27=0,"",_xlfn.XLOOKUP($B27,INPUT_DATA!$BP:$BP,INPUT_DATA!BW:BW))</f>
        <v>10</v>
      </c>
      <c r="L27" s="140">
        <f>IF($B27=0,"",_xlfn.XLOOKUP($B27,INPUT_DATA!$BP:$BP,INPUT_DATA!BX:BX))</f>
        <v>1276580.07</v>
      </c>
      <c r="M27" s="140">
        <f>IF($B27=0,"",_xlfn.XLOOKUP($B27,INPUT_DATA!$BP:$BP,INPUT_DATA!BY:BY))</f>
        <v>1196.04</v>
      </c>
      <c r="N27" s="140">
        <f t="shared" si="3"/>
        <v>1277776.1100000001</v>
      </c>
      <c r="O27" s="1275">
        <f t="shared" si="4"/>
        <v>12</v>
      </c>
      <c r="P27" s="139">
        <f t="shared" si="5"/>
        <v>1538955.6800000002</v>
      </c>
      <c r="Q27" s="139">
        <f t="shared" si="6"/>
        <v>1428.49</v>
      </c>
      <c r="R27" s="139">
        <f t="shared" si="7"/>
        <v>1540384.1700000002</v>
      </c>
      <c r="S27" s="140">
        <f>IF($B27=0,"",_xlfn.XLOOKUP($B27,INPUT_DATA!$BP:$BP,INPUT_DATA!BZ:BZ))</f>
        <v>1538955.6800000002</v>
      </c>
      <c r="T27" s="140">
        <f>IF($B27=0,"",_xlfn.XLOOKUP($B27,INPUT_DATA!$BP:$BP,INPUT_DATA!CA:CA))</f>
        <v>1428.49</v>
      </c>
      <c r="U27" s="140">
        <f>IF($B27=0,"",_xlfn.XLOOKUP($B27,INPUT_DATA!$BP:$BP,INPUT_DATA!CB:CB))</f>
        <v>0</v>
      </c>
      <c r="V27" s="1300">
        <f t="shared" si="8"/>
        <v>1</v>
      </c>
      <c r="W27" s="139">
        <f t="shared" si="9"/>
        <v>1540384.1700000002</v>
      </c>
      <c r="X27" s="139">
        <f>IF($B27=0,"",_xlfn.XLOOKUP($B27,INPUT_DATA!$BP:$BP,INPUT_DATA!CC:CC))</f>
        <v>12</v>
      </c>
      <c r="Y27" s="140">
        <f>IF($B27=0,"",_xlfn.XLOOKUP($B27,INPUT_DATA!$BP:$BP,INPUT_DATA!CD:CD))</f>
        <v>0</v>
      </c>
      <c r="Z27" s="140">
        <f>IF($B27=0,"",_xlfn.XLOOKUP($B27,INPUT_DATA!$BP:$BP,INPUT_DATA!CE:CE))</f>
        <v>0</v>
      </c>
      <c r="AA27" s="140">
        <f>IF($B27=0,"",_xlfn.XLOOKUP($B27,INPUT_DATA!$BP:$BP,INPUT_DATA!CF:CF))</f>
        <v>0</v>
      </c>
      <c r="AB27" s="1300">
        <f t="shared" si="10"/>
        <v>0.93</v>
      </c>
      <c r="AC27" s="139"/>
      <c r="AD27" s="139">
        <f t="shared" si="17"/>
        <v>0</v>
      </c>
      <c r="AE27" s="1275">
        <f>IF($B27=0,"",_xlfn.XLOOKUP($B27,INPUT_DATA!$BP:$BP,INPUT_DATA!CH:CH))</f>
        <v>0</v>
      </c>
      <c r="AF27" s="140">
        <f>IF($B27=0,"",_xlfn.XLOOKUP($B27,INPUT_DATA!$BP:$BP,INPUT_DATA!CI:CI))</f>
        <v>0</v>
      </c>
      <c r="AG27" s="140">
        <f>IF($B27=0,"",_xlfn.XLOOKUP($B27,INPUT_DATA!$BP:$BP,INPUT_DATA!CJ:CJ))</f>
        <v>0</v>
      </c>
      <c r="AH27" s="140">
        <f>IF($B27=0,"",_xlfn.XLOOKUP($B27,INPUT_DATA!$BP:$BP,INPUT_DATA!CK:CK))</f>
        <v>0</v>
      </c>
      <c r="AI27" s="1300">
        <f t="shared" si="12"/>
        <v>0.6</v>
      </c>
      <c r="AJ27" s="139">
        <f>IF($B27=0,"",_xlfn.XLOOKUP($B27,INPUT_DATA!$BP:$BP,INPUT_DATA!CL:CL))</f>
        <v>0</v>
      </c>
      <c r="AK27" s="139">
        <f t="shared" si="13"/>
        <v>0</v>
      </c>
      <c r="AL27" s="1275">
        <f>IF($B27=0,"",_xlfn.XLOOKUP($B27,INPUT_DATA!$BP:$BP,INPUT_DATA!CM:CM))</f>
        <v>0</v>
      </c>
      <c r="AM27" s="139">
        <f t="shared" si="16"/>
        <v>1540384.1700000002</v>
      </c>
      <c r="AN27" s="1275">
        <f t="shared" si="14"/>
        <v>12</v>
      </c>
    </row>
    <row r="28" spans="2:41">
      <c r="B28" s="137">
        <f>INPUT_DATA!BP19</f>
        <v>45565</v>
      </c>
      <c r="C28" s="1291">
        <f>IF($B28=0,"",_xlfn.XLOOKUP($B28,INPUT_DATA!$BP:$BP,INPUT_DATA!BQ:BQ))</f>
        <v>0</v>
      </c>
      <c r="D28" s="140">
        <f>IF($B28=0,"",_xlfn.XLOOKUP($B28,INPUT_DATA!$BP:$BP,INPUT_DATA!BR:BR))</f>
        <v>0</v>
      </c>
      <c r="E28" s="140">
        <f>IF($B28=0,"",_xlfn.XLOOKUP($B28,INPUT_DATA!$BP:$BP,INPUT_DATA!BS:BS))</f>
        <v>0</v>
      </c>
      <c r="F28" s="140">
        <f t="shared" si="1"/>
        <v>0</v>
      </c>
      <c r="G28" s="1291">
        <f>IF($B28=0,"",_xlfn.XLOOKUP($B28,INPUT_DATA!$BP:$BP,INPUT_DATA!BT:BT))</f>
        <v>0</v>
      </c>
      <c r="H28" s="140">
        <f>IF($B28=0,"",_xlfn.XLOOKUP($B28,INPUT_DATA!$BP:$BP,INPUT_DATA!BU:BU))</f>
        <v>0</v>
      </c>
      <c r="I28" s="140">
        <f>IF($B28=0,"",_xlfn.XLOOKUP($B28,INPUT_DATA!$BP:$BP,INPUT_DATA!BV:BV))</f>
        <v>0</v>
      </c>
      <c r="J28" s="140">
        <f t="shared" si="2"/>
        <v>0</v>
      </c>
      <c r="K28" s="1291">
        <f>IF($B28=0,"",_xlfn.XLOOKUP($B28,INPUT_DATA!$BP:$BP,INPUT_DATA!BW:BW))</f>
        <v>0</v>
      </c>
      <c r="L28" s="140">
        <f>IF($B28=0,"",_xlfn.XLOOKUP($B28,INPUT_DATA!$BP:$BP,INPUT_DATA!BX:BX))</f>
        <v>0</v>
      </c>
      <c r="M28" s="140">
        <f>IF($B28=0,"",_xlfn.XLOOKUP($B28,INPUT_DATA!$BP:$BP,INPUT_DATA!BY:BY))</f>
        <v>0</v>
      </c>
      <c r="N28" s="140">
        <f t="shared" si="3"/>
        <v>0</v>
      </c>
      <c r="O28" s="1275">
        <f t="shared" si="4"/>
        <v>0</v>
      </c>
      <c r="P28" s="139">
        <f t="shared" si="5"/>
        <v>0</v>
      </c>
      <c r="Q28" s="139">
        <f t="shared" si="6"/>
        <v>0</v>
      </c>
      <c r="R28" s="139">
        <f t="shared" si="7"/>
        <v>0</v>
      </c>
      <c r="S28" s="140">
        <f>IF($B28=0,"",_xlfn.XLOOKUP($B28,INPUT_DATA!$BP:$BP,INPUT_DATA!BZ:BZ))</f>
        <v>0</v>
      </c>
      <c r="T28" s="140">
        <f>IF($B28=0,"",_xlfn.XLOOKUP($B28,INPUT_DATA!$BP:$BP,INPUT_DATA!CA:CA))</f>
        <v>0</v>
      </c>
      <c r="U28" s="140">
        <f>IF($B28=0,"",_xlfn.XLOOKUP($B28,INPUT_DATA!$BP:$BP,INPUT_DATA!CB:CB))</f>
        <v>0</v>
      </c>
      <c r="V28" s="1300">
        <f t="shared" si="8"/>
        <v>1</v>
      </c>
      <c r="W28" s="139">
        <f t="shared" si="9"/>
        <v>0</v>
      </c>
      <c r="X28" s="139">
        <f>IF($B28=0,"",_xlfn.XLOOKUP($B28,INPUT_DATA!$BP:$BP,INPUT_DATA!CC:CC))</f>
        <v>0</v>
      </c>
      <c r="Y28" s="140">
        <f>IF($B28=0,"",_xlfn.XLOOKUP($B28,INPUT_DATA!$BP:$BP,INPUT_DATA!CD:CD))</f>
        <v>0</v>
      </c>
      <c r="Z28" s="140">
        <f>IF($B28=0,"",_xlfn.XLOOKUP($B28,INPUT_DATA!$BP:$BP,INPUT_DATA!CE:CE))</f>
        <v>0</v>
      </c>
      <c r="AA28" s="140">
        <f>IF($B28=0,"",_xlfn.XLOOKUP($B28,INPUT_DATA!$BP:$BP,INPUT_DATA!CF:CF))</f>
        <v>0</v>
      </c>
      <c r="AB28" s="1300">
        <f t="shared" si="10"/>
        <v>0.93</v>
      </c>
      <c r="AC28" s="139"/>
      <c r="AD28" s="139">
        <f t="shared" si="17"/>
        <v>0</v>
      </c>
      <c r="AE28" s="1275">
        <f>IF($B28=0,"",_xlfn.XLOOKUP($B28,INPUT_DATA!$BP:$BP,INPUT_DATA!CH:CH))</f>
        <v>0</v>
      </c>
      <c r="AF28" s="140">
        <f>IF($B28=0,"",_xlfn.XLOOKUP($B28,INPUT_DATA!$BP:$BP,INPUT_DATA!CI:CI))</f>
        <v>0</v>
      </c>
      <c r="AG28" s="140">
        <f>IF($B28=0,"",_xlfn.XLOOKUP($B28,INPUT_DATA!$BP:$BP,INPUT_DATA!CJ:CJ))</f>
        <v>0</v>
      </c>
      <c r="AH28" s="140">
        <f>IF($B28=0,"",_xlfn.XLOOKUP($B28,INPUT_DATA!$BP:$BP,INPUT_DATA!CK:CK))</f>
        <v>0</v>
      </c>
      <c r="AI28" s="1300">
        <f t="shared" si="12"/>
        <v>0.6</v>
      </c>
      <c r="AJ28" s="139">
        <f>IF($B28=0,"",_xlfn.XLOOKUP($B28,INPUT_DATA!$BP:$BP,INPUT_DATA!CL:CL))</f>
        <v>0</v>
      </c>
      <c r="AK28" s="139">
        <f t="shared" si="13"/>
        <v>0</v>
      </c>
      <c r="AL28" s="1275">
        <f>IF($B28=0,"",_xlfn.XLOOKUP($B28,INPUT_DATA!$BP:$BP,INPUT_DATA!CM:CM))</f>
        <v>0</v>
      </c>
      <c r="AM28" s="139">
        <f t="shared" si="16"/>
        <v>0</v>
      </c>
      <c r="AN28" s="1275">
        <f t="shared" si="14"/>
        <v>0</v>
      </c>
    </row>
    <row r="29" spans="2:41">
      <c r="B29" s="137">
        <f>INPUT_DATA!BP20</f>
        <v>0</v>
      </c>
      <c r="C29" s="1291" t="str">
        <f>IF($B29=0,"",_xlfn.XLOOKUP($B29,INPUT_DATA!$BP:$BP,INPUT_DATA!BQ:BQ))</f>
        <v/>
      </c>
      <c r="D29" s="140" t="str">
        <f>IF($B29=0,"",_xlfn.XLOOKUP($B29,INPUT_DATA!$BP:$BP,INPUT_DATA!BR:BR))</f>
        <v/>
      </c>
      <c r="E29" s="140" t="str">
        <f>IF($B29=0,"",_xlfn.XLOOKUP($B29,INPUT_DATA!$BP:$BP,INPUT_DATA!BS:BS))</f>
        <v/>
      </c>
      <c r="F29" s="140" t="str">
        <f t="shared" si="1"/>
        <v/>
      </c>
      <c r="G29" s="1291" t="str">
        <f>IF($B29=0,"",_xlfn.XLOOKUP($B29,INPUT_DATA!$BP:$BP,INPUT_DATA!BT:BT))</f>
        <v/>
      </c>
      <c r="H29" s="140" t="str">
        <f>IF($B29=0,"",_xlfn.XLOOKUP($B29,INPUT_DATA!$BP:$BP,INPUT_DATA!BU:BU))</f>
        <v/>
      </c>
      <c r="I29" s="140" t="str">
        <f>IF($B29=0,"",_xlfn.XLOOKUP($B29,INPUT_DATA!$BP:$BP,INPUT_DATA!BV:BV))</f>
        <v/>
      </c>
      <c r="J29" s="140" t="str">
        <f t="shared" si="2"/>
        <v/>
      </c>
      <c r="K29" s="1291" t="str">
        <f>IF($B29=0,"",_xlfn.XLOOKUP($B29,INPUT_DATA!$BP:$BP,INPUT_DATA!BW:BW))</f>
        <v/>
      </c>
      <c r="L29" s="140" t="str">
        <f>IF($B29=0,"",_xlfn.XLOOKUP($B29,INPUT_DATA!$BP:$BP,INPUT_DATA!BX:BX))</f>
        <v/>
      </c>
      <c r="M29" s="140" t="str">
        <f>IF($B29=0,"",_xlfn.XLOOKUP($B29,INPUT_DATA!$BP:$BP,INPUT_DATA!BY:BY))</f>
        <v/>
      </c>
      <c r="N29" s="140" t="str">
        <f t="shared" si="3"/>
        <v/>
      </c>
      <c r="O29" s="1275" t="str">
        <f t="shared" si="4"/>
        <v/>
      </c>
      <c r="P29" s="139" t="str">
        <f t="shared" si="5"/>
        <v/>
      </c>
      <c r="Q29" s="139" t="str">
        <f t="shared" si="6"/>
        <v/>
      </c>
      <c r="R29" s="139" t="str">
        <f t="shared" si="7"/>
        <v/>
      </c>
      <c r="S29" s="140" t="str">
        <f>IF($B29=0,"",_xlfn.XLOOKUP($B29,INPUT_DATA!$BP:$BP,INPUT_DATA!BZ:BZ))</f>
        <v/>
      </c>
      <c r="T29" s="140" t="str">
        <f>IF($B29=0,"",_xlfn.XLOOKUP($B29,INPUT_DATA!$BP:$BP,INPUT_DATA!CA:CA))</f>
        <v/>
      </c>
      <c r="U29" s="140" t="str">
        <f>IF($B29=0,"",_xlfn.XLOOKUP($B29,INPUT_DATA!$BP:$BP,INPUT_DATA!CB:CB))</f>
        <v/>
      </c>
      <c r="V29" s="1300" t="str">
        <f t="shared" si="8"/>
        <v/>
      </c>
      <c r="W29" s="139" t="str">
        <f t="shared" si="9"/>
        <v/>
      </c>
      <c r="X29" s="139" t="str">
        <f>IF($B29=0,"",_xlfn.XLOOKUP($B29,INPUT_DATA!$BP:$BP,INPUT_DATA!CC:CC))</f>
        <v/>
      </c>
      <c r="Y29" s="140" t="str">
        <f>IF($B29=0,"",_xlfn.XLOOKUP($B29,INPUT_DATA!$BP:$BP,INPUT_DATA!CD:CD))</f>
        <v/>
      </c>
      <c r="Z29" s="140" t="str">
        <f>IF($B29=0,"",_xlfn.XLOOKUP($B29,INPUT_DATA!$BP:$BP,INPUT_DATA!CE:CE))</f>
        <v/>
      </c>
      <c r="AA29" s="140" t="str">
        <f>IF($B29=0,"",_xlfn.XLOOKUP($B29,INPUT_DATA!$BP:$BP,INPUT_DATA!CF:CF))</f>
        <v/>
      </c>
      <c r="AB29" s="1300" t="str">
        <f t="shared" si="10"/>
        <v/>
      </c>
      <c r="AC29" s="139"/>
      <c r="AD29" s="139" t="str">
        <f t="shared" si="17"/>
        <v/>
      </c>
      <c r="AE29" s="1275" t="str">
        <f>IF($B29=0,"",_xlfn.XLOOKUP($B29,INPUT_DATA!$BP:$BP,INPUT_DATA!CH:CH))</f>
        <v/>
      </c>
      <c r="AF29" s="140" t="str">
        <f>IF($B29=0,"",_xlfn.XLOOKUP($B29,INPUT_DATA!$BP:$BP,INPUT_DATA!CI:CI))</f>
        <v/>
      </c>
      <c r="AG29" s="140" t="str">
        <f>IF($B29=0,"",_xlfn.XLOOKUP($B29,INPUT_DATA!$BP:$BP,INPUT_DATA!CJ:CJ))</f>
        <v/>
      </c>
      <c r="AH29" s="140" t="str">
        <f>IF($B29=0,"",_xlfn.XLOOKUP($B29,INPUT_DATA!$BP:$BP,INPUT_DATA!CK:CK))</f>
        <v/>
      </c>
      <c r="AI29" s="1300" t="str">
        <f t="shared" si="12"/>
        <v/>
      </c>
      <c r="AJ29" s="139" t="str">
        <f>IF($B29=0,"",_xlfn.XLOOKUP($B29,INPUT_DATA!$BP:$BP,INPUT_DATA!CL:CL))</f>
        <v/>
      </c>
      <c r="AK29" s="139" t="str">
        <f t="shared" si="13"/>
        <v/>
      </c>
      <c r="AL29" s="1275" t="str">
        <f>IF($B29=0,"",_xlfn.XLOOKUP($B29,INPUT_DATA!$BP:$BP,INPUT_DATA!CM:CM))</f>
        <v/>
      </c>
      <c r="AM29" s="139" t="str">
        <f t="shared" si="16"/>
        <v/>
      </c>
      <c r="AN29" s="1275" t="str">
        <f t="shared" si="14"/>
        <v/>
      </c>
    </row>
    <row r="30" spans="2:41">
      <c r="B30" s="137">
        <f>INPUT_DATA!BP21</f>
        <v>0</v>
      </c>
      <c r="C30" s="1291" t="str">
        <f>IF($B30=0,"",_xlfn.XLOOKUP($B30,INPUT_DATA!$BP:$BP,INPUT_DATA!BQ:BQ))</f>
        <v/>
      </c>
      <c r="D30" s="140" t="str">
        <f>IF($B30=0,"",_xlfn.XLOOKUP($B30,INPUT_DATA!$BP:$BP,INPUT_DATA!BR:BR))</f>
        <v/>
      </c>
      <c r="E30" s="140" t="str">
        <f>IF($B30=0,"",_xlfn.XLOOKUP($B30,INPUT_DATA!$BP:$BP,INPUT_DATA!BS:BS))</f>
        <v/>
      </c>
      <c r="F30" s="140" t="str">
        <f t="shared" si="1"/>
        <v/>
      </c>
      <c r="G30" s="1291" t="str">
        <f>IF($B30=0,"",_xlfn.XLOOKUP($B30,INPUT_DATA!$BP:$BP,INPUT_DATA!BT:BT))</f>
        <v/>
      </c>
      <c r="H30" s="140" t="str">
        <f>IF($B30=0,"",_xlfn.XLOOKUP($B30,INPUT_DATA!$BP:$BP,INPUT_DATA!BU:BU))</f>
        <v/>
      </c>
      <c r="I30" s="140" t="str">
        <f>IF($B30=0,"",_xlfn.XLOOKUP($B30,INPUT_DATA!$BP:$BP,INPUT_DATA!BV:BV))</f>
        <v/>
      </c>
      <c r="J30" s="140" t="str">
        <f t="shared" si="2"/>
        <v/>
      </c>
      <c r="K30" s="1291" t="str">
        <f>IF($B30=0,"",_xlfn.XLOOKUP($B30,INPUT_DATA!$BP:$BP,INPUT_DATA!BW:BW))</f>
        <v/>
      </c>
      <c r="L30" s="140" t="str">
        <f>IF($B30=0,"",_xlfn.XLOOKUP($B30,INPUT_DATA!$BP:$BP,INPUT_DATA!BX:BX))</f>
        <v/>
      </c>
      <c r="M30" s="140" t="str">
        <f>IF($B30=0,"",_xlfn.XLOOKUP($B30,INPUT_DATA!$BP:$BP,INPUT_DATA!BY:BY))</f>
        <v/>
      </c>
      <c r="N30" s="140" t="str">
        <f t="shared" si="3"/>
        <v/>
      </c>
      <c r="O30" s="1275" t="str">
        <f t="shared" si="4"/>
        <v/>
      </c>
      <c r="P30" s="139" t="str">
        <f t="shared" si="5"/>
        <v/>
      </c>
      <c r="Q30" s="139" t="str">
        <f t="shared" si="6"/>
        <v/>
      </c>
      <c r="R30" s="139" t="str">
        <f t="shared" si="7"/>
        <v/>
      </c>
      <c r="S30" s="140" t="str">
        <f>IF($B30=0,"",_xlfn.XLOOKUP($B30,INPUT_DATA!$BP:$BP,INPUT_DATA!BZ:BZ))</f>
        <v/>
      </c>
      <c r="T30" s="140" t="str">
        <f>IF($B30=0,"",_xlfn.XLOOKUP($B30,INPUT_DATA!$BP:$BP,INPUT_DATA!CA:CA))</f>
        <v/>
      </c>
      <c r="U30" s="140" t="str">
        <f>IF($B30=0,"",_xlfn.XLOOKUP($B30,INPUT_DATA!$BP:$BP,INPUT_DATA!CB:CB))</f>
        <v/>
      </c>
      <c r="V30" s="1300" t="str">
        <f t="shared" si="8"/>
        <v/>
      </c>
      <c r="W30" s="139" t="str">
        <f t="shared" si="9"/>
        <v/>
      </c>
      <c r="X30" s="139" t="str">
        <f>IF($B30=0,"",_xlfn.XLOOKUP($B30,INPUT_DATA!$BP:$BP,INPUT_DATA!CC:CC))</f>
        <v/>
      </c>
      <c r="Y30" s="140" t="str">
        <f>IF($B30=0,"",_xlfn.XLOOKUP($B30,INPUT_DATA!$BP:$BP,INPUT_DATA!CD:CD))</f>
        <v/>
      </c>
      <c r="Z30" s="140" t="str">
        <f>IF($B30=0,"",_xlfn.XLOOKUP($B30,INPUT_DATA!$BP:$BP,INPUT_DATA!CE:CE))</f>
        <v/>
      </c>
      <c r="AA30" s="140" t="str">
        <f>IF($B30=0,"",_xlfn.XLOOKUP($B30,INPUT_DATA!$BP:$BP,INPUT_DATA!CF:CF))</f>
        <v/>
      </c>
      <c r="AB30" s="1300" t="str">
        <f t="shared" si="10"/>
        <v/>
      </c>
      <c r="AC30" s="139"/>
      <c r="AD30" s="139" t="str">
        <f t="shared" si="17"/>
        <v/>
      </c>
      <c r="AE30" s="1275" t="str">
        <f>IF($B30=0,"",_xlfn.XLOOKUP($B30,INPUT_DATA!$BP:$BP,INPUT_DATA!CH:CH))</f>
        <v/>
      </c>
      <c r="AF30" s="140" t="str">
        <f>IF($B30=0,"",_xlfn.XLOOKUP($B30,INPUT_DATA!$BP:$BP,INPUT_DATA!CI:CI))</f>
        <v/>
      </c>
      <c r="AG30" s="140" t="str">
        <f>IF($B30=0,"",_xlfn.XLOOKUP($B30,INPUT_DATA!$BP:$BP,INPUT_DATA!CJ:CJ))</f>
        <v/>
      </c>
      <c r="AH30" s="140" t="str">
        <f>IF($B30=0,"",_xlfn.XLOOKUP($B30,INPUT_DATA!$BP:$BP,INPUT_DATA!CK:CK))</f>
        <v/>
      </c>
      <c r="AI30" s="1300" t="str">
        <f t="shared" si="12"/>
        <v/>
      </c>
      <c r="AJ30" s="139" t="str">
        <f>IF($B30=0,"",_xlfn.XLOOKUP($B30,INPUT_DATA!$BP:$BP,INPUT_DATA!CL:CL))</f>
        <v/>
      </c>
      <c r="AK30" s="139" t="str">
        <f t="shared" si="13"/>
        <v/>
      </c>
      <c r="AL30" s="1275" t="str">
        <f>IF($B30=0,"",_xlfn.XLOOKUP($B30,INPUT_DATA!$BP:$BP,INPUT_DATA!CM:CM))</f>
        <v/>
      </c>
      <c r="AM30" s="139" t="str">
        <f t="shared" si="16"/>
        <v/>
      </c>
      <c r="AN30" s="1275" t="str">
        <f t="shared" si="14"/>
        <v/>
      </c>
    </row>
    <row r="31" spans="2:41">
      <c r="B31" s="137">
        <f>INPUT_DATA!BP22</f>
        <v>0</v>
      </c>
      <c r="C31" s="1291" t="str">
        <f>IF($B31=0,"",_xlfn.XLOOKUP($B31,INPUT_DATA!$BP:$BP,INPUT_DATA!BQ:BQ))</f>
        <v/>
      </c>
      <c r="D31" s="140" t="str">
        <f>IF($B31=0,"",_xlfn.XLOOKUP($B31,INPUT_DATA!$BP:$BP,INPUT_DATA!BR:BR))</f>
        <v/>
      </c>
      <c r="E31" s="140" t="str">
        <f>IF($B31=0,"",_xlfn.XLOOKUP($B31,INPUT_DATA!$BP:$BP,INPUT_DATA!BS:BS))</f>
        <v/>
      </c>
      <c r="F31" s="140" t="str">
        <f t="shared" si="1"/>
        <v/>
      </c>
      <c r="G31" s="1291" t="str">
        <f>IF($B31=0,"",_xlfn.XLOOKUP($B31,INPUT_DATA!$BP:$BP,INPUT_DATA!BT:BT))</f>
        <v/>
      </c>
      <c r="H31" s="140" t="str">
        <f>IF($B31=0,"",_xlfn.XLOOKUP($B31,INPUT_DATA!$BP:$BP,INPUT_DATA!BU:BU))</f>
        <v/>
      </c>
      <c r="I31" s="140" t="str">
        <f>IF($B31=0,"",_xlfn.XLOOKUP($B31,INPUT_DATA!$BP:$BP,INPUT_DATA!BV:BV))</f>
        <v/>
      </c>
      <c r="J31" s="140" t="str">
        <f t="shared" si="2"/>
        <v/>
      </c>
      <c r="K31" s="1291" t="str">
        <f>IF($B31=0,"",_xlfn.XLOOKUP($B31,INPUT_DATA!$BP:$BP,INPUT_DATA!BW:BW))</f>
        <v/>
      </c>
      <c r="L31" s="140" t="str">
        <f>IF($B31=0,"",_xlfn.XLOOKUP($B31,INPUT_DATA!$BP:$BP,INPUT_DATA!BX:BX))</f>
        <v/>
      </c>
      <c r="M31" s="140" t="str">
        <f>IF($B31=0,"",_xlfn.XLOOKUP($B31,INPUT_DATA!$BP:$BP,INPUT_DATA!BY:BY))</f>
        <v/>
      </c>
      <c r="N31" s="140" t="str">
        <f t="shared" si="3"/>
        <v/>
      </c>
      <c r="O31" s="1275" t="str">
        <f t="shared" si="4"/>
        <v/>
      </c>
      <c r="P31" s="139" t="str">
        <f t="shared" si="5"/>
        <v/>
      </c>
      <c r="Q31" s="139" t="str">
        <f t="shared" si="6"/>
        <v/>
      </c>
      <c r="R31" s="139" t="str">
        <f t="shared" si="7"/>
        <v/>
      </c>
      <c r="S31" s="140" t="str">
        <f>IF($B31=0,"",_xlfn.XLOOKUP($B31,INPUT_DATA!$BP:$BP,INPUT_DATA!BZ:BZ))</f>
        <v/>
      </c>
      <c r="T31" s="140" t="str">
        <f>IF($B31=0,"",_xlfn.XLOOKUP($B31,INPUT_DATA!$BP:$BP,INPUT_DATA!CA:CA))</f>
        <v/>
      </c>
      <c r="U31" s="140" t="str">
        <f>IF($B31=0,"",_xlfn.XLOOKUP($B31,INPUT_DATA!$BP:$BP,INPUT_DATA!CB:CB))</f>
        <v/>
      </c>
      <c r="V31" s="1300" t="str">
        <f t="shared" si="8"/>
        <v/>
      </c>
      <c r="W31" s="139" t="str">
        <f t="shared" si="9"/>
        <v/>
      </c>
      <c r="X31" s="139" t="str">
        <f>IF($B31=0,"",_xlfn.XLOOKUP($B31,INPUT_DATA!$BP:$BP,INPUT_DATA!CC:CC))</f>
        <v/>
      </c>
      <c r="Y31" s="140" t="str">
        <f>IF($B31=0,"",_xlfn.XLOOKUP($B31,INPUT_DATA!$BP:$BP,INPUT_DATA!CD:CD))</f>
        <v/>
      </c>
      <c r="Z31" s="140" t="str">
        <f>IF($B31=0,"",_xlfn.XLOOKUP($B31,INPUT_DATA!$BP:$BP,INPUT_DATA!CE:CE))</f>
        <v/>
      </c>
      <c r="AA31" s="140" t="str">
        <f>IF($B31=0,"",_xlfn.XLOOKUP($B31,INPUT_DATA!$BP:$BP,INPUT_DATA!CF:CF))</f>
        <v/>
      </c>
      <c r="AB31" s="1300" t="str">
        <f t="shared" si="10"/>
        <v/>
      </c>
      <c r="AC31" s="139"/>
      <c r="AD31" s="139" t="str">
        <f t="shared" si="17"/>
        <v/>
      </c>
      <c r="AE31" s="1275" t="str">
        <f>IF($B31=0,"",_xlfn.XLOOKUP($B31,INPUT_DATA!$BP:$BP,INPUT_DATA!CH:CH))</f>
        <v/>
      </c>
      <c r="AF31" s="140" t="str">
        <f>IF($B31=0,"",_xlfn.XLOOKUP($B31,INPUT_DATA!$BP:$BP,INPUT_DATA!CI:CI))</f>
        <v/>
      </c>
      <c r="AG31" s="140" t="str">
        <f>IF($B31=0,"",_xlfn.XLOOKUP($B31,INPUT_DATA!$BP:$BP,INPUT_DATA!CJ:CJ))</f>
        <v/>
      </c>
      <c r="AH31" s="140" t="str">
        <f>IF($B31=0,"",_xlfn.XLOOKUP($B31,INPUT_DATA!$BP:$BP,INPUT_DATA!CK:CK))</f>
        <v/>
      </c>
      <c r="AI31" s="1300" t="str">
        <f t="shared" si="12"/>
        <v/>
      </c>
      <c r="AJ31" s="139" t="str">
        <f>IF($B31=0,"",_xlfn.XLOOKUP($B31,INPUT_DATA!$BP:$BP,INPUT_DATA!CL:CL))</f>
        <v/>
      </c>
      <c r="AK31" s="139" t="str">
        <f t="shared" si="13"/>
        <v/>
      </c>
      <c r="AL31" s="1275" t="str">
        <f>IF($B31=0,"",_xlfn.XLOOKUP($B31,INPUT_DATA!$BP:$BP,INPUT_DATA!CM:CM))</f>
        <v/>
      </c>
      <c r="AM31" s="139" t="str">
        <f t="shared" si="16"/>
        <v/>
      </c>
      <c r="AN31" s="1275" t="str">
        <f t="shared" si="14"/>
        <v/>
      </c>
    </row>
    <row r="32" spans="2:41">
      <c r="B32" s="137">
        <f>INPUT_DATA!BP23</f>
        <v>0</v>
      </c>
      <c r="C32" s="1291" t="str">
        <f>IF($B32=0,"",_xlfn.XLOOKUP($B32,INPUT_DATA!$BP:$BP,INPUT_DATA!BQ:BQ))</f>
        <v/>
      </c>
      <c r="D32" s="140" t="str">
        <f>IF($B32=0,"",_xlfn.XLOOKUP($B32,INPUT_DATA!$BP:$BP,INPUT_DATA!BR:BR))</f>
        <v/>
      </c>
      <c r="E32" s="140" t="str">
        <f>IF($B32=0,"",_xlfn.XLOOKUP($B32,INPUT_DATA!$BP:$BP,INPUT_DATA!BS:BS))</f>
        <v/>
      </c>
      <c r="F32" s="140" t="str">
        <f t="shared" si="1"/>
        <v/>
      </c>
      <c r="G32" s="1291" t="str">
        <f>IF($B32=0,"",_xlfn.XLOOKUP($B32,INPUT_DATA!$BP:$BP,INPUT_DATA!BT:BT))</f>
        <v/>
      </c>
      <c r="H32" s="140" t="str">
        <f>IF($B32=0,"",_xlfn.XLOOKUP($B32,INPUT_DATA!$BP:$BP,INPUT_DATA!BU:BU))</f>
        <v/>
      </c>
      <c r="I32" s="140" t="str">
        <f>IF($B32=0,"",_xlfn.XLOOKUP($B32,INPUT_DATA!$BP:$BP,INPUT_DATA!BV:BV))</f>
        <v/>
      </c>
      <c r="J32" s="140" t="str">
        <f t="shared" si="2"/>
        <v/>
      </c>
      <c r="K32" s="1291" t="str">
        <f>IF($B32=0,"",_xlfn.XLOOKUP($B32,INPUT_DATA!$BP:$BP,INPUT_DATA!BW:BW))</f>
        <v/>
      </c>
      <c r="L32" s="140" t="str">
        <f>IF($B32=0,"",_xlfn.XLOOKUP($B32,INPUT_DATA!$BP:$BP,INPUT_DATA!BX:BX))</f>
        <v/>
      </c>
      <c r="M32" s="140" t="str">
        <f>IF($B32=0,"",_xlfn.XLOOKUP($B32,INPUT_DATA!$BP:$BP,INPUT_DATA!BY:BY))</f>
        <v/>
      </c>
      <c r="N32" s="140" t="str">
        <f t="shared" si="3"/>
        <v/>
      </c>
      <c r="O32" s="1275" t="str">
        <f t="shared" si="4"/>
        <v/>
      </c>
      <c r="P32" s="139" t="str">
        <f t="shared" si="5"/>
        <v/>
      </c>
      <c r="Q32" s="139" t="str">
        <f t="shared" si="6"/>
        <v/>
      </c>
      <c r="R32" s="139" t="str">
        <f t="shared" si="7"/>
        <v/>
      </c>
      <c r="S32" s="140" t="str">
        <f>IF($B32=0,"",_xlfn.XLOOKUP($B32,INPUT_DATA!$BP:$BP,INPUT_DATA!BZ:BZ))</f>
        <v/>
      </c>
      <c r="T32" s="140" t="str">
        <f>IF($B32=0,"",_xlfn.XLOOKUP($B32,INPUT_DATA!$BP:$BP,INPUT_DATA!CA:CA))</f>
        <v/>
      </c>
      <c r="U32" s="140" t="str">
        <f>IF($B32=0,"",_xlfn.XLOOKUP($B32,INPUT_DATA!$BP:$BP,INPUT_DATA!CB:CB))</f>
        <v/>
      </c>
      <c r="V32" s="1300" t="str">
        <f t="shared" si="8"/>
        <v/>
      </c>
      <c r="W32" s="139" t="str">
        <f t="shared" si="9"/>
        <v/>
      </c>
      <c r="X32" s="139" t="str">
        <f>IF($B32=0,"",_xlfn.XLOOKUP($B32,INPUT_DATA!$BP:$BP,INPUT_DATA!CC:CC))</f>
        <v/>
      </c>
      <c r="Y32" s="140" t="str">
        <f>IF($B32=0,"",_xlfn.XLOOKUP($B32,INPUT_DATA!$BP:$BP,INPUT_DATA!CD:CD))</f>
        <v/>
      </c>
      <c r="Z32" s="140" t="str">
        <f>IF($B32=0,"",_xlfn.XLOOKUP($B32,INPUT_DATA!$BP:$BP,INPUT_DATA!CE:CE))</f>
        <v/>
      </c>
      <c r="AA32" s="140" t="str">
        <f>IF($B32=0,"",_xlfn.XLOOKUP($B32,INPUT_DATA!$BP:$BP,INPUT_DATA!CF:CF))</f>
        <v/>
      </c>
      <c r="AB32" s="1300" t="str">
        <f t="shared" si="10"/>
        <v/>
      </c>
      <c r="AC32" s="139"/>
      <c r="AD32" s="139" t="str">
        <f t="shared" si="17"/>
        <v/>
      </c>
      <c r="AE32" s="1275" t="str">
        <f>IF($B32=0,"",_xlfn.XLOOKUP($B32,INPUT_DATA!$BP:$BP,INPUT_DATA!CH:CH))</f>
        <v/>
      </c>
      <c r="AF32" s="140" t="str">
        <f>IF($B32=0,"",_xlfn.XLOOKUP($B32,INPUT_DATA!$BP:$BP,INPUT_DATA!CI:CI))</f>
        <v/>
      </c>
      <c r="AG32" s="140" t="str">
        <f>IF($B32=0,"",_xlfn.XLOOKUP($B32,INPUT_DATA!$BP:$BP,INPUT_DATA!CJ:CJ))</f>
        <v/>
      </c>
      <c r="AH32" s="140" t="str">
        <f>IF($B32=0,"",_xlfn.XLOOKUP($B32,INPUT_DATA!$BP:$BP,INPUT_DATA!CK:CK))</f>
        <v/>
      </c>
      <c r="AI32" s="1300" t="str">
        <f t="shared" si="12"/>
        <v/>
      </c>
      <c r="AJ32" s="139" t="str">
        <f>IF($B32=0,"",_xlfn.XLOOKUP($B32,INPUT_DATA!$BP:$BP,INPUT_DATA!CL:CL))</f>
        <v/>
      </c>
      <c r="AK32" s="139" t="str">
        <f t="shared" si="13"/>
        <v/>
      </c>
      <c r="AL32" s="1275" t="str">
        <f>IF($B32=0,"",_xlfn.XLOOKUP($B32,INPUT_DATA!$BP:$BP,INPUT_DATA!CM:CM))</f>
        <v/>
      </c>
      <c r="AM32" s="139" t="str">
        <f t="shared" si="16"/>
        <v/>
      </c>
      <c r="AN32" s="1275" t="str">
        <f t="shared" si="14"/>
        <v/>
      </c>
    </row>
    <row r="33" spans="2:40">
      <c r="B33" s="137">
        <f>INPUT_DATA!BP24</f>
        <v>0</v>
      </c>
      <c r="C33" s="1291" t="str">
        <f>IF($B33=0,"",_xlfn.XLOOKUP($B33,INPUT_DATA!$BP:$BP,INPUT_DATA!BQ:BQ))</f>
        <v/>
      </c>
      <c r="D33" s="140" t="str">
        <f>IF($B33=0,"",_xlfn.XLOOKUP($B33,INPUT_DATA!$BP:$BP,INPUT_DATA!BR:BR))</f>
        <v/>
      </c>
      <c r="E33" s="140" t="str">
        <f>IF($B33=0,"",_xlfn.XLOOKUP($B33,INPUT_DATA!$BP:$BP,INPUT_DATA!BS:BS))</f>
        <v/>
      </c>
      <c r="F33" s="140" t="str">
        <f t="shared" si="1"/>
        <v/>
      </c>
      <c r="G33" s="1291" t="str">
        <f>IF($B33=0,"",_xlfn.XLOOKUP($B33,INPUT_DATA!$BP:$BP,INPUT_DATA!BT:BT))</f>
        <v/>
      </c>
      <c r="H33" s="140" t="str">
        <f>IF($B33=0,"",_xlfn.XLOOKUP($B33,INPUT_DATA!$BP:$BP,INPUT_DATA!BU:BU))</f>
        <v/>
      </c>
      <c r="I33" s="140" t="str">
        <f>IF($B33=0,"",_xlfn.XLOOKUP($B33,INPUT_DATA!$BP:$BP,INPUT_DATA!BV:BV))</f>
        <v/>
      </c>
      <c r="J33" s="140" t="str">
        <f t="shared" si="2"/>
        <v/>
      </c>
      <c r="K33" s="1291" t="str">
        <f>IF($B33=0,"",_xlfn.XLOOKUP($B33,INPUT_DATA!$BP:$BP,INPUT_DATA!BW:BW))</f>
        <v/>
      </c>
      <c r="L33" s="140" t="str">
        <f>IF($B33=0,"",_xlfn.XLOOKUP($B33,INPUT_DATA!$BP:$BP,INPUT_DATA!BX:BX))</f>
        <v/>
      </c>
      <c r="M33" s="140" t="str">
        <f>IF($B33=0,"",_xlfn.XLOOKUP($B33,INPUT_DATA!$BP:$BP,INPUT_DATA!BY:BY))</f>
        <v/>
      </c>
      <c r="N33" s="140" t="str">
        <f t="shared" si="3"/>
        <v/>
      </c>
      <c r="O33" s="1275" t="str">
        <f t="shared" si="4"/>
        <v/>
      </c>
      <c r="P33" s="139" t="str">
        <f t="shared" si="5"/>
        <v/>
      </c>
      <c r="Q33" s="139" t="str">
        <f t="shared" si="6"/>
        <v/>
      </c>
      <c r="R33" s="139" t="str">
        <f t="shared" si="7"/>
        <v/>
      </c>
      <c r="S33" s="140" t="str">
        <f>IF($B33=0,"",_xlfn.XLOOKUP($B33,INPUT_DATA!$BP:$BP,INPUT_DATA!BZ:BZ))</f>
        <v/>
      </c>
      <c r="T33" s="140" t="str">
        <f>IF($B33=0,"",_xlfn.XLOOKUP($B33,INPUT_DATA!$BP:$BP,INPUT_DATA!CA:CA))</f>
        <v/>
      </c>
      <c r="U33" s="140" t="str">
        <f>IF($B33=0,"",_xlfn.XLOOKUP($B33,INPUT_DATA!$BP:$BP,INPUT_DATA!CB:CB))</f>
        <v/>
      </c>
      <c r="V33" s="1300" t="str">
        <f t="shared" si="8"/>
        <v/>
      </c>
      <c r="W33" s="139" t="str">
        <f t="shared" si="9"/>
        <v/>
      </c>
      <c r="X33" s="139" t="str">
        <f>IF($B33=0,"",_xlfn.XLOOKUP($B33,INPUT_DATA!$BP:$BP,INPUT_DATA!CC:CC))</f>
        <v/>
      </c>
      <c r="Y33" s="140" t="str">
        <f>IF($B33=0,"",_xlfn.XLOOKUP($B33,INPUT_DATA!$BP:$BP,INPUT_DATA!CD:CD))</f>
        <v/>
      </c>
      <c r="Z33" s="140" t="str">
        <f>IF($B33=0,"",_xlfn.XLOOKUP($B33,INPUT_DATA!$BP:$BP,INPUT_DATA!CE:CE))</f>
        <v/>
      </c>
      <c r="AA33" s="140" t="str">
        <f>IF($B33=0,"",_xlfn.XLOOKUP($B33,INPUT_DATA!$BP:$BP,INPUT_DATA!CF:CF))</f>
        <v/>
      </c>
      <c r="AB33" s="1300" t="str">
        <f t="shared" si="10"/>
        <v/>
      </c>
      <c r="AC33" s="139"/>
      <c r="AD33" s="139" t="str">
        <f t="shared" si="17"/>
        <v/>
      </c>
      <c r="AE33" s="1275" t="str">
        <f>IF($B33=0,"",_xlfn.XLOOKUP($B33,INPUT_DATA!$BP:$BP,INPUT_DATA!CH:CH))</f>
        <v/>
      </c>
      <c r="AF33" s="140" t="str">
        <f>IF($B33=0,"",_xlfn.XLOOKUP($B33,INPUT_DATA!$BP:$BP,INPUT_DATA!CI:CI))</f>
        <v/>
      </c>
      <c r="AG33" s="140" t="str">
        <f>IF($B33=0,"",_xlfn.XLOOKUP($B33,INPUT_DATA!$BP:$BP,INPUT_DATA!CJ:CJ))</f>
        <v/>
      </c>
      <c r="AH33" s="140" t="str">
        <f>IF($B33=0,"",_xlfn.XLOOKUP($B33,INPUT_DATA!$BP:$BP,INPUT_DATA!CK:CK))</f>
        <v/>
      </c>
      <c r="AI33" s="1300" t="str">
        <f t="shared" si="12"/>
        <v/>
      </c>
      <c r="AJ33" s="139" t="str">
        <f>IF($B33=0,"",_xlfn.XLOOKUP($B33,INPUT_DATA!$BP:$BP,INPUT_DATA!CL:CL))</f>
        <v/>
      </c>
      <c r="AK33" s="139" t="str">
        <f t="shared" si="13"/>
        <v/>
      </c>
      <c r="AL33" s="1275" t="str">
        <f>IF($B33=0,"",_xlfn.XLOOKUP($B33,INPUT_DATA!$BP:$BP,INPUT_DATA!CM:CM))</f>
        <v/>
      </c>
      <c r="AM33" s="139" t="str">
        <f t="shared" si="16"/>
        <v/>
      </c>
      <c r="AN33" s="1275" t="str">
        <f t="shared" si="14"/>
        <v/>
      </c>
    </row>
    <row r="34" spans="2:40">
      <c r="B34" s="137">
        <f>INPUT_DATA!BP25</f>
        <v>0</v>
      </c>
      <c r="C34" s="1291" t="str">
        <f>IF($B34=0,"",_xlfn.XLOOKUP($B34,INPUT_DATA!$BP:$BP,INPUT_DATA!BQ:BQ))</f>
        <v/>
      </c>
      <c r="D34" s="140" t="str">
        <f>IF($B34=0,"",_xlfn.XLOOKUP($B34,INPUT_DATA!$BP:$BP,INPUT_DATA!BR:BR))</f>
        <v/>
      </c>
      <c r="E34" s="140" t="str">
        <f>IF($B34=0,"",_xlfn.XLOOKUP($B34,INPUT_DATA!$BP:$BP,INPUT_DATA!BS:BS))</f>
        <v/>
      </c>
      <c r="F34" s="140" t="str">
        <f t="shared" si="1"/>
        <v/>
      </c>
      <c r="G34" s="1291" t="str">
        <f>IF($B34=0,"",_xlfn.XLOOKUP($B34,INPUT_DATA!$BP:$BP,INPUT_DATA!BT:BT))</f>
        <v/>
      </c>
      <c r="H34" s="140" t="str">
        <f>IF($B34=0,"",_xlfn.XLOOKUP($B34,INPUT_DATA!$BP:$BP,INPUT_DATA!BU:BU))</f>
        <v/>
      </c>
      <c r="I34" s="140" t="str">
        <f>IF($B34=0,"",_xlfn.XLOOKUP($B34,INPUT_DATA!$BP:$BP,INPUT_DATA!BV:BV))</f>
        <v/>
      </c>
      <c r="J34" s="140" t="str">
        <f t="shared" si="2"/>
        <v/>
      </c>
      <c r="K34" s="1291" t="str">
        <f>IF($B34=0,"",_xlfn.XLOOKUP($B34,INPUT_DATA!$BP:$BP,INPUT_DATA!BW:BW))</f>
        <v/>
      </c>
      <c r="L34" s="140" t="str">
        <f>IF($B34=0,"",_xlfn.XLOOKUP($B34,INPUT_DATA!$BP:$BP,INPUT_DATA!BX:BX))</f>
        <v/>
      </c>
      <c r="M34" s="140" t="str">
        <f>IF($B34=0,"",_xlfn.XLOOKUP($B34,INPUT_DATA!$BP:$BP,INPUT_DATA!BY:BY))</f>
        <v/>
      </c>
      <c r="N34" s="140" t="str">
        <f t="shared" si="3"/>
        <v/>
      </c>
      <c r="O34" s="1275" t="str">
        <f t="shared" si="4"/>
        <v/>
      </c>
      <c r="P34" s="139" t="str">
        <f t="shared" si="5"/>
        <v/>
      </c>
      <c r="Q34" s="139" t="str">
        <f t="shared" si="6"/>
        <v/>
      </c>
      <c r="R34" s="139" t="str">
        <f t="shared" si="7"/>
        <v/>
      </c>
      <c r="S34" s="140" t="str">
        <f>IF($B34=0,"",_xlfn.XLOOKUP($B34,INPUT_DATA!$BP:$BP,INPUT_DATA!BZ:BZ))</f>
        <v/>
      </c>
      <c r="T34" s="140" t="str">
        <f>IF($B34=0,"",_xlfn.XLOOKUP($B34,INPUT_DATA!$BP:$BP,INPUT_DATA!CA:CA))</f>
        <v/>
      </c>
      <c r="U34" s="140" t="str">
        <f>IF($B34=0,"",_xlfn.XLOOKUP($B34,INPUT_DATA!$BP:$BP,INPUT_DATA!CB:CB))</f>
        <v/>
      </c>
      <c r="V34" s="1300" t="str">
        <f t="shared" si="8"/>
        <v/>
      </c>
      <c r="W34" s="139" t="str">
        <f t="shared" si="9"/>
        <v/>
      </c>
      <c r="X34" s="139" t="str">
        <f>IF($B34=0,"",_xlfn.XLOOKUP($B34,INPUT_DATA!$BP:$BP,INPUT_DATA!CC:CC))</f>
        <v/>
      </c>
      <c r="Y34" s="140" t="str">
        <f>IF($B34=0,"",_xlfn.XLOOKUP($B34,INPUT_DATA!$BP:$BP,INPUT_DATA!CD:CD))</f>
        <v/>
      </c>
      <c r="Z34" s="140" t="str">
        <f>IF($B34=0,"",_xlfn.XLOOKUP($B34,INPUT_DATA!$BP:$BP,INPUT_DATA!CE:CE))</f>
        <v/>
      </c>
      <c r="AA34" s="140" t="str">
        <f>IF($B34=0,"",_xlfn.XLOOKUP($B34,INPUT_DATA!$BP:$BP,INPUT_DATA!CF:CF))</f>
        <v/>
      </c>
      <c r="AB34" s="1300" t="str">
        <f t="shared" si="10"/>
        <v/>
      </c>
      <c r="AC34" s="139"/>
      <c r="AD34" s="139" t="str">
        <f t="shared" si="17"/>
        <v/>
      </c>
      <c r="AE34" s="1275" t="str">
        <f>IF($B34=0,"",_xlfn.XLOOKUP($B34,INPUT_DATA!$BP:$BP,INPUT_DATA!CH:CH))</f>
        <v/>
      </c>
      <c r="AF34" s="140" t="str">
        <f>IF($B34=0,"",_xlfn.XLOOKUP($B34,INPUT_DATA!$BP:$BP,INPUT_DATA!CI:CI))</f>
        <v/>
      </c>
      <c r="AG34" s="140" t="str">
        <f>IF($B34=0,"",_xlfn.XLOOKUP($B34,INPUT_DATA!$BP:$BP,INPUT_DATA!CJ:CJ))</f>
        <v/>
      </c>
      <c r="AH34" s="140" t="str">
        <f>IF($B34=0,"",_xlfn.XLOOKUP($B34,INPUT_DATA!$BP:$BP,INPUT_DATA!CK:CK))</f>
        <v/>
      </c>
      <c r="AI34" s="1300" t="str">
        <f t="shared" si="12"/>
        <v/>
      </c>
      <c r="AJ34" s="139" t="str">
        <f>IF($B34=0,"",_xlfn.XLOOKUP($B34,INPUT_DATA!$BP:$BP,INPUT_DATA!CL:CL))</f>
        <v/>
      </c>
      <c r="AK34" s="139" t="str">
        <f t="shared" si="13"/>
        <v/>
      </c>
      <c r="AL34" s="1275" t="str">
        <f>IF($B34=0,"",_xlfn.XLOOKUP($B34,INPUT_DATA!$BP:$BP,INPUT_DATA!CM:CM))</f>
        <v/>
      </c>
      <c r="AM34" s="139" t="str">
        <f t="shared" si="16"/>
        <v/>
      </c>
      <c r="AN34" s="1275" t="str">
        <f t="shared" si="14"/>
        <v/>
      </c>
    </row>
    <row r="35" spans="2:40">
      <c r="B35" s="137">
        <f>INPUT_DATA!BP26</f>
        <v>0</v>
      </c>
      <c r="C35" s="1291" t="str">
        <f>IF($B35=0,"",_xlfn.XLOOKUP($B35,INPUT_DATA!$BP:$BP,INPUT_DATA!BQ:BQ))</f>
        <v/>
      </c>
      <c r="D35" s="140" t="str">
        <f>IF($B35=0,"",_xlfn.XLOOKUP($B35,INPUT_DATA!$BP:$BP,INPUT_DATA!BR:BR))</f>
        <v/>
      </c>
      <c r="E35" s="140" t="str">
        <f>IF($B35=0,"",_xlfn.XLOOKUP($B35,INPUT_DATA!$BP:$BP,INPUT_DATA!BS:BS))</f>
        <v/>
      </c>
      <c r="F35" s="140" t="str">
        <f t="shared" si="1"/>
        <v/>
      </c>
      <c r="G35" s="1291" t="str">
        <f>IF($B35=0,"",_xlfn.XLOOKUP($B35,INPUT_DATA!$BP:$BP,INPUT_DATA!BT:BT))</f>
        <v/>
      </c>
      <c r="H35" s="140" t="str">
        <f>IF($B35=0,"",_xlfn.XLOOKUP($B35,INPUT_DATA!$BP:$BP,INPUT_DATA!BU:BU))</f>
        <v/>
      </c>
      <c r="I35" s="140" t="str">
        <f>IF($B35=0,"",_xlfn.XLOOKUP($B35,INPUT_DATA!$BP:$BP,INPUT_DATA!BV:BV))</f>
        <v/>
      </c>
      <c r="J35" s="140" t="str">
        <f t="shared" si="2"/>
        <v/>
      </c>
      <c r="K35" s="1291" t="str">
        <f>IF($B35=0,"",_xlfn.XLOOKUP($B35,INPUT_DATA!$BP:$BP,INPUT_DATA!BW:BW))</f>
        <v/>
      </c>
      <c r="L35" s="140" t="str">
        <f>IF($B35=0,"",_xlfn.XLOOKUP($B35,INPUT_DATA!$BP:$BP,INPUT_DATA!BX:BX))</f>
        <v/>
      </c>
      <c r="M35" s="140" t="str">
        <f>IF($B35=0,"",_xlfn.XLOOKUP($B35,INPUT_DATA!$BP:$BP,INPUT_DATA!BY:BY))</f>
        <v/>
      </c>
      <c r="N35" s="140" t="str">
        <f t="shared" si="3"/>
        <v/>
      </c>
      <c r="O35" s="1275" t="str">
        <f t="shared" si="4"/>
        <v/>
      </c>
      <c r="P35" s="139" t="str">
        <f t="shared" si="5"/>
        <v/>
      </c>
      <c r="Q35" s="139" t="str">
        <f t="shared" si="6"/>
        <v/>
      </c>
      <c r="R35" s="139" t="str">
        <f t="shared" si="7"/>
        <v/>
      </c>
      <c r="S35" s="140" t="str">
        <f>IF($B35=0,"",_xlfn.XLOOKUP($B35,INPUT_DATA!$BP:$BP,INPUT_DATA!BZ:BZ))</f>
        <v/>
      </c>
      <c r="T35" s="140" t="str">
        <f>IF($B35=0,"",_xlfn.XLOOKUP($B35,INPUT_DATA!$BP:$BP,INPUT_DATA!CA:CA))</f>
        <v/>
      </c>
      <c r="U35" s="140" t="str">
        <f>IF($B35=0,"",_xlfn.XLOOKUP($B35,INPUT_DATA!$BP:$BP,INPUT_DATA!CB:CB))</f>
        <v/>
      </c>
      <c r="V35" s="1300" t="str">
        <f t="shared" si="8"/>
        <v/>
      </c>
      <c r="W35" s="139" t="str">
        <f t="shared" si="9"/>
        <v/>
      </c>
      <c r="X35" s="139" t="str">
        <f>IF($B35=0,"",_xlfn.XLOOKUP($B35,INPUT_DATA!$BP:$BP,INPUT_DATA!CC:CC))</f>
        <v/>
      </c>
      <c r="Y35" s="140" t="str">
        <f>IF($B35=0,"",_xlfn.XLOOKUP($B35,INPUT_DATA!$BP:$BP,INPUT_DATA!CD:CD))</f>
        <v/>
      </c>
      <c r="Z35" s="140" t="str">
        <f>IF($B35=0,"",_xlfn.XLOOKUP($B35,INPUT_DATA!$BP:$BP,INPUT_DATA!CE:CE))</f>
        <v/>
      </c>
      <c r="AA35" s="140" t="str">
        <f>IF($B35=0,"",_xlfn.XLOOKUP($B35,INPUT_DATA!$BP:$BP,INPUT_DATA!CF:CF))</f>
        <v/>
      </c>
      <c r="AB35" s="1300" t="str">
        <f t="shared" si="10"/>
        <v/>
      </c>
      <c r="AC35" s="139"/>
      <c r="AD35" s="139" t="str">
        <f t="shared" si="17"/>
        <v/>
      </c>
      <c r="AE35" s="1275" t="str">
        <f>IF($B35=0,"",_xlfn.XLOOKUP($B35,INPUT_DATA!$BP:$BP,INPUT_DATA!CH:CH))</f>
        <v/>
      </c>
      <c r="AF35" s="140" t="str">
        <f>IF($B35=0,"",_xlfn.XLOOKUP($B35,INPUT_DATA!$BP:$BP,INPUT_DATA!CI:CI))</f>
        <v/>
      </c>
      <c r="AG35" s="140" t="str">
        <f>IF($B35=0,"",_xlfn.XLOOKUP($B35,INPUT_DATA!$BP:$BP,INPUT_DATA!CJ:CJ))</f>
        <v/>
      </c>
      <c r="AH35" s="140" t="str">
        <f>IF($B35=0,"",_xlfn.XLOOKUP($B35,INPUT_DATA!$BP:$BP,INPUT_DATA!CK:CK))</f>
        <v/>
      </c>
      <c r="AI35" s="1300" t="str">
        <f t="shared" si="12"/>
        <v/>
      </c>
      <c r="AJ35" s="139" t="str">
        <f>IF($B35=0,"",_xlfn.XLOOKUP($B35,INPUT_DATA!$BP:$BP,INPUT_DATA!CL:CL))</f>
        <v/>
      </c>
      <c r="AK35" s="139" t="str">
        <f t="shared" si="13"/>
        <v/>
      </c>
      <c r="AL35" s="1275" t="str">
        <f>IF($B35=0,"",_xlfn.XLOOKUP($B35,INPUT_DATA!$BP:$BP,INPUT_DATA!CM:CM))</f>
        <v/>
      </c>
      <c r="AM35" s="139" t="str">
        <f t="shared" si="16"/>
        <v/>
      </c>
      <c r="AN35" s="1275" t="str">
        <f t="shared" si="14"/>
        <v/>
      </c>
    </row>
    <row r="36" spans="2:40">
      <c r="B36" s="137">
        <f>INPUT_DATA!BP27</f>
        <v>0</v>
      </c>
      <c r="C36" s="1291" t="str">
        <f>IF($B36=0,"",_xlfn.XLOOKUP($B36,INPUT_DATA!$BP:$BP,INPUT_DATA!BQ:BQ))</f>
        <v/>
      </c>
      <c r="D36" s="140" t="str">
        <f>IF($B36=0,"",_xlfn.XLOOKUP($B36,INPUT_DATA!$BP:$BP,INPUT_DATA!BR:BR))</f>
        <v/>
      </c>
      <c r="E36" s="140" t="str">
        <f>IF($B36=0,"",_xlfn.XLOOKUP($B36,INPUT_DATA!$BP:$BP,INPUT_DATA!BS:BS))</f>
        <v/>
      </c>
      <c r="F36" s="140" t="str">
        <f t="shared" si="1"/>
        <v/>
      </c>
      <c r="G36" s="1291" t="str">
        <f>IF($B36=0,"",_xlfn.XLOOKUP($B36,INPUT_DATA!$BP:$BP,INPUT_DATA!BT:BT))</f>
        <v/>
      </c>
      <c r="H36" s="140" t="str">
        <f>IF($B36=0,"",_xlfn.XLOOKUP($B36,INPUT_DATA!$BP:$BP,INPUT_DATA!BU:BU))</f>
        <v/>
      </c>
      <c r="I36" s="140" t="str">
        <f>IF($B36=0,"",_xlfn.XLOOKUP($B36,INPUT_DATA!$BP:$BP,INPUT_DATA!BV:BV))</f>
        <v/>
      </c>
      <c r="J36" s="140" t="str">
        <f t="shared" si="2"/>
        <v/>
      </c>
      <c r="K36" s="1291" t="str">
        <f>IF($B36=0,"",_xlfn.XLOOKUP($B36,INPUT_DATA!$BP:$BP,INPUT_DATA!BW:BW))</f>
        <v/>
      </c>
      <c r="L36" s="140" t="str">
        <f>IF($B36=0,"",_xlfn.XLOOKUP($B36,INPUT_DATA!$BP:$BP,INPUT_DATA!BX:BX))</f>
        <v/>
      </c>
      <c r="M36" s="140" t="str">
        <f>IF($B36=0,"",_xlfn.XLOOKUP($B36,INPUT_DATA!$BP:$BP,INPUT_DATA!BY:BY))</f>
        <v/>
      </c>
      <c r="N36" s="140" t="str">
        <f t="shared" si="3"/>
        <v/>
      </c>
      <c r="O36" s="1275" t="str">
        <f t="shared" si="4"/>
        <v/>
      </c>
      <c r="P36" s="139" t="str">
        <f t="shared" si="5"/>
        <v/>
      </c>
      <c r="Q36" s="139" t="str">
        <f t="shared" si="6"/>
        <v/>
      </c>
      <c r="R36" s="139" t="str">
        <f t="shared" si="7"/>
        <v/>
      </c>
      <c r="S36" s="140" t="str">
        <f>IF($B36=0,"",_xlfn.XLOOKUP($B36,INPUT_DATA!$BP:$BP,INPUT_DATA!BZ:BZ))</f>
        <v/>
      </c>
      <c r="T36" s="140" t="str">
        <f>IF($B36=0,"",_xlfn.XLOOKUP($B36,INPUT_DATA!$BP:$BP,INPUT_DATA!CA:CA))</f>
        <v/>
      </c>
      <c r="U36" s="140" t="str">
        <f>IF($B36=0,"",_xlfn.XLOOKUP($B36,INPUT_DATA!$BP:$BP,INPUT_DATA!CB:CB))</f>
        <v/>
      </c>
      <c r="V36" s="1300" t="str">
        <f t="shared" si="8"/>
        <v/>
      </c>
      <c r="W36" s="139" t="str">
        <f t="shared" si="9"/>
        <v/>
      </c>
      <c r="X36" s="139" t="str">
        <f>IF($B36=0,"",_xlfn.XLOOKUP($B36,INPUT_DATA!$BP:$BP,INPUT_DATA!CC:CC))</f>
        <v/>
      </c>
      <c r="Y36" s="140" t="str">
        <f>IF($B36=0,"",_xlfn.XLOOKUP($B36,INPUT_DATA!$BP:$BP,INPUT_DATA!CD:CD))</f>
        <v/>
      </c>
      <c r="Z36" s="140" t="str">
        <f>IF($B36=0,"",_xlfn.XLOOKUP($B36,INPUT_DATA!$BP:$BP,INPUT_DATA!CE:CE))</f>
        <v/>
      </c>
      <c r="AA36" s="140" t="str">
        <f>IF($B36=0,"",_xlfn.XLOOKUP($B36,INPUT_DATA!$BP:$BP,INPUT_DATA!CF:CF))</f>
        <v/>
      </c>
      <c r="AB36" s="1300" t="str">
        <f t="shared" si="10"/>
        <v/>
      </c>
      <c r="AC36" s="139"/>
      <c r="AD36" s="139" t="str">
        <f t="shared" si="17"/>
        <v/>
      </c>
      <c r="AE36" s="1275" t="str">
        <f>IF($B36=0,"",_xlfn.XLOOKUP($B36,INPUT_DATA!$BP:$BP,INPUT_DATA!CH:CH))</f>
        <v/>
      </c>
      <c r="AF36" s="140" t="str">
        <f>IF($B36=0,"",_xlfn.XLOOKUP($B36,INPUT_DATA!$BP:$BP,INPUT_DATA!CI:CI))</f>
        <v/>
      </c>
      <c r="AG36" s="140" t="str">
        <f>IF($B36=0,"",_xlfn.XLOOKUP($B36,INPUT_DATA!$BP:$BP,INPUT_DATA!CJ:CJ))</f>
        <v/>
      </c>
      <c r="AH36" s="140" t="str">
        <f>IF($B36=0,"",_xlfn.XLOOKUP($B36,INPUT_DATA!$BP:$BP,INPUT_DATA!CK:CK))</f>
        <v/>
      </c>
      <c r="AI36" s="1300" t="str">
        <f t="shared" si="12"/>
        <v/>
      </c>
      <c r="AJ36" s="139" t="str">
        <f>IF($B36=0,"",_xlfn.XLOOKUP($B36,INPUT_DATA!$BP:$BP,INPUT_DATA!CL:CL))</f>
        <v/>
      </c>
      <c r="AK36" s="139" t="str">
        <f t="shared" si="13"/>
        <v/>
      </c>
      <c r="AL36" s="1275" t="str">
        <f>IF($B36=0,"",_xlfn.XLOOKUP($B36,INPUT_DATA!$BP:$BP,INPUT_DATA!CM:CM))</f>
        <v/>
      </c>
      <c r="AM36" s="139" t="str">
        <f t="shared" si="16"/>
        <v/>
      </c>
      <c r="AN36" s="1275" t="str">
        <f t="shared" si="14"/>
        <v/>
      </c>
    </row>
    <row r="37" spans="2:40">
      <c r="B37" s="137">
        <f>INPUT_DATA!BP28</f>
        <v>0</v>
      </c>
      <c r="C37" s="1291" t="str">
        <f>IF($B37=0,"",_xlfn.XLOOKUP($B37,INPUT_DATA!$BP:$BP,INPUT_DATA!BQ:BQ))</f>
        <v/>
      </c>
      <c r="D37" s="140" t="str">
        <f>IF($B37=0,"",_xlfn.XLOOKUP($B37,INPUT_DATA!$BP:$BP,INPUT_DATA!BR:BR))</f>
        <v/>
      </c>
      <c r="E37" s="140" t="str">
        <f>IF($B37=0,"",_xlfn.XLOOKUP($B37,INPUT_DATA!$BP:$BP,INPUT_DATA!BS:BS))</f>
        <v/>
      </c>
      <c r="F37" s="140" t="str">
        <f t="shared" si="1"/>
        <v/>
      </c>
      <c r="G37" s="1291" t="str">
        <f>IF($B37=0,"",_xlfn.XLOOKUP($B37,INPUT_DATA!$BP:$BP,INPUT_DATA!BT:BT))</f>
        <v/>
      </c>
      <c r="H37" s="140" t="str">
        <f>IF($B37=0,"",_xlfn.XLOOKUP($B37,INPUT_DATA!$BP:$BP,INPUT_DATA!BU:BU))</f>
        <v/>
      </c>
      <c r="I37" s="140" t="str">
        <f>IF($B37=0,"",_xlfn.XLOOKUP($B37,INPUT_DATA!$BP:$BP,INPUT_DATA!BV:BV))</f>
        <v/>
      </c>
      <c r="J37" s="140" t="str">
        <f t="shared" si="2"/>
        <v/>
      </c>
      <c r="K37" s="1291" t="str">
        <f>IF($B37=0,"",_xlfn.XLOOKUP($B37,INPUT_DATA!$BP:$BP,INPUT_DATA!BW:BW))</f>
        <v/>
      </c>
      <c r="L37" s="140" t="str">
        <f>IF($B37=0,"",_xlfn.XLOOKUP($B37,INPUT_DATA!$BP:$BP,INPUT_DATA!BX:BX))</f>
        <v/>
      </c>
      <c r="M37" s="140" t="str">
        <f>IF($B37=0,"",_xlfn.XLOOKUP($B37,INPUT_DATA!$BP:$BP,INPUT_DATA!BY:BY))</f>
        <v/>
      </c>
      <c r="N37" s="140" t="str">
        <f t="shared" si="3"/>
        <v/>
      </c>
      <c r="O37" s="1275" t="str">
        <f t="shared" si="4"/>
        <v/>
      </c>
      <c r="P37" s="139" t="str">
        <f t="shared" si="5"/>
        <v/>
      </c>
      <c r="Q37" s="139" t="str">
        <f t="shared" si="6"/>
        <v/>
      </c>
      <c r="R37" s="139" t="str">
        <f t="shared" si="7"/>
        <v/>
      </c>
      <c r="S37" s="140" t="str">
        <f>IF($B37=0,"",_xlfn.XLOOKUP($B37,INPUT_DATA!$BP:$BP,INPUT_DATA!BZ:BZ))</f>
        <v/>
      </c>
      <c r="T37" s="140" t="str">
        <f>IF($B37=0,"",_xlfn.XLOOKUP($B37,INPUT_DATA!$BP:$BP,INPUT_DATA!CA:CA))</f>
        <v/>
      </c>
      <c r="U37" s="140" t="str">
        <f>IF($B37=0,"",_xlfn.XLOOKUP($B37,INPUT_DATA!$BP:$BP,INPUT_DATA!CB:CB))</f>
        <v/>
      </c>
      <c r="V37" s="1300" t="str">
        <f t="shared" si="8"/>
        <v/>
      </c>
      <c r="W37" s="139" t="str">
        <f t="shared" si="9"/>
        <v/>
      </c>
      <c r="X37" s="139" t="str">
        <f>IF($B37=0,"",_xlfn.XLOOKUP($B37,INPUT_DATA!$BP:$BP,INPUT_DATA!CC:CC))</f>
        <v/>
      </c>
      <c r="Y37" s="140" t="str">
        <f>IF($B37=0,"",_xlfn.XLOOKUP($B37,INPUT_DATA!$BP:$BP,INPUT_DATA!CD:CD))</f>
        <v/>
      </c>
      <c r="Z37" s="140" t="str">
        <f>IF($B37=0,"",_xlfn.XLOOKUP($B37,INPUT_DATA!$BP:$BP,INPUT_DATA!CE:CE))</f>
        <v/>
      </c>
      <c r="AA37" s="140" t="str">
        <f>IF($B37=0,"",_xlfn.XLOOKUP($B37,INPUT_DATA!$BP:$BP,INPUT_DATA!CF:CF))</f>
        <v/>
      </c>
      <c r="AB37" s="1300" t="str">
        <f t="shared" si="10"/>
        <v/>
      </c>
      <c r="AC37" s="139"/>
      <c r="AD37" s="139" t="str">
        <f t="shared" si="17"/>
        <v/>
      </c>
      <c r="AE37" s="1275" t="str">
        <f>IF($B37=0,"",_xlfn.XLOOKUP($B37,INPUT_DATA!$BP:$BP,INPUT_DATA!CH:CH))</f>
        <v/>
      </c>
      <c r="AF37" s="140" t="str">
        <f>IF($B37=0,"",_xlfn.XLOOKUP($B37,INPUT_DATA!$BP:$BP,INPUT_DATA!CI:CI))</f>
        <v/>
      </c>
      <c r="AG37" s="140" t="str">
        <f>IF($B37=0,"",_xlfn.XLOOKUP($B37,INPUT_DATA!$BP:$BP,INPUT_DATA!CJ:CJ))</f>
        <v/>
      </c>
      <c r="AH37" s="140" t="str">
        <f>IF($B37=0,"",_xlfn.XLOOKUP($B37,INPUT_DATA!$BP:$BP,INPUT_DATA!CK:CK))</f>
        <v/>
      </c>
      <c r="AI37" s="1300" t="str">
        <f t="shared" si="12"/>
        <v/>
      </c>
      <c r="AJ37" s="139" t="str">
        <f>IF($B37=0,"",_xlfn.XLOOKUP($B37,INPUT_DATA!$BP:$BP,INPUT_DATA!CL:CL))</f>
        <v/>
      </c>
      <c r="AK37" s="139" t="str">
        <f t="shared" si="13"/>
        <v/>
      </c>
      <c r="AL37" s="1275" t="str">
        <f>IF($B37=0,"",_xlfn.XLOOKUP($B37,INPUT_DATA!$BP:$BP,INPUT_DATA!CM:CM))</f>
        <v/>
      </c>
      <c r="AM37" s="139" t="str">
        <f t="shared" si="16"/>
        <v/>
      </c>
      <c r="AN37" s="1275" t="str">
        <f t="shared" si="14"/>
        <v/>
      </c>
    </row>
    <row r="38" spans="2:40">
      <c r="B38" s="137">
        <f>INPUT_DATA!BP29</f>
        <v>0</v>
      </c>
      <c r="C38" s="1291" t="str">
        <f>IF($B38=0,"",_xlfn.XLOOKUP($B38,INPUT_DATA!$BP:$BP,INPUT_DATA!BQ:BQ))</f>
        <v/>
      </c>
      <c r="D38" s="140" t="str">
        <f>IF($B38=0,"",_xlfn.XLOOKUP($B38,INPUT_DATA!$BP:$BP,INPUT_DATA!BR:BR))</f>
        <v/>
      </c>
      <c r="E38" s="140" t="str">
        <f>IF($B38=0,"",_xlfn.XLOOKUP($B38,INPUT_DATA!$BP:$BP,INPUT_DATA!BS:BS))</f>
        <v/>
      </c>
      <c r="F38" s="140" t="str">
        <f t="shared" si="1"/>
        <v/>
      </c>
      <c r="G38" s="1291" t="str">
        <f>IF($B38=0,"",_xlfn.XLOOKUP($B38,INPUT_DATA!$BP:$BP,INPUT_DATA!BT:BT))</f>
        <v/>
      </c>
      <c r="H38" s="140" t="str">
        <f>IF($B38=0,"",_xlfn.XLOOKUP($B38,INPUT_DATA!$BP:$BP,INPUT_DATA!BU:BU))</f>
        <v/>
      </c>
      <c r="I38" s="140" t="str">
        <f>IF($B38=0,"",_xlfn.XLOOKUP($B38,INPUT_DATA!$BP:$BP,INPUT_DATA!BV:BV))</f>
        <v/>
      </c>
      <c r="J38" s="140" t="str">
        <f t="shared" si="2"/>
        <v/>
      </c>
      <c r="K38" s="1291" t="str">
        <f>IF($B38=0,"",_xlfn.XLOOKUP($B38,INPUT_DATA!$BP:$BP,INPUT_DATA!BW:BW))</f>
        <v/>
      </c>
      <c r="L38" s="140" t="str">
        <f>IF($B38=0,"",_xlfn.XLOOKUP($B38,INPUT_DATA!$BP:$BP,INPUT_DATA!BX:BX))</f>
        <v/>
      </c>
      <c r="M38" s="140" t="str">
        <f>IF($B38=0,"",_xlfn.XLOOKUP($B38,INPUT_DATA!$BP:$BP,INPUT_DATA!BY:BY))</f>
        <v/>
      </c>
      <c r="N38" s="140" t="str">
        <f t="shared" si="3"/>
        <v/>
      </c>
      <c r="O38" s="1275" t="str">
        <f t="shared" si="4"/>
        <v/>
      </c>
      <c r="P38" s="139" t="str">
        <f t="shared" si="5"/>
        <v/>
      </c>
      <c r="Q38" s="139" t="str">
        <f t="shared" si="6"/>
        <v/>
      </c>
      <c r="R38" s="139" t="str">
        <f t="shared" si="7"/>
        <v/>
      </c>
      <c r="S38" s="140" t="str">
        <f>IF($B38=0,"",_xlfn.XLOOKUP($B38,INPUT_DATA!$BP:$BP,INPUT_DATA!BZ:BZ))</f>
        <v/>
      </c>
      <c r="T38" s="140" t="str">
        <f>IF($B38=0,"",_xlfn.XLOOKUP($B38,INPUT_DATA!$BP:$BP,INPUT_DATA!CA:CA))</f>
        <v/>
      </c>
      <c r="U38" s="140" t="str">
        <f>IF($B38=0,"",_xlfn.XLOOKUP($B38,INPUT_DATA!$BP:$BP,INPUT_DATA!CB:CB))</f>
        <v/>
      </c>
      <c r="V38" s="1300" t="str">
        <f t="shared" si="8"/>
        <v/>
      </c>
      <c r="W38" s="139" t="str">
        <f t="shared" si="9"/>
        <v/>
      </c>
      <c r="X38" s="139" t="str">
        <f>IF($B38=0,"",_xlfn.XLOOKUP($B38,INPUT_DATA!$BP:$BP,INPUT_DATA!CC:CC))</f>
        <v/>
      </c>
      <c r="Y38" s="140" t="str">
        <f>IF($B38=0,"",_xlfn.XLOOKUP($B38,INPUT_DATA!$BP:$BP,INPUT_DATA!CD:CD))</f>
        <v/>
      </c>
      <c r="Z38" s="140" t="str">
        <f>IF($B38=0,"",_xlfn.XLOOKUP($B38,INPUT_DATA!$BP:$BP,INPUT_DATA!CE:CE))</f>
        <v/>
      </c>
      <c r="AA38" s="140" t="str">
        <f>IF($B38=0,"",_xlfn.XLOOKUP($B38,INPUT_DATA!$BP:$BP,INPUT_DATA!CF:CF))</f>
        <v/>
      </c>
      <c r="AB38" s="1300" t="str">
        <f t="shared" si="10"/>
        <v/>
      </c>
      <c r="AC38" s="139"/>
      <c r="AD38" s="139" t="str">
        <f t="shared" si="17"/>
        <v/>
      </c>
      <c r="AE38" s="1275" t="str">
        <f>IF($B38=0,"",_xlfn.XLOOKUP($B38,INPUT_DATA!$BP:$BP,INPUT_DATA!CH:CH))</f>
        <v/>
      </c>
      <c r="AF38" s="140" t="str">
        <f>IF($B38=0,"",_xlfn.XLOOKUP($B38,INPUT_DATA!$BP:$BP,INPUT_DATA!CI:CI))</f>
        <v/>
      </c>
      <c r="AG38" s="140" t="str">
        <f>IF($B38=0,"",_xlfn.XLOOKUP($B38,INPUT_DATA!$BP:$BP,INPUT_DATA!CJ:CJ))</f>
        <v/>
      </c>
      <c r="AH38" s="140" t="str">
        <f>IF($B38=0,"",_xlfn.XLOOKUP($B38,INPUT_DATA!$BP:$BP,INPUT_DATA!CK:CK))</f>
        <v/>
      </c>
      <c r="AI38" s="1300" t="str">
        <f t="shared" si="12"/>
        <v/>
      </c>
      <c r="AJ38" s="139" t="str">
        <f>IF($B38=0,"",_xlfn.XLOOKUP($B38,INPUT_DATA!$BP:$BP,INPUT_DATA!CL:CL))</f>
        <v/>
      </c>
      <c r="AK38" s="139" t="str">
        <f t="shared" si="13"/>
        <v/>
      </c>
      <c r="AL38" s="1275" t="str">
        <f>IF($B38=0,"",_xlfn.XLOOKUP($B38,INPUT_DATA!$BP:$BP,INPUT_DATA!CM:CM))</f>
        <v/>
      </c>
      <c r="AM38" s="139" t="str">
        <f t="shared" si="16"/>
        <v/>
      </c>
      <c r="AN38" s="1275" t="str">
        <f t="shared" si="14"/>
        <v/>
      </c>
    </row>
    <row r="39" spans="2:40">
      <c r="B39" s="137">
        <f>INPUT_DATA!BP30</f>
        <v>0</v>
      </c>
      <c r="C39" s="1291" t="str">
        <f>IF($B39=0,"",_xlfn.XLOOKUP($B39,INPUT_DATA!$BP:$BP,INPUT_DATA!BQ:BQ))</f>
        <v/>
      </c>
      <c r="D39" s="140" t="str">
        <f>IF($B39=0,"",_xlfn.XLOOKUP($B39,INPUT_DATA!$BP:$BP,INPUT_DATA!BR:BR))</f>
        <v/>
      </c>
      <c r="E39" s="140" t="str">
        <f>IF($B39=0,"",_xlfn.XLOOKUP($B39,INPUT_DATA!$BP:$BP,INPUT_DATA!BS:BS))</f>
        <v/>
      </c>
      <c r="F39" s="140" t="str">
        <f t="shared" si="1"/>
        <v/>
      </c>
      <c r="G39" s="1291" t="str">
        <f>IF($B39=0,"",_xlfn.XLOOKUP($B39,INPUT_DATA!$BP:$BP,INPUT_DATA!BT:BT))</f>
        <v/>
      </c>
      <c r="H39" s="140" t="str">
        <f>IF($B39=0,"",_xlfn.XLOOKUP($B39,INPUT_DATA!$BP:$BP,INPUT_DATA!BU:BU))</f>
        <v/>
      </c>
      <c r="I39" s="140" t="str">
        <f>IF($B39=0,"",_xlfn.XLOOKUP($B39,INPUT_DATA!$BP:$BP,INPUT_DATA!BV:BV))</f>
        <v/>
      </c>
      <c r="J39" s="140" t="str">
        <f t="shared" si="2"/>
        <v/>
      </c>
      <c r="K39" s="1291" t="str">
        <f>IF($B39=0,"",_xlfn.XLOOKUP($B39,INPUT_DATA!$BP:$BP,INPUT_DATA!BW:BW))</f>
        <v/>
      </c>
      <c r="L39" s="140" t="str">
        <f>IF($B39=0,"",_xlfn.XLOOKUP($B39,INPUT_DATA!$BP:$BP,INPUT_DATA!BX:BX))</f>
        <v/>
      </c>
      <c r="M39" s="140" t="str">
        <f>IF($B39=0,"",_xlfn.XLOOKUP($B39,INPUT_DATA!$BP:$BP,INPUT_DATA!BY:BY))</f>
        <v/>
      </c>
      <c r="N39" s="140" t="str">
        <f t="shared" si="3"/>
        <v/>
      </c>
      <c r="O39" s="1275" t="str">
        <f t="shared" si="4"/>
        <v/>
      </c>
      <c r="P39" s="139" t="str">
        <f t="shared" si="5"/>
        <v/>
      </c>
      <c r="Q39" s="139" t="str">
        <f t="shared" si="6"/>
        <v/>
      </c>
      <c r="R39" s="139" t="str">
        <f t="shared" si="7"/>
        <v/>
      </c>
      <c r="S39" s="140" t="str">
        <f>IF($B39=0,"",_xlfn.XLOOKUP($B39,INPUT_DATA!$BP:$BP,INPUT_DATA!BZ:BZ))</f>
        <v/>
      </c>
      <c r="T39" s="140" t="str">
        <f>IF($B39=0,"",_xlfn.XLOOKUP($B39,INPUT_DATA!$BP:$BP,INPUT_DATA!CA:CA))</f>
        <v/>
      </c>
      <c r="U39" s="140" t="str">
        <f>IF($B39=0,"",_xlfn.XLOOKUP($B39,INPUT_DATA!$BP:$BP,INPUT_DATA!CB:CB))</f>
        <v/>
      </c>
      <c r="V39" s="1300" t="str">
        <f t="shared" si="8"/>
        <v/>
      </c>
      <c r="W39" s="139" t="str">
        <f t="shared" si="9"/>
        <v/>
      </c>
      <c r="X39" s="139" t="str">
        <f>IF($B39=0,"",_xlfn.XLOOKUP($B39,INPUT_DATA!$BP:$BP,INPUT_DATA!CC:CC))</f>
        <v/>
      </c>
      <c r="Y39" s="140" t="str">
        <f>IF($B39=0,"",_xlfn.XLOOKUP($B39,INPUT_DATA!$BP:$BP,INPUT_DATA!CD:CD))</f>
        <v/>
      </c>
      <c r="Z39" s="140" t="str">
        <f>IF($B39=0,"",_xlfn.XLOOKUP($B39,INPUT_DATA!$BP:$BP,INPUT_DATA!CE:CE))</f>
        <v/>
      </c>
      <c r="AA39" s="140" t="str">
        <f>IF($B39=0,"",_xlfn.XLOOKUP($B39,INPUT_DATA!$BP:$BP,INPUT_DATA!CF:CF))</f>
        <v/>
      </c>
      <c r="AB39" s="1300" t="str">
        <f t="shared" si="10"/>
        <v/>
      </c>
      <c r="AC39" s="139"/>
      <c r="AD39" s="139" t="str">
        <f t="shared" si="17"/>
        <v/>
      </c>
      <c r="AE39" s="1275" t="str">
        <f>IF($B39=0,"",_xlfn.XLOOKUP($B39,INPUT_DATA!$BP:$BP,INPUT_DATA!CH:CH))</f>
        <v/>
      </c>
      <c r="AF39" s="140" t="str">
        <f>IF($B39=0,"",_xlfn.XLOOKUP($B39,INPUT_DATA!$BP:$BP,INPUT_DATA!CI:CI))</f>
        <v/>
      </c>
      <c r="AG39" s="140" t="str">
        <f>IF($B39=0,"",_xlfn.XLOOKUP($B39,INPUT_DATA!$BP:$BP,INPUT_DATA!CJ:CJ))</f>
        <v/>
      </c>
      <c r="AH39" s="140" t="str">
        <f>IF($B39=0,"",_xlfn.XLOOKUP($B39,INPUT_DATA!$BP:$BP,INPUT_DATA!CK:CK))</f>
        <v/>
      </c>
      <c r="AI39" s="1300" t="str">
        <f t="shared" si="12"/>
        <v/>
      </c>
      <c r="AJ39" s="139" t="str">
        <f>IF($B39=0,"",_xlfn.XLOOKUP($B39,INPUT_DATA!$BP:$BP,INPUT_DATA!CL:CL))</f>
        <v/>
      </c>
      <c r="AK39" s="139" t="str">
        <f t="shared" si="13"/>
        <v/>
      </c>
      <c r="AL39" s="1275" t="str">
        <f>IF($B39=0,"",_xlfn.XLOOKUP($B39,INPUT_DATA!$BP:$BP,INPUT_DATA!CM:CM))</f>
        <v/>
      </c>
      <c r="AM39" s="139" t="str">
        <f t="shared" si="16"/>
        <v/>
      </c>
      <c r="AN39" s="1275" t="str">
        <f t="shared" si="14"/>
        <v/>
      </c>
    </row>
    <row r="40" spans="2:40">
      <c r="B40" s="137">
        <f>INPUT_DATA!BP31</f>
        <v>0</v>
      </c>
      <c r="C40" s="1291" t="str">
        <f>IF($B40=0,"",_xlfn.XLOOKUP($B40,INPUT_DATA!$BP:$BP,INPUT_DATA!BQ:BQ))</f>
        <v/>
      </c>
      <c r="D40" s="140" t="str">
        <f>IF($B40=0,"",_xlfn.XLOOKUP($B40,INPUT_DATA!$BP:$BP,INPUT_DATA!BR:BR))</f>
        <v/>
      </c>
      <c r="E40" s="140" t="str">
        <f>IF($B40=0,"",_xlfn.XLOOKUP($B40,INPUT_DATA!$BP:$BP,INPUT_DATA!BS:BS))</f>
        <v/>
      </c>
      <c r="F40" s="140" t="str">
        <f t="shared" si="1"/>
        <v/>
      </c>
      <c r="G40" s="1291" t="str">
        <f>IF($B40=0,"",_xlfn.XLOOKUP($B40,INPUT_DATA!$BP:$BP,INPUT_DATA!BT:BT))</f>
        <v/>
      </c>
      <c r="H40" s="140" t="str">
        <f>IF($B40=0,"",_xlfn.XLOOKUP($B40,INPUT_DATA!$BP:$BP,INPUT_DATA!BU:BU))</f>
        <v/>
      </c>
      <c r="I40" s="140" t="str">
        <f>IF($B40=0,"",_xlfn.XLOOKUP($B40,INPUT_DATA!$BP:$BP,INPUT_DATA!BV:BV))</f>
        <v/>
      </c>
      <c r="J40" s="140" t="str">
        <f t="shared" si="2"/>
        <v/>
      </c>
      <c r="K40" s="1291" t="str">
        <f>IF($B40=0,"",_xlfn.XLOOKUP($B40,INPUT_DATA!$BP:$BP,INPUT_DATA!BW:BW))</f>
        <v/>
      </c>
      <c r="L40" s="140" t="str">
        <f>IF($B40=0,"",_xlfn.XLOOKUP($B40,INPUT_DATA!$BP:$BP,INPUT_DATA!BX:BX))</f>
        <v/>
      </c>
      <c r="M40" s="140" t="str">
        <f>IF($B40=0,"",_xlfn.XLOOKUP($B40,INPUT_DATA!$BP:$BP,INPUT_DATA!BY:BY))</f>
        <v/>
      </c>
      <c r="N40" s="140" t="str">
        <f t="shared" si="3"/>
        <v/>
      </c>
      <c r="O40" s="1275" t="str">
        <f t="shared" si="4"/>
        <v/>
      </c>
      <c r="P40" s="139" t="str">
        <f t="shared" si="5"/>
        <v/>
      </c>
      <c r="Q40" s="139" t="str">
        <f t="shared" si="6"/>
        <v/>
      </c>
      <c r="R40" s="139" t="str">
        <f t="shared" si="7"/>
        <v/>
      </c>
      <c r="S40" s="140" t="str">
        <f>IF($B40=0,"",_xlfn.XLOOKUP($B40,INPUT_DATA!$BP:$BP,INPUT_DATA!BZ:BZ))</f>
        <v/>
      </c>
      <c r="T40" s="140" t="str">
        <f>IF($B40=0,"",_xlfn.XLOOKUP($B40,INPUT_DATA!$BP:$BP,INPUT_DATA!CA:CA))</f>
        <v/>
      </c>
      <c r="U40" s="140" t="str">
        <f>IF($B40=0,"",_xlfn.XLOOKUP($B40,INPUT_DATA!$BP:$BP,INPUT_DATA!CB:CB))</f>
        <v/>
      </c>
      <c r="V40" s="1300" t="str">
        <f t="shared" si="8"/>
        <v/>
      </c>
      <c r="W40" s="139" t="str">
        <f t="shared" si="9"/>
        <v/>
      </c>
      <c r="X40" s="139" t="str">
        <f>IF($B40=0,"",_xlfn.XLOOKUP($B40,INPUT_DATA!$BP:$BP,INPUT_DATA!CC:CC))</f>
        <v/>
      </c>
      <c r="Y40" s="140" t="str">
        <f>IF($B40=0,"",_xlfn.XLOOKUP($B40,INPUT_DATA!$BP:$BP,INPUT_DATA!CD:CD))</f>
        <v/>
      </c>
      <c r="Z40" s="140" t="str">
        <f>IF($B40=0,"",_xlfn.XLOOKUP($B40,INPUT_DATA!$BP:$BP,INPUT_DATA!CE:CE))</f>
        <v/>
      </c>
      <c r="AA40" s="140" t="str">
        <f>IF($B40=0,"",_xlfn.XLOOKUP($B40,INPUT_DATA!$BP:$BP,INPUT_DATA!CF:CF))</f>
        <v/>
      </c>
      <c r="AB40" s="1300" t="str">
        <f t="shared" si="10"/>
        <v/>
      </c>
      <c r="AC40" s="139"/>
      <c r="AD40" s="139" t="str">
        <f t="shared" si="17"/>
        <v/>
      </c>
      <c r="AE40" s="1275" t="str">
        <f>IF($B40=0,"",_xlfn.XLOOKUP($B40,INPUT_DATA!$BP:$BP,INPUT_DATA!CH:CH))</f>
        <v/>
      </c>
      <c r="AF40" s="140" t="str">
        <f>IF($B40=0,"",_xlfn.XLOOKUP($B40,INPUT_DATA!$BP:$BP,INPUT_DATA!CI:CI))</f>
        <v/>
      </c>
      <c r="AG40" s="140" t="str">
        <f>IF($B40=0,"",_xlfn.XLOOKUP($B40,INPUT_DATA!$BP:$BP,INPUT_DATA!CJ:CJ))</f>
        <v/>
      </c>
      <c r="AH40" s="140" t="str">
        <f>IF($B40=0,"",_xlfn.XLOOKUP($B40,INPUT_DATA!$BP:$BP,INPUT_DATA!CK:CK))</f>
        <v/>
      </c>
      <c r="AI40" s="1300" t="str">
        <f t="shared" si="12"/>
        <v/>
      </c>
      <c r="AJ40" s="139" t="str">
        <f>IF($B40=0,"",_xlfn.XLOOKUP($B40,INPUT_DATA!$BP:$BP,INPUT_DATA!CL:CL))</f>
        <v/>
      </c>
      <c r="AK40" s="139" t="str">
        <f t="shared" si="13"/>
        <v/>
      </c>
      <c r="AL40" s="1275" t="str">
        <f>IF($B40=0,"",_xlfn.XLOOKUP($B40,INPUT_DATA!$BP:$BP,INPUT_DATA!CM:CM))</f>
        <v/>
      </c>
      <c r="AM40" s="139" t="str">
        <f t="shared" si="16"/>
        <v/>
      </c>
      <c r="AN40" s="1275" t="str">
        <f t="shared" si="14"/>
        <v/>
      </c>
    </row>
    <row r="41" spans="2:40">
      <c r="B41" s="137">
        <f>INPUT_DATA!BP32</f>
        <v>0</v>
      </c>
      <c r="C41" s="1291" t="str">
        <f>IF($B41=0,"",_xlfn.XLOOKUP($B41,INPUT_DATA!$BP:$BP,INPUT_DATA!BQ:BQ))</f>
        <v/>
      </c>
      <c r="D41" s="140" t="str">
        <f>IF($B41=0,"",_xlfn.XLOOKUP($B41,INPUT_DATA!$BP:$BP,INPUT_DATA!BR:BR))</f>
        <v/>
      </c>
      <c r="E41" s="140" t="str">
        <f>IF($B41=0,"",_xlfn.XLOOKUP($B41,INPUT_DATA!$BP:$BP,INPUT_DATA!BS:BS))</f>
        <v/>
      </c>
      <c r="F41" s="140" t="str">
        <f t="shared" si="1"/>
        <v/>
      </c>
      <c r="G41" s="1291" t="str">
        <f>IF($B41=0,"",_xlfn.XLOOKUP($B41,INPUT_DATA!$BP:$BP,INPUT_DATA!BT:BT))</f>
        <v/>
      </c>
      <c r="H41" s="140" t="str">
        <f>IF($B41=0,"",_xlfn.XLOOKUP($B41,INPUT_DATA!$BP:$BP,INPUT_DATA!BU:BU))</f>
        <v/>
      </c>
      <c r="I41" s="140" t="str">
        <f>IF($B41=0,"",_xlfn.XLOOKUP($B41,INPUT_DATA!$BP:$BP,INPUT_DATA!BV:BV))</f>
        <v/>
      </c>
      <c r="J41" s="140" t="str">
        <f t="shared" si="2"/>
        <v/>
      </c>
      <c r="K41" s="1291" t="str">
        <f>IF($B41=0,"",_xlfn.XLOOKUP($B41,INPUT_DATA!$BP:$BP,INPUT_DATA!BW:BW))</f>
        <v/>
      </c>
      <c r="L41" s="140" t="str">
        <f>IF($B41=0,"",_xlfn.XLOOKUP($B41,INPUT_DATA!$BP:$BP,INPUT_DATA!BX:BX))</f>
        <v/>
      </c>
      <c r="M41" s="140" t="str">
        <f>IF($B41=0,"",_xlfn.XLOOKUP($B41,INPUT_DATA!$BP:$BP,INPUT_DATA!BY:BY))</f>
        <v/>
      </c>
      <c r="N41" s="140" t="str">
        <f t="shared" si="3"/>
        <v/>
      </c>
      <c r="O41" s="1275" t="str">
        <f t="shared" si="4"/>
        <v/>
      </c>
      <c r="P41" s="139" t="str">
        <f t="shared" si="5"/>
        <v/>
      </c>
      <c r="Q41" s="139" t="str">
        <f t="shared" si="6"/>
        <v/>
      </c>
      <c r="R41" s="139" t="str">
        <f t="shared" si="7"/>
        <v/>
      </c>
      <c r="S41" s="140" t="str">
        <f>IF($B41=0,"",_xlfn.XLOOKUP($B41,INPUT_DATA!$BP:$BP,INPUT_DATA!BZ:BZ))</f>
        <v/>
      </c>
      <c r="T41" s="140" t="str">
        <f>IF($B41=0,"",_xlfn.XLOOKUP($B41,INPUT_DATA!$BP:$BP,INPUT_DATA!CA:CA))</f>
        <v/>
      </c>
      <c r="U41" s="140" t="str">
        <f>IF($B41=0,"",_xlfn.XLOOKUP($B41,INPUT_DATA!$BP:$BP,INPUT_DATA!CB:CB))</f>
        <v/>
      </c>
      <c r="V41" s="1300" t="str">
        <f t="shared" si="8"/>
        <v/>
      </c>
      <c r="W41" s="139" t="str">
        <f t="shared" si="9"/>
        <v/>
      </c>
      <c r="X41" s="139" t="str">
        <f>IF($B41=0,"",_xlfn.XLOOKUP($B41,INPUT_DATA!$BP:$BP,INPUT_DATA!CC:CC))</f>
        <v/>
      </c>
      <c r="Y41" s="140" t="str">
        <f>IF($B41=0,"",_xlfn.XLOOKUP($B41,INPUT_DATA!$BP:$BP,INPUT_DATA!CD:CD))</f>
        <v/>
      </c>
      <c r="Z41" s="140" t="str">
        <f>IF($B41=0,"",_xlfn.XLOOKUP($B41,INPUT_DATA!$BP:$BP,INPUT_DATA!CE:CE))</f>
        <v/>
      </c>
      <c r="AA41" s="140" t="str">
        <f>IF($B41=0,"",_xlfn.XLOOKUP($B41,INPUT_DATA!$BP:$BP,INPUT_DATA!CF:CF))</f>
        <v/>
      </c>
      <c r="AB41" s="1300" t="str">
        <f t="shared" si="10"/>
        <v/>
      </c>
      <c r="AC41" s="139"/>
      <c r="AD41" s="139" t="str">
        <f t="shared" si="17"/>
        <v/>
      </c>
      <c r="AE41" s="1275" t="str">
        <f>IF($B41=0,"",_xlfn.XLOOKUP($B41,INPUT_DATA!$BP:$BP,INPUT_DATA!CH:CH))</f>
        <v/>
      </c>
      <c r="AF41" s="140" t="str">
        <f>IF($B41=0,"",_xlfn.XLOOKUP($B41,INPUT_DATA!$BP:$BP,INPUT_DATA!CI:CI))</f>
        <v/>
      </c>
      <c r="AG41" s="140" t="str">
        <f>IF($B41=0,"",_xlfn.XLOOKUP($B41,INPUT_DATA!$BP:$BP,INPUT_DATA!CJ:CJ))</f>
        <v/>
      </c>
      <c r="AH41" s="140" t="str">
        <f>IF($B41=0,"",_xlfn.XLOOKUP($B41,INPUT_DATA!$BP:$BP,INPUT_DATA!CK:CK))</f>
        <v/>
      </c>
      <c r="AI41" s="1300" t="str">
        <f t="shared" si="12"/>
        <v/>
      </c>
      <c r="AJ41" s="139" t="str">
        <f>IF($B41=0,"",_xlfn.XLOOKUP($B41,INPUT_DATA!$BP:$BP,INPUT_DATA!CL:CL))</f>
        <v/>
      </c>
      <c r="AK41" s="139" t="str">
        <f t="shared" si="13"/>
        <v/>
      </c>
      <c r="AL41" s="1275" t="str">
        <f>IF($B41=0,"",_xlfn.XLOOKUP($B41,INPUT_DATA!$BP:$BP,INPUT_DATA!CM:CM))</f>
        <v/>
      </c>
      <c r="AM41" s="139" t="str">
        <f t="shared" si="16"/>
        <v/>
      </c>
      <c r="AN41" s="1275" t="str">
        <f t="shared" si="14"/>
        <v/>
      </c>
    </row>
    <row r="42" spans="2:40">
      <c r="B42" s="137">
        <f>INPUT_DATA!BP33</f>
        <v>0</v>
      </c>
      <c r="C42" s="1291" t="str">
        <f>IF($B42=0,"",_xlfn.XLOOKUP($B42,INPUT_DATA!$BP:$BP,INPUT_DATA!BQ:BQ))</f>
        <v/>
      </c>
      <c r="D42" s="140" t="str">
        <f>IF($B42=0,"",_xlfn.XLOOKUP($B42,INPUT_DATA!$BP:$BP,INPUT_DATA!BR:BR))</f>
        <v/>
      </c>
      <c r="E42" s="140" t="str">
        <f>IF($B42=0,"",_xlfn.XLOOKUP($B42,INPUT_DATA!$BP:$BP,INPUT_DATA!BS:BS))</f>
        <v/>
      </c>
      <c r="F42" s="140" t="str">
        <f t="shared" si="1"/>
        <v/>
      </c>
      <c r="G42" s="1291" t="str">
        <f>IF($B42=0,"",_xlfn.XLOOKUP($B42,INPUT_DATA!$BP:$BP,INPUT_DATA!BT:BT))</f>
        <v/>
      </c>
      <c r="H42" s="140" t="str">
        <f>IF($B42=0,"",_xlfn.XLOOKUP($B42,INPUT_DATA!$BP:$BP,INPUT_DATA!BU:BU))</f>
        <v/>
      </c>
      <c r="I42" s="140" t="str">
        <f>IF($B42=0,"",_xlfn.XLOOKUP($B42,INPUT_DATA!$BP:$BP,INPUT_DATA!BV:BV))</f>
        <v/>
      </c>
      <c r="J42" s="140" t="str">
        <f t="shared" si="2"/>
        <v/>
      </c>
      <c r="K42" s="1291" t="str">
        <f>IF($B42=0,"",_xlfn.XLOOKUP($B42,INPUT_DATA!$BP:$BP,INPUT_DATA!BW:BW))</f>
        <v/>
      </c>
      <c r="L42" s="140" t="str">
        <f>IF($B42=0,"",_xlfn.XLOOKUP($B42,INPUT_DATA!$BP:$BP,INPUT_DATA!BX:BX))</f>
        <v/>
      </c>
      <c r="M42" s="140" t="str">
        <f>IF($B42=0,"",_xlfn.XLOOKUP($B42,INPUT_DATA!$BP:$BP,INPUT_DATA!BY:BY))</f>
        <v/>
      </c>
      <c r="N42" s="140" t="str">
        <f t="shared" si="3"/>
        <v/>
      </c>
      <c r="O42" s="1275" t="str">
        <f t="shared" si="4"/>
        <v/>
      </c>
      <c r="P42" s="139" t="str">
        <f t="shared" si="5"/>
        <v/>
      </c>
      <c r="Q42" s="139" t="str">
        <f t="shared" si="6"/>
        <v/>
      </c>
      <c r="R42" s="139" t="str">
        <f t="shared" si="7"/>
        <v/>
      </c>
      <c r="S42" s="140" t="str">
        <f>IF($B42=0,"",_xlfn.XLOOKUP($B42,INPUT_DATA!$BP:$BP,INPUT_DATA!BZ:BZ))</f>
        <v/>
      </c>
      <c r="T42" s="140" t="str">
        <f>IF($B42=0,"",_xlfn.XLOOKUP($B42,INPUT_DATA!$BP:$BP,INPUT_DATA!CA:CA))</f>
        <v/>
      </c>
      <c r="U42" s="140" t="str">
        <f>IF($B42=0,"",_xlfn.XLOOKUP($B42,INPUT_DATA!$BP:$BP,INPUT_DATA!CB:CB))</f>
        <v/>
      </c>
      <c r="V42" s="1300" t="str">
        <f t="shared" si="8"/>
        <v/>
      </c>
      <c r="W42" s="139" t="str">
        <f t="shared" si="9"/>
        <v/>
      </c>
      <c r="X42" s="139" t="str">
        <f>IF($B42=0,"",_xlfn.XLOOKUP($B42,INPUT_DATA!$BP:$BP,INPUT_DATA!CC:CC))</f>
        <v/>
      </c>
      <c r="Y42" s="140" t="str">
        <f>IF($B42=0,"",_xlfn.XLOOKUP($B42,INPUT_DATA!$BP:$BP,INPUT_DATA!CD:CD))</f>
        <v/>
      </c>
      <c r="Z42" s="140" t="str">
        <f>IF($B42=0,"",_xlfn.XLOOKUP($B42,INPUT_DATA!$BP:$BP,INPUT_DATA!CE:CE))</f>
        <v/>
      </c>
      <c r="AA42" s="140" t="str">
        <f>IF($B42=0,"",_xlfn.XLOOKUP($B42,INPUT_DATA!$BP:$BP,INPUT_DATA!CF:CF))</f>
        <v/>
      </c>
      <c r="AB42" s="1300" t="str">
        <f t="shared" si="10"/>
        <v/>
      </c>
      <c r="AC42" s="139"/>
      <c r="AD42" s="139" t="str">
        <f t="shared" si="17"/>
        <v/>
      </c>
      <c r="AE42" s="1275" t="str">
        <f>IF($B42=0,"",_xlfn.XLOOKUP($B42,INPUT_DATA!$BP:$BP,INPUT_DATA!CH:CH))</f>
        <v/>
      </c>
      <c r="AF42" s="140" t="str">
        <f>IF($B42=0,"",_xlfn.XLOOKUP($B42,INPUT_DATA!$BP:$BP,INPUT_DATA!CI:CI))</f>
        <v/>
      </c>
      <c r="AG42" s="140" t="str">
        <f>IF($B42=0,"",_xlfn.XLOOKUP($B42,INPUT_DATA!$BP:$BP,INPUT_DATA!CJ:CJ))</f>
        <v/>
      </c>
      <c r="AH42" s="140" t="str">
        <f>IF($B42=0,"",_xlfn.XLOOKUP($B42,INPUT_DATA!$BP:$BP,INPUT_DATA!CK:CK))</f>
        <v/>
      </c>
      <c r="AI42" s="1300" t="str">
        <f t="shared" si="12"/>
        <v/>
      </c>
      <c r="AJ42" s="139" t="str">
        <f>IF($B42=0,"",_xlfn.XLOOKUP($B42,INPUT_DATA!$BP:$BP,INPUT_DATA!CL:CL))</f>
        <v/>
      </c>
      <c r="AK42" s="139" t="str">
        <f t="shared" si="13"/>
        <v/>
      </c>
      <c r="AL42" s="1275" t="str">
        <f>IF($B42=0,"",_xlfn.XLOOKUP($B42,INPUT_DATA!$BP:$BP,INPUT_DATA!CM:CM))</f>
        <v/>
      </c>
      <c r="AM42" s="139" t="str">
        <f t="shared" si="16"/>
        <v/>
      </c>
      <c r="AN42" s="1275" t="str">
        <f t="shared" si="14"/>
        <v/>
      </c>
    </row>
    <row r="43" spans="2:40">
      <c r="B43" s="137">
        <f>INPUT_DATA!BP34</f>
        <v>0</v>
      </c>
      <c r="C43" s="1291" t="str">
        <f>IF($B43=0,"",_xlfn.XLOOKUP($B43,INPUT_DATA!$BP:$BP,INPUT_DATA!BQ:BQ))</f>
        <v/>
      </c>
      <c r="D43" s="140" t="str">
        <f>IF($B43=0,"",_xlfn.XLOOKUP($B43,INPUT_DATA!$BP:$BP,INPUT_DATA!BR:BR))</f>
        <v/>
      </c>
      <c r="E43" s="140" t="str">
        <f>IF($B43=0,"",_xlfn.XLOOKUP($B43,INPUT_DATA!$BP:$BP,INPUT_DATA!BS:BS))</f>
        <v/>
      </c>
      <c r="F43" s="140" t="str">
        <f t="shared" si="1"/>
        <v/>
      </c>
      <c r="G43" s="1291" t="str">
        <f>IF($B43=0,"",_xlfn.XLOOKUP($B43,INPUT_DATA!$BP:$BP,INPUT_DATA!BT:BT))</f>
        <v/>
      </c>
      <c r="H43" s="140" t="str">
        <f>IF($B43=0,"",_xlfn.XLOOKUP($B43,INPUT_DATA!$BP:$BP,INPUT_DATA!BU:BU))</f>
        <v/>
      </c>
      <c r="I43" s="140" t="str">
        <f>IF($B43=0,"",_xlfn.XLOOKUP($B43,INPUT_DATA!$BP:$BP,INPUT_DATA!BV:BV))</f>
        <v/>
      </c>
      <c r="J43" s="140" t="str">
        <f t="shared" si="2"/>
        <v/>
      </c>
      <c r="K43" s="1291" t="str">
        <f>IF($B43=0,"",_xlfn.XLOOKUP($B43,INPUT_DATA!$BP:$BP,INPUT_DATA!BW:BW))</f>
        <v/>
      </c>
      <c r="L43" s="140" t="str">
        <f>IF($B43=0,"",_xlfn.XLOOKUP($B43,INPUT_DATA!$BP:$BP,INPUT_DATA!BX:BX))</f>
        <v/>
      </c>
      <c r="M43" s="140" t="str">
        <f>IF($B43=0,"",_xlfn.XLOOKUP($B43,INPUT_DATA!$BP:$BP,INPUT_DATA!BY:BY))</f>
        <v/>
      </c>
      <c r="N43" s="140" t="str">
        <f t="shared" si="3"/>
        <v/>
      </c>
      <c r="O43" s="1275" t="str">
        <f t="shared" si="4"/>
        <v/>
      </c>
      <c r="P43" s="139" t="str">
        <f t="shared" si="5"/>
        <v/>
      </c>
      <c r="Q43" s="139" t="str">
        <f t="shared" si="6"/>
        <v/>
      </c>
      <c r="R43" s="139" t="str">
        <f t="shared" si="7"/>
        <v/>
      </c>
      <c r="S43" s="140" t="str">
        <f>IF($B43=0,"",_xlfn.XLOOKUP($B43,INPUT_DATA!$BP:$BP,INPUT_DATA!BZ:BZ))</f>
        <v/>
      </c>
      <c r="T43" s="140" t="str">
        <f>IF($B43=0,"",_xlfn.XLOOKUP($B43,INPUT_DATA!$BP:$BP,INPUT_DATA!CA:CA))</f>
        <v/>
      </c>
      <c r="U43" s="140" t="str">
        <f>IF($B43=0,"",_xlfn.XLOOKUP($B43,INPUT_DATA!$BP:$BP,INPUT_DATA!CB:CB))</f>
        <v/>
      </c>
      <c r="V43" s="1300" t="str">
        <f t="shared" si="8"/>
        <v/>
      </c>
      <c r="W43" s="139" t="str">
        <f t="shared" si="9"/>
        <v/>
      </c>
      <c r="X43" s="139" t="str">
        <f>IF($B43=0,"",_xlfn.XLOOKUP($B43,INPUT_DATA!$BP:$BP,INPUT_DATA!CC:CC))</f>
        <v/>
      </c>
      <c r="Y43" s="140" t="str">
        <f>IF($B43=0,"",_xlfn.XLOOKUP($B43,INPUT_DATA!$BP:$BP,INPUT_DATA!CD:CD))</f>
        <v/>
      </c>
      <c r="Z43" s="140" t="str">
        <f>IF($B43=0,"",_xlfn.XLOOKUP($B43,INPUT_DATA!$BP:$BP,INPUT_DATA!CE:CE))</f>
        <v/>
      </c>
      <c r="AA43" s="140" t="str">
        <f>IF($B43=0,"",_xlfn.XLOOKUP($B43,INPUT_DATA!$BP:$BP,INPUT_DATA!CF:CF))</f>
        <v/>
      </c>
      <c r="AB43" s="1300" t="str">
        <f t="shared" si="10"/>
        <v/>
      </c>
      <c r="AC43" s="139"/>
      <c r="AD43" s="139" t="str">
        <f t="shared" si="17"/>
        <v/>
      </c>
      <c r="AE43" s="1275" t="str">
        <f>IF($B43=0,"",_xlfn.XLOOKUP($B43,INPUT_DATA!$BP:$BP,INPUT_DATA!CH:CH))</f>
        <v/>
      </c>
      <c r="AF43" s="140" t="str">
        <f>IF($B43=0,"",_xlfn.XLOOKUP($B43,INPUT_DATA!$BP:$BP,INPUT_DATA!CI:CI))</f>
        <v/>
      </c>
      <c r="AG43" s="140" t="str">
        <f>IF($B43=0,"",_xlfn.XLOOKUP($B43,INPUT_DATA!$BP:$BP,INPUT_DATA!CJ:CJ))</f>
        <v/>
      </c>
      <c r="AH43" s="140" t="str">
        <f>IF($B43=0,"",_xlfn.XLOOKUP($B43,INPUT_DATA!$BP:$BP,INPUT_DATA!CK:CK))</f>
        <v/>
      </c>
      <c r="AI43" s="1300" t="str">
        <f t="shared" si="12"/>
        <v/>
      </c>
      <c r="AJ43" s="139" t="str">
        <f>IF($B43=0,"",_xlfn.XLOOKUP($B43,INPUT_DATA!$BP:$BP,INPUT_DATA!CL:CL))</f>
        <v/>
      </c>
      <c r="AK43" s="139" t="str">
        <f t="shared" si="13"/>
        <v/>
      </c>
      <c r="AL43" s="1275" t="str">
        <f>IF($B43=0,"",_xlfn.XLOOKUP($B43,INPUT_DATA!$BP:$BP,INPUT_DATA!CM:CM))</f>
        <v/>
      </c>
      <c r="AM43" s="139" t="str">
        <f t="shared" si="16"/>
        <v/>
      </c>
      <c r="AN43" s="1275" t="str">
        <f t="shared" si="14"/>
        <v/>
      </c>
    </row>
    <row r="44" spans="2:40">
      <c r="B44" s="137">
        <f>INPUT_DATA!BP35</f>
        <v>0</v>
      </c>
      <c r="C44" s="1291" t="str">
        <f>IF($B44=0,"",_xlfn.XLOOKUP($B44,INPUT_DATA!$BP:$BP,INPUT_DATA!BQ:BQ))</f>
        <v/>
      </c>
      <c r="D44" s="140" t="str">
        <f>IF($B44=0,"",_xlfn.XLOOKUP($B44,INPUT_DATA!$BP:$BP,INPUT_DATA!BR:BR))</f>
        <v/>
      </c>
      <c r="E44" s="140" t="str">
        <f>IF($B44=0,"",_xlfn.XLOOKUP($B44,INPUT_DATA!$BP:$BP,INPUT_DATA!BS:BS))</f>
        <v/>
      </c>
      <c r="F44" s="140" t="str">
        <f t="shared" si="1"/>
        <v/>
      </c>
      <c r="G44" s="1291" t="str">
        <f>IF($B44=0,"",_xlfn.XLOOKUP($B44,INPUT_DATA!$BP:$BP,INPUT_DATA!BT:BT))</f>
        <v/>
      </c>
      <c r="H44" s="140" t="str">
        <f>IF($B44=0,"",_xlfn.XLOOKUP($B44,INPUT_DATA!$BP:$BP,INPUT_DATA!BU:BU))</f>
        <v/>
      </c>
      <c r="I44" s="140" t="str">
        <f>IF($B44=0,"",_xlfn.XLOOKUP($B44,INPUT_DATA!$BP:$BP,INPUT_DATA!BV:BV))</f>
        <v/>
      </c>
      <c r="J44" s="140" t="str">
        <f t="shared" si="2"/>
        <v/>
      </c>
      <c r="K44" s="1291" t="str">
        <f>IF($B44=0,"",_xlfn.XLOOKUP($B44,INPUT_DATA!$BP:$BP,INPUT_DATA!BW:BW))</f>
        <v/>
      </c>
      <c r="L44" s="140" t="str">
        <f>IF($B44=0,"",_xlfn.XLOOKUP($B44,INPUT_DATA!$BP:$BP,INPUT_DATA!BX:BX))</f>
        <v/>
      </c>
      <c r="M44" s="140" t="str">
        <f>IF($B44=0,"",_xlfn.XLOOKUP($B44,INPUT_DATA!$BP:$BP,INPUT_DATA!BY:BY))</f>
        <v/>
      </c>
      <c r="N44" s="140" t="str">
        <f t="shared" si="3"/>
        <v/>
      </c>
      <c r="O44" s="1275" t="str">
        <f t="shared" si="4"/>
        <v/>
      </c>
      <c r="P44" s="139" t="str">
        <f t="shared" si="5"/>
        <v/>
      </c>
      <c r="Q44" s="139" t="str">
        <f t="shared" si="6"/>
        <v/>
      </c>
      <c r="R44" s="139" t="str">
        <f t="shared" si="7"/>
        <v/>
      </c>
      <c r="S44" s="140" t="str">
        <f>IF($B44=0,"",_xlfn.XLOOKUP($B44,INPUT_DATA!$BP:$BP,INPUT_DATA!BZ:BZ))</f>
        <v/>
      </c>
      <c r="T44" s="140" t="str">
        <f>IF($B44=0,"",_xlfn.XLOOKUP($B44,INPUT_DATA!$BP:$BP,INPUT_DATA!CA:CA))</f>
        <v/>
      </c>
      <c r="U44" s="140" t="str">
        <f>IF($B44=0,"",_xlfn.XLOOKUP($B44,INPUT_DATA!$BP:$BP,INPUT_DATA!CB:CB))</f>
        <v/>
      </c>
      <c r="V44" s="1300" t="str">
        <f t="shared" si="8"/>
        <v/>
      </c>
      <c r="W44" s="139" t="str">
        <f t="shared" si="9"/>
        <v/>
      </c>
      <c r="X44" s="139" t="str">
        <f>IF($B44=0,"",_xlfn.XLOOKUP($B44,INPUT_DATA!$BP:$BP,INPUT_DATA!CC:CC))</f>
        <v/>
      </c>
      <c r="Y44" s="140" t="str">
        <f>IF($B44=0,"",_xlfn.XLOOKUP($B44,INPUT_DATA!$BP:$BP,INPUT_DATA!CD:CD))</f>
        <v/>
      </c>
      <c r="Z44" s="140" t="str">
        <f>IF($B44=0,"",_xlfn.XLOOKUP($B44,INPUT_DATA!$BP:$BP,INPUT_DATA!CE:CE))</f>
        <v/>
      </c>
      <c r="AA44" s="140" t="str">
        <f>IF($B44=0,"",_xlfn.XLOOKUP($B44,INPUT_DATA!$BP:$BP,INPUT_DATA!CF:CF))</f>
        <v/>
      </c>
      <c r="AB44" s="1300" t="str">
        <f t="shared" si="10"/>
        <v/>
      </c>
      <c r="AC44" s="139"/>
      <c r="AD44" s="139" t="str">
        <f t="shared" si="17"/>
        <v/>
      </c>
      <c r="AE44" s="1275" t="str">
        <f>IF($B44=0,"",_xlfn.XLOOKUP($B44,INPUT_DATA!$BP:$BP,INPUT_DATA!CH:CH))</f>
        <v/>
      </c>
      <c r="AF44" s="140" t="str">
        <f>IF($B44=0,"",_xlfn.XLOOKUP($B44,INPUT_DATA!$BP:$BP,INPUT_DATA!CI:CI))</f>
        <v/>
      </c>
      <c r="AG44" s="140" t="str">
        <f>IF($B44=0,"",_xlfn.XLOOKUP($B44,INPUT_DATA!$BP:$BP,INPUT_DATA!CJ:CJ))</f>
        <v/>
      </c>
      <c r="AH44" s="140" t="str">
        <f>IF($B44=0,"",_xlfn.XLOOKUP($B44,INPUT_DATA!$BP:$BP,INPUT_DATA!CK:CK))</f>
        <v/>
      </c>
      <c r="AI44" s="1300" t="str">
        <f t="shared" si="12"/>
        <v/>
      </c>
      <c r="AJ44" s="139" t="str">
        <f>IF($B44=0,"",_xlfn.XLOOKUP($B44,INPUT_DATA!$BP:$BP,INPUT_DATA!CL:CL))</f>
        <v/>
      </c>
      <c r="AK44" s="139" t="str">
        <f t="shared" si="13"/>
        <v/>
      </c>
      <c r="AL44" s="1275" t="str">
        <f>IF($B44=0,"",_xlfn.XLOOKUP($B44,INPUT_DATA!$BP:$BP,INPUT_DATA!CM:CM))</f>
        <v/>
      </c>
      <c r="AM44" s="139" t="str">
        <f t="shared" si="16"/>
        <v/>
      </c>
      <c r="AN44" s="1275" t="str">
        <f t="shared" si="14"/>
        <v/>
      </c>
    </row>
    <row r="45" spans="2:40">
      <c r="B45" s="137">
        <f>INPUT_DATA!BP36</f>
        <v>0</v>
      </c>
      <c r="C45" s="1291" t="str">
        <f>IF($B45=0,"",_xlfn.XLOOKUP($B45,INPUT_DATA!$BP:$BP,INPUT_DATA!BQ:BQ))</f>
        <v/>
      </c>
      <c r="D45" s="140" t="str">
        <f>IF($B45=0,"",_xlfn.XLOOKUP($B45,INPUT_DATA!$BP:$BP,INPUT_DATA!BR:BR))</f>
        <v/>
      </c>
      <c r="E45" s="140" t="str">
        <f>IF($B45=0,"",_xlfn.XLOOKUP($B45,INPUT_DATA!$BP:$BP,INPUT_DATA!BS:BS))</f>
        <v/>
      </c>
      <c r="F45" s="140" t="str">
        <f t="shared" si="1"/>
        <v/>
      </c>
      <c r="G45" s="1291" t="str">
        <f>IF($B45=0,"",_xlfn.XLOOKUP($B45,INPUT_DATA!$BP:$BP,INPUT_DATA!BT:BT))</f>
        <v/>
      </c>
      <c r="H45" s="140" t="str">
        <f>IF($B45=0,"",_xlfn.XLOOKUP($B45,INPUT_DATA!$BP:$BP,INPUT_DATA!BU:BU))</f>
        <v/>
      </c>
      <c r="I45" s="140" t="str">
        <f>IF($B45=0,"",_xlfn.XLOOKUP($B45,INPUT_DATA!$BP:$BP,INPUT_DATA!BV:BV))</f>
        <v/>
      </c>
      <c r="J45" s="140" t="str">
        <f t="shared" si="2"/>
        <v/>
      </c>
      <c r="K45" s="1291" t="str">
        <f>IF($B45=0,"",_xlfn.XLOOKUP($B45,INPUT_DATA!$BP:$BP,INPUT_DATA!BW:BW))</f>
        <v/>
      </c>
      <c r="L45" s="140" t="str">
        <f>IF($B45=0,"",_xlfn.XLOOKUP($B45,INPUT_DATA!$BP:$BP,INPUT_DATA!BX:BX))</f>
        <v/>
      </c>
      <c r="M45" s="140" t="str">
        <f>IF($B45=0,"",_xlfn.XLOOKUP($B45,INPUT_DATA!$BP:$BP,INPUT_DATA!BY:BY))</f>
        <v/>
      </c>
      <c r="N45" s="140" t="str">
        <f t="shared" si="3"/>
        <v/>
      </c>
      <c r="O45" s="1275" t="str">
        <f t="shared" si="4"/>
        <v/>
      </c>
      <c r="P45" s="139" t="str">
        <f t="shared" si="5"/>
        <v/>
      </c>
      <c r="Q45" s="139" t="str">
        <f t="shared" si="6"/>
        <v/>
      </c>
      <c r="R45" s="139" t="str">
        <f t="shared" si="7"/>
        <v/>
      </c>
      <c r="S45" s="140" t="str">
        <f>IF($B45=0,"",_xlfn.XLOOKUP($B45,INPUT_DATA!$BP:$BP,INPUT_DATA!BZ:BZ))</f>
        <v/>
      </c>
      <c r="T45" s="140" t="str">
        <f>IF($B45=0,"",_xlfn.XLOOKUP($B45,INPUT_DATA!$BP:$BP,INPUT_DATA!CA:CA))</f>
        <v/>
      </c>
      <c r="U45" s="140" t="str">
        <f>IF($B45=0,"",_xlfn.XLOOKUP($B45,INPUT_DATA!$BP:$BP,INPUT_DATA!CB:CB))</f>
        <v/>
      </c>
      <c r="V45" s="1300" t="str">
        <f t="shared" si="8"/>
        <v/>
      </c>
      <c r="W45" s="139" t="str">
        <f t="shared" si="9"/>
        <v/>
      </c>
      <c r="X45" s="139" t="str">
        <f>IF($B45=0,"",_xlfn.XLOOKUP($B45,INPUT_DATA!$BP:$BP,INPUT_DATA!CC:CC))</f>
        <v/>
      </c>
      <c r="Y45" s="140" t="str">
        <f>IF($B45=0,"",_xlfn.XLOOKUP($B45,INPUT_DATA!$BP:$BP,INPUT_DATA!CD:CD))</f>
        <v/>
      </c>
      <c r="Z45" s="140" t="str">
        <f>IF($B45=0,"",_xlfn.XLOOKUP($B45,INPUT_DATA!$BP:$BP,INPUT_DATA!CE:CE))</f>
        <v/>
      </c>
      <c r="AA45" s="140" t="str">
        <f>IF($B45=0,"",_xlfn.XLOOKUP($B45,INPUT_DATA!$BP:$BP,INPUT_DATA!CF:CF))</f>
        <v/>
      </c>
      <c r="AB45" s="1300" t="str">
        <f t="shared" si="10"/>
        <v/>
      </c>
      <c r="AC45" s="139"/>
      <c r="AD45" s="139" t="str">
        <f t="shared" si="17"/>
        <v/>
      </c>
      <c r="AE45" s="1275" t="str">
        <f>IF($B45=0,"",_xlfn.XLOOKUP($B45,INPUT_DATA!$BP:$BP,INPUT_DATA!CH:CH))</f>
        <v/>
      </c>
      <c r="AF45" s="140" t="str">
        <f>IF($B45=0,"",_xlfn.XLOOKUP($B45,INPUT_DATA!$BP:$BP,INPUT_DATA!CI:CI))</f>
        <v/>
      </c>
      <c r="AG45" s="140" t="str">
        <f>IF($B45=0,"",_xlfn.XLOOKUP($B45,INPUT_DATA!$BP:$BP,INPUT_DATA!CJ:CJ))</f>
        <v/>
      </c>
      <c r="AH45" s="140" t="str">
        <f>IF($B45=0,"",_xlfn.XLOOKUP($B45,INPUT_DATA!$BP:$BP,INPUT_DATA!CK:CK))</f>
        <v/>
      </c>
      <c r="AI45" s="1300" t="str">
        <f t="shared" si="12"/>
        <v/>
      </c>
      <c r="AJ45" s="139" t="str">
        <f>IF($B45=0,"",_xlfn.XLOOKUP($B45,INPUT_DATA!$BP:$BP,INPUT_DATA!CL:CL))</f>
        <v/>
      </c>
      <c r="AK45" s="139" t="str">
        <f t="shared" si="13"/>
        <v/>
      </c>
      <c r="AL45" s="1275" t="str">
        <f>IF($B45=0,"",_xlfn.XLOOKUP($B45,INPUT_DATA!$BP:$BP,INPUT_DATA!CM:CM))</f>
        <v/>
      </c>
      <c r="AM45" s="139" t="str">
        <f t="shared" si="16"/>
        <v/>
      </c>
      <c r="AN45" s="1275" t="str">
        <f t="shared" si="14"/>
        <v/>
      </c>
    </row>
    <row r="46" spans="2:40">
      <c r="B46" s="137">
        <f>INPUT_DATA!BP37</f>
        <v>0</v>
      </c>
      <c r="C46" s="1291" t="str">
        <f>IF($B46=0,"",_xlfn.XLOOKUP($B46,INPUT_DATA!$BP:$BP,INPUT_DATA!BQ:BQ))</f>
        <v/>
      </c>
      <c r="D46" s="140" t="str">
        <f>IF($B46=0,"",_xlfn.XLOOKUP($B46,INPUT_DATA!$BP:$BP,INPUT_DATA!BR:BR))</f>
        <v/>
      </c>
      <c r="E46" s="140" t="str">
        <f>IF($B46=0,"",_xlfn.XLOOKUP($B46,INPUT_DATA!$BP:$BP,INPUT_DATA!BS:BS))</f>
        <v/>
      </c>
      <c r="F46" s="140" t="str">
        <f t="shared" si="1"/>
        <v/>
      </c>
      <c r="G46" s="1291" t="str">
        <f>IF($B46=0,"",_xlfn.XLOOKUP($B46,INPUT_DATA!$BP:$BP,INPUT_DATA!BT:BT))</f>
        <v/>
      </c>
      <c r="H46" s="140" t="str">
        <f>IF($B46=0,"",_xlfn.XLOOKUP($B46,INPUT_DATA!$BP:$BP,INPUT_DATA!BU:BU))</f>
        <v/>
      </c>
      <c r="I46" s="140" t="str">
        <f>IF($B46=0,"",_xlfn.XLOOKUP($B46,INPUT_DATA!$BP:$BP,INPUT_DATA!BV:BV))</f>
        <v/>
      </c>
      <c r="J46" s="140" t="str">
        <f t="shared" si="2"/>
        <v/>
      </c>
      <c r="K46" s="1291" t="str">
        <f>IF($B46=0,"",_xlfn.XLOOKUP($B46,INPUT_DATA!$BP:$BP,INPUT_DATA!BW:BW))</f>
        <v/>
      </c>
      <c r="L46" s="140" t="str">
        <f>IF($B46=0,"",_xlfn.XLOOKUP($B46,INPUT_DATA!$BP:$BP,INPUT_DATA!BX:BX))</f>
        <v/>
      </c>
      <c r="M46" s="140" t="str">
        <f>IF($B46=0,"",_xlfn.XLOOKUP($B46,INPUT_DATA!$BP:$BP,INPUT_DATA!BY:BY))</f>
        <v/>
      </c>
      <c r="N46" s="140" t="str">
        <f t="shared" si="3"/>
        <v/>
      </c>
      <c r="O46" s="1275" t="str">
        <f t="shared" si="4"/>
        <v/>
      </c>
      <c r="P46" s="139" t="str">
        <f t="shared" si="5"/>
        <v/>
      </c>
      <c r="Q46" s="139" t="str">
        <f t="shared" si="6"/>
        <v/>
      </c>
      <c r="R46" s="139" t="str">
        <f t="shared" si="7"/>
        <v/>
      </c>
      <c r="S46" s="140" t="str">
        <f>IF($B46=0,"",_xlfn.XLOOKUP($B46,INPUT_DATA!$BP:$BP,INPUT_DATA!BZ:BZ))</f>
        <v/>
      </c>
      <c r="T46" s="140" t="str">
        <f>IF($B46=0,"",_xlfn.XLOOKUP($B46,INPUT_DATA!$BP:$BP,INPUT_DATA!CA:CA))</f>
        <v/>
      </c>
      <c r="U46" s="140" t="str">
        <f>IF($B46=0,"",_xlfn.XLOOKUP($B46,INPUT_DATA!$BP:$BP,INPUT_DATA!CB:CB))</f>
        <v/>
      </c>
      <c r="V46" s="1300" t="str">
        <f t="shared" si="8"/>
        <v/>
      </c>
      <c r="W46" s="139" t="str">
        <f t="shared" si="9"/>
        <v/>
      </c>
      <c r="X46" s="139" t="str">
        <f>IF($B46=0,"",_xlfn.XLOOKUP($B46,INPUT_DATA!$BP:$BP,INPUT_DATA!CC:CC))</f>
        <v/>
      </c>
      <c r="Y46" s="140" t="str">
        <f>IF($B46=0,"",_xlfn.XLOOKUP($B46,INPUT_DATA!$BP:$BP,INPUT_DATA!CD:CD))</f>
        <v/>
      </c>
      <c r="Z46" s="140" t="str">
        <f>IF($B46=0,"",_xlfn.XLOOKUP($B46,INPUT_DATA!$BP:$BP,INPUT_DATA!CE:CE))</f>
        <v/>
      </c>
      <c r="AA46" s="140" t="str">
        <f>IF($B46=0,"",_xlfn.XLOOKUP($B46,INPUT_DATA!$BP:$BP,INPUT_DATA!CF:CF))</f>
        <v/>
      </c>
      <c r="AB46" s="1300" t="str">
        <f t="shared" si="10"/>
        <v/>
      </c>
      <c r="AC46" s="139"/>
      <c r="AD46" s="139" t="str">
        <f t="shared" si="17"/>
        <v/>
      </c>
      <c r="AE46" s="1275" t="str">
        <f>IF($B46=0,"",_xlfn.XLOOKUP($B46,INPUT_DATA!$BP:$BP,INPUT_DATA!CH:CH))</f>
        <v/>
      </c>
      <c r="AF46" s="140" t="str">
        <f>IF($B46=0,"",_xlfn.XLOOKUP($B46,INPUT_DATA!$BP:$BP,INPUT_DATA!CI:CI))</f>
        <v/>
      </c>
      <c r="AG46" s="140" t="str">
        <f>IF($B46=0,"",_xlfn.XLOOKUP($B46,INPUT_DATA!$BP:$BP,INPUT_DATA!CJ:CJ))</f>
        <v/>
      </c>
      <c r="AH46" s="140" t="str">
        <f>IF($B46=0,"",_xlfn.XLOOKUP($B46,INPUT_DATA!$BP:$BP,INPUT_DATA!CK:CK))</f>
        <v/>
      </c>
      <c r="AI46" s="1300" t="str">
        <f t="shared" si="12"/>
        <v/>
      </c>
      <c r="AJ46" s="139" t="str">
        <f>IF($B46=0,"",_xlfn.XLOOKUP($B46,INPUT_DATA!$BP:$BP,INPUT_DATA!CL:CL))</f>
        <v/>
      </c>
      <c r="AK46" s="139" t="str">
        <f t="shared" si="13"/>
        <v/>
      </c>
      <c r="AL46" s="1275" t="str">
        <f>IF($B46=0,"",_xlfn.XLOOKUP($B46,INPUT_DATA!$BP:$BP,INPUT_DATA!CM:CM))</f>
        <v/>
      </c>
      <c r="AM46" s="139" t="str">
        <f t="shared" si="16"/>
        <v/>
      </c>
      <c r="AN46" s="1275" t="str">
        <f t="shared" si="14"/>
        <v/>
      </c>
    </row>
    <row r="47" spans="2:40">
      <c r="B47" s="137">
        <f>INPUT_DATA!BP38</f>
        <v>0</v>
      </c>
      <c r="C47" s="1291" t="str">
        <f>IF($B47=0,"",_xlfn.XLOOKUP($B47,INPUT_DATA!$BP:$BP,INPUT_DATA!BQ:BQ))</f>
        <v/>
      </c>
      <c r="D47" s="140" t="str">
        <f>IF($B47=0,"",_xlfn.XLOOKUP($B47,INPUT_DATA!$BP:$BP,INPUT_DATA!BR:BR))</f>
        <v/>
      </c>
      <c r="E47" s="140" t="str">
        <f>IF($B47=0,"",_xlfn.XLOOKUP($B47,INPUT_DATA!$BP:$BP,INPUT_DATA!BS:BS))</f>
        <v/>
      </c>
      <c r="F47" s="140" t="str">
        <f t="shared" si="1"/>
        <v/>
      </c>
      <c r="G47" s="1291" t="str">
        <f>IF($B47=0,"",_xlfn.XLOOKUP($B47,INPUT_DATA!$BP:$BP,INPUT_DATA!BT:BT))</f>
        <v/>
      </c>
      <c r="H47" s="140" t="str">
        <f>IF($B47=0,"",_xlfn.XLOOKUP($B47,INPUT_DATA!$BP:$BP,INPUT_DATA!BU:BU))</f>
        <v/>
      </c>
      <c r="I47" s="140" t="str">
        <f>IF($B47=0,"",_xlfn.XLOOKUP($B47,INPUT_DATA!$BP:$BP,INPUT_DATA!BV:BV))</f>
        <v/>
      </c>
      <c r="J47" s="140" t="str">
        <f t="shared" si="2"/>
        <v/>
      </c>
      <c r="K47" s="1291" t="str">
        <f>IF($B47=0,"",_xlfn.XLOOKUP($B47,INPUT_DATA!$BP:$BP,INPUT_DATA!BW:BW))</f>
        <v/>
      </c>
      <c r="L47" s="140" t="str">
        <f>IF($B47=0,"",_xlfn.XLOOKUP($B47,INPUT_DATA!$BP:$BP,INPUT_DATA!BX:BX))</f>
        <v/>
      </c>
      <c r="M47" s="140" t="str">
        <f>IF($B47=0,"",_xlfn.XLOOKUP($B47,INPUT_DATA!$BP:$BP,INPUT_DATA!BY:BY))</f>
        <v/>
      </c>
      <c r="N47" s="140" t="str">
        <f t="shared" si="3"/>
        <v/>
      </c>
      <c r="O47" s="1275" t="str">
        <f t="shared" si="4"/>
        <v/>
      </c>
      <c r="P47" s="139" t="str">
        <f t="shared" si="5"/>
        <v/>
      </c>
      <c r="Q47" s="139" t="str">
        <f t="shared" si="6"/>
        <v/>
      </c>
      <c r="R47" s="139" t="str">
        <f t="shared" si="7"/>
        <v/>
      </c>
      <c r="S47" s="140" t="str">
        <f>IF($B47=0,"",_xlfn.XLOOKUP($B47,INPUT_DATA!$BP:$BP,INPUT_DATA!BZ:BZ))</f>
        <v/>
      </c>
      <c r="T47" s="140" t="str">
        <f>IF($B47=0,"",_xlfn.XLOOKUP($B47,INPUT_DATA!$BP:$BP,INPUT_DATA!CA:CA))</f>
        <v/>
      </c>
      <c r="U47" s="140" t="str">
        <f>IF($B47=0,"",_xlfn.XLOOKUP($B47,INPUT_DATA!$BP:$BP,INPUT_DATA!CB:CB))</f>
        <v/>
      </c>
      <c r="V47" s="1300" t="str">
        <f t="shared" si="8"/>
        <v/>
      </c>
      <c r="W47" s="139" t="str">
        <f t="shared" si="9"/>
        <v/>
      </c>
      <c r="X47" s="139" t="str">
        <f>IF($B47=0,"",_xlfn.XLOOKUP($B47,INPUT_DATA!$BP:$BP,INPUT_DATA!CC:CC))</f>
        <v/>
      </c>
      <c r="Y47" s="140" t="str">
        <f>IF($B47=0,"",_xlfn.XLOOKUP($B47,INPUT_DATA!$BP:$BP,INPUT_DATA!CD:CD))</f>
        <v/>
      </c>
      <c r="Z47" s="140" t="str">
        <f>IF($B47=0,"",_xlfn.XLOOKUP($B47,INPUT_DATA!$BP:$BP,INPUT_DATA!CE:CE))</f>
        <v/>
      </c>
      <c r="AA47" s="140" t="str">
        <f>IF($B47=0,"",_xlfn.XLOOKUP($B47,INPUT_DATA!$BP:$BP,INPUT_DATA!CF:CF))</f>
        <v/>
      </c>
      <c r="AB47" s="1300" t="str">
        <f t="shared" si="10"/>
        <v/>
      </c>
      <c r="AC47" s="139"/>
      <c r="AD47" s="139" t="str">
        <f t="shared" si="17"/>
        <v/>
      </c>
      <c r="AE47" s="1275" t="str">
        <f>IF($B47=0,"",_xlfn.XLOOKUP($B47,INPUT_DATA!$BP:$BP,INPUT_DATA!CH:CH))</f>
        <v/>
      </c>
      <c r="AF47" s="140" t="str">
        <f>IF($B47=0,"",_xlfn.XLOOKUP($B47,INPUT_DATA!$BP:$BP,INPUT_DATA!CI:CI))</f>
        <v/>
      </c>
      <c r="AG47" s="140" t="str">
        <f>IF($B47=0,"",_xlfn.XLOOKUP($B47,INPUT_DATA!$BP:$BP,INPUT_DATA!CJ:CJ))</f>
        <v/>
      </c>
      <c r="AH47" s="140" t="str">
        <f>IF($B47=0,"",_xlfn.XLOOKUP($B47,INPUT_DATA!$BP:$BP,INPUT_DATA!CK:CK))</f>
        <v/>
      </c>
      <c r="AI47" s="1300" t="str">
        <f t="shared" si="12"/>
        <v/>
      </c>
      <c r="AJ47" s="139" t="str">
        <f>IF($B47=0,"",_xlfn.XLOOKUP($B47,INPUT_DATA!$BP:$BP,INPUT_DATA!CL:CL))</f>
        <v/>
      </c>
      <c r="AK47" s="139" t="str">
        <f t="shared" si="13"/>
        <v/>
      </c>
      <c r="AL47" s="1275" t="str">
        <f>IF($B47=0,"",_xlfn.XLOOKUP($B47,INPUT_DATA!$BP:$BP,INPUT_DATA!CM:CM))</f>
        <v/>
      </c>
      <c r="AM47" s="139" t="str">
        <f t="shared" si="16"/>
        <v/>
      </c>
      <c r="AN47" s="1275" t="str">
        <f t="shared" si="14"/>
        <v/>
      </c>
    </row>
    <row r="48" spans="2:40">
      <c r="B48" s="137">
        <f>INPUT_DATA!BP39</f>
        <v>0</v>
      </c>
      <c r="C48" s="1291" t="str">
        <f>IF($B48=0,"",_xlfn.XLOOKUP($B48,INPUT_DATA!$BP:$BP,INPUT_DATA!BQ:BQ))</f>
        <v/>
      </c>
      <c r="D48" s="140" t="str">
        <f>IF($B48=0,"",_xlfn.XLOOKUP($B48,INPUT_DATA!$BP:$BP,INPUT_DATA!BR:BR))</f>
        <v/>
      </c>
      <c r="E48" s="140" t="str">
        <f>IF($B48=0,"",_xlfn.XLOOKUP($B48,INPUT_DATA!$BP:$BP,INPUT_DATA!BS:BS))</f>
        <v/>
      </c>
      <c r="F48" s="140" t="str">
        <f t="shared" si="1"/>
        <v/>
      </c>
      <c r="G48" s="1291" t="str">
        <f>IF($B48=0,"",_xlfn.XLOOKUP($B48,INPUT_DATA!$BP:$BP,INPUT_DATA!BT:BT))</f>
        <v/>
      </c>
      <c r="H48" s="140" t="str">
        <f>IF($B48=0,"",_xlfn.XLOOKUP($B48,INPUT_DATA!$BP:$BP,INPUT_DATA!BU:BU))</f>
        <v/>
      </c>
      <c r="I48" s="140" t="str">
        <f>IF($B48=0,"",_xlfn.XLOOKUP($B48,INPUT_DATA!$BP:$BP,INPUT_DATA!BV:BV))</f>
        <v/>
      </c>
      <c r="J48" s="140" t="str">
        <f t="shared" si="2"/>
        <v/>
      </c>
      <c r="K48" s="1291" t="str">
        <f>IF($B48=0,"",_xlfn.XLOOKUP($B48,INPUT_DATA!$BP:$BP,INPUT_DATA!BW:BW))</f>
        <v/>
      </c>
      <c r="L48" s="140" t="str">
        <f>IF($B48=0,"",_xlfn.XLOOKUP($B48,INPUT_DATA!$BP:$BP,INPUT_DATA!BX:BX))</f>
        <v/>
      </c>
      <c r="M48" s="140" t="str">
        <f>IF($B48=0,"",_xlfn.XLOOKUP($B48,INPUT_DATA!$BP:$BP,INPUT_DATA!BY:BY))</f>
        <v/>
      </c>
      <c r="N48" s="140" t="str">
        <f t="shared" si="3"/>
        <v/>
      </c>
      <c r="O48" s="1275" t="str">
        <f t="shared" si="4"/>
        <v/>
      </c>
      <c r="P48" s="139" t="str">
        <f t="shared" si="5"/>
        <v/>
      </c>
      <c r="Q48" s="139" t="str">
        <f t="shared" si="6"/>
        <v/>
      </c>
      <c r="R48" s="139" t="str">
        <f t="shared" si="7"/>
        <v/>
      </c>
      <c r="S48" s="140" t="str">
        <f>IF($B48=0,"",_xlfn.XLOOKUP($B48,INPUT_DATA!$BP:$BP,INPUT_DATA!BZ:BZ))</f>
        <v/>
      </c>
      <c r="T48" s="140" t="str">
        <f>IF($B48=0,"",_xlfn.XLOOKUP($B48,INPUT_DATA!$BP:$BP,INPUT_DATA!CA:CA))</f>
        <v/>
      </c>
      <c r="U48" s="140" t="str">
        <f>IF($B48=0,"",_xlfn.XLOOKUP($B48,INPUT_DATA!$BP:$BP,INPUT_DATA!CB:CB))</f>
        <v/>
      </c>
      <c r="V48" s="1300" t="str">
        <f t="shared" si="8"/>
        <v/>
      </c>
      <c r="W48" s="139" t="str">
        <f t="shared" si="9"/>
        <v/>
      </c>
      <c r="X48" s="139" t="str">
        <f>IF($B48=0,"",_xlfn.XLOOKUP($B48,INPUT_DATA!$BP:$BP,INPUT_DATA!CC:CC))</f>
        <v/>
      </c>
      <c r="Y48" s="140" t="str">
        <f>IF($B48=0,"",_xlfn.XLOOKUP($B48,INPUT_DATA!$BP:$BP,INPUT_DATA!CD:CD))</f>
        <v/>
      </c>
      <c r="Z48" s="140" t="str">
        <f>IF($B48=0,"",_xlfn.XLOOKUP($B48,INPUT_DATA!$BP:$BP,INPUT_DATA!CE:CE))</f>
        <v/>
      </c>
      <c r="AA48" s="140" t="str">
        <f>IF($B48=0,"",_xlfn.XLOOKUP($B48,INPUT_DATA!$BP:$BP,INPUT_DATA!CF:CF))</f>
        <v/>
      </c>
      <c r="AB48" s="1300" t="str">
        <f t="shared" si="10"/>
        <v/>
      </c>
      <c r="AC48" s="139"/>
      <c r="AD48" s="139" t="str">
        <f t="shared" si="17"/>
        <v/>
      </c>
      <c r="AE48" s="1275" t="str">
        <f>IF($B48=0,"",_xlfn.XLOOKUP($B48,INPUT_DATA!$BP:$BP,INPUT_DATA!CH:CH))</f>
        <v/>
      </c>
      <c r="AF48" s="140" t="str">
        <f>IF($B48=0,"",_xlfn.XLOOKUP($B48,INPUT_DATA!$BP:$BP,INPUT_DATA!CI:CI))</f>
        <v/>
      </c>
      <c r="AG48" s="140" t="str">
        <f>IF($B48=0,"",_xlfn.XLOOKUP($B48,INPUT_DATA!$BP:$BP,INPUT_DATA!CJ:CJ))</f>
        <v/>
      </c>
      <c r="AH48" s="140" t="str">
        <f>IF($B48=0,"",_xlfn.XLOOKUP($B48,INPUT_DATA!$BP:$BP,INPUT_DATA!CK:CK))</f>
        <v/>
      </c>
      <c r="AI48" s="1300" t="str">
        <f t="shared" si="12"/>
        <v/>
      </c>
      <c r="AJ48" s="139" t="str">
        <f>IF($B48=0,"",_xlfn.XLOOKUP($B48,INPUT_DATA!$BP:$BP,INPUT_DATA!CL:CL))</f>
        <v/>
      </c>
      <c r="AK48" s="139" t="str">
        <f t="shared" si="13"/>
        <v/>
      </c>
      <c r="AL48" s="1275" t="str">
        <f>IF($B48=0,"",_xlfn.XLOOKUP($B48,INPUT_DATA!$BP:$BP,INPUT_DATA!CM:CM))</f>
        <v/>
      </c>
      <c r="AM48" s="139" t="str">
        <f t="shared" si="16"/>
        <v/>
      </c>
      <c r="AN48" s="1275" t="str">
        <f t="shared" si="14"/>
        <v/>
      </c>
    </row>
    <row r="49" spans="2:40">
      <c r="B49" s="137">
        <f>INPUT_DATA!BP40</f>
        <v>0</v>
      </c>
      <c r="C49" s="1291" t="str">
        <f>IF($B49=0,"",_xlfn.XLOOKUP($B49,INPUT_DATA!$BP:$BP,INPUT_DATA!BQ:BQ))</f>
        <v/>
      </c>
      <c r="D49" s="140" t="str">
        <f>IF($B49=0,"",_xlfn.XLOOKUP($B49,INPUT_DATA!$BP:$BP,INPUT_DATA!BR:BR))</f>
        <v/>
      </c>
      <c r="E49" s="140" t="str">
        <f>IF($B49=0,"",_xlfn.XLOOKUP($B49,INPUT_DATA!$BP:$BP,INPUT_DATA!BS:BS))</f>
        <v/>
      </c>
      <c r="F49" s="140" t="str">
        <f t="shared" si="1"/>
        <v/>
      </c>
      <c r="G49" s="1291" t="str">
        <f>IF($B49=0,"",_xlfn.XLOOKUP($B49,INPUT_DATA!$BP:$BP,INPUT_DATA!BT:BT))</f>
        <v/>
      </c>
      <c r="H49" s="140" t="str">
        <f>IF($B49=0,"",_xlfn.XLOOKUP($B49,INPUT_DATA!$BP:$BP,INPUT_DATA!BU:BU))</f>
        <v/>
      </c>
      <c r="I49" s="140" t="str">
        <f>IF($B49=0,"",_xlfn.XLOOKUP($B49,INPUT_DATA!$BP:$BP,INPUT_DATA!BV:BV))</f>
        <v/>
      </c>
      <c r="J49" s="140" t="str">
        <f t="shared" si="2"/>
        <v/>
      </c>
      <c r="K49" s="1291" t="str">
        <f>IF($B49=0,"",_xlfn.XLOOKUP($B49,INPUT_DATA!$BP:$BP,INPUT_DATA!BW:BW))</f>
        <v/>
      </c>
      <c r="L49" s="140" t="str">
        <f>IF($B49=0,"",_xlfn.XLOOKUP($B49,INPUT_DATA!$BP:$BP,INPUT_DATA!BX:BX))</f>
        <v/>
      </c>
      <c r="M49" s="140" t="str">
        <f>IF($B49=0,"",_xlfn.XLOOKUP($B49,INPUT_DATA!$BP:$BP,INPUT_DATA!BY:BY))</f>
        <v/>
      </c>
      <c r="N49" s="140" t="str">
        <f t="shared" si="3"/>
        <v/>
      </c>
      <c r="O49" s="1275" t="str">
        <f t="shared" si="4"/>
        <v/>
      </c>
      <c r="P49" s="139" t="str">
        <f t="shared" si="5"/>
        <v/>
      </c>
      <c r="Q49" s="139" t="str">
        <f t="shared" si="6"/>
        <v/>
      </c>
      <c r="R49" s="139" t="str">
        <f t="shared" si="7"/>
        <v/>
      </c>
      <c r="S49" s="140" t="str">
        <f>IF($B49=0,"",_xlfn.XLOOKUP($B49,INPUT_DATA!$BP:$BP,INPUT_DATA!BZ:BZ))</f>
        <v/>
      </c>
      <c r="T49" s="140" t="str">
        <f>IF($B49=0,"",_xlfn.XLOOKUP($B49,INPUT_DATA!$BP:$BP,INPUT_DATA!CA:CA))</f>
        <v/>
      </c>
      <c r="U49" s="140" t="str">
        <f>IF($B49=0,"",_xlfn.XLOOKUP($B49,INPUT_DATA!$BP:$BP,INPUT_DATA!CB:CB))</f>
        <v/>
      </c>
      <c r="V49" s="1300" t="str">
        <f t="shared" si="8"/>
        <v/>
      </c>
      <c r="W49" s="139" t="str">
        <f t="shared" si="9"/>
        <v/>
      </c>
      <c r="X49" s="139" t="str">
        <f>IF($B49=0,"",_xlfn.XLOOKUP($B49,INPUT_DATA!$BP:$BP,INPUT_DATA!CC:CC))</f>
        <v/>
      </c>
      <c r="Y49" s="140" t="str">
        <f>IF($B49=0,"",_xlfn.XLOOKUP($B49,INPUT_DATA!$BP:$BP,INPUT_DATA!CD:CD))</f>
        <v/>
      </c>
      <c r="Z49" s="140" t="str">
        <f>IF($B49=0,"",_xlfn.XLOOKUP($B49,INPUT_DATA!$BP:$BP,INPUT_DATA!CE:CE))</f>
        <v/>
      </c>
      <c r="AA49" s="140" t="str">
        <f>IF($B49=0,"",_xlfn.XLOOKUP($B49,INPUT_DATA!$BP:$BP,INPUT_DATA!CF:CF))</f>
        <v/>
      </c>
      <c r="AB49" s="1300" t="str">
        <f t="shared" si="10"/>
        <v/>
      </c>
      <c r="AC49" s="139"/>
      <c r="AD49" s="139" t="str">
        <f t="shared" si="17"/>
        <v/>
      </c>
      <c r="AE49" s="1275" t="str">
        <f>IF($B49=0,"",_xlfn.XLOOKUP($B49,INPUT_DATA!$BP:$BP,INPUT_DATA!CH:CH))</f>
        <v/>
      </c>
      <c r="AF49" s="140" t="str">
        <f>IF($B49=0,"",_xlfn.XLOOKUP($B49,INPUT_DATA!$BP:$BP,INPUT_DATA!CI:CI))</f>
        <v/>
      </c>
      <c r="AG49" s="140" t="str">
        <f>IF($B49=0,"",_xlfn.XLOOKUP($B49,INPUT_DATA!$BP:$BP,INPUT_DATA!CJ:CJ))</f>
        <v/>
      </c>
      <c r="AH49" s="140" t="str">
        <f>IF($B49=0,"",_xlfn.XLOOKUP($B49,INPUT_DATA!$BP:$BP,INPUT_DATA!CK:CK))</f>
        <v/>
      </c>
      <c r="AI49" s="1300" t="str">
        <f t="shared" si="12"/>
        <v/>
      </c>
      <c r="AJ49" s="139" t="str">
        <f>IF($B49=0,"",_xlfn.XLOOKUP($B49,INPUT_DATA!$BP:$BP,INPUT_DATA!CL:CL))</f>
        <v/>
      </c>
      <c r="AK49" s="139" t="str">
        <f t="shared" si="13"/>
        <v/>
      </c>
      <c r="AL49" s="1275" t="str">
        <f>IF($B49=0,"",_xlfn.XLOOKUP($B49,INPUT_DATA!$BP:$BP,INPUT_DATA!CM:CM))</f>
        <v/>
      </c>
      <c r="AM49" s="139" t="str">
        <f t="shared" si="16"/>
        <v/>
      </c>
      <c r="AN49" s="1275" t="str">
        <f t="shared" si="14"/>
        <v/>
      </c>
    </row>
    <row r="50" spans="2:40">
      <c r="B50" s="137">
        <f>INPUT_DATA!BP41</f>
        <v>0</v>
      </c>
      <c r="C50" s="1291" t="str">
        <f>IF($B50=0,"",_xlfn.XLOOKUP($B50,INPUT_DATA!$BP:$BP,INPUT_DATA!BQ:BQ))</f>
        <v/>
      </c>
      <c r="D50" s="140" t="str">
        <f>IF($B50=0,"",_xlfn.XLOOKUP($B50,INPUT_DATA!$BP:$BP,INPUT_DATA!BR:BR))</f>
        <v/>
      </c>
      <c r="E50" s="140" t="str">
        <f>IF($B50=0,"",_xlfn.XLOOKUP($B50,INPUT_DATA!$BP:$BP,INPUT_DATA!BS:BS))</f>
        <v/>
      </c>
      <c r="F50" s="140" t="str">
        <f t="shared" si="1"/>
        <v/>
      </c>
      <c r="G50" s="1291" t="str">
        <f>IF($B50=0,"",_xlfn.XLOOKUP($B50,INPUT_DATA!$BP:$BP,INPUT_DATA!BT:BT))</f>
        <v/>
      </c>
      <c r="H50" s="140" t="str">
        <f>IF($B50=0,"",_xlfn.XLOOKUP($B50,INPUT_DATA!$BP:$BP,INPUT_DATA!BU:BU))</f>
        <v/>
      </c>
      <c r="I50" s="140" t="str">
        <f>IF($B50=0,"",_xlfn.XLOOKUP($B50,INPUT_DATA!$BP:$BP,INPUT_DATA!BV:BV))</f>
        <v/>
      </c>
      <c r="J50" s="140" t="str">
        <f t="shared" si="2"/>
        <v/>
      </c>
      <c r="K50" s="1291" t="str">
        <f>IF($B50=0,"",_xlfn.XLOOKUP($B50,INPUT_DATA!$BP:$BP,INPUT_DATA!BW:BW))</f>
        <v/>
      </c>
      <c r="L50" s="140" t="str">
        <f>IF($B50=0,"",_xlfn.XLOOKUP($B50,INPUT_DATA!$BP:$BP,INPUT_DATA!BX:BX))</f>
        <v/>
      </c>
      <c r="M50" s="140" t="str">
        <f>IF($B50=0,"",_xlfn.XLOOKUP($B50,INPUT_DATA!$BP:$BP,INPUT_DATA!BY:BY))</f>
        <v/>
      </c>
      <c r="N50" s="140" t="str">
        <f t="shared" si="3"/>
        <v/>
      </c>
      <c r="O50" s="1275" t="str">
        <f t="shared" si="4"/>
        <v/>
      </c>
      <c r="P50" s="139" t="str">
        <f t="shared" si="5"/>
        <v/>
      </c>
      <c r="Q50" s="139" t="str">
        <f t="shared" si="6"/>
        <v/>
      </c>
      <c r="R50" s="139" t="str">
        <f t="shared" si="7"/>
        <v/>
      </c>
      <c r="S50" s="140" t="str">
        <f>IF($B50=0,"",_xlfn.XLOOKUP($B50,INPUT_DATA!$BP:$BP,INPUT_DATA!BZ:BZ))</f>
        <v/>
      </c>
      <c r="T50" s="140" t="str">
        <f>IF($B50=0,"",_xlfn.XLOOKUP($B50,INPUT_DATA!$BP:$BP,INPUT_DATA!CA:CA))</f>
        <v/>
      </c>
      <c r="U50" s="140" t="str">
        <f>IF($B50=0,"",_xlfn.XLOOKUP($B50,INPUT_DATA!$BP:$BP,INPUT_DATA!CB:CB))</f>
        <v/>
      </c>
      <c r="V50" s="1300" t="str">
        <f t="shared" si="8"/>
        <v/>
      </c>
      <c r="W50" s="139" t="str">
        <f t="shared" si="9"/>
        <v/>
      </c>
      <c r="X50" s="139" t="str">
        <f>IF($B50=0,"",_xlfn.XLOOKUP($B50,INPUT_DATA!$BP:$BP,INPUT_DATA!CC:CC))</f>
        <v/>
      </c>
      <c r="Y50" s="140" t="str">
        <f>IF($B50=0,"",_xlfn.XLOOKUP($B50,INPUT_DATA!$BP:$BP,INPUT_DATA!CD:CD))</f>
        <v/>
      </c>
      <c r="Z50" s="140" t="str">
        <f>IF($B50=0,"",_xlfn.XLOOKUP($B50,INPUT_DATA!$BP:$BP,INPUT_DATA!CE:CE))</f>
        <v/>
      </c>
      <c r="AA50" s="140" t="str">
        <f>IF($B50=0,"",_xlfn.XLOOKUP($B50,INPUT_DATA!$BP:$BP,INPUT_DATA!CF:CF))</f>
        <v/>
      </c>
      <c r="AB50" s="1300" t="str">
        <f t="shared" si="10"/>
        <v/>
      </c>
      <c r="AC50" s="139"/>
      <c r="AD50" s="139" t="str">
        <f t="shared" si="17"/>
        <v/>
      </c>
      <c r="AE50" s="1275" t="str">
        <f>IF($B50=0,"",_xlfn.XLOOKUP($B50,INPUT_DATA!$BP:$BP,INPUT_DATA!CH:CH))</f>
        <v/>
      </c>
      <c r="AF50" s="140" t="str">
        <f>IF($B50=0,"",_xlfn.XLOOKUP($B50,INPUT_DATA!$BP:$BP,INPUT_DATA!CI:CI))</f>
        <v/>
      </c>
      <c r="AG50" s="140" t="str">
        <f>IF($B50=0,"",_xlfn.XLOOKUP($B50,INPUT_DATA!$BP:$BP,INPUT_DATA!CJ:CJ))</f>
        <v/>
      </c>
      <c r="AH50" s="140" t="str">
        <f>IF($B50=0,"",_xlfn.XLOOKUP($B50,INPUT_DATA!$BP:$BP,INPUT_DATA!CK:CK))</f>
        <v/>
      </c>
      <c r="AI50" s="1300" t="str">
        <f t="shared" si="12"/>
        <v/>
      </c>
      <c r="AJ50" s="139" t="str">
        <f>IF($B50=0,"",_xlfn.XLOOKUP($B50,INPUT_DATA!$BP:$BP,INPUT_DATA!CL:CL))</f>
        <v/>
      </c>
      <c r="AK50" s="139" t="str">
        <f t="shared" si="13"/>
        <v/>
      </c>
      <c r="AL50" s="1275" t="str">
        <f>IF($B50=0,"",_xlfn.XLOOKUP($B50,INPUT_DATA!$BP:$BP,INPUT_DATA!CM:CM))</f>
        <v/>
      </c>
      <c r="AM50" s="139" t="str">
        <f t="shared" si="16"/>
        <v/>
      </c>
      <c r="AN50" s="1275" t="str">
        <f t="shared" si="14"/>
        <v/>
      </c>
    </row>
    <row r="51" spans="2:40">
      <c r="B51" s="137">
        <f>INPUT_DATA!BP42</f>
        <v>0</v>
      </c>
      <c r="C51" s="1291" t="str">
        <f>IF($B51=0,"",_xlfn.XLOOKUP($B51,INPUT_DATA!$BP:$BP,INPUT_DATA!BQ:BQ))</f>
        <v/>
      </c>
      <c r="D51" s="140" t="str">
        <f>IF($B51=0,"",_xlfn.XLOOKUP($B51,INPUT_DATA!$BP:$BP,INPUT_DATA!BR:BR))</f>
        <v/>
      </c>
      <c r="E51" s="140" t="str">
        <f>IF($B51=0,"",_xlfn.XLOOKUP($B51,INPUT_DATA!$BP:$BP,INPUT_DATA!BS:BS))</f>
        <v/>
      </c>
      <c r="F51" s="140" t="str">
        <f t="shared" si="1"/>
        <v/>
      </c>
      <c r="G51" s="1291" t="str">
        <f>IF($B51=0,"",_xlfn.XLOOKUP($B51,INPUT_DATA!$BP:$BP,INPUT_DATA!BT:BT))</f>
        <v/>
      </c>
      <c r="H51" s="140" t="str">
        <f>IF($B51=0,"",_xlfn.XLOOKUP($B51,INPUT_DATA!$BP:$BP,INPUT_DATA!BU:BU))</f>
        <v/>
      </c>
      <c r="I51" s="140" t="str">
        <f>IF($B51=0,"",_xlfn.XLOOKUP($B51,INPUT_DATA!$BP:$BP,INPUT_DATA!BV:BV))</f>
        <v/>
      </c>
      <c r="J51" s="140" t="str">
        <f t="shared" si="2"/>
        <v/>
      </c>
      <c r="K51" s="1291" t="str">
        <f>IF($B51=0,"",_xlfn.XLOOKUP($B51,INPUT_DATA!$BP:$BP,INPUT_DATA!BW:BW))</f>
        <v/>
      </c>
      <c r="L51" s="140" t="str">
        <f>IF($B51=0,"",_xlfn.XLOOKUP($B51,INPUT_DATA!$BP:$BP,INPUT_DATA!BX:BX))</f>
        <v/>
      </c>
      <c r="M51" s="140" t="str">
        <f>IF($B51=0,"",_xlfn.XLOOKUP($B51,INPUT_DATA!$BP:$BP,INPUT_DATA!BY:BY))</f>
        <v/>
      </c>
      <c r="N51" s="140" t="str">
        <f t="shared" si="3"/>
        <v/>
      </c>
      <c r="O51" s="1275" t="str">
        <f t="shared" si="4"/>
        <v/>
      </c>
      <c r="P51" s="139" t="str">
        <f t="shared" si="5"/>
        <v/>
      </c>
      <c r="Q51" s="139" t="str">
        <f t="shared" si="6"/>
        <v/>
      </c>
      <c r="R51" s="139" t="str">
        <f t="shared" si="7"/>
        <v/>
      </c>
      <c r="S51" s="140" t="str">
        <f>IF($B51=0,"",_xlfn.XLOOKUP($B51,INPUT_DATA!$BP:$BP,INPUT_DATA!BZ:BZ))</f>
        <v/>
      </c>
      <c r="T51" s="140" t="str">
        <f>IF($B51=0,"",_xlfn.XLOOKUP($B51,INPUT_DATA!$BP:$BP,INPUT_DATA!CA:CA))</f>
        <v/>
      </c>
      <c r="U51" s="140" t="str">
        <f>IF($B51=0,"",_xlfn.XLOOKUP($B51,INPUT_DATA!$BP:$BP,INPUT_DATA!CB:CB))</f>
        <v/>
      </c>
      <c r="V51" s="1300" t="str">
        <f t="shared" si="8"/>
        <v/>
      </c>
      <c r="W51" s="139" t="str">
        <f t="shared" si="9"/>
        <v/>
      </c>
      <c r="X51" s="139" t="str">
        <f>IF($B51=0,"",_xlfn.XLOOKUP($B51,INPUT_DATA!$BP:$BP,INPUT_DATA!CC:CC))</f>
        <v/>
      </c>
      <c r="Y51" s="140" t="str">
        <f>IF($B51=0,"",_xlfn.XLOOKUP($B51,INPUT_DATA!$BP:$BP,INPUT_DATA!CD:CD))</f>
        <v/>
      </c>
      <c r="Z51" s="140" t="str">
        <f>IF($B51=0,"",_xlfn.XLOOKUP($B51,INPUT_DATA!$BP:$BP,INPUT_DATA!CE:CE))</f>
        <v/>
      </c>
      <c r="AA51" s="140" t="str">
        <f>IF($B51=0,"",_xlfn.XLOOKUP($B51,INPUT_DATA!$BP:$BP,INPUT_DATA!CF:CF))</f>
        <v/>
      </c>
      <c r="AB51" s="1300" t="str">
        <f t="shared" si="10"/>
        <v/>
      </c>
      <c r="AC51" s="139"/>
      <c r="AD51" s="139" t="str">
        <f t="shared" si="17"/>
        <v/>
      </c>
      <c r="AE51" s="1275" t="str">
        <f>IF($B51=0,"",_xlfn.XLOOKUP($B51,INPUT_DATA!$BP:$BP,INPUT_DATA!CH:CH))</f>
        <v/>
      </c>
      <c r="AF51" s="140" t="str">
        <f>IF($B51=0,"",_xlfn.XLOOKUP($B51,INPUT_DATA!$BP:$BP,INPUT_DATA!CI:CI))</f>
        <v/>
      </c>
      <c r="AG51" s="140" t="str">
        <f>IF($B51=0,"",_xlfn.XLOOKUP($B51,INPUT_DATA!$BP:$BP,INPUT_DATA!CJ:CJ))</f>
        <v/>
      </c>
      <c r="AH51" s="140" t="str">
        <f>IF($B51=0,"",_xlfn.XLOOKUP($B51,INPUT_DATA!$BP:$BP,INPUT_DATA!CK:CK))</f>
        <v/>
      </c>
      <c r="AI51" s="1300" t="str">
        <f t="shared" si="12"/>
        <v/>
      </c>
      <c r="AJ51" s="139" t="str">
        <f>IF($B51=0,"",_xlfn.XLOOKUP($B51,INPUT_DATA!$BP:$BP,INPUT_DATA!CL:CL))</f>
        <v/>
      </c>
      <c r="AK51" s="139" t="str">
        <f t="shared" si="13"/>
        <v/>
      </c>
      <c r="AL51" s="1275" t="str">
        <f>IF($B51=0,"",_xlfn.XLOOKUP($B51,INPUT_DATA!$BP:$BP,INPUT_DATA!CM:CM))</f>
        <v/>
      </c>
      <c r="AM51" s="139" t="str">
        <f t="shared" si="16"/>
        <v/>
      </c>
      <c r="AN51" s="1275" t="str">
        <f t="shared" si="14"/>
        <v/>
      </c>
    </row>
    <row r="52" spans="2:40">
      <c r="B52" s="137">
        <f>INPUT_DATA!BP43</f>
        <v>0</v>
      </c>
      <c r="C52" s="1291" t="str">
        <f>IF($B52=0,"",_xlfn.XLOOKUP($B52,INPUT_DATA!$BP:$BP,INPUT_DATA!BQ:BQ))</f>
        <v/>
      </c>
      <c r="D52" s="140" t="str">
        <f>IF($B52=0,"",_xlfn.XLOOKUP($B52,INPUT_DATA!$BP:$BP,INPUT_DATA!BR:BR))</f>
        <v/>
      </c>
      <c r="E52" s="140" t="str">
        <f>IF($B52=0,"",_xlfn.XLOOKUP($B52,INPUT_DATA!$BP:$BP,INPUT_DATA!BS:BS))</f>
        <v/>
      </c>
      <c r="F52" s="140" t="str">
        <f t="shared" si="1"/>
        <v/>
      </c>
      <c r="G52" s="1291" t="str">
        <f>IF($B52=0,"",_xlfn.XLOOKUP($B52,INPUT_DATA!$BP:$BP,INPUT_DATA!BT:BT))</f>
        <v/>
      </c>
      <c r="H52" s="140" t="str">
        <f>IF($B52=0,"",_xlfn.XLOOKUP($B52,INPUT_DATA!$BP:$BP,INPUT_DATA!BU:BU))</f>
        <v/>
      </c>
      <c r="I52" s="140" t="str">
        <f>IF($B52=0,"",_xlfn.XLOOKUP($B52,INPUT_DATA!$BP:$BP,INPUT_DATA!BV:BV))</f>
        <v/>
      </c>
      <c r="J52" s="140" t="str">
        <f t="shared" si="2"/>
        <v/>
      </c>
      <c r="K52" s="1291" t="str">
        <f>IF($B52=0,"",_xlfn.XLOOKUP($B52,INPUT_DATA!$BP:$BP,INPUT_DATA!BW:BW))</f>
        <v/>
      </c>
      <c r="L52" s="140" t="str">
        <f>IF($B52=0,"",_xlfn.XLOOKUP($B52,INPUT_DATA!$BP:$BP,INPUT_DATA!BX:BX))</f>
        <v/>
      </c>
      <c r="M52" s="140" t="str">
        <f>IF($B52=0,"",_xlfn.XLOOKUP($B52,INPUT_DATA!$BP:$BP,INPUT_DATA!BY:BY))</f>
        <v/>
      </c>
      <c r="N52" s="140" t="str">
        <f t="shared" si="3"/>
        <v/>
      </c>
      <c r="O52" s="1275" t="str">
        <f t="shared" si="4"/>
        <v/>
      </c>
      <c r="P52" s="139" t="str">
        <f t="shared" si="5"/>
        <v/>
      </c>
      <c r="Q52" s="139" t="str">
        <f t="shared" si="6"/>
        <v/>
      </c>
      <c r="R52" s="139" t="str">
        <f t="shared" si="7"/>
        <v/>
      </c>
      <c r="S52" s="140" t="str">
        <f>IF($B52=0,"",_xlfn.XLOOKUP($B52,INPUT_DATA!$BP:$BP,INPUT_DATA!BZ:BZ))</f>
        <v/>
      </c>
      <c r="T52" s="140" t="str">
        <f>IF($B52=0,"",_xlfn.XLOOKUP($B52,INPUT_DATA!$BP:$BP,INPUT_DATA!CA:CA))</f>
        <v/>
      </c>
      <c r="U52" s="140" t="str">
        <f>IF($B52=0,"",_xlfn.XLOOKUP($B52,INPUT_DATA!$BP:$BP,INPUT_DATA!CB:CB))</f>
        <v/>
      </c>
      <c r="V52" s="1300" t="str">
        <f t="shared" si="8"/>
        <v/>
      </c>
      <c r="W52" s="139" t="str">
        <f t="shared" si="9"/>
        <v/>
      </c>
      <c r="X52" s="139" t="str">
        <f>IF($B52=0,"",_xlfn.XLOOKUP($B52,INPUT_DATA!$BP:$BP,INPUT_DATA!CC:CC))</f>
        <v/>
      </c>
      <c r="Y52" s="140" t="str">
        <f>IF($B52=0,"",_xlfn.XLOOKUP($B52,INPUT_DATA!$BP:$BP,INPUT_DATA!CD:CD))</f>
        <v/>
      </c>
      <c r="Z52" s="140" t="str">
        <f>IF($B52=0,"",_xlfn.XLOOKUP($B52,INPUT_DATA!$BP:$BP,INPUT_DATA!CE:CE))</f>
        <v/>
      </c>
      <c r="AA52" s="140" t="str">
        <f>IF($B52=0,"",_xlfn.XLOOKUP($B52,INPUT_DATA!$BP:$BP,INPUT_DATA!CF:CF))</f>
        <v/>
      </c>
      <c r="AB52" s="1300" t="str">
        <f t="shared" si="10"/>
        <v/>
      </c>
      <c r="AC52" s="139"/>
      <c r="AD52" s="139" t="str">
        <f t="shared" si="17"/>
        <v/>
      </c>
      <c r="AE52" s="1275" t="str">
        <f>IF($B52=0,"",_xlfn.XLOOKUP($B52,INPUT_DATA!$BP:$BP,INPUT_DATA!CH:CH))</f>
        <v/>
      </c>
      <c r="AF52" s="140" t="str">
        <f>IF($B52=0,"",_xlfn.XLOOKUP($B52,INPUT_DATA!$BP:$BP,INPUT_DATA!CI:CI))</f>
        <v/>
      </c>
      <c r="AG52" s="140" t="str">
        <f>IF($B52=0,"",_xlfn.XLOOKUP($B52,INPUT_DATA!$BP:$BP,INPUT_DATA!CJ:CJ))</f>
        <v/>
      </c>
      <c r="AH52" s="140" t="str">
        <f>IF($B52=0,"",_xlfn.XLOOKUP($B52,INPUT_DATA!$BP:$BP,INPUT_DATA!CK:CK))</f>
        <v/>
      </c>
      <c r="AI52" s="1300" t="str">
        <f t="shared" si="12"/>
        <v/>
      </c>
      <c r="AJ52" s="139" t="str">
        <f>IF($B52=0,"",_xlfn.XLOOKUP($B52,INPUT_DATA!$BP:$BP,INPUT_DATA!CL:CL))</f>
        <v/>
      </c>
      <c r="AK52" s="139" t="str">
        <f t="shared" si="13"/>
        <v/>
      </c>
      <c r="AL52" s="1275" t="str">
        <f>IF($B52=0,"",_xlfn.XLOOKUP($B52,INPUT_DATA!$BP:$BP,INPUT_DATA!CM:CM))</f>
        <v/>
      </c>
      <c r="AM52" s="139" t="str">
        <f t="shared" si="16"/>
        <v/>
      </c>
      <c r="AN52" s="1275" t="str">
        <f t="shared" si="14"/>
        <v/>
      </c>
    </row>
    <row r="53" spans="2:40">
      <c r="B53" s="137">
        <f>INPUT_DATA!BP44</f>
        <v>0</v>
      </c>
      <c r="C53" s="1291" t="str">
        <f>IF($B53=0,"",_xlfn.XLOOKUP($B53,INPUT_DATA!$BP:$BP,INPUT_DATA!BQ:BQ))</f>
        <v/>
      </c>
      <c r="D53" s="140" t="str">
        <f>IF($B53=0,"",_xlfn.XLOOKUP($B53,INPUT_DATA!$BP:$BP,INPUT_DATA!BR:BR))</f>
        <v/>
      </c>
      <c r="E53" s="140" t="str">
        <f>IF($B53=0,"",_xlfn.XLOOKUP($B53,INPUT_DATA!$BP:$BP,INPUT_DATA!BS:BS))</f>
        <v/>
      </c>
      <c r="F53" s="140" t="str">
        <f t="shared" si="1"/>
        <v/>
      </c>
      <c r="G53" s="1291" t="str">
        <f>IF($B53=0,"",_xlfn.XLOOKUP($B53,INPUT_DATA!$BP:$BP,INPUT_DATA!BT:BT))</f>
        <v/>
      </c>
      <c r="H53" s="140" t="str">
        <f>IF($B53=0,"",_xlfn.XLOOKUP($B53,INPUT_DATA!$BP:$BP,INPUT_DATA!BU:BU))</f>
        <v/>
      </c>
      <c r="I53" s="140" t="str">
        <f>IF($B53=0,"",_xlfn.XLOOKUP($B53,INPUT_DATA!$BP:$BP,INPUT_DATA!BV:BV))</f>
        <v/>
      </c>
      <c r="J53" s="140" t="str">
        <f t="shared" si="2"/>
        <v/>
      </c>
      <c r="K53" s="1291" t="str">
        <f>IF($B53=0,"",_xlfn.XLOOKUP($B53,INPUT_DATA!$BP:$BP,INPUT_DATA!BW:BW))</f>
        <v/>
      </c>
      <c r="L53" s="140" t="str">
        <f>IF($B53=0,"",_xlfn.XLOOKUP($B53,INPUT_DATA!$BP:$BP,INPUT_DATA!BX:BX))</f>
        <v/>
      </c>
      <c r="M53" s="140" t="str">
        <f>IF($B53=0,"",_xlfn.XLOOKUP($B53,INPUT_DATA!$BP:$BP,INPUT_DATA!BY:BY))</f>
        <v/>
      </c>
      <c r="N53" s="140" t="str">
        <f t="shared" si="3"/>
        <v/>
      </c>
      <c r="O53" s="1275" t="str">
        <f t="shared" si="4"/>
        <v/>
      </c>
      <c r="P53" s="139" t="str">
        <f t="shared" si="5"/>
        <v/>
      </c>
      <c r="Q53" s="139" t="str">
        <f t="shared" si="6"/>
        <v/>
      </c>
      <c r="R53" s="139" t="str">
        <f t="shared" si="7"/>
        <v/>
      </c>
      <c r="S53" s="140" t="str">
        <f>IF($B53=0,"",_xlfn.XLOOKUP($B53,INPUT_DATA!$BP:$BP,INPUT_DATA!BZ:BZ))</f>
        <v/>
      </c>
      <c r="T53" s="140" t="str">
        <f>IF($B53=0,"",_xlfn.XLOOKUP($B53,INPUT_DATA!$BP:$BP,INPUT_DATA!CA:CA))</f>
        <v/>
      </c>
      <c r="U53" s="140" t="str">
        <f>IF($B53=0,"",_xlfn.XLOOKUP($B53,INPUT_DATA!$BP:$BP,INPUT_DATA!CB:CB))</f>
        <v/>
      </c>
      <c r="V53" s="1300" t="str">
        <f t="shared" si="8"/>
        <v/>
      </c>
      <c r="W53" s="139" t="str">
        <f t="shared" si="9"/>
        <v/>
      </c>
      <c r="X53" s="139" t="str">
        <f>IF($B53=0,"",_xlfn.XLOOKUP($B53,INPUT_DATA!$BP:$BP,INPUT_DATA!CC:CC))</f>
        <v/>
      </c>
      <c r="Y53" s="140" t="str">
        <f>IF($B53=0,"",_xlfn.XLOOKUP($B53,INPUT_DATA!$BP:$BP,INPUT_DATA!CD:CD))</f>
        <v/>
      </c>
      <c r="Z53" s="140" t="str">
        <f>IF($B53=0,"",_xlfn.XLOOKUP($B53,INPUT_DATA!$BP:$BP,INPUT_DATA!CE:CE))</f>
        <v/>
      </c>
      <c r="AA53" s="140" t="str">
        <f>IF($B53=0,"",_xlfn.XLOOKUP($B53,INPUT_DATA!$BP:$BP,INPUT_DATA!CF:CF))</f>
        <v/>
      </c>
      <c r="AB53" s="1300" t="str">
        <f t="shared" si="10"/>
        <v/>
      </c>
      <c r="AC53" s="139"/>
      <c r="AD53" s="139" t="str">
        <f t="shared" si="17"/>
        <v/>
      </c>
      <c r="AE53" s="1275" t="str">
        <f>IF($B53=0,"",_xlfn.XLOOKUP($B53,INPUT_DATA!$BP:$BP,INPUT_DATA!CH:CH))</f>
        <v/>
      </c>
      <c r="AF53" s="140" t="str">
        <f>IF($B53=0,"",_xlfn.XLOOKUP($B53,INPUT_DATA!$BP:$BP,INPUT_DATA!CI:CI))</f>
        <v/>
      </c>
      <c r="AG53" s="140" t="str">
        <f>IF($B53=0,"",_xlfn.XLOOKUP($B53,INPUT_DATA!$BP:$BP,INPUT_DATA!CJ:CJ))</f>
        <v/>
      </c>
      <c r="AH53" s="140" t="str">
        <f>IF($B53=0,"",_xlfn.XLOOKUP($B53,INPUT_DATA!$BP:$BP,INPUT_DATA!CK:CK))</f>
        <v/>
      </c>
      <c r="AI53" s="1300" t="str">
        <f t="shared" si="12"/>
        <v/>
      </c>
      <c r="AJ53" s="139" t="str">
        <f>IF($B53=0,"",_xlfn.XLOOKUP($B53,INPUT_DATA!$BP:$BP,INPUT_DATA!CL:CL))</f>
        <v/>
      </c>
      <c r="AK53" s="139" t="str">
        <f t="shared" si="13"/>
        <v/>
      </c>
      <c r="AL53" s="1275" t="str">
        <f>IF($B53=0,"",_xlfn.XLOOKUP($B53,INPUT_DATA!$BP:$BP,INPUT_DATA!CM:CM))</f>
        <v/>
      </c>
      <c r="AM53" s="139" t="str">
        <f t="shared" si="16"/>
        <v/>
      </c>
      <c r="AN53" s="1275" t="str">
        <f t="shared" si="14"/>
        <v/>
      </c>
    </row>
    <row r="54" spans="2:40">
      <c r="B54" s="137">
        <f>INPUT_DATA!BP45</f>
        <v>0</v>
      </c>
      <c r="C54" s="1291" t="str">
        <f>IF($B54=0,"",_xlfn.XLOOKUP($B54,INPUT_DATA!$BP:$BP,INPUT_DATA!BQ:BQ))</f>
        <v/>
      </c>
      <c r="D54" s="140" t="str">
        <f>IF($B54=0,"",_xlfn.XLOOKUP($B54,INPUT_DATA!$BP:$BP,INPUT_DATA!BR:BR))</f>
        <v/>
      </c>
      <c r="E54" s="140" t="str">
        <f>IF($B54=0,"",_xlfn.XLOOKUP($B54,INPUT_DATA!$BP:$BP,INPUT_DATA!BS:BS))</f>
        <v/>
      </c>
      <c r="F54" s="140" t="str">
        <f t="shared" si="1"/>
        <v/>
      </c>
      <c r="G54" s="1291" t="str">
        <f>IF($B54=0,"",_xlfn.XLOOKUP($B54,INPUT_DATA!$BP:$BP,INPUT_DATA!BT:BT))</f>
        <v/>
      </c>
      <c r="H54" s="140" t="str">
        <f>IF($B54=0,"",_xlfn.XLOOKUP($B54,INPUT_DATA!$BP:$BP,INPUT_DATA!BU:BU))</f>
        <v/>
      </c>
      <c r="I54" s="140" t="str">
        <f>IF($B54=0,"",_xlfn.XLOOKUP($B54,INPUT_DATA!$BP:$BP,INPUT_DATA!BV:BV))</f>
        <v/>
      </c>
      <c r="J54" s="140" t="str">
        <f t="shared" si="2"/>
        <v/>
      </c>
      <c r="K54" s="1291" t="str">
        <f>IF($B54=0,"",_xlfn.XLOOKUP($B54,INPUT_DATA!$BP:$BP,INPUT_DATA!BW:BW))</f>
        <v/>
      </c>
      <c r="L54" s="140" t="str">
        <f>IF($B54=0,"",_xlfn.XLOOKUP($B54,INPUT_DATA!$BP:$BP,INPUT_DATA!BX:BX))</f>
        <v/>
      </c>
      <c r="M54" s="140" t="str">
        <f>IF($B54=0,"",_xlfn.XLOOKUP($B54,INPUT_DATA!$BP:$BP,INPUT_DATA!BY:BY))</f>
        <v/>
      </c>
      <c r="N54" s="140" t="str">
        <f t="shared" si="3"/>
        <v/>
      </c>
      <c r="O54" s="1275" t="str">
        <f t="shared" si="4"/>
        <v/>
      </c>
      <c r="P54" s="139" t="str">
        <f t="shared" si="5"/>
        <v/>
      </c>
      <c r="Q54" s="139" t="str">
        <f t="shared" si="6"/>
        <v/>
      </c>
      <c r="R54" s="139" t="str">
        <f t="shared" si="7"/>
        <v/>
      </c>
      <c r="S54" s="140" t="str">
        <f>IF($B54=0,"",_xlfn.XLOOKUP($B54,INPUT_DATA!$BP:$BP,INPUT_DATA!BZ:BZ))</f>
        <v/>
      </c>
      <c r="T54" s="140" t="str">
        <f>IF($B54=0,"",_xlfn.XLOOKUP($B54,INPUT_DATA!$BP:$BP,INPUT_DATA!CA:CA))</f>
        <v/>
      </c>
      <c r="U54" s="140" t="str">
        <f>IF($B54=0,"",_xlfn.XLOOKUP($B54,INPUT_DATA!$BP:$BP,INPUT_DATA!CB:CB))</f>
        <v/>
      </c>
      <c r="V54" s="1300" t="str">
        <f t="shared" si="8"/>
        <v/>
      </c>
      <c r="W54" s="139" t="str">
        <f t="shared" si="9"/>
        <v/>
      </c>
      <c r="X54" s="139" t="str">
        <f>IF($B54=0,"",_xlfn.XLOOKUP($B54,INPUT_DATA!$BP:$BP,INPUT_DATA!CC:CC))</f>
        <v/>
      </c>
      <c r="Y54" s="140" t="str">
        <f>IF($B54=0,"",_xlfn.XLOOKUP($B54,INPUT_DATA!$BP:$BP,INPUT_DATA!CD:CD))</f>
        <v/>
      </c>
      <c r="Z54" s="140" t="str">
        <f>IF($B54=0,"",_xlfn.XLOOKUP($B54,INPUT_DATA!$BP:$BP,INPUT_DATA!CE:CE))</f>
        <v/>
      </c>
      <c r="AA54" s="140" t="str">
        <f>IF($B54=0,"",_xlfn.XLOOKUP($B54,INPUT_DATA!$BP:$BP,INPUT_DATA!CF:CF))</f>
        <v/>
      </c>
      <c r="AB54" s="1300" t="str">
        <f t="shared" si="10"/>
        <v/>
      </c>
      <c r="AC54" s="139"/>
      <c r="AD54" s="139" t="str">
        <f t="shared" si="17"/>
        <v/>
      </c>
      <c r="AE54" s="1275" t="str">
        <f>IF($B54=0,"",_xlfn.XLOOKUP($B54,INPUT_DATA!$BP:$BP,INPUT_DATA!CH:CH))</f>
        <v/>
      </c>
      <c r="AF54" s="140" t="str">
        <f>IF($B54=0,"",_xlfn.XLOOKUP($B54,INPUT_DATA!$BP:$BP,INPUT_DATA!CI:CI))</f>
        <v/>
      </c>
      <c r="AG54" s="140" t="str">
        <f>IF($B54=0,"",_xlfn.XLOOKUP($B54,INPUT_DATA!$BP:$BP,INPUT_DATA!CJ:CJ))</f>
        <v/>
      </c>
      <c r="AH54" s="140" t="str">
        <f>IF($B54=0,"",_xlfn.XLOOKUP($B54,INPUT_DATA!$BP:$BP,INPUT_DATA!CK:CK))</f>
        <v/>
      </c>
      <c r="AI54" s="1300" t="str">
        <f t="shared" si="12"/>
        <v/>
      </c>
      <c r="AJ54" s="139" t="str">
        <f>IF($B54=0,"",_xlfn.XLOOKUP($B54,INPUT_DATA!$BP:$BP,INPUT_DATA!CL:CL))</f>
        <v/>
      </c>
      <c r="AK54" s="139" t="str">
        <f t="shared" si="13"/>
        <v/>
      </c>
      <c r="AL54" s="1275" t="str">
        <f>IF($B54=0,"",_xlfn.XLOOKUP($B54,INPUT_DATA!$BP:$BP,INPUT_DATA!CM:CM))</f>
        <v/>
      </c>
      <c r="AM54" s="139" t="str">
        <f t="shared" si="16"/>
        <v/>
      </c>
      <c r="AN54" s="1275" t="str">
        <f t="shared" si="14"/>
        <v/>
      </c>
    </row>
    <row r="55" spans="2:40">
      <c r="B55" s="137">
        <f>INPUT_DATA!BP46</f>
        <v>0</v>
      </c>
      <c r="C55" s="1291" t="str">
        <f>IF($B55=0,"",_xlfn.XLOOKUP($B55,INPUT_DATA!$BP:$BP,INPUT_DATA!BQ:BQ))</f>
        <v/>
      </c>
      <c r="D55" s="140" t="str">
        <f>IF($B55=0,"",_xlfn.XLOOKUP($B55,INPUT_DATA!$BP:$BP,INPUT_DATA!BR:BR))</f>
        <v/>
      </c>
      <c r="E55" s="140" t="str">
        <f>IF($B55=0,"",_xlfn.XLOOKUP($B55,INPUT_DATA!$BP:$BP,INPUT_DATA!BS:BS))</f>
        <v/>
      </c>
      <c r="F55" s="140" t="str">
        <f t="shared" si="1"/>
        <v/>
      </c>
      <c r="G55" s="1291" t="str">
        <f>IF($B55=0,"",_xlfn.XLOOKUP($B55,INPUT_DATA!$BP:$BP,INPUT_DATA!BT:BT))</f>
        <v/>
      </c>
      <c r="H55" s="140" t="str">
        <f>IF($B55=0,"",_xlfn.XLOOKUP($B55,INPUT_DATA!$BP:$BP,INPUT_DATA!BU:BU))</f>
        <v/>
      </c>
      <c r="I55" s="140" t="str">
        <f>IF($B55=0,"",_xlfn.XLOOKUP($B55,INPUT_DATA!$BP:$BP,INPUT_DATA!BV:BV))</f>
        <v/>
      </c>
      <c r="J55" s="140" t="str">
        <f t="shared" si="2"/>
        <v/>
      </c>
      <c r="K55" s="1291" t="str">
        <f>IF($B55=0,"",_xlfn.XLOOKUP($B55,INPUT_DATA!$BP:$BP,INPUT_DATA!BW:BW))</f>
        <v/>
      </c>
      <c r="L55" s="140" t="str">
        <f>IF($B55=0,"",_xlfn.XLOOKUP($B55,INPUT_DATA!$BP:$BP,INPUT_DATA!BX:BX))</f>
        <v/>
      </c>
      <c r="M55" s="140" t="str">
        <f>IF($B55=0,"",_xlfn.XLOOKUP($B55,INPUT_DATA!$BP:$BP,INPUT_DATA!BY:BY))</f>
        <v/>
      </c>
      <c r="N55" s="140" t="str">
        <f t="shared" si="3"/>
        <v/>
      </c>
      <c r="O55" s="1275" t="str">
        <f t="shared" si="4"/>
        <v/>
      </c>
      <c r="P55" s="139" t="str">
        <f t="shared" si="5"/>
        <v/>
      </c>
      <c r="Q55" s="139" t="str">
        <f t="shared" si="6"/>
        <v/>
      </c>
      <c r="R55" s="139" t="str">
        <f t="shared" si="7"/>
        <v/>
      </c>
      <c r="S55" s="140" t="str">
        <f>IF($B55=0,"",_xlfn.XLOOKUP($B55,INPUT_DATA!$BP:$BP,INPUT_DATA!BZ:BZ))</f>
        <v/>
      </c>
      <c r="T55" s="140" t="str">
        <f>IF($B55=0,"",_xlfn.XLOOKUP($B55,INPUT_DATA!$BP:$BP,INPUT_DATA!CA:CA))</f>
        <v/>
      </c>
      <c r="U55" s="140" t="str">
        <f>IF($B55=0,"",_xlfn.XLOOKUP($B55,INPUT_DATA!$BP:$BP,INPUT_DATA!CB:CB))</f>
        <v/>
      </c>
      <c r="V55" s="1300" t="str">
        <f t="shared" si="8"/>
        <v/>
      </c>
      <c r="W55" s="139" t="str">
        <f t="shared" si="9"/>
        <v/>
      </c>
      <c r="X55" s="139" t="str">
        <f>IF($B55=0,"",_xlfn.XLOOKUP($B55,INPUT_DATA!$BP:$BP,INPUT_DATA!CC:CC))</f>
        <v/>
      </c>
      <c r="Y55" s="140" t="str">
        <f>IF($B55=0,"",_xlfn.XLOOKUP($B55,INPUT_DATA!$BP:$BP,INPUT_DATA!CD:CD))</f>
        <v/>
      </c>
      <c r="Z55" s="140" t="str">
        <f>IF($B55=0,"",_xlfn.XLOOKUP($B55,INPUT_DATA!$BP:$BP,INPUT_DATA!CE:CE))</f>
        <v/>
      </c>
      <c r="AA55" s="140" t="str">
        <f>IF($B55=0,"",_xlfn.XLOOKUP($B55,INPUT_DATA!$BP:$BP,INPUT_DATA!CF:CF))</f>
        <v/>
      </c>
      <c r="AB55" s="1300" t="str">
        <f t="shared" si="10"/>
        <v/>
      </c>
      <c r="AC55" s="139"/>
      <c r="AD55" s="139" t="str">
        <f t="shared" si="17"/>
        <v/>
      </c>
      <c r="AE55" s="1275" t="str">
        <f>IF($B55=0,"",_xlfn.XLOOKUP($B55,INPUT_DATA!$BP:$BP,INPUT_DATA!CH:CH))</f>
        <v/>
      </c>
      <c r="AF55" s="140" t="str">
        <f>IF($B55=0,"",_xlfn.XLOOKUP($B55,INPUT_DATA!$BP:$BP,INPUT_DATA!CI:CI))</f>
        <v/>
      </c>
      <c r="AG55" s="140" t="str">
        <f>IF($B55=0,"",_xlfn.XLOOKUP($B55,INPUT_DATA!$BP:$BP,INPUT_DATA!CJ:CJ))</f>
        <v/>
      </c>
      <c r="AH55" s="140" t="str">
        <f>IF($B55=0,"",_xlfn.XLOOKUP($B55,INPUT_DATA!$BP:$BP,INPUT_DATA!CK:CK))</f>
        <v/>
      </c>
      <c r="AI55" s="1300" t="str">
        <f t="shared" si="12"/>
        <v/>
      </c>
      <c r="AJ55" s="139" t="str">
        <f>IF($B55=0,"",_xlfn.XLOOKUP($B55,INPUT_DATA!$BP:$BP,INPUT_DATA!CL:CL))</f>
        <v/>
      </c>
      <c r="AK55" s="139" t="str">
        <f t="shared" si="13"/>
        <v/>
      </c>
      <c r="AL55" s="1275" t="str">
        <f>IF($B55=0,"",_xlfn.XLOOKUP($B55,INPUT_DATA!$BP:$BP,INPUT_DATA!CM:CM))</f>
        <v/>
      </c>
      <c r="AM55" s="139" t="str">
        <f t="shared" si="16"/>
        <v/>
      </c>
      <c r="AN55" s="1275" t="str">
        <f t="shared" si="14"/>
        <v/>
      </c>
    </row>
    <row r="56" spans="2:40">
      <c r="B56" s="137">
        <f>INPUT_DATA!BP47</f>
        <v>0</v>
      </c>
      <c r="C56" s="1291" t="str">
        <f>IF($B56=0,"",_xlfn.XLOOKUP($B56,INPUT_DATA!$BP:$BP,INPUT_DATA!BQ:BQ))</f>
        <v/>
      </c>
      <c r="D56" s="140" t="str">
        <f>IF($B56=0,"",_xlfn.XLOOKUP($B56,INPUT_DATA!$BP:$BP,INPUT_DATA!BR:BR))</f>
        <v/>
      </c>
      <c r="E56" s="140" t="str">
        <f>IF($B56=0,"",_xlfn.XLOOKUP($B56,INPUT_DATA!$BP:$BP,INPUT_DATA!BS:BS))</f>
        <v/>
      </c>
      <c r="F56" s="140" t="str">
        <f t="shared" si="1"/>
        <v/>
      </c>
      <c r="G56" s="1291" t="str">
        <f>IF($B56=0,"",_xlfn.XLOOKUP($B56,INPUT_DATA!$BP:$BP,INPUT_DATA!BT:BT))</f>
        <v/>
      </c>
      <c r="H56" s="140" t="str">
        <f>IF($B56=0,"",_xlfn.XLOOKUP($B56,INPUT_DATA!$BP:$BP,INPUT_DATA!BU:BU))</f>
        <v/>
      </c>
      <c r="I56" s="140" t="str">
        <f>IF($B56=0,"",_xlfn.XLOOKUP($B56,INPUT_DATA!$BP:$BP,INPUT_DATA!BV:BV))</f>
        <v/>
      </c>
      <c r="J56" s="140" t="str">
        <f t="shared" si="2"/>
        <v/>
      </c>
      <c r="K56" s="1291" t="str">
        <f>IF($B56=0,"",_xlfn.XLOOKUP($B56,INPUT_DATA!$BP:$BP,INPUT_DATA!BW:BW))</f>
        <v/>
      </c>
      <c r="L56" s="140" t="str">
        <f>IF($B56=0,"",_xlfn.XLOOKUP($B56,INPUT_DATA!$BP:$BP,INPUT_DATA!BX:BX))</f>
        <v/>
      </c>
      <c r="M56" s="140" t="str">
        <f>IF($B56=0,"",_xlfn.XLOOKUP($B56,INPUT_DATA!$BP:$BP,INPUT_DATA!BY:BY))</f>
        <v/>
      </c>
      <c r="N56" s="140" t="str">
        <f t="shared" si="3"/>
        <v/>
      </c>
      <c r="O56" s="1275" t="str">
        <f t="shared" si="4"/>
        <v/>
      </c>
      <c r="P56" s="139" t="str">
        <f t="shared" si="5"/>
        <v/>
      </c>
      <c r="Q56" s="139" t="str">
        <f t="shared" si="6"/>
        <v/>
      </c>
      <c r="R56" s="139" t="str">
        <f t="shared" si="7"/>
        <v/>
      </c>
      <c r="S56" s="140" t="str">
        <f>IF($B56=0,"",_xlfn.XLOOKUP($B56,INPUT_DATA!$BP:$BP,INPUT_DATA!BZ:BZ))</f>
        <v/>
      </c>
      <c r="T56" s="140" t="str">
        <f>IF($B56=0,"",_xlfn.XLOOKUP($B56,INPUT_DATA!$BP:$BP,INPUT_DATA!CA:CA))</f>
        <v/>
      </c>
      <c r="U56" s="140" t="str">
        <f>IF($B56=0,"",_xlfn.XLOOKUP($B56,INPUT_DATA!$BP:$BP,INPUT_DATA!CB:CB))</f>
        <v/>
      </c>
      <c r="V56" s="1300" t="str">
        <f t="shared" si="8"/>
        <v/>
      </c>
      <c r="W56" s="139" t="str">
        <f t="shared" si="9"/>
        <v/>
      </c>
      <c r="X56" s="139" t="str">
        <f>IF($B56=0,"",_xlfn.XLOOKUP($B56,INPUT_DATA!$BP:$BP,INPUT_DATA!CC:CC))</f>
        <v/>
      </c>
      <c r="Y56" s="140" t="str">
        <f>IF($B56=0,"",_xlfn.XLOOKUP($B56,INPUT_DATA!$BP:$BP,INPUT_DATA!CD:CD))</f>
        <v/>
      </c>
      <c r="Z56" s="140" t="str">
        <f>IF($B56=0,"",_xlfn.XLOOKUP($B56,INPUT_DATA!$BP:$BP,INPUT_DATA!CE:CE))</f>
        <v/>
      </c>
      <c r="AA56" s="140" t="str">
        <f>IF($B56=0,"",_xlfn.XLOOKUP($B56,INPUT_DATA!$BP:$BP,INPUT_DATA!CF:CF))</f>
        <v/>
      </c>
      <c r="AB56" s="1300" t="str">
        <f t="shared" si="10"/>
        <v/>
      </c>
      <c r="AC56" s="139"/>
      <c r="AD56" s="139" t="str">
        <f t="shared" si="17"/>
        <v/>
      </c>
      <c r="AE56" s="1275" t="str">
        <f>IF($B56=0,"",_xlfn.XLOOKUP($B56,INPUT_DATA!$BP:$BP,INPUT_DATA!CH:CH))</f>
        <v/>
      </c>
      <c r="AF56" s="140" t="str">
        <f>IF($B56=0,"",_xlfn.XLOOKUP($B56,INPUT_DATA!$BP:$BP,INPUT_DATA!CI:CI))</f>
        <v/>
      </c>
      <c r="AG56" s="140" t="str">
        <f>IF($B56=0,"",_xlfn.XLOOKUP($B56,INPUT_DATA!$BP:$BP,INPUT_DATA!CJ:CJ))</f>
        <v/>
      </c>
      <c r="AH56" s="140" t="str">
        <f>IF($B56=0,"",_xlfn.XLOOKUP($B56,INPUT_DATA!$BP:$BP,INPUT_DATA!CK:CK))</f>
        <v/>
      </c>
      <c r="AI56" s="1300" t="str">
        <f t="shared" si="12"/>
        <v/>
      </c>
      <c r="AJ56" s="139" t="str">
        <f>IF($B56=0,"",_xlfn.XLOOKUP($B56,INPUT_DATA!$BP:$BP,INPUT_DATA!CL:CL))</f>
        <v/>
      </c>
      <c r="AK56" s="139" t="str">
        <f t="shared" si="13"/>
        <v/>
      </c>
      <c r="AL56" s="1275" t="str">
        <f>IF($B56=0,"",_xlfn.XLOOKUP($B56,INPUT_DATA!$BP:$BP,INPUT_DATA!CM:CM))</f>
        <v/>
      </c>
      <c r="AM56" s="139" t="str">
        <f t="shared" si="16"/>
        <v/>
      </c>
      <c r="AN56" s="1275" t="str">
        <f t="shared" si="14"/>
        <v/>
      </c>
    </row>
    <row r="57" spans="2:40">
      <c r="B57" s="137">
        <f>INPUT_DATA!BP48</f>
        <v>0</v>
      </c>
      <c r="C57" s="1291" t="str">
        <f>IF($B57=0,"",_xlfn.XLOOKUP($B57,INPUT_DATA!$BP:$BP,INPUT_DATA!BQ:BQ))</f>
        <v/>
      </c>
      <c r="D57" s="140" t="str">
        <f>IF($B57=0,"",_xlfn.XLOOKUP($B57,INPUT_DATA!$BP:$BP,INPUT_DATA!BR:BR))</f>
        <v/>
      </c>
      <c r="E57" s="140" t="str">
        <f>IF($B57=0,"",_xlfn.XLOOKUP($B57,INPUT_DATA!$BP:$BP,INPUT_DATA!BS:BS))</f>
        <v/>
      </c>
      <c r="F57" s="140" t="str">
        <f t="shared" si="1"/>
        <v/>
      </c>
      <c r="G57" s="1291" t="str">
        <f>IF($B57=0,"",_xlfn.XLOOKUP($B57,INPUT_DATA!$BP:$BP,INPUT_DATA!BT:BT))</f>
        <v/>
      </c>
      <c r="H57" s="140" t="str">
        <f>IF($B57=0,"",_xlfn.XLOOKUP($B57,INPUT_DATA!$BP:$BP,INPUT_DATA!BU:BU))</f>
        <v/>
      </c>
      <c r="I57" s="140" t="str">
        <f>IF($B57=0,"",_xlfn.XLOOKUP($B57,INPUT_DATA!$BP:$BP,INPUT_DATA!BV:BV))</f>
        <v/>
      </c>
      <c r="J57" s="140" t="str">
        <f t="shared" si="2"/>
        <v/>
      </c>
      <c r="K57" s="1291" t="str">
        <f>IF($B57=0,"",_xlfn.XLOOKUP($B57,INPUT_DATA!$BP:$BP,INPUT_DATA!BW:BW))</f>
        <v/>
      </c>
      <c r="L57" s="140" t="str">
        <f>IF($B57=0,"",_xlfn.XLOOKUP($B57,INPUT_DATA!$BP:$BP,INPUT_DATA!BX:BX))</f>
        <v/>
      </c>
      <c r="M57" s="140" t="str">
        <f>IF($B57=0,"",_xlfn.XLOOKUP($B57,INPUT_DATA!$BP:$BP,INPUT_DATA!BY:BY))</f>
        <v/>
      </c>
      <c r="N57" s="140" t="str">
        <f t="shared" si="3"/>
        <v/>
      </c>
      <c r="O57" s="1275" t="str">
        <f t="shared" si="4"/>
        <v/>
      </c>
      <c r="P57" s="139" t="str">
        <f t="shared" si="5"/>
        <v/>
      </c>
      <c r="Q57" s="139" t="str">
        <f t="shared" si="6"/>
        <v/>
      </c>
      <c r="R57" s="139" t="str">
        <f t="shared" si="7"/>
        <v/>
      </c>
      <c r="S57" s="140" t="str">
        <f>IF($B57=0,"",_xlfn.XLOOKUP($B57,INPUT_DATA!$BP:$BP,INPUT_DATA!BZ:BZ))</f>
        <v/>
      </c>
      <c r="T57" s="140" t="str">
        <f>IF($B57=0,"",_xlfn.XLOOKUP($B57,INPUT_DATA!$BP:$BP,INPUT_DATA!CA:CA))</f>
        <v/>
      </c>
      <c r="U57" s="140" t="str">
        <f>IF($B57=0,"",_xlfn.XLOOKUP($B57,INPUT_DATA!$BP:$BP,INPUT_DATA!CB:CB))</f>
        <v/>
      </c>
      <c r="V57" s="1300" t="str">
        <f t="shared" si="8"/>
        <v/>
      </c>
      <c r="W57" s="139" t="str">
        <f t="shared" si="9"/>
        <v/>
      </c>
      <c r="X57" s="139" t="str">
        <f>IF($B57=0,"",_xlfn.XLOOKUP($B57,INPUT_DATA!$BP:$BP,INPUT_DATA!CC:CC))</f>
        <v/>
      </c>
      <c r="Y57" s="140" t="str">
        <f>IF($B57=0,"",_xlfn.XLOOKUP($B57,INPUT_DATA!$BP:$BP,INPUT_DATA!CD:CD))</f>
        <v/>
      </c>
      <c r="Z57" s="140" t="str">
        <f>IF($B57=0,"",_xlfn.XLOOKUP($B57,INPUT_DATA!$BP:$BP,INPUT_DATA!CE:CE))</f>
        <v/>
      </c>
      <c r="AA57" s="140" t="str">
        <f>IF($B57=0,"",_xlfn.XLOOKUP($B57,INPUT_DATA!$BP:$BP,INPUT_DATA!CF:CF))</f>
        <v/>
      </c>
      <c r="AB57" s="1300" t="str">
        <f t="shared" si="10"/>
        <v/>
      </c>
      <c r="AC57" s="139"/>
      <c r="AD57" s="139" t="str">
        <f t="shared" si="17"/>
        <v/>
      </c>
      <c r="AE57" s="1275" t="str">
        <f>IF($B57=0,"",_xlfn.XLOOKUP($B57,INPUT_DATA!$BP:$BP,INPUT_DATA!CH:CH))</f>
        <v/>
      </c>
      <c r="AF57" s="140" t="str">
        <f>IF($B57=0,"",_xlfn.XLOOKUP($B57,INPUT_DATA!$BP:$BP,INPUT_DATA!CI:CI))</f>
        <v/>
      </c>
      <c r="AG57" s="140" t="str">
        <f>IF($B57=0,"",_xlfn.XLOOKUP($B57,INPUT_DATA!$BP:$BP,INPUT_DATA!CJ:CJ))</f>
        <v/>
      </c>
      <c r="AH57" s="140" t="str">
        <f>IF($B57=0,"",_xlfn.XLOOKUP($B57,INPUT_DATA!$BP:$BP,INPUT_DATA!CK:CK))</f>
        <v/>
      </c>
      <c r="AI57" s="1300" t="str">
        <f t="shared" si="12"/>
        <v/>
      </c>
      <c r="AJ57" s="139" t="str">
        <f>IF($B57=0,"",_xlfn.XLOOKUP($B57,INPUT_DATA!$BP:$BP,INPUT_DATA!CL:CL))</f>
        <v/>
      </c>
      <c r="AK57" s="139" t="str">
        <f t="shared" si="13"/>
        <v/>
      </c>
      <c r="AL57" s="1275" t="str">
        <f>IF($B57=0,"",_xlfn.XLOOKUP($B57,INPUT_DATA!$BP:$BP,INPUT_DATA!CM:CM))</f>
        <v/>
      </c>
      <c r="AM57" s="139" t="str">
        <f t="shared" si="16"/>
        <v/>
      </c>
      <c r="AN57" s="1275" t="str">
        <f t="shared" si="14"/>
        <v/>
      </c>
    </row>
    <row r="58" spans="2:40">
      <c r="B58" s="137">
        <f>INPUT_DATA!BP49</f>
        <v>0</v>
      </c>
      <c r="C58" s="1291" t="str">
        <f>IF($B58=0,"",_xlfn.XLOOKUP($B58,INPUT_DATA!$BP:$BP,INPUT_DATA!BQ:BQ))</f>
        <v/>
      </c>
      <c r="D58" s="140" t="str">
        <f>IF($B58=0,"",_xlfn.XLOOKUP($B58,INPUT_DATA!$BP:$BP,INPUT_DATA!BR:BR))</f>
        <v/>
      </c>
      <c r="E58" s="140" t="str">
        <f>IF($B58=0,"",_xlfn.XLOOKUP($B58,INPUT_DATA!$BP:$BP,INPUT_DATA!BS:BS))</f>
        <v/>
      </c>
      <c r="F58" s="140" t="str">
        <f t="shared" si="1"/>
        <v/>
      </c>
      <c r="G58" s="1291" t="str">
        <f>IF($B58=0,"",_xlfn.XLOOKUP($B58,INPUT_DATA!$BP:$BP,INPUT_DATA!BT:BT))</f>
        <v/>
      </c>
      <c r="H58" s="140" t="str">
        <f>IF($B58=0,"",_xlfn.XLOOKUP($B58,INPUT_DATA!$BP:$BP,INPUT_DATA!BU:BU))</f>
        <v/>
      </c>
      <c r="I58" s="140" t="str">
        <f>IF($B58=0,"",_xlfn.XLOOKUP($B58,INPUT_DATA!$BP:$BP,INPUT_DATA!BV:BV))</f>
        <v/>
      </c>
      <c r="J58" s="140" t="str">
        <f t="shared" si="2"/>
        <v/>
      </c>
      <c r="K58" s="1291" t="str">
        <f>IF($B58=0,"",_xlfn.XLOOKUP($B58,INPUT_DATA!$BP:$BP,INPUT_DATA!BW:BW))</f>
        <v/>
      </c>
      <c r="L58" s="140" t="str">
        <f>IF($B58=0,"",_xlfn.XLOOKUP($B58,INPUT_DATA!$BP:$BP,INPUT_DATA!BX:BX))</f>
        <v/>
      </c>
      <c r="M58" s="140" t="str">
        <f>IF($B58=0,"",_xlfn.XLOOKUP($B58,INPUT_DATA!$BP:$BP,INPUT_DATA!BY:BY))</f>
        <v/>
      </c>
      <c r="N58" s="140" t="str">
        <f t="shared" si="3"/>
        <v/>
      </c>
      <c r="O58" s="1275" t="str">
        <f t="shared" si="4"/>
        <v/>
      </c>
      <c r="P58" s="139" t="str">
        <f t="shared" si="5"/>
        <v/>
      </c>
      <c r="Q58" s="139" t="str">
        <f t="shared" si="6"/>
        <v/>
      </c>
      <c r="R58" s="139" t="str">
        <f t="shared" si="7"/>
        <v/>
      </c>
      <c r="S58" s="140" t="str">
        <f>IF($B58=0,"",_xlfn.XLOOKUP($B58,INPUT_DATA!$BP:$BP,INPUT_DATA!BZ:BZ))</f>
        <v/>
      </c>
      <c r="T58" s="140" t="str">
        <f>IF($B58=0,"",_xlfn.XLOOKUP($B58,INPUT_DATA!$BP:$BP,INPUT_DATA!CA:CA))</f>
        <v/>
      </c>
      <c r="U58" s="140" t="str">
        <f>IF($B58=0,"",_xlfn.XLOOKUP($B58,INPUT_DATA!$BP:$BP,INPUT_DATA!CB:CB))</f>
        <v/>
      </c>
      <c r="V58" s="1300" t="str">
        <f t="shared" si="8"/>
        <v/>
      </c>
      <c r="W58" s="139" t="str">
        <f t="shared" si="9"/>
        <v/>
      </c>
      <c r="X58" s="139" t="str">
        <f>IF($B58=0,"",_xlfn.XLOOKUP($B58,INPUT_DATA!$BP:$BP,INPUT_DATA!CC:CC))</f>
        <v/>
      </c>
      <c r="Y58" s="140" t="str">
        <f>IF($B58=0,"",_xlfn.XLOOKUP($B58,INPUT_DATA!$BP:$BP,INPUT_DATA!CD:CD))</f>
        <v/>
      </c>
      <c r="Z58" s="140" t="str">
        <f>IF($B58=0,"",_xlfn.XLOOKUP($B58,INPUT_DATA!$BP:$BP,INPUT_DATA!CE:CE))</f>
        <v/>
      </c>
      <c r="AA58" s="140" t="str">
        <f>IF($B58=0,"",_xlfn.XLOOKUP($B58,INPUT_DATA!$BP:$BP,INPUT_DATA!CF:CF))</f>
        <v/>
      </c>
      <c r="AB58" s="1300" t="str">
        <f t="shared" si="10"/>
        <v/>
      </c>
      <c r="AC58" s="139"/>
      <c r="AD58" s="139" t="str">
        <f t="shared" si="17"/>
        <v/>
      </c>
      <c r="AE58" s="1275" t="str">
        <f>IF($B58=0,"",_xlfn.XLOOKUP($B58,INPUT_DATA!$BP:$BP,INPUT_DATA!CH:CH))</f>
        <v/>
      </c>
      <c r="AF58" s="140" t="str">
        <f>IF($B58=0,"",_xlfn.XLOOKUP($B58,INPUT_DATA!$BP:$BP,INPUT_DATA!CI:CI))</f>
        <v/>
      </c>
      <c r="AG58" s="140" t="str">
        <f>IF($B58=0,"",_xlfn.XLOOKUP($B58,INPUT_DATA!$BP:$BP,INPUT_DATA!CJ:CJ))</f>
        <v/>
      </c>
      <c r="AH58" s="140" t="str">
        <f>IF($B58=0,"",_xlfn.XLOOKUP($B58,INPUT_DATA!$BP:$BP,INPUT_DATA!CK:CK))</f>
        <v/>
      </c>
      <c r="AI58" s="1300" t="str">
        <f t="shared" si="12"/>
        <v/>
      </c>
      <c r="AJ58" s="139" t="str">
        <f>IF($B58=0,"",_xlfn.XLOOKUP($B58,INPUT_DATA!$BP:$BP,INPUT_DATA!CL:CL))</f>
        <v/>
      </c>
      <c r="AK58" s="139" t="str">
        <f t="shared" si="13"/>
        <v/>
      </c>
      <c r="AL58" s="1275" t="str">
        <f>IF($B58=0,"",_xlfn.XLOOKUP($B58,INPUT_DATA!$BP:$BP,INPUT_DATA!CM:CM))</f>
        <v/>
      </c>
      <c r="AM58" s="139" t="str">
        <f t="shared" si="16"/>
        <v/>
      </c>
      <c r="AN58" s="1275" t="str">
        <f t="shared" si="14"/>
        <v/>
      </c>
    </row>
    <row r="59" spans="2:40">
      <c r="B59" s="137">
        <f>INPUT_DATA!BP50</f>
        <v>0</v>
      </c>
      <c r="C59" s="1291" t="str">
        <f>IF($B59=0,"",_xlfn.XLOOKUP($B59,INPUT_DATA!$BP:$BP,INPUT_DATA!BQ:BQ))</f>
        <v/>
      </c>
      <c r="D59" s="140" t="str">
        <f>IF($B59=0,"",_xlfn.XLOOKUP($B59,INPUT_DATA!$BP:$BP,INPUT_DATA!BR:BR))</f>
        <v/>
      </c>
      <c r="E59" s="140" t="str">
        <f>IF($B59=0,"",_xlfn.XLOOKUP($B59,INPUT_DATA!$BP:$BP,INPUT_DATA!BS:BS))</f>
        <v/>
      </c>
      <c r="F59" s="140" t="str">
        <f t="shared" si="1"/>
        <v/>
      </c>
      <c r="G59" s="1291" t="str">
        <f>IF($B59=0,"",_xlfn.XLOOKUP($B59,INPUT_DATA!$BP:$BP,INPUT_DATA!BT:BT))</f>
        <v/>
      </c>
      <c r="H59" s="140" t="str">
        <f>IF($B59=0,"",_xlfn.XLOOKUP($B59,INPUT_DATA!$BP:$BP,INPUT_DATA!BU:BU))</f>
        <v/>
      </c>
      <c r="I59" s="140" t="str">
        <f>IF($B59=0,"",_xlfn.XLOOKUP($B59,INPUT_DATA!$BP:$BP,INPUT_DATA!BV:BV))</f>
        <v/>
      </c>
      <c r="J59" s="140" t="str">
        <f t="shared" si="2"/>
        <v/>
      </c>
      <c r="K59" s="1291" t="str">
        <f>IF($B59=0,"",_xlfn.XLOOKUP($B59,INPUT_DATA!$BP:$BP,INPUT_DATA!BW:BW))</f>
        <v/>
      </c>
      <c r="L59" s="140" t="str">
        <f>IF($B59=0,"",_xlfn.XLOOKUP($B59,INPUT_DATA!$BP:$BP,INPUT_DATA!BX:BX))</f>
        <v/>
      </c>
      <c r="M59" s="140" t="str">
        <f>IF($B59=0,"",_xlfn.XLOOKUP($B59,INPUT_DATA!$BP:$BP,INPUT_DATA!BY:BY))</f>
        <v/>
      </c>
      <c r="N59" s="140" t="str">
        <f t="shared" si="3"/>
        <v/>
      </c>
      <c r="O59" s="1275" t="str">
        <f t="shared" si="4"/>
        <v/>
      </c>
      <c r="P59" s="139" t="str">
        <f t="shared" si="5"/>
        <v/>
      </c>
      <c r="Q59" s="139" t="str">
        <f t="shared" si="6"/>
        <v/>
      </c>
      <c r="R59" s="139" t="str">
        <f t="shared" si="7"/>
        <v/>
      </c>
      <c r="S59" s="140" t="str">
        <f>IF($B59=0,"",_xlfn.XLOOKUP($B59,INPUT_DATA!$BP:$BP,INPUT_DATA!BZ:BZ))</f>
        <v/>
      </c>
      <c r="T59" s="140" t="str">
        <f>IF($B59=0,"",_xlfn.XLOOKUP($B59,INPUT_DATA!$BP:$BP,INPUT_DATA!CA:CA))</f>
        <v/>
      </c>
      <c r="U59" s="140" t="str">
        <f>IF($B59=0,"",_xlfn.XLOOKUP($B59,INPUT_DATA!$BP:$BP,INPUT_DATA!CB:CB))</f>
        <v/>
      </c>
      <c r="V59" s="1300" t="str">
        <f t="shared" si="8"/>
        <v/>
      </c>
      <c r="W59" s="139" t="str">
        <f t="shared" si="9"/>
        <v/>
      </c>
      <c r="X59" s="139" t="str">
        <f>IF($B59=0,"",_xlfn.XLOOKUP($B59,INPUT_DATA!$BP:$BP,INPUT_DATA!CC:CC))</f>
        <v/>
      </c>
      <c r="Y59" s="140" t="str">
        <f>IF($B59=0,"",_xlfn.XLOOKUP($B59,INPUT_DATA!$BP:$BP,INPUT_DATA!CD:CD))</f>
        <v/>
      </c>
      <c r="Z59" s="140" t="str">
        <f>IF($B59=0,"",_xlfn.XLOOKUP($B59,INPUT_DATA!$BP:$BP,INPUT_DATA!CE:CE))</f>
        <v/>
      </c>
      <c r="AA59" s="140" t="str">
        <f>IF($B59=0,"",_xlfn.XLOOKUP($B59,INPUT_DATA!$BP:$BP,INPUT_DATA!CF:CF))</f>
        <v/>
      </c>
      <c r="AB59" s="1300" t="str">
        <f t="shared" si="10"/>
        <v/>
      </c>
      <c r="AC59" s="139"/>
      <c r="AD59" s="139" t="str">
        <f t="shared" si="17"/>
        <v/>
      </c>
      <c r="AE59" s="1275" t="str">
        <f>IF($B59=0,"",_xlfn.XLOOKUP($B59,INPUT_DATA!$BP:$BP,INPUT_DATA!CH:CH))</f>
        <v/>
      </c>
      <c r="AF59" s="140" t="str">
        <f>IF($B59=0,"",_xlfn.XLOOKUP($B59,INPUT_DATA!$BP:$BP,INPUT_DATA!CI:CI))</f>
        <v/>
      </c>
      <c r="AG59" s="140" t="str">
        <f>IF($B59=0,"",_xlfn.XLOOKUP($B59,INPUT_DATA!$BP:$BP,INPUT_DATA!CJ:CJ))</f>
        <v/>
      </c>
      <c r="AH59" s="140" t="str">
        <f>IF($B59=0,"",_xlfn.XLOOKUP($B59,INPUT_DATA!$BP:$BP,INPUT_DATA!CK:CK))</f>
        <v/>
      </c>
      <c r="AI59" s="1300" t="str">
        <f t="shared" si="12"/>
        <v/>
      </c>
      <c r="AJ59" s="139" t="str">
        <f>IF($B59=0,"",_xlfn.XLOOKUP($B59,INPUT_DATA!$BP:$BP,INPUT_DATA!CL:CL))</f>
        <v/>
      </c>
      <c r="AK59" s="139" t="str">
        <f t="shared" si="13"/>
        <v/>
      </c>
      <c r="AL59" s="1275" t="str">
        <f>IF($B59=0,"",_xlfn.XLOOKUP($B59,INPUT_DATA!$BP:$BP,INPUT_DATA!CM:CM))</f>
        <v/>
      </c>
      <c r="AM59" s="139" t="str">
        <f t="shared" si="16"/>
        <v/>
      </c>
      <c r="AN59" s="1275" t="str">
        <f t="shared" si="14"/>
        <v/>
      </c>
    </row>
    <row r="60" spans="2:40">
      <c r="B60" s="137">
        <f>INPUT_DATA!BP51</f>
        <v>0</v>
      </c>
      <c r="C60" s="1291" t="str">
        <f>IF($B60=0,"",_xlfn.XLOOKUP($B60,INPUT_DATA!$BP:$BP,INPUT_DATA!BQ:BQ))</f>
        <v/>
      </c>
      <c r="D60" s="140" t="str">
        <f>IF($B60=0,"",_xlfn.XLOOKUP($B60,INPUT_DATA!$BP:$BP,INPUT_DATA!BR:BR))</f>
        <v/>
      </c>
      <c r="E60" s="140" t="str">
        <f>IF($B60=0,"",_xlfn.XLOOKUP($B60,INPUT_DATA!$BP:$BP,INPUT_DATA!BS:BS))</f>
        <v/>
      </c>
      <c r="F60" s="140" t="str">
        <f t="shared" si="1"/>
        <v/>
      </c>
      <c r="G60" s="1291" t="str">
        <f>IF($B60=0,"",_xlfn.XLOOKUP($B60,INPUT_DATA!$BP:$BP,INPUT_DATA!BT:BT))</f>
        <v/>
      </c>
      <c r="H60" s="140" t="str">
        <f>IF($B60=0,"",_xlfn.XLOOKUP($B60,INPUT_DATA!$BP:$BP,INPUT_DATA!BU:BU))</f>
        <v/>
      </c>
      <c r="I60" s="140" t="str">
        <f>IF($B60=0,"",_xlfn.XLOOKUP($B60,INPUT_DATA!$BP:$BP,INPUT_DATA!BV:BV))</f>
        <v/>
      </c>
      <c r="J60" s="140" t="str">
        <f t="shared" si="2"/>
        <v/>
      </c>
      <c r="K60" s="1291" t="str">
        <f>IF($B60=0,"",_xlfn.XLOOKUP($B60,INPUT_DATA!$BP:$BP,INPUT_DATA!BW:BW))</f>
        <v/>
      </c>
      <c r="L60" s="140" t="str">
        <f>IF($B60=0,"",_xlfn.XLOOKUP($B60,INPUT_DATA!$BP:$BP,INPUT_DATA!BX:BX))</f>
        <v/>
      </c>
      <c r="M60" s="140" t="str">
        <f>IF($B60=0,"",_xlfn.XLOOKUP($B60,INPUT_DATA!$BP:$BP,INPUT_DATA!BY:BY))</f>
        <v/>
      </c>
      <c r="N60" s="140" t="str">
        <f t="shared" si="3"/>
        <v/>
      </c>
      <c r="O60" s="1275" t="str">
        <f t="shared" si="4"/>
        <v/>
      </c>
      <c r="P60" s="139" t="str">
        <f t="shared" si="5"/>
        <v/>
      </c>
      <c r="Q60" s="139" t="str">
        <f t="shared" si="6"/>
        <v/>
      </c>
      <c r="R60" s="139" t="str">
        <f t="shared" si="7"/>
        <v/>
      </c>
      <c r="S60" s="140" t="str">
        <f>IF($B60=0,"",_xlfn.XLOOKUP($B60,INPUT_DATA!$BP:$BP,INPUT_DATA!BZ:BZ))</f>
        <v/>
      </c>
      <c r="T60" s="140" t="str">
        <f>IF($B60=0,"",_xlfn.XLOOKUP($B60,INPUT_DATA!$BP:$BP,INPUT_DATA!CA:CA))</f>
        <v/>
      </c>
      <c r="U60" s="140" t="str">
        <f>IF($B60=0,"",_xlfn.XLOOKUP($B60,INPUT_DATA!$BP:$BP,INPUT_DATA!CB:CB))</f>
        <v/>
      </c>
      <c r="V60" s="1300" t="str">
        <f t="shared" si="8"/>
        <v/>
      </c>
      <c r="W60" s="139" t="str">
        <f t="shared" si="9"/>
        <v/>
      </c>
      <c r="X60" s="139" t="str">
        <f>IF($B60=0,"",_xlfn.XLOOKUP($B60,INPUT_DATA!$BP:$BP,INPUT_DATA!CC:CC))</f>
        <v/>
      </c>
      <c r="Y60" s="140" t="str">
        <f>IF($B60=0,"",_xlfn.XLOOKUP($B60,INPUT_DATA!$BP:$BP,INPUT_DATA!CD:CD))</f>
        <v/>
      </c>
      <c r="Z60" s="140" t="str">
        <f>IF($B60=0,"",_xlfn.XLOOKUP($B60,INPUT_DATA!$BP:$BP,INPUT_DATA!CE:CE))</f>
        <v/>
      </c>
      <c r="AA60" s="140" t="str">
        <f>IF($B60=0,"",_xlfn.XLOOKUP($B60,INPUT_DATA!$BP:$BP,INPUT_DATA!CF:CF))</f>
        <v/>
      </c>
      <c r="AB60" s="1300" t="str">
        <f t="shared" si="10"/>
        <v/>
      </c>
      <c r="AC60" s="139"/>
      <c r="AD60" s="139" t="str">
        <f t="shared" si="17"/>
        <v/>
      </c>
      <c r="AE60" s="1275" t="str">
        <f>IF($B60=0,"",_xlfn.XLOOKUP($B60,INPUT_DATA!$BP:$BP,INPUT_DATA!CH:CH))</f>
        <v/>
      </c>
      <c r="AF60" s="140" t="str">
        <f>IF($B60=0,"",_xlfn.XLOOKUP($B60,INPUT_DATA!$BP:$BP,INPUT_DATA!CI:CI))</f>
        <v/>
      </c>
      <c r="AG60" s="140" t="str">
        <f>IF($B60=0,"",_xlfn.XLOOKUP($B60,INPUT_DATA!$BP:$BP,INPUT_DATA!CJ:CJ))</f>
        <v/>
      </c>
      <c r="AH60" s="140" t="str">
        <f>IF($B60=0,"",_xlfn.XLOOKUP($B60,INPUT_DATA!$BP:$BP,INPUT_DATA!CK:CK))</f>
        <v/>
      </c>
      <c r="AI60" s="1300" t="str">
        <f t="shared" si="12"/>
        <v/>
      </c>
      <c r="AJ60" s="139" t="str">
        <f>IF($B60=0,"",_xlfn.XLOOKUP($B60,INPUT_DATA!$BP:$BP,INPUT_DATA!CL:CL))</f>
        <v/>
      </c>
      <c r="AK60" s="139" t="str">
        <f t="shared" si="13"/>
        <v/>
      </c>
      <c r="AL60" s="1275" t="str">
        <f>IF($B60=0,"",_xlfn.XLOOKUP($B60,INPUT_DATA!$BP:$BP,INPUT_DATA!CM:CM))</f>
        <v/>
      </c>
      <c r="AM60" s="139" t="str">
        <f t="shared" si="16"/>
        <v/>
      </c>
      <c r="AN60" s="1275" t="str">
        <f t="shared" si="14"/>
        <v/>
      </c>
    </row>
    <row r="61" spans="2:40">
      <c r="B61" s="137">
        <f>INPUT_DATA!BP52</f>
        <v>0</v>
      </c>
      <c r="C61" s="1291" t="str">
        <f>IF($B61=0,"",_xlfn.XLOOKUP($B61,INPUT_DATA!$BP:$BP,INPUT_DATA!BQ:BQ))</f>
        <v/>
      </c>
      <c r="D61" s="140" t="str">
        <f>IF($B61=0,"",_xlfn.XLOOKUP($B61,INPUT_DATA!$BP:$BP,INPUT_DATA!BR:BR))</f>
        <v/>
      </c>
      <c r="E61" s="140" t="str">
        <f>IF($B61=0,"",_xlfn.XLOOKUP($B61,INPUT_DATA!$BP:$BP,INPUT_DATA!BS:BS))</f>
        <v/>
      </c>
      <c r="F61" s="140" t="str">
        <f t="shared" si="1"/>
        <v/>
      </c>
      <c r="G61" s="1291" t="str">
        <f>IF($B61=0,"",_xlfn.XLOOKUP($B61,INPUT_DATA!$BP:$BP,INPUT_DATA!BT:BT))</f>
        <v/>
      </c>
      <c r="H61" s="140" t="str">
        <f>IF($B61=0,"",_xlfn.XLOOKUP($B61,INPUT_DATA!$BP:$BP,INPUT_DATA!BU:BU))</f>
        <v/>
      </c>
      <c r="I61" s="140" t="str">
        <f>IF($B61=0,"",_xlfn.XLOOKUP($B61,INPUT_DATA!$BP:$BP,INPUT_DATA!BV:BV))</f>
        <v/>
      </c>
      <c r="J61" s="140" t="str">
        <f t="shared" si="2"/>
        <v/>
      </c>
      <c r="K61" s="1291" t="str">
        <f>IF($B61=0,"",_xlfn.XLOOKUP($B61,INPUT_DATA!$BP:$BP,INPUT_DATA!BW:BW))</f>
        <v/>
      </c>
      <c r="L61" s="140" t="str">
        <f>IF($B61=0,"",_xlfn.XLOOKUP($B61,INPUT_DATA!$BP:$BP,INPUT_DATA!BX:BX))</f>
        <v/>
      </c>
      <c r="M61" s="140" t="str">
        <f>IF($B61=0,"",_xlfn.XLOOKUP($B61,INPUT_DATA!$BP:$BP,INPUT_DATA!BY:BY))</f>
        <v/>
      </c>
      <c r="N61" s="140" t="str">
        <f t="shared" si="3"/>
        <v/>
      </c>
      <c r="O61" s="1275" t="str">
        <f t="shared" si="4"/>
        <v/>
      </c>
      <c r="P61" s="139" t="str">
        <f t="shared" si="5"/>
        <v/>
      </c>
      <c r="Q61" s="139" t="str">
        <f t="shared" si="6"/>
        <v/>
      </c>
      <c r="R61" s="139" t="str">
        <f t="shared" si="7"/>
        <v/>
      </c>
      <c r="S61" s="140" t="str">
        <f>IF($B61=0,"",_xlfn.XLOOKUP($B61,INPUT_DATA!$BP:$BP,INPUT_DATA!BZ:BZ))</f>
        <v/>
      </c>
      <c r="T61" s="140" t="str">
        <f>IF($B61=0,"",_xlfn.XLOOKUP($B61,INPUT_DATA!$BP:$BP,INPUT_DATA!CA:CA))</f>
        <v/>
      </c>
      <c r="U61" s="140" t="str">
        <f>IF($B61=0,"",_xlfn.XLOOKUP($B61,INPUT_DATA!$BP:$BP,INPUT_DATA!CB:CB))</f>
        <v/>
      </c>
      <c r="V61" s="1300" t="str">
        <f t="shared" si="8"/>
        <v/>
      </c>
      <c r="W61" s="139" t="str">
        <f t="shared" si="9"/>
        <v/>
      </c>
      <c r="X61" s="139" t="str">
        <f>IF($B61=0,"",_xlfn.XLOOKUP($B61,INPUT_DATA!$BP:$BP,INPUT_DATA!CC:CC))</f>
        <v/>
      </c>
      <c r="Y61" s="140" t="str">
        <f>IF($B61=0,"",_xlfn.XLOOKUP($B61,INPUT_DATA!$BP:$BP,INPUT_DATA!CD:CD))</f>
        <v/>
      </c>
      <c r="Z61" s="140" t="str">
        <f>IF($B61=0,"",_xlfn.XLOOKUP($B61,INPUT_DATA!$BP:$BP,INPUT_DATA!CE:CE))</f>
        <v/>
      </c>
      <c r="AA61" s="140" t="str">
        <f>IF($B61=0,"",_xlfn.XLOOKUP($B61,INPUT_DATA!$BP:$BP,INPUT_DATA!CF:CF))</f>
        <v/>
      </c>
      <c r="AB61" s="1300" t="str">
        <f t="shared" si="10"/>
        <v/>
      </c>
      <c r="AC61" s="139"/>
      <c r="AD61" s="139" t="str">
        <f t="shared" si="17"/>
        <v/>
      </c>
      <c r="AE61" s="1275" t="str">
        <f>IF($B61=0,"",_xlfn.XLOOKUP($B61,INPUT_DATA!$BP:$BP,INPUT_DATA!CH:CH))</f>
        <v/>
      </c>
      <c r="AF61" s="140" t="str">
        <f>IF($B61=0,"",_xlfn.XLOOKUP($B61,INPUT_DATA!$BP:$BP,INPUT_DATA!CI:CI))</f>
        <v/>
      </c>
      <c r="AG61" s="140" t="str">
        <f>IF($B61=0,"",_xlfn.XLOOKUP($B61,INPUT_DATA!$BP:$BP,INPUT_DATA!CJ:CJ))</f>
        <v/>
      </c>
      <c r="AH61" s="140" t="str">
        <f>IF($B61=0,"",_xlfn.XLOOKUP($B61,INPUT_DATA!$BP:$BP,INPUT_DATA!CK:CK))</f>
        <v/>
      </c>
      <c r="AI61" s="1300" t="str">
        <f t="shared" si="12"/>
        <v/>
      </c>
      <c r="AJ61" s="139" t="str">
        <f>IF($B61=0,"",_xlfn.XLOOKUP($B61,INPUT_DATA!$BP:$BP,INPUT_DATA!CL:CL))</f>
        <v/>
      </c>
      <c r="AK61" s="139" t="str">
        <f t="shared" si="13"/>
        <v/>
      </c>
      <c r="AL61" s="1275" t="str">
        <f>IF($B61=0,"",_xlfn.XLOOKUP($B61,INPUT_DATA!$BP:$BP,INPUT_DATA!CM:CM))</f>
        <v/>
      </c>
      <c r="AM61" s="139" t="str">
        <f t="shared" si="16"/>
        <v/>
      </c>
      <c r="AN61" s="1275" t="str">
        <f t="shared" si="14"/>
        <v/>
      </c>
    </row>
    <row r="62" spans="2:40">
      <c r="B62" s="137">
        <f>INPUT_DATA!BP53</f>
        <v>0</v>
      </c>
      <c r="C62" s="1291" t="str">
        <f>IF($B62=0,"",_xlfn.XLOOKUP($B62,INPUT_DATA!$BP:$BP,INPUT_DATA!BQ:BQ))</f>
        <v/>
      </c>
      <c r="D62" s="140" t="str">
        <f>IF($B62=0,"",_xlfn.XLOOKUP($B62,INPUT_DATA!$BP:$BP,INPUT_DATA!BR:BR))</f>
        <v/>
      </c>
      <c r="E62" s="140" t="str">
        <f>IF($B62=0,"",_xlfn.XLOOKUP($B62,INPUT_DATA!$BP:$BP,INPUT_DATA!BS:BS))</f>
        <v/>
      </c>
      <c r="F62" s="140" t="str">
        <f t="shared" si="1"/>
        <v/>
      </c>
      <c r="G62" s="1291" t="str">
        <f>IF($B62=0,"",_xlfn.XLOOKUP($B62,INPUT_DATA!$BP:$BP,INPUT_DATA!BT:BT))</f>
        <v/>
      </c>
      <c r="H62" s="140" t="str">
        <f>IF($B62=0,"",_xlfn.XLOOKUP($B62,INPUT_DATA!$BP:$BP,INPUT_DATA!BU:BU))</f>
        <v/>
      </c>
      <c r="I62" s="140" t="str">
        <f>IF($B62=0,"",_xlfn.XLOOKUP($B62,INPUT_DATA!$BP:$BP,INPUT_DATA!BV:BV))</f>
        <v/>
      </c>
      <c r="J62" s="140" t="str">
        <f t="shared" si="2"/>
        <v/>
      </c>
      <c r="K62" s="1291" t="str">
        <f>IF($B62=0,"",_xlfn.XLOOKUP($B62,INPUT_DATA!$BP:$BP,INPUT_DATA!BW:BW))</f>
        <v/>
      </c>
      <c r="L62" s="140" t="str">
        <f>IF($B62=0,"",_xlfn.XLOOKUP($B62,INPUT_DATA!$BP:$BP,INPUT_DATA!BX:BX))</f>
        <v/>
      </c>
      <c r="M62" s="140" t="str">
        <f>IF($B62=0,"",_xlfn.XLOOKUP($B62,INPUT_DATA!$BP:$BP,INPUT_DATA!BY:BY))</f>
        <v/>
      </c>
      <c r="N62" s="140" t="str">
        <f t="shared" si="3"/>
        <v/>
      </c>
      <c r="O62" s="1275" t="str">
        <f t="shared" si="4"/>
        <v/>
      </c>
      <c r="P62" s="139" t="str">
        <f t="shared" si="5"/>
        <v/>
      </c>
      <c r="Q62" s="139" t="str">
        <f t="shared" si="6"/>
        <v/>
      </c>
      <c r="R62" s="139" t="str">
        <f t="shared" si="7"/>
        <v/>
      </c>
      <c r="S62" s="140" t="str">
        <f>IF($B62=0,"",_xlfn.XLOOKUP($B62,INPUT_DATA!$BP:$BP,INPUT_DATA!BZ:BZ))</f>
        <v/>
      </c>
      <c r="T62" s="140" t="str">
        <f>IF($B62=0,"",_xlfn.XLOOKUP($B62,INPUT_DATA!$BP:$BP,INPUT_DATA!CA:CA))</f>
        <v/>
      </c>
      <c r="U62" s="140" t="str">
        <f>IF($B62=0,"",_xlfn.XLOOKUP($B62,INPUT_DATA!$BP:$BP,INPUT_DATA!CB:CB))</f>
        <v/>
      </c>
      <c r="V62" s="1300" t="str">
        <f t="shared" si="8"/>
        <v/>
      </c>
      <c r="W62" s="139" t="str">
        <f t="shared" si="9"/>
        <v/>
      </c>
      <c r="X62" s="139" t="str">
        <f>IF($B62=0,"",_xlfn.XLOOKUP($B62,INPUT_DATA!$BP:$BP,INPUT_DATA!CC:CC))</f>
        <v/>
      </c>
      <c r="Y62" s="140" t="str">
        <f>IF($B62=0,"",_xlfn.XLOOKUP($B62,INPUT_DATA!$BP:$BP,INPUT_DATA!CD:CD))</f>
        <v/>
      </c>
      <c r="Z62" s="140" t="str">
        <f>IF($B62=0,"",_xlfn.XLOOKUP($B62,INPUT_DATA!$BP:$BP,INPUT_DATA!CE:CE))</f>
        <v/>
      </c>
      <c r="AA62" s="140" t="str">
        <f>IF($B62=0,"",_xlfn.XLOOKUP($B62,INPUT_DATA!$BP:$BP,INPUT_DATA!CF:CF))</f>
        <v/>
      </c>
      <c r="AB62" s="1300" t="str">
        <f t="shared" si="10"/>
        <v/>
      </c>
      <c r="AC62" s="139"/>
      <c r="AD62" s="139" t="str">
        <f t="shared" si="17"/>
        <v/>
      </c>
      <c r="AE62" s="1275" t="str">
        <f>IF($B62=0,"",_xlfn.XLOOKUP($B62,INPUT_DATA!$BP:$BP,INPUT_DATA!CH:CH))</f>
        <v/>
      </c>
      <c r="AF62" s="140" t="str">
        <f>IF($B62=0,"",_xlfn.XLOOKUP($B62,INPUT_DATA!$BP:$BP,INPUT_DATA!CI:CI))</f>
        <v/>
      </c>
      <c r="AG62" s="140" t="str">
        <f>IF($B62=0,"",_xlfn.XLOOKUP($B62,INPUT_DATA!$BP:$BP,INPUT_DATA!CJ:CJ))</f>
        <v/>
      </c>
      <c r="AH62" s="140" t="str">
        <f>IF($B62=0,"",_xlfn.XLOOKUP($B62,INPUT_DATA!$BP:$BP,INPUT_DATA!CK:CK))</f>
        <v/>
      </c>
      <c r="AI62" s="1300" t="str">
        <f t="shared" si="12"/>
        <v/>
      </c>
      <c r="AJ62" s="139" t="str">
        <f>IF($B62=0,"",_xlfn.XLOOKUP($B62,INPUT_DATA!$BP:$BP,INPUT_DATA!CL:CL))</f>
        <v/>
      </c>
      <c r="AK62" s="139" t="str">
        <f t="shared" si="13"/>
        <v/>
      </c>
      <c r="AL62" s="1275" t="str">
        <f>IF($B62=0,"",_xlfn.XLOOKUP($B62,INPUT_DATA!$BP:$BP,INPUT_DATA!CM:CM))</f>
        <v/>
      </c>
      <c r="AM62" s="139" t="str">
        <f t="shared" si="16"/>
        <v/>
      </c>
      <c r="AN62" s="1275" t="str">
        <f t="shared" si="14"/>
        <v/>
      </c>
    </row>
    <row r="63" spans="2:40">
      <c r="B63" s="137">
        <f>INPUT_DATA!BP54</f>
        <v>0</v>
      </c>
      <c r="C63" s="1291" t="str">
        <f>IF($B63=0,"",_xlfn.XLOOKUP($B63,INPUT_DATA!$BP:$BP,INPUT_DATA!BQ:BQ))</f>
        <v/>
      </c>
      <c r="D63" s="140" t="str">
        <f>IF($B63=0,"",_xlfn.XLOOKUP($B63,INPUT_DATA!$BP:$BP,INPUT_DATA!BR:BR))</f>
        <v/>
      </c>
      <c r="E63" s="140" t="str">
        <f>IF($B63=0,"",_xlfn.XLOOKUP($B63,INPUT_DATA!$BP:$BP,INPUT_DATA!BS:BS))</f>
        <v/>
      </c>
      <c r="F63" s="140" t="str">
        <f t="shared" si="1"/>
        <v/>
      </c>
      <c r="G63" s="1291" t="str">
        <f>IF($B63=0,"",_xlfn.XLOOKUP($B63,INPUT_DATA!$BP:$BP,INPUT_DATA!BT:BT))</f>
        <v/>
      </c>
      <c r="H63" s="140" t="str">
        <f>IF($B63=0,"",_xlfn.XLOOKUP($B63,INPUT_DATA!$BP:$BP,INPUT_DATA!BU:BU))</f>
        <v/>
      </c>
      <c r="I63" s="140" t="str">
        <f>IF($B63=0,"",_xlfn.XLOOKUP($B63,INPUT_DATA!$BP:$BP,INPUT_DATA!BV:BV))</f>
        <v/>
      </c>
      <c r="J63" s="140" t="str">
        <f t="shared" si="2"/>
        <v/>
      </c>
      <c r="K63" s="1291" t="str">
        <f>IF($B63=0,"",_xlfn.XLOOKUP($B63,INPUT_DATA!$BP:$BP,INPUT_DATA!BW:BW))</f>
        <v/>
      </c>
      <c r="L63" s="140" t="str">
        <f>IF($B63=0,"",_xlfn.XLOOKUP($B63,INPUT_DATA!$BP:$BP,INPUT_DATA!BX:BX))</f>
        <v/>
      </c>
      <c r="M63" s="140" t="str">
        <f>IF($B63=0,"",_xlfn.XLOOKUP($B63,INPUT_DATA!$BP:$BP,INPUT_DATA!BY:BY))</f>
        <v/>
      </c>
      <c r="N63" s="140" t="str">
        <f t="shared" si="3"/>
        <v/>
      </c>
      <c r="O63" s="1275" t="str">
        <f t="shared" si="4"/>
        <v/>
      </c>
      <c r="P63" s="139" t="str">
        <f t="shared" si="5"/>
        <v/>
      </c>
      <c r="Q63" s="139" t="str">
        <f t="shared" si="6"/>
        <v/>
      </c>
      <c r="R63" s="139" t="str">
        <f t="shared" si="7"/>
        <v/>
      </c>
      <c r="S63" s="140" t="str">
        <f>IF($B63=0,"",_xlfn.XLOOKUP($B63,INPUT_DATA!$BP:$BP,INPUT_DATA!BZ:BZ))</f>
        <v/>
      </c>
      <c r="T63" s="140" t="str">
        <f>IF($B63=0,"",_xlfn.XLOOKUP($B63,INPUT_DATA!$BP:$BP,INPUT_DATA!CA:CA))</f>
        <v/>
      </c>
      <c r="U63" s="140" t="str">
        <f>IF($B63=0,"",_xlfn.XLOOKUP($B63,INPUT_DATA!$BP:$BP,INPUT_DATA!CB:CB))</f>
        <v/>
      </c>
      <c r="V63" s="1300" t="str">
        <f t="shared" si="8"/>
        <v/>
      </c>
      <c r="W63" s="139" t="str">
        <f t="shared" si="9"/>
        <v/>
      </c>
      <c r="X63" s="139" t="str">
        <f>IF($B63=0,"",_xlfn.XLOOKUP($B63,INPUT_DATA!$BP:$BP,INPUT_DATA!CC:CC))</f>
        <v/>
      </c>
      <c r="Y63" s="140" t="str">
        <f>IF($B63=0,"",_xlfn.XLOOKUP($B63,INPUT_DATA!$BP:$BP,INPUT_DATA!CD:CD))</f>
        <v/>
      </c>
      <c r="Z63" s="140" t="str">
        <f>IF($B63=0,"",_xlfn.XLOOKUP($B63,INPUT_DATA!$BP:$BP,INPUT_DATA!CE:CE))</f>
        <v/>
      </c>
      <c r="AA63" s="140" t="str">
        <f>IF($B63=0,"",_xlfn.XLOOKUP($B63,INPUT_DATA!$BP:$BP,INPUT_DATA!CF:CF))</f>
        <v/>
      </c>
      <c r="AB63" s="1300" t="str">
        <f t="shared" si="10"/>
        <v/>
      </c>
      <c r="AC63" s="139"/>
      <c r="AD63" s="139" t="str">
        <f t="shared" si="17"/>
        <v/>
      </c>
      <c r="AE63" s="1275" t="str">
        <f>IF($B63=0,"",_xlfn.XLOOKUP($B63,INPUT_DATA!$BP:$BP,INPUT_DATA!CH:CH))</f>
        <v/>
      </c>
      <c r="AF63" s="140" t="str">
        <f>IF($B63=0,"",_xlfn.XLOOKUP($B63,INPUT_DATA!$BP:$BP,INPUT_DATA!CI:CI))</f>
        <v/>
      </c>
      <c r="AG63" s="140" t="str">
        <f>IF($B63=0,"",_xlfn.XLOOKUP($B63,INPUT_DATA!$BP:$BP,INPUT_DATA!CJ:CJ))</f>
        <v/>
      </c>
      <c r="AH63" s="140" t="str">
        <f>IF($B63=0,"",_xlfn.XLOOKUP($B63,INPUT_DATA!$BP:$BP,INPUT_DATA!CK:CK))</f>
        <v/>
      </c>
      <c r="AI63" s="1300" t="str">
        <f t="shared" si="12"/>
        <v/>
      </c>
      <c r="AJ63" s="139" t="str">
        <f>IF($B63=0,"",_xlfn.XLOOKUP($B63,INPUT_DATA!$BP:$BP,INPUT_DATA!CL:CL))</f>
        <v/>
      </c>
      <c r="AK63" s="139" t="str">
        <f t="shared" si="13"/>
        <v/>
      </c>
      <c r="AL63" s="1275" t="str">
        <f>IF($B63=0,"",_xlfn.XLOOKUP($B63,INPUT_DATA!$BP:$BP,INPUT_DATA!CM:CM))</f>
        <v/>
      </c>
      <c r="AM63" s="139" t="str">
        <f t="shared" si="16"/>
        <v/>
      </c>
      <c r="AN63" s="1275" t="str">
        <f t="shared" si="14"/>
        <v/>
      </c>
    </row>
    <row r="64" spans="2:40">
      <c r="B64" s="137">
        <f>INPUT_DATA!BP55</f>
        <v>0</v>
      </c>
      <c r="C64" s="1291" t="str">
        <f>IF($B64=0,"",_xlfn.XLOOKUP($B64,INPUT_DATA!$BP:$BP,INPUT_DATA!BQ:BQ))</f>
        <v/>
      </c>
      <c r="D64" s="140" t="str">
        <f>IF($B64=0,"",_xlfn.XLOOKUP($B64,INPUT_DATA!$BP:$BP,INPUT_DATA!BR:BR))</f>
        <v/>
      </c>
      <c r="E64" s="140" t="str">
        <f>IF($B64=0,"",_xlfn.XLOOKUP($B64,INPUT_DATA!$BP:$BP,INPUT_DATA!BS:BS))</f>
        <v/>
      </c>
      <c r="F64" s="140" t="str">
        <f t="shared" si="1"/>
        <v/>
      </c>
      <c r="G64" s="1291" t="str">
        <f>IF($B64=0,"",_xlfn.XLOOKUP($B64,INPUT_DATA!$BP:$BP,INPUT_DATA!BT:BT))</f>
        <v/>
      </c>
      <c r="H64" s="140" t="str">
        <f>IF($B64=0,"",_xlfn.XLOOKUP($B64,INPUT_DATA!$BP:$BP,INPUT_DATA!BU:BU))</f>
        <v/>
      </c>
      <c r="I64" s="140" t="str">
        <f>IF($B64=0,"",_xlfn.XLOOKUP($B64,INPUT_DATA!$BP:$BP,INPUT_DATA!BV:BV))</f>
        <v/>
      </c>
      <c r="J64" s="140" t="str">
        <f t="shared" si="2"/>
        <v/>
      </c>
      <c r="K64" s="1291" t="str">
        <f>IF($B64=0,"",_xlfn.XLOOKUP($B64,INPUT_DATA!$BP:$BP,INPUT_DATA!BW:BW))</f>
        <v/>
      </c>
      <c r="L64" s="140" t="str">
        <f>IF($B64=0,"",_xlfn.XLOOKUP($B64,INPUT_DATA!$BP:$BP,INPUT_DATA!BX:BX))</f>
        <v/>
      </c>
      <c r="M64" s="140" t="str">
        <f>IF($B64=0,"",_xlfn.XLOOKUP($B64,INPUT_DATA!$BP:$BP,INPUT_DATA!BY:BY))</f>
        <v/>
      </c>
      <c r="N64" s="140" t="str">
        <f t="shared" si="3"/>
        <v/>
      </c>
      <c r="O64" s="1275" t="str">
        <f t="shared" si="4"/>
        <v/>
      </c>
      <c r="P64" s="139" t="str">
        <f t="shared" si="5"/>
        <v/>
      </c>
      <c r="Q64" s="139" t="str">
        <f t="shared" si="6"/>
        <v/>
      </c>
      <c r="R64" s="139" t="str">
        <f t="shared" si="7"/>
        <v/>
      </c>
      <c r="S64" s="140" t="str">
        <f>IF($B64=0,"",_xlfn.XLOOKUP($B64,INPUT_DATA!$BP:$BP,INPUT_DATA!BZ:BZ))</f>
        <v/>
      </c>
      <c r="T64" s="140" t="str">
        <f>IF($B64=0,"",_xlfn.XLOOKUP($B64,INPUT_DATA!$BP:$BP,INPUT_DATA!CA:CA))</f>
        <v/>
      </c>
      <c r="U64" s="140" t="str">
        <f>IF($B64=0,"",_xlfn.XLOOKUP($B64,INPUT_DATA!$BP:$BP,INPUT_DATA!CB:CB))</f>
        <v/>
      </c>
      <c r="V64" s="1300" t="str">
        <f t="shared" si="8"/>
        <v/>
      </c>
      <c r="W64" s="139" t="str">
        <f t="shared" si="9"/>
        <v/>
      </c>
      <c r="X64" s="139" t="str">
        <f>IF($B64=0,"",_xlfn.XLOOKUP($B64,INPUT_DATA!$BP:$BP,INPUT_DATA!CC:CC))</f>
        <v/>
      </c>
      <c r="Y64" s="140" t="str">
        <f>IF($B64=0,"",_xlfn.XLOOKUP($B64,INPUT_DATA!$BP:$BP,INPUT_DATA!CD:CD))</f>
        <v/>
      </c>
      <c r="Z64" s="140" t="str">
        <f>IF($B64=0,"",_xlfn.XLOOKUP($B64,INPUT_DATA!$BP:$BP,INPUT_DATA!CE:CE))</f>
        <v/>
      </c>
      <c r="AA64" s="140" t="str">
        <f>IF($B64=0,"",_xlfn.XLOOKUP($B64,INPUT_DATA!$BP:$BP,INPUT_DATA!CF:CF))</f>
        <v/>
      </c>
      <c r="AB64" s="1300" t="str">
        <f t="shared" si="10"/>
        <v/>
      </c>
      <c r="AC64" s="139"/>
      <c r="AD64" s="139" t="str">
        <f t="shared" si="17"/>
        <v/>
      </c>
      <c r="AE64" s="1275" t="str">
        <f>IF($B64=0,"",_xlfn.XLOOKUP($B64,INPUT_DATA!$BP:$BP,INPUT_DATA!CH:CH))</f>
        <v/>
      </c>
      <c r="AF64" s="140" t="str">
        <f>IF($B64=0,"",_xlfn.XLOOKUP($B64,INPUT_DATA!$BP:$BP,INPUT_DATA!CI:CI))</f>
        <v/>
      </c>
      <c r="AG64" s="140" t="str">
        <f>IF($B64=0,"",_xlfn.XLOOKUP($B64,INPUT_DATA!$BP:$BP,INPUT_DATA!CJ:CJ))</f>
        <v/>
      </c>
      <c r="AH64" s="140" t="str">
        <f>IF($B64=0,"",_xlfn.XLOOKUP($B64,INPUT_DATA!$BP:$BP,INPUT_DATA!CK:CK))</f>
        <v/>
      </c>
      <c r="AI64" s="1300" t="str">
        <f t="shared" si="12"/>
        <v/>
      </c>
      <c r="AJ64" s="139" t="str">
        <f>IF($B64=0,"",_xlfn.XLOOKUP($B64,INPUT_DATA!$BP:$BP,INPUT_DATA!CL:CL))</f>
        <v/>
      </c>
      <c r="AK64" s="139" t="str">
        <f t="shared" si="13"/>
        <v/>
      </c>
      <c r="AL64" s="1275" t="str">
        <f>IF($B64=0,"",_xlfn.XLOOKUP($B64,INPUT_DATA!$BP:$BP,INPUT_DATA!CM:CM))</f>
        <v/>
      </c>
      <c r="AM64" s="139" t="str">
        <f t="shared" si="16"/>
        <v/>
      </c>
      <c r="AN64" s="1275" t="str">
        <f t="shared" si="14"/>
        <v/>
      </c>
    </row>
    <row r="65" spans="2:40">
      <c r="B65" s="137">
        <f>INPUT_DATA!BP56</f>
        <v>0</v>
      </c>
      <c r="C65" s="1291" t="str">
        <f>IF($B65=0,"",_xlfn.XLOOKUP($B65,INPUT_DATA!$BP:$BP,INPUT_DATA!BQ:BQ))</f>
        <v/>
      </c>
      <c r="D65" s="140" t="str">
        <f>IF($B65=0,"",_xlfn.XLOOKUP($B65,INPUT_DATA!$BP:$BP,INPUT_DATA!BR:BR))</f>
        <v/>
      </c>
      <c r="E65" s="140" t="str">
        <f>IF($B65=0,"",_xlfn.XLOOKUP($B65,INPUT_DATA!$BP:$BP,INPUT_DATA!BS:BS))</f>
        <v/>
      </c>
      <c r="F65" s="140" t="str">
        <f t="shared" si="1"/>
        <v/>
      </c>
      <c r="G65" s="1291" t="str">
        <f>IF($B65=0,"",_xlfn.XLOOKUP($B65,INPUT_DATA!$BP:$BP,INPUT_DATA!BT:BT))</f>
        <v/>
      </c>
      <c r="H65" s="140" t="str">
        <f>IF($B65=0,"",_xlfn.XLOOKUP($B65,INPUT_DATA!$BP:$BP,INPUT_DATA!BU:BU))</f>
        <v/>
      </c>
      <c r="I65" s="140" t="str">
        <f>IF($B65=0,"",_xlfn.XLOOKUP($B65,INPUT_DATA!$BP:$BP,INPUT_DATA!BV:BV))</f>
        <v/>
      </c>
      <c r="J65" s="140" t="str">
        <f t="shared" si="2"/>
        <v/>
      </c>
      <c r="K65" s="1291" t="str">
        <f>IF($B65=0,"",_xlfn.XLOOKUP($B65,INPUT_DATA!$BP:$BP,INPUT_DATA!BW:BW))</f>
        <v/>
      </c>
      <c r="L65" s="140" t="str">
        <f>IF($B65=0,"",_xlfn.XLOOKUP($B65,INPUT_DATA!$BP:$BP,INPUT_DATA!BX:BX))</f>
        <v/>
      </c>
      <c r="M65" s="140" t="str">
        <f>IF($B65=0,"",_xlfn.XLOOKUP($B65,INPUT_DATA!$BP:$BP,INPUT_DATA!BY:BY))</f>
        <v/>
      </c>
      <c r="N65" s="140" t="str">
        <f t="shared" si="3"/>
        <v/>
      </c>
      <c r="O65" s="1275" t="str">
        <f t="shared" si="4"/>
        <v/>
      </c>
      <c r="P65" s="139" t="str">
        <f t="shared" si="5"/>
        <v/>
      </c>
      <c r="Q65" s="139" t="str">
        <f t="shared" si="6"/>
        <v/>
      </c>
      <c r="R65" s="139" t="str">
        <f t="shared" si="7"/>
        <v/>
      </c>
      <c r="S65" s="140" t="str">
        <f>IF($B65=0,"",_xlfn.XLOOKUP($B65,INPUT_DATA!$BP:$BP,INPUT_DATA!BZ:BZ))</f>
        <v/>
      </c>
      <c r="T65" s="140" t="str">
        <f>IF($B65=0,"",_xlfn.XLOOKUP($B65,INPUT_DATA!$BP:$BP,INPUT_DATA!CA:CA))</f>
        <v/>
      </c>
      <c r="U65" s="140" t="str">
        <f>IF($B65=0,"",_xlfn.XLOOKUP($B65,INPUT_DATA!$BP:$BP,INPUT_DATA!CB:CB))</f>
        <v/>
      </c>
      <c r="V65" s="1300" t="str">
        <f t="shared" si="8"/>
        <v/>
      </c>
      <c r="W65" s="139" t="str">
        <f t="shared" si="9"/>
        <v/>
      </c>
      <c r="X65" s="139" t="str">
        <f>IF($B65=0,"",_xlfn.XLOOKUP($B65,INPUT_DATA!$BP:$BP,INPUT_DATA!CC:CC))</f>
        <v/>
      </c>
      <c r="Y65" s="140" t="str">
        <f>IF($B65=0,"",_xlfn.XLOOKUP($B65,INPUT_DATA!$BP:$BP,INPUT_DATA!CD:CD))</f>
        <v/>
      </c>
      <c r="Z65" s="140" t="str">
        <f>IF($B65=0,"",_xlfn.XLOOKUP($B65,INPUT_DATA!$BP:$BP,INPUT_DATA!CE:CE))</f>
        <v/>
      </c>
      <c r="AA65" s="140" t="str">
        <f>IF($B65=0,"",_xlfn.XLOOKUP($B65,INPUT_DATA!$BP:$BP,INPUT_DATA!CF:CF))</f>
        <v/>
      </c>
      <c r="AB65" s="1300" t="str">
        <f t="shared" si="10"/>
        <v/>
      </c>
      <c r="AC65" s="139"/>
      <c r="AD65" s="139" t="str">
        <f t="shared" si="17"/>
        <v/>
      </c>
      <c r="AE65" s="1275" t="str">
        <f>IF($B65=0,"",_xlfn.XLOOKUP($B65,INPUT_DATA!$BP:$BP,INPUT_DATA!CH:CH))</f>
        <v/>
      </c>
      <c r="AF65" s="140" t="str">
        <f>IF($B65=0,"",_xlfn.XLOOKUP($B65,INPUT_DATA!$BP:$BP,INPUT_DATA!CI:CI))</f>
        <v/>
      </c>
      <c r="AG65" s="140" t="str">
        <f>IF($B65=0,"",_xlfn.XLOOKUP($B65,INPUT_DATA!$BP:$BP,INPUT_DATA!CJ:CJ))</f>
        <v/>
      </c>
      <c r="AH65" s="140" t="str">
        <f>IF($B65=0,"",_xlfn.XLOOKUP($B65,INPUT_DATA!$BP:$BP,INPUT_DATA!CK:CK))</f>
        <v/>
      </c>
      <c r="AI65" s="1300" t="str">
        <f t="shared" si="12"/>
        <v/>
      </c>
      <c r="AJ65" s="139" t="str">
        <f>IF($B65=0,"",_xlfn.XLOOKUP($B65,INPUT_DATA!$BP:$BP,INPUT_DATA!CL:CL))</f>
        <v/>
      </c>
      <c r="AK65" s="139" t="str">
        <f t="shared" si="13"/>
        <v/>
      </c>
      <c r="AL65" s="1275" t="str">
        <f>IF($B65=0,"",_xlfn.XLOOKUP($B65,INPUT_DATA!$BP:$BP,INPUT_DATA!CM:CM))</f>
        <v/>
      </c>
      <c r="AM65" s="139" t="str">
        <f t="shared" si="16"/>
        <v/>
      </c>
      <c r="AN65" s="1275" t="str">
        <f t="shared" si="14"/>
        <v/>
      </c>
    </row>
    <row r="66" spans="2:40">
      <c r="B66" s="137">
        <f>INPUT_DATA!BP57</f>
        <v>0</v>
      </c>
      <c r="C66" s="1291" t="str">
        <f>IF($B66=0,"",_xlfn.XLOOKUP($B66,INPUT_DATA!$BP:$BP,INPUT_DATA!BQ:BQ))</f>
        <v/>
      </c>
      <c r="D66" s="140" t="str">
        <f>IF($B66=0,"",_xlfn.XLOOKUP($B66,INPUT_DATA!$BP:$BP,INPUT_DATA!BR:BR))</f>
        <v/>
      </c>
      <c r="E66" s="140" t="str">
        <f>IF($B66=0,"",_xlfn.XLOOKUP($B66,INPUT_DATA!$BP:$BP,INPUT_DATA!BS:BS))</f>
        <v/>
      </c>
      <c r="F66" s="140" t="str">
        <f t="shared" si="1"/>
        <v/>
      </c>
      <c r="G66" s="1291" t="str">
        <f>IF($B66=0,"",_xlfn.XLOOKUP($B66,INPUT_DATA!$BP:$BP,INPUT_DATA!BT:BT))</f>
        <v/>
      </c>
      <c r="H66" s="140" t="str">
        <f>IF($B66=0,"",_xlfn.XLOOKUP($B66,INPUT_DATA!$BP:$BP,INPUT_DATA!BU:BU))</f>
        <v/>
      </c>
      <c r="I66" s="140" t="str">
        <f>IF($B66=0,"",_xlfn.XLOOKUP($B66,INPUT_DATA!$BP:$BP,INPUT_DATA!BV:BV))</f>
        <v/>
      </c>
      <c r="J66" s="140" t="str">
        <f t="shared" si="2"/>
        <v/>
      </c>
      <c r="K66" s="1291" t="str">
        <f>IF($B66=0,"",_xlfn.XLOOKUP($B66,INPUT_DATA!$BP:$BP,INPUT_DATA!BW:BW))</f>
        <v/>
      </c>
      <c r="L66" s="140" t="str">
        <f>IF($B66=0,"",_xlfn.XLOOKUP($B66,INPUT_DATA!$BP:$BP,INPUT_DATA!BX:BX))</f>
        <v/>
      </c>
      <c r="M66" s="140" t="str">
        <f>IF($B66=0,"",_xlfn.XLOOKUP($B66,INPUT_DATA!$BP:$BP,INPUT_DATA!BY:BY))</f>
        <v/>
      </c>
      <c r="N66" s="140" t="str">
        <f t="shared" si="3"/>
        <v/>
      </c>
      <c r="O66" s="1275" t="str">
        <f t="shared" si="4"/>
        <v/>
      </c>
      <c r="P66" s="139" t="str">
        <f t="shared" si="5"/>
        <v/>
      </c>
      <c r="Q66" s="139" t="str">
        <f t="shared" si="6"/>
        <v/>
      </c>
      <c r="R66" s="139" t="str">
        <f t="shared" si="7"/>
        <v/>
      </c>
      <c r="S66" s="140" t="str">
        <f>IF($B66=0,"",_xlfn.XLOOKUP($B66,INPUT_DATA!$BP:$BP,INPUT_DATA!BZ:BZ))</f>
        <v/>
      </c>
      <c r="T66" s="140" t="str">
        <f>IF($B66=0,"",_xlfn.XLOOKUP($B66,INPUT_DATA!$BP:$BP,INPUT_DATA!CA:CA))</f>
        <v/>
      </c>
      <c r="U66" s="140" t="str">
        <f>IF($B66=0,"",_xlfn.XLOOKUP($B66,INPUT_DATA!$BP:$BP,INPUT_DATA!CB:CB))</f>
        <v/>
      </c>
      <c r="V66" s="1300" t="str">
        <f t="shared" si="8"/>
        <v/>
      </c>
      <c r="W66" s="139" t="str">
        <f t="shared" si="9"/>
        <v/>
      </c>
      <c r="X66" s="139" t="str">
        <f>IF($B66=0,"",_xlfn.XLOOKUP($B66,INPUT_DATA!$BP:$BP,INPUT_DATA!CC:CC))</f>
        <v/>
      </c>
      <c r="Y66" s="140" t="str">
        <f>IF($B66=0,"",_xlfn.XLOOKUP($B66,INPUT_DATA!$BP:$BP,INPUT_DATA!CD:CD))</f>
        <v/>
      </c>
      <c r="Z66" s="140" t="str">
        <f>IF($B66=0,"",_xlfn.XLOOKUP($B66,INPUT_DATA!$BP:$BP,INPUT_DATA!CE:CE))</f>
        <v/>
      </c>
      <c r="AA66" s="140" t="str">
        <f>IF($B66=0,"",_xlfn.XLOOKUP($B66,INPUT_DATA!$BP:$BP,INPUT_DATA!CF:CF))</f>
        <v/>
      </c>
      <c r="AB66" s="1300" t="str">
        <f t="shared" si="10"/>
        <v/>
      </c>
      <c r="AC66" s="139"/>
      <c r="AD66" s="139" t="str">
        <f t="shared" si="17"/>
        <v/>
      </c>
      <c r="AE66" s="1275" t="str">
        <f>IF($B66=0,"",_xlfn.XLOOKUP($B66,INPUT_DATA!$BP:$BP,INPUT_DATA!CH:CH))</f>
        <v/>
      </c>
      <c r="AF66" s="140" t="str">
        <f>IF($B66=0,"",_xlfn.XLOOKUP($B66,INPUT_DATA!$BP:$BP,INPUT_DATA!CI:CI))</f>
        <v/>
      </c>
      <c r="AG66" s="140" t="str">
        <f>IF($B66=0,"",_xlfn.XLOOKUP($B66,INPUT_DATA!$BP:$BP,INPUT_DATA!CJ:CJ))</f>
        <v/>
      </c>
      <c r="AH66" s="140" t="str">
        <f>IF($B66=0,"",_xlfn.XLOOKUP($B66,INPUT_DATA!$BP:$BP,INPUT_DATA!CK:CK))</f>
        <v/>
      </c>
      <c r="AI66" s="1300" t="str">
        <f t="shared" si="12"/>
        <v/>
      </c>
      <c r="AJ66" s="139" t="str">
        <f>IF($B66=0,"",_xlfn.XLOOKUP($B66,INPUT_DATA!$BP:$BP,INPUT_DATA!CL:CL))</f>
        <v/>
      </c>
      <c r="AK66" s="139" t="str">
        <f t="shared" si="13"/>
        <v/>
      </c>
      <c r="AL66" s="1275" t="str">
        <f>IF($B66=0,"",_xlfn.XLOOKUP($B66,INPUT_DATA!$BP:$BP,INPUT_DATA!CM:CM))</f>
        <v/>
      </c>
      <c r="AM66" s="139" t="str">
        <f t="shared" si="16"/>
        <v/>
      </c>
      <c r="AN66" s="1275" t="str">
        <f t="shared" si="14"/>
        <v/>
      </c>
    </row>
    <row r="67" spans="2:40">
      <c r="B67" s="137">
        <f>INPUT_DATA!BP58</f>
        <v>0</v>
      </c>
      <c r="C67" s="1291" t="str">
        <f>IF($B67=0,"",_xlfn.XLOOKUP($B67,INPUT_DATA!$BP:$BP,INPUT_DATA!BQ:BQ))</f>
        <v/>
      </c>
      <c r="D67" s="140" t="str">
        <f>IF($B67=0,"",_xlfn.XLOOKUP($B67,INPUT_DATA!$BP:$BP,INPUT_DATA!BR:BR))</f>
        <v/>
      </c>
      <c r="E67" s="140" t="str">
        <f>IF($B67=0,"",_xlfn.XLOOKUP($B67,INPUT_DATA!$BP:$BP,INPUT_DATA!BS:BS))</f>
        <v/>
      </c>
      <c r="F67" s="140" t="str">
        <f t="shared" si="1"/>
        <v/>
      </c>
      <c r="G67" s="1291" t="str">
        <f>IF($B67=0,"",_xlfn.XLOOKUP($B67,INPUT_DATA!$BP:$BP,INPUT_DATA!BT:BT))</f>
        <v/>
      </c>
      <c r="H67" s="140" t="str">
        <f>IF($B67=0,"",_xlfn.XLOOKUP($B67,INPUT_DATA!$BP:$BP,INPUT_DATA!BU:BU))</f>
        <v/>
      </c>
      <c r="I67" s="140" t="str">
        <f>IF($B67=0,"",_xlfn.XLOOKUP($B67,INPUT_DATA!$BP:$BP,INPUT_DATA!BV:BV))</f>
        <v/>
      </c>
      <c r="J67" s="140" t="str">
        <f t="shared" si="2"/>
        <v/>
      </c>
      <c r="K67" s="1291" t="str">
        <f>IF($B67=0,"",_xlfn.XLOOKUP($B67,INPUT_DATA!$BP:$BP,INPUT_DATA!BW:BW))</f>
        <v/>
      </c>
      <c r="L67" s="140" t="str">
        <f>IF($B67=0,"",_xlfn.XLOOKUP($B67,INPUT_DATA!$BP:$BP,INPUT_DATA!BX:BX))</f>
        <v/>
      </c>
      <c r="M67" s="140" t="str">
        <f>IF($B67=0,"",_xlfn.XLOOKUP($B67,INPUT_DATA!$BP:$BP,INPUT_DATA!BY:BY))</f>
        <v/>
      </c>
      <c r="N67" s="140" t="str">
        <f t="shared" si="3"/>
        <v/>
      </c>
      <c r="O67" s="1275" t="str">
        <f t="shared" si="4"/>
        <v/>
      </c>
      <c r="P67" s="139" t="str">
        <f t="shared" si="5"/>
        <v/>
      </c>
      <c r="Q67" s="139" t="str">
        <f t="shared" si="6"/>
        <v/>
      </c>
      <c r="R67" s="139" t="str">
        <f t="shared" si="7"/>
        <v/>
      </c>
      <c r="S67" s="140" t="str">
        <f>IF($B67=0,"",_xlfn.XLOOKUP($B67,INPUT_DATA!$BP:$BP,INPUT_DATA!BZ:BZ))</f>
        <v/>
      </c>
      <c r="T67" s="140" t="str">
        <f>IF($B67=0,"",_xlfn.XLOOKUP($B67,INPUT_DATA!$BP:$BP,INPUT_DATA!CA:CA))</f>
        <v/>
      </c>
      <c r="U67" s="140" t="str">
        <f>IF($B67=0,"",_xlfn.XLOOKUP($B67,INPUT_DATA!$BP:$BP,INPUT_DATA!CB:CB))</f>
        <v/>
      </c>
      <c r="V67" s="1300" t="str">
        <f t="shared" si="8"/>
        <v/>
      </c>
      <c r="W67" s="139" t="str">
        <f t="shared" si="9"/>
        <v/>
      </c>
      <c r="X67" s="139" t="str">
        <f>IF($B67=0,"",_xlfn.XLOOKUP($B67,INPUT_DATA!$BP:$BP,INPUT_DATA!CC:CC))</f>
        <v/>
      </c>
      <c r="Y67" s="140" t="str">
        <f>IF($B67=0,"",_xlfn.XLOOKUP($B67,INPUT_DATA!$BP:$BP,INPUT_DATA!CD:CD))</f>
        <v/>
      </c>
      <c r="Z67" s="140" t="str">
        <f>IF($B67=0,"",_xlfn.XLOOKUP($B67,INPUT_DATA!$BP:$BP,INPUT_DATA!CE:CE))</f>
        <v/>
      </c>
      <c r="AA67" s="140" t="str">
        <f>IF($B67=0,"",_xlfn.XLOOKUP($B67,INPUT_DATA!$BP:$BP,INPUT_DATA!CF:CF))</f>
        <v/>
      </c>
      <c r="AB67" s="1300" t="str">
        <f t="shared" si="10"/>
        <v/>
      </c>
      <c r="AC67" s="139"/>
      <c r="AD67" s="139" t="str">
        <f t="shared" si="17"/>
        <v/>
      </c>
      <c r="AE67" s="1275" t="str">
        <f>IF($B67=0,"",_xlfn.XLOOKUP($B67,INPUT_DATA!$BP:$BP,INPUT_DATA!CH:CH))</f>
        <v/>
      </c>
      <c r="AF67" s="140" t="str">
        <f>IF($B67=0,"",_xlfn.XLOOKUP($B67,INPUT_DATA!$BP:$BP,INPUT_DATA!CI:CI))</f>
        <v/>
      </c>
      <c r="AG67" s="140" t="str">
        <f>IF($B67=0,"",_xlfn.XLOOKUP($B67,INPUT_DATA!$BP:$BP,INPUT_DATA!CJ:CJ))</f>
        <v/>
      </c>
      <c r="AH67" s="140" t="str">
        <f>IF($B67=0,"",_xlfn.XLOOKUP($B67,INPUT_DATA!$BP:$BP,INPUT_DATA!CK:CK))</f>
        <v/>
      </c>
      <c r="AI67" s="1300" t="str">
        <f t="shared" si="12"/>
        <v/>
      </c>
      <c r="AJ67" s="139" t="str">
        <f>IF($B67=0,"",_xlfn.XLOOKUP($B67,INPUT_DATA!$BP:$BP,INPUT_DATA!CL:CL))</f>
        <v/>
      </c>
      <c r="AK67" s="139" t="str">
        <f t="shared" si="13"/>
        <v/>
      </c>
      <c r="AL67" s="1275" t="str">
        <f>IF($B67=0,"",_xlfn.XLOOKUP($B67,INPUT_DATA!$BP:$BP,INPUT_DATA!CM:CM))</f>
        <v/>
      </c>
      <c r="AM67" s="139" t="str">
        <f t="shared" si="16"/>
        <v/>
      </c>
      <c r="AN67" s="1275" t="str">
        <f t="shared" si="14"/>
        <v/>
      </c>
    </row>
    <row r="68" spans="2:40">
      <c r="B68" s="137">
        <f>INPUT_DATA!BP59</f>
        <v>0</v>
      </c>
      <c r="C68" s="1291" t="str">
        <f>IF($B68=0,"",_xlfn.XLOOKUP($B68,INPUT_DATA!$BP:$BP,INPUT_DATA!BQ:BQ))</f>
        <v/>
      </c>
      <c r="D68" s="140" t="str">
        <f>IF($B68=0,"",_xlfn.XLOOKUP($B68,INPUT_DATA!$BP:$BP,INPUT_DATA!BR:BR))</f>
        <v/>
      </c>
      <c r="E68" s="140" t="str">
        <f>IF($B68=0,"",_xlfn.XLOOKUP($B68,INPUT_DATA!$BP:$BP,INPUT_DATA!BS:BS))</f>
        <v/>
      </c>
      <c r="F68" s="140" t="str">
        <f t="shared" si="1"/>
        <v/>
      </c>
      <c r="G68" s="1291" t="str">
        <f>IF($B68=0,"",_xlfn.XLOOKUP($B68,INPUT_DATA!$BP:$BP,INPUT_DATA!BT:BT))</f>
        <v/>
      </c>
      <c r="H68" s="140" t="str">
        <f>IF($B68=0,"",_xlfn.XLOOKUP($B68,INPUT_DATA!$BP:$BP,INPUT_DATA!BU:BU))</f>
        <v/>
      </c>
      <c r="I68" s="140" t="str">
        <f>IF($B68=0,"",_xlfn.XLOOKUP($B68,INPUT_DATA!$BP:$BP,INPUT_DATA!BV:BV))</f>
        <v/>
      </c>
      <c r="J68" s="140" t="str">
        <f t="shared" si="2"/>
        <v/>
      </c>
      <c r="K68" s="1291" t="str">
        <f>IF($B68=0,"",_xlfn.XLOOKUP($B68,INPUT_DATA!$BP:$BP,INPUT_DATA!BW:BW))</f>
        <v/>
      </c>
      <c r="L68" s="140" t="str">
        <f>IF($B68=0,"",_xlfn.XLOOKUP($B68,INPUT_DATA!$BP:$BP,INPUT_DATA!BX:BX))</f>
        <v/>
      </c>
      <c r="M68" s="140" t="str">
        <f>IF($B68=0,"",_xlfn.XLOOKUP($B68,INPUT_DATA!$BP:$BP,INPUT_DATA!BY:BY))</f>
        <v/>
      </c>
      <c r="N68" s="140" t="str">
        <f t="shared" si="3"/>
        <v/>
      </c>
      <c r="O68" s="1275" t="str">
        <f t="shared" si="4"/>
        <v/>
      </c>
      <c r="P68" s="139" t="str">
        <f t="shared" si="5"/>
        <v/>
      </c>
      <c r="Q68" s="139" t="str">
        <f t="shared" si="6"/>
        <v/>
      </c>
      <c r="R68" s="139" t="str">
        <f t="shared" si="7"/>
        <v/>
      </c>
      <c r="S68" s="140" t="str">
        <f>IF($B68=0,"",_xlfn.XLOOKUP($B68,INPUT_DATA!$BP:$BP,INPUT_DATA!BZ:BZ))</f>
        <v/>
      </c>
      <c r="T68" s="140" t="str">
        <f>IF($B68=0,"",_xlfn.XLOOKUP($B68,INPUT_DATA!$BP:$BP,INPUT_DATA!CA:CA))</f>
        <v/>
      </c>
      <c r="U68" s="140" t="str">
        <f>IF($B68=0,"",_xlfn.XLOOKUP($B68,INPUT_DATA!$BP:$BP,INPUT_DATA!CB:CB))</f>
        <v/>
      </c>
      <c r="V68" s="1300" t="str">
        <f t="shared" si="8"/>
        <v/>
      </c>
      <c r="W68" s="139" t="str">
        <f t="shared" si="9"/>
        <v/>
      </c>
      <c r="X68" s="139" t="str">
        <f>IF($B68=0,"",_xlfn.XLOOKUP($B68,INPUT_DATA!$BP:$BP,INPUT_DATA!CC:CC))</f>
        <v/>
      </c>
      <c r="Y68" s="140" t="str">
        <f>IF($B68=0,"",_xlfn.XLOOKUP($B68,INPUT_DATA!$BP:$BP,INPUT_DATA!CD:CD))</f>
        <v/>
      </c>
      <c r="Z68" s="140" t="str">
        <f>IF($B68=0,"",_xlfn.XLOOKUP($B68,INPUT_DATA!$BP:$BP,INPUT_DATA!CE:CE))</f>
        <v/>
      </c>
      <c r="AA68" s="140" t="str">
        <f>IF($B68=0,"",_xlfn.XLOOKUP($B68,INPUT_DATA!$BP:$BP,INPUT_DATA!CF:CF))</f>
        <v/>
      </c>
      <c r="AB68" s="1300" t="str">
        <f t="shared" si="10"/>
        <v/>
      </c>
      <c r="AC68" s="139"/>
      <c r="AD68" s="139" t="str">
        <f t="shared" si="17"/>
        <v/>
      </c>
      <c r="AE68" s="1275" t="str">
        <f>IF($B68=0,"",_xlfn.XLOOKUP($B68,INPUT_DATA!$BP:$BP,INPUT_DATA!CH:CH))</f>
        <v/>
      </c>
      <c r="AF68" s="140" t="str">
        <f>IF($B68=0,"",_xlfn.XLOOKUP($B68,INPUT_DATA!$BP:$BP,INPUT_DATA!CI:CI))</f>
        <v/>
      </c>
      <c r="AG68" s="140" t="str">
        <f>IF($B68=0,"",_xlfn.XLOOKUP($B68,INPUT_DATA!$BP:$BP,INPUT_DATA!CJ:CJ))</f>
        <v/>
      </c>
      <c r="AH68" s="140" t="str">
        <f>IF($B68=0,"",_xlfn.XLOOKUP($B68,INPUT_DATA!$BP:$BP,INPUT_DATA!CK:CK))</f>
        <v/>
      </c>
      <c r="AI68" s="1300" t="str">
        <f t="shared" si="12"/>
        <v/>
      </c>
      <c r="AJ68" s="139" t="str">
        <f>IF($B68=0,"",_xlfn.XLOOKUP($B68,INPUT_DATA!$BP:$BP,INPUT_DATA!CL:CL))</f>
        <v/>
      </c>
      <c r="AK68" s="139" t="str">
        <f t="shared" si="13"/>
        <v/>
      </c>
      <c r="AL68" s="1275" t="str">
        <f>IF($B68=0,"",_xlfn.XLOOKUP($B68,INPUT_DATA!$BP:$BP,INPUT_DATA!CM:CM))</f>
        <v/>
      </c>
      <c r="AM68" s="139" t="str">
        <f t="shared" si="16"/>
        <v/>
      </c>
      <c r="AN68" s="1275" t="str">
        <f t="shared" si="14"/>
        <v/>
      </c>
    </row>
    <row r="69" spans="2:40">
      <c r="B69" s="137">
        <f>INPUT_DATA!BP60</f>
        <v>0</v>
      </c>
      <c r="C69" s="1291" t="str">
        <f>IF($B69=0,"",_xlfn.XLOOKUP($B69,INPUT_DATA!$BP:$BP,INPUT_DATA!BQ:BQ))</f>
        <v/>
      </c>
      <c r="D69" s="140" t="str">
        <f>IF($B69=0,"",_xlfn.XLOOKUP($B69,INPUT_DATA!$BP:$BP,INPUT_DATA!BR:BR))</f>
        <v/>
      </c>
      <c r="E69" s="140" t="str">
        <f>IF($B69=0,"",_xlfn.XLOOKUP($B69,INPUT_DATA!$BP:$BP,INPUT_DATA!BS:BS))</f>
        <v/>
      </c>
      <c r="F69" s="140" t="str">
        <f t="shared" si="1"/>
        <v/>
      </c>
      <c r="G69" s="1291" t="str">
        <f>IF($B69=0,"",_xlfn.XLOOKUP($B69,INPUT_DATA!$BP:$BP,INPUT_DATA!BT:BT))</f>
        <v/>
      </c>
      <c r="H69" s="140" t="str">
        <f>IF($B69=0,"",_xlfn.XLOOKUP($B69,INPUT_DATA!$BP:$BP,INPUT_DATA!BU:BU))</f>
        <v/>
      </c>
      <c r="I69" s="140" t="str">
        <f>IF($B69=0,"",_xlfn.XLOOKUP($B69,INPUT_DATA!$BP:$BP,INPUT_DATA!BV:BV))</f>
        <v/>
      </c>
      <c r="J69" s="140" t="str">
        <f t="shared" si="2"/>
        <v/>
      </c>
      <c r="K69" s="1291" t="str">
        <f>IF($B69=0,"",_xlfn.XLOOKUP($B69,INPUT_DATA!$BP:$BP,INPUT_DATA!BW:BW))</f>
        <v/>
      </c>
      <c r="L69" s="140" t="str">
        <f>IF($B69=0,"",_xlfn.XLOOKUP($B69,INPUT_DATA!$BP:$BP,INPUT_DATA!BX:BX))</f>
        <v/>
      </c>
      <c r="M69" s="140" t="str">
        <f>IF($B69=0,"",_xlfn.XLOOKUP($B69,INPUT_DATA!$BP:$BP,INPUT_DATA!BY:BY))</f>
        <v/>
      </c>
      <c r="N69" s="140" t="str">
        <f t="shared" si="3"/>
        <v/>
      </c>
      <c r="O69" s="1275" t="str">
        <f t="shared" si="4"/>
        <v/>
      </c>
      <c r="P69" s="139" t="str">
        <f t="shared" si="5"/>
        <v/>
      </c>
      <c r="Q69" s="139" t="str">
        <f t="shared" si="6"/>
        <v/>
      </c>
      <c r="R69" s="139" t="str">
        <f t="shared" si="7"/>
        <v/>
      </c>
      <c r="S69" s="140" t="str">
        <f>IF($B69=0,"",_xlfn.XLOOKUP($B69,INPUT_DATA!$BP:$BP,INPUT_DATA!BZ:BZ))</f>
        <v/>
      </c>
      <c r="T69" s="140" t="str">
        <f>IF($B69=0,"",_xlfn.XLOOKUP($B69,INPUT_DATA!$BP:$BP,INPUT_DATA!CA:CA))</f>
        <v/>
      </c>
      <c r="U69" s="140" t="str">
        <f>IF($B69=0,"",_xlfn.XLOOKUP($B69,INPUT_DATA!$BP:$BP,INPUT_DATA!CB:CB))</f>
        <v/>
      </c>
      <c r="V69" s="1300" t="str">
        <f t="shared" si="8"/>
        <v/>
      </c>
      <c r="W69" s="139" t="str">
        <f t="shared" si="9"/>
        <v/>
      </c>
      <c r="X69" s="139" t="str">
        <f>IF($B69=0,"",_xlfn.XLOOKUP($B69,INPUT_DATA!$BP:$BP,INPUT_DATA!CC:CC))</f>
        <v/>
      </c>
      <c r="Y69" s="140" t="str">
        <f>IF($B69=0,"",_xlfn.XLOOKUP($B69,INPUT_DATA!$BP:$BP,INPUT_DATA!CD:CD))</f>
        <v/>
      </c>
      <c r="Z69" s="140" t="str">
        <f>IF($B69=0,"",_xlfn.XLOOKUP($B69,INPUT_DATA!$BP:$BP,INPUT_DATA!CE:CE))</f>
        <v/>
      </c>
      <c r="AA69" s="140" t="str">
        <f>IF($B69=0,"",_xlfn.XLOOKUP($B69,INPUT_DATA!$BP:$BP,INPUT_DATA!CF:CF))</f>
        <v/>
      </c>
      <c r="AB69" s="1300" t="str">
        <f t="shared" si="10"/>
        <v/>
      </c>
      <c r="AC69" s="139"/>
      <c r="AD69" s="139" t="str">
        <f t="shared" si="17"/>
        <v/>
      </c>
      <c r="AE69" s="1275" t="str">
        <f>IF($B69=0,"",_xlfn.XLOOKUP($B69,INPUT_DATA!$BP:$BP,INPUT_DATA!CH:CH))</f>
        <v/>
      </c>
      <c r="AF69" s="140" t="str">
        <f>IF($B69=0,"",_xlfn.XLOOKUP($B69,INPUT_DATA!$BP:$BP,INPUT_DATA!CI:CI))</f>
        <v/>
      </c>
      <c r="AG69" s="140" t="str">
        <f>IF($B69=0,"",_xlfn.XLOOKUP($B69,INPUT_DATA!$BP:$BP,INPUT_DATA!CJ:CJ))</f>
        <v/>
      </c>
      <c r="AH69" s="140" t="str">
        <f>IF($B69=0,"",_xlfn.XLOOKUP($B69,INPUT_DATA!$BP:$BP,INPUT_DATA!CK:CK))</f>
        <v/>
      </c>
      <c r="AI69" s="1300" t="str">
        <f t="shared" si="12"/>
        <v/>
      </c>
      <c r="AJ69" s="139" t="str">
        <f>IF($B69=0,"",_xlfn.XLOOKUP($B69,INPUT_DATA!$BP:$BP,INPUT_DATA!CL:CL))</f>
        <v/>
      </c>
      <c r="AK69" s="139" t="str">
        <f t="shared" si="13"/>
        <v/>
      </c>
      <c r="AL69" s="1275" t="str">
        <f>IF($B69=0,"",_xlfn.XLOOKUP($B69,INPUT_DATA!$BP:$BP,INPUT_DATA!CM:CM))</f>
        <v/>
      </c>
      <c r="AM69" s="139" t="str">
        <f t="shared" si="16"/>
        <v/>
      </c>
      <c r="AN69" s="1275" t="str">
        <f t="shared" si="14"/>
        <v/>
      </c>
    </row>
    <row r="70" spans="2:40">
      <c r="B70" s="137">
        <f>INPUT_DATA!BP61</f>
        <v>0</v>
      </c>
      <c r="C70" s="1291" t="str">
        <f>IF($B70=0,"",_xlfn.XLOOKUP($B70,INPUT_DATA!$BP:$BP,INPUT_DATA!BQ:BQ))</f>
        <v/>
      </c>
      <c r="D70" s="140" t="str">
        <f>IF($B70=0,"",_xlfn.XLOOKUP($B70,INPUT_DATA!$BP:$BP,INPUT_DATA!BR:BR))</f>
        <v/>
      </c>
      <c r="E70" s="140" t="str">
        <f>IF($B70=0,"",_xlfn.XLOOKUP($B70,INPUT_DATA!$BP:$BP,INPUT_DATA!BS:BS))</f>
        <v/>
      </c>
      <c r="F70" s="140" t="str">
        <f t="shared" si="1"/>
        <v/>
      </c>
      <c r="G70" s="1291" t="str">
        <f>IF($B70=0,"",_xlfn.XLOOKUP($B70,INPUT_DATA!$BP:$BP,INPUT_DATA!BT:BT))</f>
        <v/>
      </c>
      <c r="H70" s="140" t="str">
        <f>IF($B70=0,"",_xlfn.XLOOKUP($B70,INPUT_DATA!$BP:$BP,INPUT_DATA!BU:BU))</f>
        <v/>
      </c>
      <c r="I70" s="140" t="str">
        <f>IF($B70=0,"",_xlfn.XLOOKUP($B70,INPUT_DATA!$BP:$BP,INPUT_DATA!BV:BV))</f>
        <v/>
      </c>
      <c r="J70" s="140" t="str">
        <f t="shared" si="2"/>
        <v/>
      </c>
      <c r="K70" s="1291" t="str">
        <f>IF($B70=0,"",_xlfn.XLOOKUP($B70,INPUT_DATA!$BP:$BP,INPUT_DATA!BW:BW))</f>
        <v/>
      </c>
      <c r="L70" s="140" t="str">
        <f>IF($B70=0,"",_xlfn.XLOOKUP($B70,INPUT_DATA!$BP:$BP,INPUT_DATA!BX:BX))</f>
        <v/>
      </c>
      <c r="M70" s="140" t="str">
        <f>IF($B70=0,"",_xlfn.XLOOKUP($B70,INPUT_DATA!$BP:$BP,INPUT_DATA!BY:BY))</f>
        <v/>
      </c>
      <c r="N70" s="140" t="str">
        <f t="shared" si="3"/>
        <v/>
      </c>
      <c r="O70" s="1275" t="str">
        <f t="shared" si="4"/>
        <v/>
      </c>
      <c r="P70" s="139" t="str">
        <f t="shared" si="5"/>
        <v/>
      </c>
      <c r="Q70" s="139" t="str">
        <f t="shared" si="6"/>
        <v/>
      </c>
      <c r="R70" s="139" t="str">
        <f t="shared" si="7"/>
        <v/>
      </c>
      <c r="S70" s="140" t="str">
        <f>IF($B70=0,"",_xlfn.XLOOKUP($B70,INPUT_DATA!$BP:$BP,INPUT_DATA!BZ:BZ))</f>
        <v/>
      </c>
      <c r="T70" s="140" t="str">
        <f>IF($B70=0,"",_xlfn.XLOOKUP($B70,INPUT_DATA!$BP:$BP,INPUT_DATA!CA:CA))</f>
        <v/>
      </c>
      <c r="U70" s="140" t="str">
        <f>IF($B70=0,"",_xlfn.XLOOKUP($B70,INPUT_DATA!$BP:$BP,INPUT_DATA!CB:CB))</f>
        <v/>
      </c>
      <c r="V70" s="1300" t="str">
        <f t="shared" si="8"/>
        <v/>
      </c>
      <c r="W70" s="139" t="str">
        <f t="shared" si="9"/>
        <v/>
      </c>
      <c r="X70" s="139" t="str">
        <f>IF($B70=0,"",_xlfn.XLOOKUP($B70,INPUT_DATA!$BP:$BP,INPUT_DATA!CC:CC))</f>
        <v/>
      </c>
      <c r="Y70" s="140" t="str">
        <f>IF($B70=0,"",_xlfn.XLOOKUP($B70,INPUT_DATA!$BP:$BP,INPUT_DATA!CD:CD))</f>
        <v/>
      </c>
      <c r="Z70" s="140" t="str">
        <f>IF($B70=0,"",_xlfn.XLOOKUP($B70,INPUT_DATA!$BP:$BP,INPUT_DATA!CE:CE))</f>
        <v/>
      </c>
      <c r="AA70" s="140" t="str">
        <f>IF($B70=0,"",_xlfn.XLOOKUP($B70,INPUT_DATA!$BP:$BP,INPUT_DATA!CF:CF))</f>
        <v/>
      </c>
      <c r="AB70" s="1300" t="str">
        <f t="shared" si="10"/>
        <v/>
      </c>
      <c r="AC70" s="139"/>
      <c r="AD70" s="139" t="str">
        <f t="shared" si="17"/>
        <v/>
      </c>
      <c r="AE70" s="1275" t="str">
        <f>IF($B70=0,"",_xlfn.XLOOKUP($B70,INPUT_DATA!$BP:$BP,INPUT_DATA!CH:CH))</f>
        <v/>
      </c>
      <c r="AF70" s="140" t="str">
        <f>IF($B70=0,"",_xlfn.XLOOKUP($B70,INPUT_DATA!$BP:$BP,INPUT_DATA!CI:CI))</f>
        <v/>
      </c>
      <c r="AG70" s="140" t="str">
        <f>IF($B70=0,"",_xlfn.XLOOKUP($B70,INPUT_DATA!$BP:$BP,INPUT_DATA!CJ:CJ))</f>
        <v/>
      </c>
      <c r="AH70" s="140" t="str">
        <f>IF($B70=0,"",_xlfn.XLOOKUP($B70,INPUT_DATA!$BP:$BP,INPUT_DATA!CK:CK))</f>
        <v/>
      </c>
      <c r="AI70" s="1300" t="str">
        <f t="shared" si="12"/>
        <v/>
      </c>
      <c r="AJ70" s="139" t="str">
        <f>IF($B70=0,"",_xlfn.XLOOKUP($B70,INPUT_DATA!$BP:$BP,INPUT_DATA!CL:CL))</f>
        <v/>
      </c>
      <c r="AK70" s="139" t="str">
        <f t="shared" si="13"/>
        <v/>
      </c>
      <c r="AL70" s="1275" t="str">
        <f>IF($B70=0,"",_xlfn.XLOOKUP($B70,INPUT_DATA!$BP:$BP,INPUT_DATA!CM:CM))</f>
        <v/>
      </c>
      <c r="AM70" s="139" t="str">
        <f t="shared" si="16"/>
        <v/>
      </c>
      <c r="AN70" s="1275" t="str">
        <f t="shared" si="14"/>
        <v/>
      </c>
    </row>
    <row r="71" spans="2:40">
      <c r="B71" s="137">
        <f>INPUT_DATA!BP62</f>
        <v>0</v>
      </c>
      <c r="C71" s="1291" t="str">
        <f>IF($B71=0,"",_xlfn.XLOOKUP($B71,INPUT_DATA!$BP:$BP,INPUT_DATA!BQ:BQ))</f>
        <v/>
      </c>
      <c r="D71" s="140" t="str">
        <f>IF($B71=0,"",_xlfn.XLOOKUP($B71,INPUT_DATA!$BP:$BP,INPUT_DATA!BR:BR))</f>
        <v/>
      </c>
      <c r="E71" s="140" t="str">
        <f>IF($B71=0,"",_xlfn.XLOOKUP($B71,INPUT_DATA!$BP:$BP,INPUT_DATA!BS:BS))</f>
        <v/>
      </c>
      <c r="F71" s="140" t="str">
        <f t="shared" si="1"/>
        <v/>
      </c>
      <c r="G71" s="1291" t="str">
        <f>IF($B71=0,"",_xlfn.XLOOKUP($B71,INPUT_DATA!$BP:$BP,INPUT_DATA!BT:BT))</f>
        <v/>
      </c>
      <c r="H71" s="140" t="str">
        <f>IF($B71=0,"",_xlfn.XLOOKUP($B71,INPUT_DATA!$BP:$BP,INPUT_DATA!BU:BU))</f>
        <v/>
      </c>
      <c r="I71" s="140" t="str">
        <f>IF($B71=0,"",_xlfn.XLOOKUP($B71,INPUT_DATA!$BP:$BP,INPUT_DATA!BV:BV))</f>
        <v/>
      </c>
      <c r="J71" s="140" t="str">
        <f t="shared" si="2"/>
        <v/>
      </c>
      <c r="K71" s="1291" t="str">
        <f>IF($B71=0,"",_xlfn.XLOOKUP($B71,INPUT_DATA!$BP:$BP,INPUT_DATA!BW:BW))</f>
        <v/>
      </c>
      <c r="L71" s="140" t="str">
        <f>IF($B71=0,"",_xlfn.XLOOKUP($B71,INPUT_DATA!$BP:$BP,INPUT_DATA!BX:BX))</f>
        <v/>
      </c>
      <c r="M71" s="140" t="str">
        <f>IF($B71=0,"",_xlfn.XLOOKUP($B71,INPUT_DATA!$BP:$BP,INPUT_DATA!BY:BY))</f>
        <v/>
      </c>
      <c r="N71" s="140" t="str">
        <f t="shared" si="3"/>
        <v/>
      </c>
      <c r="O71" s="1275" t="str">
        <f t="shared" si="4"/>
        <v/>
      </c>
      <c r="P71" s="139" t="str">
        <f t="shared" si="5"/>
        <v/>
      </c>
      <c r="Q71" s="139" t="str">
        <f t="shared" si="6"/>
        <v/>
      </c>
      <c r="R71" s="139" t="str">
        <f t="shared" si="7"/>
        <v/>
      </c>
      <c r="S71" s="140" t="str">
        <f>IF($B71=0,"",_xlfn.XLOOKUP($B71,INPUT_DATA!$BP:$BP,INPUT_DATA!BZ:BZ))</f>
        <v/>
      </c>
      <c r="T71" s="140" t="str">
        <f>IF($B71=0,"",_xlfn.XLOOKUP($B71,INPUT_DATA!$BP:$BP,INPUT_DATA!CA:CA))</f>
        <v/>
      </c>
      <c r="U71" s="140" t="str">
        <f>IF($B71=0,"",_xlfn.XLOOKUP($B71,INPUT_DATA!$BP:$BP,INPUT_DATA!CB:CB))</f>
        <v/>
      </c>
      <c r="V71" s="1300" t="str">
        <f t="shared" si="8"/>
        <v/>
      </c>
      <c r="W71" s="139" t="str">
        <f t="shared" si="9"/>
        <v/>
      </c>
      <c r="X71" s="139" t="str">
        <f>IF($B71=0,"",_xlfn.XLOOKUP($B71,INPUT_DATA!$BP:$BP,INPUT_DATA!CC:CC))</f>
        <v/>
      </c>
      <c r="Y71" s="140" t="str">
        <f>IF($B71=0,"",_xlfn.XLOOKUP($B71,INPUT_DATA!$BP:$BP,INPUT_DATA!CD:CD))</f>
        <v/>
      </c>
      <c r="Z71" s="140" t="str">
        <f>IF($B71=0,"",_xlfn.XLOOKUP($B71,INPUT_DATA!$BP:$BP,INPUT_DATA!CE:CE))</f>
        <v/>
      </c>
      <c r="AA71" s="140" t="str">
        <f>IF($B71=0,"",_xlfn.XLOOKUP($B71,INPUT_DATA!$BP:$BP,INPUT_DATA!CF:CF))</f>
        <v/>
      </c>
      <c r="AB71" s="1300" t="str">
        <f t="shared" si="10"/>
        <v/>
      </c>
      <c r="AC71" s="139"/>
      <c r="AD71" s="139" t="str">
        <f t="shared" si="17"/>
        <v/>
      </c>
      <c r="AE71" s="1275" t="str">
        <f>IF($B71=0,"",_xlfn.XLOOKUP($B71,INPUT_DATA!$BP:$BP,INPUT_DATA!CH:CH))</f>
        <v/>
      </c>
      <c r="AF71" s="140" t="str">
        <f>IF($B71=0,"",_xlfn.XLOOKUP($B71,INPUT_DATA!$BP:$BP,INPUT_DATA!CI:CI))</f>
        <v/>
      </c>
      <c r="AG71" s="140" t="str">
        <f>IF($B71=0,"",_xlfn.XLOOKUP($B71,INPUT_DATA!$BP:$BP,INPUT_DATA!CJ:CJ))</f>
        <v/>
      </c>
      <c r="AH71" s="140" t="str">
        <f>IF($B71=0,"",_xlfn.XLOOKUP($B71,INPUT_DATA!$BP:$BP,INPUT_DATA!CK:CK))</f>
        <v/>
      </c>
      <c r="AI71" s="1300" t="str">
        <f t="shared" si="12"/>
        <v/>
      </c>
      <c r="AJ71" s="139" t="str">
        <f>IF($B71=0,"",_xlfn.XLOOKUP($B71,INPUT_DATA!$BP:$BP,INPUT_DATA!CL:CL))</f>
        <v/>
      </c>
      <c r="AK71" s="139" t="str">
        <f t="shared" si="13"/>
        <v/>
      </c>
      <c r="AL71" s="1275" t="str">
        <f>IF($B71=0,"",_xlfn.XLOOKUP($B71,INPUT_DATA!$BP:$BP,INPUT_DATA!CM:CM))</f>
        <v/>
      </c>
      <c r="AM71" s="139" t="str">
        <f t="shared" si="16"/>
        <v/>
      </c>
      <c r="AN71" s="1275" t="str">
        <f t="shared" si="14"/>
        <v/>
      </c>
    </row>
    <row r="72" spans="2:40">
      <c r="B72" s="137">
        <f>INPUT_DATA!BP63</f>
        <v>0</v>
      </c>
      <c r="C72" s="1291" t="str">
        <f>IF($B72=0,"",_xlfn.XLOOKUP($B72,INPUT_DATA!$BP:$BP,INPUT_DATA!BQ:BQ))</f>
        <v/>
      </c>
      <c r="D72" s="140" t="str">
        <f>IF($B72=0,"",_xlfn.XLOOKUP($B72,INPUT_DATA!$BP:$BP,INPUT_DATA!BR:BR))</f>
        <v/>
      </c>
      <c r="E72" s="140" t="str">
        <f>IF($B72=0,"",_xlfn.XLOOKUP($B72,INPUT_DATA!$BP:$BP,INPUT_DATA!BS:BS))</f>
        <v/>
      </c>
      <c r="F72" s="140" t="str">
        <f t="shared" si="1"/>
        <v/>
      </c>
      <c r="G72" s="1291" t="str">
        <f>IF($B72=0,"",_xlfn.XLOOKUP($B72,INPUT_DATA!$BP:$BP,INPUT_DATA!BT:BT))</f>
        <v/>
      </c>
      <c r="H72" s="140" t="str">
        <f>IF($B72=0,"",_xlfn.XLOOKUP($B72,INPUT_DATA!$BP:$BP,INPUT_DATA!BU:BU))</f>
        <v/>
      </c>
      <c r="I72" s="140" t="str">
        <f>IF($B72=0,"",_xlfn.XLOOKUP($B72,INPUT_DATA!$BP:$BP,INPUT_DATA!BV:BV))</f>
        <v/>
      </c>
      <c r="J72" s="140" t="str">
        <f t="shared" si="2"/>
        <v/>
      </c>
      <c r="K72" s="1291" t="str">
        <f>IF($B72=0,"",_xlfn.XLOOKUP($B72,INPUT_DATA!$BP:$BP,INPUT_DATA!BW:BW))</f>
        <v/>
      </c>
      <c r="L72" s="140" t="str">
        <f>IF($B72=0,"",_xlfn.XLOOKUP($B72,INPUT_DATA!$BP:$BP,INPUT_DATA!BX:BX))</f>
        <v/>
      </c>
      <c r="M72" s="140" t="str">
        <f>IF($B72=0,"",_xlfn.XLOOKUP($B72,INPUT_DATA!$BP:$BP,INPUT_DATA!BY:BY))</f>
        <v/>
      </c>
      <c r="N72" s="140" t="str">
        <f t="shared" si="3"/>
        <v/>
      </c>
      <c r="O72" s="1275" t="str">
        <f t="shared" si="4"/>
        <v/>
      </c>
      <c r="P72" s="139" t="str">
        <f t="shared" si="5"/>
        <v/>
      </c>
      <c r="Q72" s="139" t="str">
        <f t="shared" si="6"/>
        <v/>
      </c>
      <c r="R72" s="139" t="str">
        <f t="shared" si="7"/>
        <v/>
      </c>
      <c r="S72" s="140" t="str">
        <f>IF($B72=0,"",_xlfn.XLOOKUP($B72,INPUT_DATA!$BP:$BP,INPUT_DATA!BZ:BZ))</f>
        <v/>
      </c>
      <c r="T72" s="140" t="str">
        <f>IF($B72=0,"",_xlfn.XLOOKUP($B72,INPUT_DATA!$BP:$BP,INPUT_DATA!CA:CA))</f>
        <v/>
      </c>
      <c r="U72" s="140" t="str">
        <f>IF($B72=0,"",_xlfn.XLOOKUP($B72,INPUT_DATA!$BP:$BP,INPUT_DATA!CB:CB))</f>
        <v/>
      </c>
      <c r="V72" s="1300" t="str">
        <f t="shared" si="8"/>
        <v/>
      </c>
      <c r="W72" s="139" t="str">
        <f t="shared" si="9"/>
        <v/>
      </c>
      <c r="X72" s="139" t="str">
        <f>IF($B72=0,"",_xlfn.XLOOKUP($B72,INPUT_DATA!$BP:$BP,INPUT_DATA!CC:CC))</f>
        <v/>
      </c>
      <c r="Y72" s="140" t="str">
        <f>IF($B72=0,"",_xlfn.XLOOKUP($B72,INPUT_DATA!$BP:$BP,INPUT_DATA!CD:CD))</f>
        <v/>
      </c>
      <c r="Z72" s="140" t="str">
        <f>IF($B72=0,"",_xlfn.XLOOKUP($B72,INPUT_DATA!$BP:$BP,INPUT_DATA!CE:CE))</f>
        <v/>
      </c>
      <c r="AA72" s="140" t="str">
        <f>IF($B72=0,"",_xlfn.XLOOKUP($B72,INPUT_DATA!$BP:$BP,INPUT_DATA!CF:CF))</f>
        <v/>
      </c>
      <c r="AB72" s="1300" t="str">
        <f t="shared" si="10"/>
        <v/>
      </c>
      <c r="AC72" s="139"/>
      <c r="AD72" s="139" t="str">
        <f t="shared" si="17"/>
        <v/>
      </c>
      <c r="AE72" s="1275" t="str">
        <f>IF($B72=0,"",_xlfn.XLOOKUP($B72,INPUT_DATA!$BP:$BP,INPUT_DATA!CH:CH))</f>
        <v/>
      </c>
      <c r="AF72" s="140" t="str">
        <f>IF($B72=0,"",_xlfn.XLOOKUP($B72,INPUT_DATA!$BP:$BP,INPUT_DATA!CI:CI))</f>
        <v/>
      </c>
      <c r="AG72" s="140" t="str">
        <f>IF($B72=0,"",_xlfn.XLOOKUP($B72,INPUT_DATA!$BP:$BP,INPUT_DATA!CJ:CJ))</f>
        <v/>
      </c>
      <c r="AH72" s="140" t="str">
        <f>IF($B72=0,"",_xlfn.XLOOKUP($B72,INPUT_DATA!$BP:$BP,INPUT_DATA!CK:CK))</f>
        <v/>
      </c>
      <c r="AI72" s="1300" t="str">
        <f t="shared" si="12"/>
        <v/>
      </c>
      <c r="AJ72" s="139" t="str">
        <f>IF($B72=0,"",_xlfn.XLOOKUP($B72,INPUT_DATA!$BP:$BP,INPUT_DATA!CL:CL))</f>
        <v/>
      </c>
      <c r="AK72" s="139" t="str">
        <f t="shared" si="13"/>
        <v/>
      </c>
      <c r="AL72" s="1275" t="str">
        <f>IF($B72=0,"",_xlfn.XLOOKUP($B72,INPUT_DATA!$BP:$BP,INPUT_DATA!CM:CM))</f>
        <v/>
      </c>
      <c r="AM72" s="139" t="str">
        <f t="shared" si="16"/>
        <v/>
      </c>
      <c r="AN72" s="1275" t="str">
        <f t="shared" si="14"/>
        <v/>
      </c>
    </row>
    <row r="73" spans="2:40">
      <c r="B73" s="137">
        <f>INPUT_DATA!BP64</f>
        <v>0</v>
      </c>
      <c r="C73" s="1291" t="str">
        <f>IF($B73=0,"",_xlfn.XLOOKUP($B73,INPUT_DATA!$BP:$BP,INPUT_DATA!BQ:BQ))</f>
        <v/>
      </c>
      <c r="D73" s="140" t="str">
        <f>IF($B73=0,"",_xlfn.XLOOKUP($B73,INPUT_DATA!$BP:$BP,INPUT_DATA!BR:BR))</f>
        <v/>
      </c>
      <c r="E73" s="140" t="str">
        <f>IF($B73=0,"",_xlfn.XLOOKUP($B73,INPUT_DATA!$BP:$BP,INPUT_DATA!BS:BS))</f>
        <v/>
      </c>
      <c r="F73" s="140" t="str">
        <f t="shared" si="1"/>
        <v/>
      </c>
      <c r="G73" s="1291" t="str">
        <f>IF($B73=0,"",_xlfn.XLOOKUP($B73,INPUT_DATA!$BP:$BP,INPUT_DATA!BT:BT))</f>
        <v/>
      </c>
      <c r="H73" s="140" t="str">
        <f>IF($B73=0,"",_xlfn.XLOOKUP($B73,INPUT_DATA!$BP:$BP,INPUT_DATA!BU:BU))</f>
        <v/>
      </c>
      <c r="I73" s="140" t="str">
        <f>IF($B73=0,"",_xlfn.XLOOKUP($B73,INPUT_DATA!$BP:$BP,INPUT_DATA!BV:BV))</f>
        <v/>
      </c>
      <c r="J73" s="140" t="str">
        <f t="shared" si="2"/>
        <v/>
      </c>
      <c r="K73" s="1291" t="str">
        <f>IF($B73=0,"",_xlfn.XLOOKUP($B73,INPUT_DATA!$BP:$BP,INPUT_DATA!BW:BW))</f>
        <v/>
      </c>
      <c r="L73" s="140" t="str">
        <f>IF($B73=0,"",_xlfn.XLOOKUP($B73,INPUT_DATA!$BP:$BP,INPUT_DATA!BX:BX))</f>
        <v/>
      </c>
      <c r="M73" s="140" t="str">
        <f>IF($B73=0,"",_xlfn.XLOOKUP($B73,INPUT_DATA!$BP:$BP,INPUT_DATA!BY:BY))</f>
        <v/>
      </c>
      <c r="N73" s="140" t="str">
        <f t="shared" si="3"/>
        <v/>
      </c>
      <c r="O73" s="1275" t="str">
        <f t="shared" si="4"/>
        <v/>
      </c>
      <c r="P73" s="139" t="str">
        <f t="shared" si="5"/>
        <v/>
      </c>
      <c r="Q73" s="139" t="str">
        <f t="shared" si="6"/>
        <v/>
      </c>
      <c r="R73" s="139" t="str">
        <f t="shared" si="7"/>
        <v/>
      </c>
      <c r="S73" s="140" t="str">
        <f>IF($B73=0,"",_xlfn.XLOOKUP($B73,INPUT_DATA!$BP:$BP,INPUT_DATA!BZ:BZ))</f>
        <v/>
      </c>
      <c r="T73" s="140" t="str">
        <f>IF($B73=0,"",_xlfn.XLOOKUP($B73,INPUT_DATA!$BP:$BP,INPUT_DATA!CA:CA))</f>
        <v/>
      </c>
      <c r="U73" s="140" t="str">
        <f>IF($B73=0,"",_xlfn.XLOOKUP($B73,INPUT_DATA!$BP:$BP,INPUT_DATA!CB:CB))</f>
        <v/>
      </c>
      <c r="V73" s="1300" t="str">
        <f t="shared" si="8"/>
        <v/>
      </c>
      <c r="W73" s="139" t="str">
        <f t="shared" si="9"/>
        <v/>
      </c>
      <c r="X73" s="139" t="str">
        <f>IF($B73=0,"",_xlfn.XLOOKUP($B73,INPUT_DATA!$BP:$BP,INPUT_DATA!CC:CC))</f>
        <v/>
      </c>
      <c r="Y73" s="140" t="str">
        <f>IF($B73=0,"",_xlfn.XLOOKUP($B73,INPUT_DATA!$BP:$BP,INPUT_DATA!CD:CD))</f>
        <v/>
      </c>
      <c r="Z73" s="140" t="str">
        <f>IF($B73=0,"",_xlfn.XLOOKUP($B73,INPUT_DATA!$BP:$BP,INPUT_DATA!CE:CE))</f>
        <v/>
      </c>
      <c r="AA73" s="140" t="str">
        <f>IF($B73=0,"",_xlfn.XLOOKUP($B73,INPUT_DATA!$BP:$BP,INPUT_DATA!CF:CF))</f>
        <v/>
      </c>
      <c r="AB73" s="1300" t="str">
        <f t="shared" si="10"/>
        <v/>
      </c>
      <c r="AC73" s="139"/>
      <c r="AD73" s="139" t="str">
        <f t="shared" si="17"/>
        <v/>
      </c>
      <c r="AE73" s="1275" t="str">
        <f>IF($B73=0,"",_xlfn.XLOOKUP($B73,INPUT_DATA!$BP:$BP,INPUT_DATA!CH:CH))</f>
        <v/>
      </c>
      <c r="AF73" s="140" t="str">
        <f>IF($B73=0,"",_xlfn.XLOOKUP($B73,INPUT_DATA!$BP:$BP,INPUT_DATA!CI:CI))</f>
        <v/>
      </c>
      <c r="AG73" s="140" t="str">
        <f>IF($B73=0,"",_xlfn.XLOOKUP($B73,INPUT_DATA!$BP:$BP,INPUT_DATA!CJ:CJ))</f>
        <v/>
      </c>
      <c r="AH73" s="140" t="str">
        <f>IF($B73=0,"",_xlfn.XLOOKUP($B73,INPUT_DATA!$BP:$BP,INPUT_DATA!CK:CK))</f>
        <v/>
      </c>
      <c r="AI73" s="1300" t="str">
        <f t="shared" si="12"/>
        <v/>
      </c>
      <c r="AJ73" s="139" t="str">
        <f>IF($B73=0,"",_xlfn.XLOOKUP($B73,INPUT_DATA!$BP:$BP,INPUT_DATA!CL:CL))</f>
        <v/>
      </c>
      <c r="AK73" s="139" t="str">
        <f t="shared" si="13"/>
        <v/>
      </c>
      <c r="AL73" s="1275" t="str">
        <f>IF($B73=0,"",_xlfn.XLOOKUP($B73,INPUT_DATA!$BP:$BP,INPUT_DATA!CM:CM))</f>
        <v/>
      </c>
      <c r="AM73" s="139" t="str">
        <f t="shared" si="16"/>
        <v/>
      </c>
      <c r="AN73" s="1275" t="str">
        <f t="shared" si="14"/>
        <v/>
      </c>
    </row>
    <row r="74" spans="2:40">
      <c r="B74" s="137">
        <f>INPUT_DATA!BP65</f>
        <v>0</v>
      </c>
      <c r="C74" s="1291" t="str">
        <f>IF($B74=0,"",_xlfn.XLOOKUP($B74,INPUT_DATA!$BP:$BP,INPUT_DATA!BQ:BQ))</f>
        <v/>
      </c>
      <c r="D74" s="140" t="str">
        <f>IF($B74=0,"",_xlfn.XLOOKUP($B74,INPUT_DATA!$BP:$BP,INPUT_DATA!BR:BR))</f>
        <v/>
      </c>
      <c r="E74" s="140" t="str">
        <f>IF($B74=0,"",_xlfn.XLOOKUP($B74,INPUT_DATA!$BP:$BP,INPUT_DATA!BS:BS))</f>
        <v/>
      </c>
      <c r="F74" s="140" t="str">
        <f t="shared" si="1"/>
        <v/>
      </c>
      <c r="G74" s="1291" t="str">
        <f>IF($B74=0,"",_xlfn.XLOOKUP($B74,INPUT_DATA!$BP:$BP,INPUT_DATA!BT:BT))</f>
        <v/>
      </c>
      <c r="H74" s="140" t="str">
        <f>IF($B74=0,"",_xlfn.XLOOKUP($B74,INPUT_DATA!$BP:$BP,INPUT_DATA!BU:BU))</f>
        <v/>
      </c>
      <c r="I74" s="140" t="str">
        <f>IF($B74=0,"",_xlfn.XLOOKUP($B74,INPUT_DATA!$BP:$BP,INPUT_DATA!BV:BV))</f>
        <v/>
      </c>
      <c r="J74" s="140" t="str">
        <f t="shared" si="2"/>
        <v/>
      </c>
      <c r="K74" s="1291" t="str">
        <f>IF($B74=0,"",_xlfn.XLOOKUP($B74,INPUT_DATA!$BP:$BP,INPUT_DATA!BW:BW))</f>
        <v/>
      </c>
      <c r="L74" s="140" t="str">
        <f>IF($B74=0,"",_xlfn.XLOOKUP($B74,INPUT_DATA!$BP:$BP,INPUT_DATA!BX:BX))</f>
        <v/>
      </c>
      <c r="M74" s="140" t="str">
        <f>IF($B74=0,"",_xlfn.XLOOKUP($B74,INPUT_DATA!$BP:$BP,INPUT_DATA!BY:BY))</f>
        <v/>
      </c>
      <c r="N74" s="140" t="str">
        <f t="shared" si="3"/>
        <v/>
      </c>
      <c r="O74" s="1275" t="str">
        <f t="shared" si="4"/>
        <v/>
      </c>
      <c r="P74" s="139" t="str">
        <f t="shared" si="5"/>
        <v/>
      </c>
      <c r="Q74" s="139" t="str">
        <f t="shared" si="6"/>
        <v/>
      </c>
      <c r="R74" s="139" t="str">
        <f t="shared" si="7"/>
        <v/>
      </c>
      <c r="S74" s="140" t="str">
        <f>IF($B74=0,"",_xlfn.XLOOKUP($B74,INPUT_DATA!$BP:$BP,INPUT_DATA!BZ:BZ))</f>
        <v/>
      </c>
      <c r="T74" s="140" t="str">
        <f>IF($B74=0,"",_xlfn.XLOOKUP($B74,INPUT_DATA!$BP:$BP,INPUT_DATA!CA:CA))</f>
        <v/>
      </c>
      <c r="U74" s="140" t="str">
        <f>IF($B74=0,"",_xlfn.XLOOKUP($B74,INPUT_DATA!$BP:$BP,INPUT_DATA!CB:CB))</f>
        <v/>
      </c>
      <c r="V74" s="1300" t="str">
        <f t="shared" si="8"/>
        <v/>
      </c>
      <c r="W74" s="139" t="str">
        <f t="shared" si="9"/>
        <v/>
      </c>
      <c r="X74" s="139" t="str">
        <f>IF($B74=0,"",_xlfn.XLOOKUP($B74,INPUT_DATA!$BP:$BP,INPUT_DATA!CC:CC))</f>
        <v/>
      </c>
      <c r="Y74" s="140" t="str">
        <f>IF($B74=0,"",_xlfn.XLOOKUP($B74,INPUT_DATA!$BP:$BP,INPUT_DATA!CD:CD))</f>
        <v/>
      </c>
      <c r="Z74" s="140" t="str">
        <f>IF($B74=0,"",_xlfn.XLOOKUP($B74,INPUT_DATA!$BP:$BP,INPUT_DATA!CE:CE))</f>
        <v/>
      </c>
      <c r="AA74" s="140" t="str">
        <f>IF($B74=0,"",_xlfn.XLOOKUP($B74,INPUT_DATA!$BP:$BP,INPUT_DATA!CF:CF))</f>
        <v/>
      </c>
      <c r="AB74" s="1300" t="str">
        <f t="shared" si="10"/>
        <v/>
      </c>
      <c r="AC74" s="139"/>
      <c r="AD74" s="139" t="str">
        <f t="shared" si="17"/>
        <v/>
      </c>
      <c r="AE74" s="1275" t="str">
        <f>IF($B74=0,"",_xlfn.XLOOKUP($B74,INPUT_DATA!$BP:$BP,INPUT_DATA!CH:CH))</f>
        <v/>
      </c>
      <c r="AF74" s="140" t="str">
        <f>IF($B74=0,"",_xlfn.XLOOKUP($B74,INPUT_DATA!$BP:$BP,INPUT_DATA!CI:CI))</f>
        <v/>
      </c>
      <c r="AG74" s="140" t="str">
        <f>IF($B74=0,"",_xlfn.XLOOKUP($B74,INPUT_DATA!$BP:$BP,INPUT_DATA!CJ:CJ))</f>
        <v/>
      </c>
      <c r="AH74" s="140" t="str">
        <f>IF($B74=0,"",_xlfn.XLOOKUP($B74,INPUT_DATA!$BP:$BP,INPUT_DATA!CK:CK))</f>
        <v/>
      </c>
      <c r="AI74" s="1300" t="str">
        <f t="shared" si="12"/>
        <v/>
      </c>
      <c r="AJ74" s="139" t="str">
        <f>IF($B74=0,"",_xlfn.XLOOKUP($B74,INPUT_DATA!$BP:$BP,INPUT_DATA!CL:CL))</f>
        <v/>
      </c>
      <c r="AK74" s="139" t="str">
        <f t="shared" si="13"/>
        <v/>
      </c>
      <c r="AL74" s="1275" t="str">
        <f>IF($B74=0,"",_xlfn.XLOOKUP($B74,INPUT_DATA!$BP:$BP,INPUT_DATA!CM:CM))</f>
        <v/>
      </c>
      <c r="AM74" s="139" t="str">
        <f t="shared" si="16"/>
        <v/>
      </c>
      <c r="AN74" s="1275" t="str">
        <f t="shared" si="14"/>
        <v/>
      </c>
    </row>
    <row r="75" spans="2:40">
      <c r="B75" s="137">
        <f>INPUT_DATA!BP66</f>
        <v>0</v>
      </c>
      <c r="C75" s="1291" t="str">
        <f>IF($B75=0,"",_xlfn.XLOOKUP($B75,INPUT_DATA!$BP:$BP,INPUT_DATA!BQ:BQ))</f>
        <v/>
      </c>
      <c r="D75" s="140" t="str">
        <f>IF($B75=0,"",_xlfn.XLOOKUP($B75,INPUT_DATA!$BP:$BP,INPUT_DATA!BR:BR))</f>
        <v/>
      </c>
      <c r="E75" s="140" t="str">
        <f>IF($B75=0,"",_xlfn.XLOOKUP($B75,INPUT_DATA!$BP:$BP,INPUT_DATA!BS:BS))</f>
        <v/>
      </c>
      <c r="F75" s="140" t="str">
        <f t="shared" si="1"/>
        <v/>
      </c>
      <c r="G75" s="1291" t="str">
        <f>IF($B75=0,"",_xlfn.XLOOKUP($B75,INPUT_DATA!$BP:$BP,INPUT_DATA!BT:BT))</f>
        <v/>
      </c>
      <c r="H75" s="140" t="str">
        <f>IF($B75=0,"",_xlfn.XLOOKUP($B75,INPUT_DATA!$BP:$BP,INPUT_DATA!BU:BU))</f>
        <v/>
      </c>
      <c r="I75" s="140" t="str">
        <f>IF($B75=0,"",_xlfn.XLOOKUP($B75,INPUT_DATA!$BP:$BP,INPUT_DATA!BV:BV))</f>
        <v/>
      </c>
      <c r="J75" s="140" t="str">
        <f t="shared" si="2"/>
        <v/>
      </c>
      <c r="K75" s="1291" t="str">
        <f>IF($B75=0,"",_xlfn.XLOOKUP($B75,INPUT_DATA!$BP:$BP,INPUT_DATA!BW:BW))</f>
        <v/>
      </c>
      <c r="L75" s="140" t="str">
        <f>IF($B75=0,"",_xlfn.XLOOKUP($B75,INPUT_DATA!$BP:$BP,INPUT_DATA!BX:BX))</f>
        <v/>
      </c>
      <c r="M75" s="140" t="str">
        <f>IF($B75=0,"",_xlfn.XLOOKUP($B75,INPUT_DATA!$BP:$BP,INPUT_DATA!BY:BY))</f>
        <v/>
      </c>
      <c r="N75" s="140" t="str">
        <f t="shared" si="3"/>
        <v/>
      </c>
      <c r="O75" s="1275" t="str">
        <f t="shared" si="4"/>
        <v/>
      </c>
      <c r="P75" s="139" t="str">
        <f t="shared" si="5"/>
        <v/>
      </c>
      <c r="Q75" s="139" t="str">
        <f t="shared" si="6"/>
        <v/>
      </c>
      <c r="R75" s="139" t="str">
        <f t="shared" si="7"/>
        <v/>
      </c>
      <c r="S75" s="140" t="str">
        <f>IF($B75=0,"",_xlfn.XLOOKUP($B75,INPUT_DATA!$BP:$BP,INPUT_DATA!BZ:BZ))</f>
        <v/>
      </c>
      <c r="T75" s="140" t="str">
        <f>IF($B75=0,"",_xlfn.XLOOKUP($B75,INPUT_DATA!$BP:$BP,INPUT_DATA!CA:CA))</f>
        <v/>
      </c>
      <c r="U75" s="140" t="str">
        <f>IF($B75=0,"",_xlfn.XLOOKUP($B75,INPUT_DATA!$BP:$BP,INPUT_DATA!CB:CB))</f>
        <v/>
      </c>
      <c r="V75" s="1300" t="str">
        <f t="shared" si="8"/>
        <v/>
      </c>
      <c r="W75" s="139" t="str">
        <f t="shared" si="9"/>
        <v/>
      </c>
      <c r="X75" s="139" t="str">
        <f>IF($B75=0,"",_xlfn.XLOOKUP($B75,INPUT_DATA!$BP:$BP,INPUT_DATA!CC:CC))</f>
        <v/>
      </c>
      <c r="Y75" s="140" t="str">
        <f>IF($B75=0,"",_xlfn.XLOOKUP($B75,INPUT_DATA!$BP:$BP,INPUT_DATA!CD:CD))</f>
        <v/>
      </c>
      <c r="Z75" s="140" t="str">
        <f>IF($B75=0,"",_xlfn.XLOOKUP($B75,INPUT_DATA!$BP:$BP,INPUT_DATA!CE:CE))</f>
        <v/>
      </c>
      <c r="AA75" s="140" t="str">
        <f>IF($B75=0,"",_xlfn.XLOOKUP($B75,INPUT_DATA!$BP:$BP,INPUT_DATA!CF:CF))</f>
        <v/>
      </c>
      <c r="AB75" s="1300" t="str">
        <f t="shared" si="10"/>
        <v/>
      </c>
      <c r="AC75" s="139"/>
      <c r="AD75" s="139" t="str">
        <f t="shared" si="17"/>
        <v/>
      </c>
      <c r="AE75" s="1275" t="str">
        <f>IF($B75=0,"",_xlfn.XLOOKUP($B75,INPUT_DATA!$BP:$BP,INPUT_DATA!CH:CH))</f>
        <v/>
      </c>
      <c r="AF75" s="140" t="str">
        <f>IF($B75=0,"",_xlfn.XLOOKUP($B75,INPUT_DATA!$BP:$BP,INPUT_DATA!CI:CI))</f>
        <v/>
      </c>
      <c r="AG75" s="140" t="str">
        <f>IF($B75=0,"",_xlfn.XLOOKUP($B75,INPUT_DATA!$BP:$BP,INPUT_DATA!CJ:CJ))</f>
        <v/>
      </c>
      <c r="AH75" s="140" t="str">
        <f>IF($B75=0,"",_xlfn.XLOOKUP($B75,INPUT_DATA!$BP:$BP,INPUT_DATA!CK:CK))</f>
        <v/>
      </c>
      <c r="AI75" s="1300" t="str">
        <f t="shared" si="12"/>
        <v/>
      </c>
      <c r="AJ75" s="139" t="str">
        <f>IF($B75=0,"",_xlfn.XLOOKUP($B75,INPUT_DATA!$BP:$BP,INPUT_DATA!CL:CL))</f>
        <v/>
      </c>
      <c r="AK75" s="139" t="str">
        <f t="shared" si="13"/>
        <v/>
      </c>
      <c r="AL75" s="1275" t="str">
        <f>IF($B75=0,"",_xlfn.XLOOKUP($B75,INPUT_DATA!$BP:$BP,INPUT_DATA!CM:CM))</f>
        <v/>
      </c>
      <c r="AM75" s="139" t="str">
        <f t="shared" si="16"/>
        <v/>
      </c>
      <c r="AN75" s="1275" t="str">
        <f t="shared" si="14"/>
        <v/>
      </c>
    </row>
    <row r="76" spans="2:40">
      <c r="B76" s="137">
        <f>INPUT_DATA!BP67</f>
        <v>0</v>
      </c>
      <c r="C76" s="1291" t="str">
        <f>IF($B76=0,"",_xlfn.XLOOKUP($B76,INPUT_DATA!$BP:$BP,INPUT_DATA!BQ:BQ))</f>
        <v/>
      </c>
      <c r="D76" s="140" t="str">
        <f>IF($B76=0,"",_xlfn.XLOOKUP($B76,INPUT_DATA!$BP:$BP,INPUT_DATA!BR:BR))</f>
        <v/>
      </c>
      <c r="E76" s="140" t="str">
        <f>IF($B76=0,"",_xlfn.XLOOKUP($B76,INPUT_DATA!$BP:$BP,INPUT_DATA!BS:BS))</f>
        <v/>
      </c>
      <c r="F76" s="140" t="str">
        <f t="shared" si="1"/>
        <v/>
      </c>
      <c r="G76" s="1291" t="str">
        <f>IF($B76=0,"",_xlfn.XLOOKUP($B76,INPUT_DATA!$BP:$BP,INPUT_DATA!BT:BT))</f>
        <v/>
      </c>
      <c r="H76" s="140" t="str">
        <f>IF($B76=0,"",_xlfn.XLOOKUP($B76,INPUT_DATA!$BP:$BP,INPUT_DATA!BU:BU))</f>
        <v/>
      </c>
      <c r="I76" s="140" t="str">
        <f>IF($B76=0,"",_xlfn.XLOOKUP($B76,INPUT_DATA!$BP:$BP,INPUT_DATA!BV:BV))</f>
        <v/>
      </c>
      <c r="J76" s="140" t="str">
        <f t="shared" si="2"/>
        <v/>
      </c>
      <c r="K76" s="1291" t="str">
        <f>IF($B76=0,"",_xlfn.XLOOKUP($B76,INPUT_DATA!$BP:$BP,INPUT_DATA!BW:BW))</f>
        <v/>
      </c>
      <c r="L76" s="140" t="str">
        <f>IF($B76=0,"",_xlfn.XLOOKUP($B76,INPUT_DATA!$BP:$BP,INPUT_DATA!BX:BX))</f>
        <v/>
      </c>
      <c r="M76" s="140" t="str">
        <f>IF($B76=0,"",_xlfn.XLOOKUP($B76,INPUT_DATA!$BP:$BP,INPUT_DATA!BY:BY))</f>
        <v/>
      </c>
      <c r="N76" s="140" t="str">
        <f t="shared" si="3"/>
        <v/>
      </c>
      <c r="O76" s="1275" t="str">
        <f t="shared" si="4"/>
        <v/>
      </c>
      <c r="P76" s="139" t="str">
        <f t="shared" si="5"/>
        <v/>
      </c>
      <c r="Q76" s="139" t="str">
        <f t="shared" si="6"/>
        <v/>
      </c>
      <c r="R76" s="139" t="str">
        <f t="shared" si="7"/>
        <v/>
      </c>
      <c r="S76" s="140" t="str">
        <f>IF($B76=0,"",_xlfn.XLOOKUP($B76,INPUT_DATA!$BP:$BP,INPUT_DATA!BZ:BZ))</f>
        <v/>
      </c>
      <c r="T76" s="140" t="str">
        <f>IF($B76=0,"",_xlfn.XLOOKUP($B76,INPUT_DATA!$BP:$BP,INPUT_DATA!CA:CA))</f>
        <v/>
      </c>
      <c r="U76" s="140" t="str">
        <f>IF($B76=0,"",_xlfn.XLOOKUP($B76,INPUT_DATA!$BP:$BP,INPUT_DATA!CB:CB))</f>
        <v/>
      </c>
      <c r="V76" s="1300" t="str">
        <f t="shared" si="8"/>
        <v/>
      </c>
      <c r="W76" s="139" t="str">
        <f t="shared" si="9"/>
        <v/>
      </c>
      <c r="X76" s="139" t="str">
        <f>IF($B76=0,"",_xlfn.XLOOKUP($B76,INPUT_DATA!$BP:$BP,INPUT_DATA!CC:CC))</f>
        <v/>
      </c>
      <c r="Y76" s="140" t="str">
        <f>IF($B76=0,"",_xlfn.XLOOKUP($B76,INPUT_DATA!$BP:$BP,INPUT_DATA!CD:CD))</f>
        <v/>
      </c>
      <c r="Z76" s="140" t="str">
        <f>IF($B76=0,"",_xlfn.XLOOKUP($B76,INPUT_DATA!$BP:$BP,INPUT_DATA!CE:CE))</f>
        <v/>
      </c>
      <c r="AA76" s="140" t="str">
        <f>IF($B76=0,"",_xlfn.XLOOKUP($B76,INPUT_DATA!$BP:$BP,INPUT_DATA!CF:CF))</f>
        <v/>
      </c>
      <c r="AB76" s="1300" t="str">
        <f t="shared" si="10"/>
        <v/>
      </c>
      <c r="AC76" s="139"/>
      <c r="AD76" s="139" t="str">
        <f t="shared" si="17"/>
        <v/>
      </c>
      <c r="AE76" s="1275" t="str">
        <f>IF($B76=0,"",_xlfn.XLOOKUP($B76,INPUT_DATA!$BP:$BP,INPUT_DATA!CH:CH))</f>
        <v/>
      </c>
      <c r="AF76" s="140" t="str">
        <f>IF($B76=0,"",_xlfn.XLOOKUP($B76,INPUT_DATA!$BP:$BP,INPUT_DATA!CI:CI))</f>
        <v/>
      </c>
      <c r="AG76" s="140" t="str">
        <f>IF($B76=0,"",_xlfn.XLOOKUP($B76,INPUT_DATA!$BP:$BP,INPUT_DATA!CJ:CJ))</f>
        <v/>
      </c>
      <c r="AH76" s="140" t="str">
        <f>IF($B76=0,"",_xlfn.XLOOKUP($B76,INPUT_DATA!$BP:$BP,INPUT_DATA!CK:CK))</f>
        <v/>
      </c>
      <c r="AI76" s="1300" t="str">
        <f t="shared" si="12"/>
        <v/>
      </c>
      <c r="AJ76" s="139" t="str">
        <f>IF($B76=0,"",_xlfn.XLOOKUP($B76,INPUT_DATA!$BP:$BP,INPUT_DATA!CL:CL))</f>
        <v/>
      </c>
      <c r="AK76" s="139" t="str">
        <f t="shared" si="13"/>
        <v/>
      </c>
      <c r="AL76" s="1275" t="str">
        <f>IF($B76=0,"",_xlfn.XLOOKUP($B76,INPUT_DATA!$BP:$BP,INPUT_DATA!CM:CM))</f>
        <v/>
      </c>
      <c r="AM76" s="139" t="str">
        <f t="shared" si="16"/>
        <v/>
      </c>
      <c r="AN76" s="1275" t="str">
        <f t="shared" si="14"/>
        <v/>
      </c>
    </row>
    <row r="77" spans="2:40">
      <c r="B77" s="137">
        <f>INPUT_DATA!BP68</f>
        <v>0</v>
      </c>
      <c r="C77" s="1291" t="str">
        <f>IF($B77=0,"",_xlfn.XLOOKUP($B77,INPUT_DATA!$BP:$BP,INPUT_DATA!BQ:BQ))</f>
        <v/>
      </c>
      <c r="D77" s="140" t="str">
        <f>IF($B77=0,"",_xlfn.XLOOKUP($B77,INPUT_DATA!$BP:$BP,INPUT_DATA!BR:BR))</f>
        <v/>
      </c>
      <c r="E77" s="140" t="str">
        <f>IF($B77=0,"",_xlfn.XLOOKUP($B77,INPUT_DATA!$BP:$BP,INPUT_DATA!BS:BS))</f>
        <v/>
      </c>
      <c r="F77" s="140" t="str">
        <f t="shared" si="1"/>
        <v/>
      </c>
      <c r="G77" s="1291" t="str">
        <f>IF($B77=0,"",_xlfn.XLOOKUP($B77,INPUT_DATA!$BP:$BP,INPUT_DATA!BT:BT))</f>
        <v/>
      </c>
      <c r="H77" s="140" t="str">
        <f>IF($B77=0,"",_xlfn.XLOOKUP($B77,INPUT_DATA!$BP:$BP,INPUT_DATA!BU:BU))</f>
        <v/>
      </c>
      <c r="I77" s="140" t="str">
        <f>IF($B77=0,"",_xlfn.XLOOKUP($B77,INPUT_DATA!$BP:$BP,INPUT_DATA!BV:BV))</f>
        <v/>
      </c>
      <c r="J77" s="140" t="str">
        <f t="shared" si="2"/>
        <v/>
      </c>
      <c r="K77" s="1291" t="str">
        <f>IF($B77=0,"",_xlfn.XLOOKUP($B77,INPUT_DATA!$BP:$BP,INPUT_DATA!BW:BW))</f>
        <v/>
      </c>
      <c r="L77" s="140" t="str">
        <f>IF($B77=0,"",_xlfn.XLOOKUP($B77,INPUT_DATA!$BP:$BP,INPUT_DATA!BX:BX))</f>
        <v/>
      </c>
      <c r="M77" s="140" t="str">
        <f>IF($B77=0,"",_xlfn.XLOOKUP($B77,INPUT_DATA!$BP:$BP,INPUT_DATA!BY:BY))</f>
        <v/>
      </c>
      <c r="N77" s="140" t="str">
        <f t="shared" si="3"/>
        <v/>
      </c>
      <c r="O77" s="1275" t="str">
        <f t="shared" si="4"/>
        <v/>
      </c>
      <c r="P77" s="139" t="str">
        <f t="shared" si="5"/>
        <v/>
      </c>
      <c r="Q77" s="139" t="str">
        <f t="shared" si="6"/>
        <v/>
      </c>
      <c r="R77" s="139" t="str">
        <f t="shared" si="7"/>
        <v/>
      </c>
      <c r="S77" s="140" t="str">
        <f>IF($B77=0,"",_xlfn.XLOOKUP($B77,INPUT_DATA!$BP:$BP,INPUT_DATA!BZ:BZ))</f>
        <v/>
      </c>
      <c r="T77" s="140" t="str">
        <f>IF($B77=0,"",_xlfn.XLOOKUP($B77,INPUT_DATA!$BP:$BP,INPUT_DATA!CA:CA))</f>
        <v/>
      </c>
      <c r="U77" s="140" t="str">
        <f>IF($B77=0,"",_xlfn.XLOOKUP($B77,INPUT_DATA!$BP:$BP,INPUT_DATA!CB:CB))</f>
        <v/>
      </c>
      <c r="V77" s="1300" t="str">
        <f t="shared" si="8"/>
        <v/>
      </c>
      <c r="W77" s="139" t="str">
        <f t="shared" si="9"/>
        <v/>
      </c>
      <c r="X77" s="139" t="str">
        <f>IF($B77=0,"",_xlfn.XLOOKUP($B77,INPUT_DATA!$BP:$BP,INPUT_DATA!CC:CC))</f>
        <v/>
      </c>
      <c r="Y77" s="140" t="str">
        <f>IF($B77=0,"",_xlfn.XLOOKUP($B77,INPUT_DATA!$BP:$BP,INPUT_DATA!CD:CD))</f>
        <v/>
      </c>
      <c r="Z77" s="140" t="str">
        <f>IF($B77=0,"",_xlfn.XLOOKUP($B77,INPUT_DATA!$BP:$BP,INPUT_DATA!CE:CE))</f>
        <v/>
      </c>
      <c r="AA77" s="140" t="str">
        <f>IF($B77=0,"",_xlfn.XLOOKUP($B77,INPUT_DATA!$BP:$BP,INPUT_DATA!CF:CF))</f>
        <v/>
      </c>
      <c r="AB77" s="1300" t="str">
        <f t="shared" si="10"/>
        <v/>
      </c>
      <c r="AC77" s="139"/>
      <c r="AD77" s="139" t="str">
        <f t="shared" si="17"/>
        <v/>
      </c>
      <c r="AE77" s="1275" t="str">
        <f>IF($B77=0,"",_xlfn.XLOOKUP($B77,INPUT_DATA!$BP:$BP,INPUT_DATA!CH:CH))</f>
        <v/>
      </c>
      <c r="AF77" s="140" t="str">
        <f>IF($B77=0,"",_xlfn.XLOOKUP($B77,INPUT_DATA!$BP:$BP,INPUT_DATA!CI:CI))</f>
        <v/>
      </c>
      <c r="AG77" s="140" t="str">
        <f>IF($B77=0,"",_xlfn.XLOOKUP($B77,INPUT_DATA!$BP:$BP,INPUT_DATA!CJ:CJ))</f>
        <v/>
      </c>
      <c r="AH77" s="140" t="str">
        <f>IF($B77=0,"",_xlfn.XLOOKUP($B77,INPUT_DATA!$BP:$BP,INPUT_DATA!CK:CK))</f>
        <v/>
      </c>
      <c r="AI77" s="1300" t="str">
        <f t="shared" si="12"/>
        <v/>
      </c>
      <c r="AJ77" s="139" t="str">
        <f>IF($B77=0,"",_xlfn.XLOOKUP($B77,INPUT_DATA!$BP:$BP,INPUT_DATA!CL:CL))</f>
        <v/>
      </c>
      <c r="AK77" s="139" t="str">
        <f t="shared" si="13"/>
        <v/>
      </c>
      <c r="AL77" s="1275" t="str">
        <f>IF($B77=0,"",_xlfn.XLOOKUP($B77,INPUT_DATA!$BP:$BP,INPUT_DATA!CM:CM))</f>
        <v/>
      </c>
      <c r="AM77" s="139" t="str">
        <f t="shared" si="16"/>
        <v/>
      </c>
      <c r="AN77" s="1275" t="str">
        <f t="shared" si="14"/>
        <v/>
      </c>
    </row>
    <row r="78" spans="2:40">
      <c r="B78" s="137">
        <f>INPUT_DATA!BP69</f>
        <v>0</v>
      </c>
      <c r="C78" s="1291" t="str">
        <f>IF($B78=0,"",_xlfn.XLOOKUP($B78,INPUT_DATA!$BP:$BP,INPUT_DATA!BQ:BQ))</f>
        <v/>
      </c>
      <c r="D78" s="140" t="str">
        <f>IF($B78=0,"",_xlfn.XLOOKUP($B78,INPUT_DATA!$BP:$BP,INPUT_DATA!BR:BR))</f>
        <v/>
      </c>
      <c r="E78" s="140" t="str">
        <f>IF($B78=0,"",_xlfn.XLOOKUP($B78,INPUT_DATA!$BP:$BP,INPUT_DATA!BS:BS))</f>
        <v/>
      </c>
      <c r="F78" s="140" t="str">
        <f t="shared" ref="F78:F83" si="18">IF($B78=0,"",D78+E78)</f>
        <v/>
      </c>
      <c r="G78" s="1291" t="str">
        <f>IF($B78=0,"",_xlfn.XLOOKUP($B78,INPUT_DATA!$BP:$BP,INPUT_DATA!BT:BT))</f>
        <v/>
      </c>
      <c r="H78" s="140" t="str">
        <f>IF($B78=0,"",_xlfn.XLOOKUP($B78,INPUT_DATA!$BP:$BP,INPUT_DATA!BU:BU))</f>
        <v/>
      </c>
      <c r="I78" s="140" t="str">
        <f>IF($B78=0,"",_xlfn.XLOOKUP($B78,INPUT_DATA!$BP:$BP,INPUT_DATA!BV:BV))</f>
        <v/>
      </c>
      <c r="J78" s="140" t="str">
        <f t="shared" ref="J78:J83" si="19">IF($B78=0,"",H78+I78)</f>
        <v/>
      </c>
      <c r="K78" s="1291" t="str">
        <f>IF($B78=0,"",_xlfn.XLOOKUP($B78,INPUT_DATA!$BP:$BP,INPUT_DATA!BW:BW))</f>
        <v/>
      </c>
      <c r="L78" s="140" t="str">
        <f>IF($B78=0,"",_xlfn.XLOOKUP($B78,INPUT_DATA!$BP:$BP,INPUT_DATA!BX:BX))</f>
        <v/>
      </c>
      <c r="M78" s="140" t="str">
        <f>IF($B78=0,"",_xlfn.XLOOKUP($B78,INPUT_DATA!$BP:$BP,INPUT_DATA!BY:BY))</f>
        <v/>
      </c>
      <c r="N78" s="140" t="str">
        <f t="shared" ref="N78:N83" si="20">IF($B78=0,"",L78+M78)</f>
        <v/>
      </c>
      <c r="O78" s="1275" t="str">
        <f t="shared" ref="O78:O83" si="21">IF($B78=0,"",SUM(C78,G78,K78))</f>
        <v/>
      </c>
      <c r="P78" s="139" t="str">
        <f t="shared" ref="P78:P83" si="22">IF($B78=0,"",SUM(D78,H78,L78))</f>
        <v/>
      </c>
      <c r="Q78" s="139" t="str">
        <f t="shared" ref="Q78:Q83" si="23">IF($B78=0,"",SUM(E78,I78,M78))</f>
        <v/>
      </c>
      <c r="R78" s="139" t="str">
        <f t="shared" ref="R78:R83" si="24">IF($B78=0,"",SUM(F78,J78,N78))</f>
        <v/>
      </c>
      <c r="S78" s="140" t="str">
        <f>IF($B78=0,"",_xlfn.XLOOKUP($B78,INPUT_DATA!$BP:$BP,INPUT_DATA!BZ:BZ))</f>
        <v/>
      </c>
      <c r="T78" s="140" t="str">
        <f>IF($B78=0,"",_xlfn.XLOOKUP($B78,INPUT_DATA!$BP:$BP,INPUT_DATA!CA:CA))</f>
        <v/>
      </c>
      <c r="U78" s="140" t="str">
        <f>IF($B78=0,"",_xlfn.XLOOKUP($B78,INPUT_DATA!$BP:$BP,INPUT_DATA!CB:CB))</f>
        <v/>
      </c>
      <c r="V78" s="1300" t="str">
        <f t="shared" ref="V78:V83" si="25">IF($B78=0,"",100%)</f>
        <v/>
      </c>
      <c r="W78" s="139" t="str">
        <f t="shared" ref="W78:W83" si="26">IF($B78=0,"",SUM(S78:U78)*V78)</f>
        <v/>
      </c>
      <c r="X78" s="139" t="str">
        <f>IF($B78=0,"",_xlfn.XLOOKUP($B78,INPUT_DATA!$BP:$BP,INPUT_DATA!CC:CC))</f>
        <v/>
      </c>
      <c r="Y78" s="140" t="str">
        <f>IF($B78=0,"",_xlfn.XLOOKUP($B78,INPUT_DATA!$BP:$BP,INPUT_DATA!CD:CD))</f>
        <v/>
      </c>
      <c r="Z78" s="140" t="str">
        <f>IF($B78=0,"",_xlfn.XLOOKUP($B78,INPUT_DATA!$BP:$BP,INPUT_DATA!CE:CE))</f>
        <v/>
      </c>
      <c r="AA78" s="140" t="str">
        <f>IF($B78=0,"",_xlfn.XLOOKUP($B78,INPUT_DATA!$BP:$BP,INPUT_DATA!CF:CF))</f>
        <v/>
      </c>
      <c r="AB78" s="1300" t="str">
        <f t="shared" ref="AB78:AB83" si="27">IF($B78=0,"",93%)</f>
        <v/>
      </c>
      <c r="AC78" s="139"/>
      <c r="AD78" s="139" t="str">
        <f t="shared" ref="AD78:AD83" si="28">IF($B78=0,"",SUM(Y78:AA78)*AB78)</f>
        <v/>
      </c>
      <c r="AE78" s="1275" t="str">
        <f>IF($B78=0,"",_xlfn.XLOOKUP($B78,INPUT_DATA!$BP:$BP,INPUT_DATA!CH:CH))</f>
        <v/>
      </c>
      <c r="AF78" s="140" t="str">
        <f>IF($B78=0,"",_xlfn.XLOOKUP($B78,INPUT_DATA!$BP:$BP,INPUT_DATA!CI:CI))</f>
        <v/>
      </c>
      <c r="AG78" s="140" t="str">
        <f>IF($B78=0,"",_xlfn.XLOOKUP($B78,INPUT_DATA!$BP:$BP,INPUT_DATA!CJ:CJ))</f>
        <v/>
      </c>
      <c r="AH78" s="140" t="str">
        <f>IF($B78=0,"",_xlfn.XLOOKUP($B78,INPUT_DATA!$BP:$BP,INPUT_DATA!CK:CK))</f>
        <v/>
      </c>
      <c r="AI78" s="1300" t="str">
        <f t="shared" ref="AI78:AI83" si="29">IF($B78=0,"",60%)</f>
        <v/>
      </c>
      <c r="AJ78" s="139" t="str">
        <f>IF($B78=0,"",_xlfn.XLOOKUP($B78,INPUT_DATA!$BP:$BP,INPUT_DATA!CL:CL))</f>
        <v/>
      </c>
      <c r="AK78" s="139" t="str">
        <f t="shared" ref="AK78:AK83" si="30">IF($B78=0,"",AF78+AG78-AJ78+AH78)</f>
        <v/>
      </c>
      <c r="AL78" s="1275" t="str">
        <f>IF($B78=0,"",_xlfn.XLOOKUP($B78,INPUT_DATA!$BP:$BP,INPUT_DATA!CM:CM))</f>
        <v/>
      </c>
      <c r="AM78" s="139" t="str">
        <f t="shared" ref="AM78:AM83" si="31">IF($B78=0,"",SUM(W78,AD78,AK78))</f>
        <v/>
      </c>
      <c r="AN78" s="1275" t="str">
        <f t="shared" ref="AN78:AN83" si="32">IF($B78=0,"",SUM(X78,AE78,AL78))</f>
        <v/>
      </c>
    </row>
    <row r="79" spans="2:40">
      <c r="B79" s="137">
        <f>INPUT_DATA!BP70</f>
        <v>0</v>
      </c>
      <c r="C79" s="1291" t="str">
        <f>IF($B79=0,"",_xlfn.XLOOKUP($B79,INPUT_DATA!$BP:$BP,INPUT_DATA!BQ:BQ))</f>
        <v/>
      </c>
      <c r="D79" s="140" t="str">
        <f>IF($B79=0,"",_xlfn.XLOOKUP($B79,INPUT_DATA!$BP:$BP,INPUT_DATA!BR:BR))</f>
        <v/>
      </c>
      <c r="E79" s="140" t="str">
        <f>IF($B79=0,"",_xlfn.XLOOKUP($B79,INPUT_DATA!$BP:$BP,INPUT_DATA!BS:BS))</f>
        <v/>
      </c>
      <c r="F79" s="140" t="str">
        <f t="shared" si="18"/>
        <v/>
      </c>
      <c r="G79" s="1291" t="str">
        <f>IF($B79=0,"",_xlfn.XLOOKUP($B79,INPUT_DATA!$BP:$BP,INPUT_DATA!BT:BT))</f>
        <v/>
      </c>
      <c r="H79" s="140" t="str">
        <f>IF($B79=0,"",_xlfn.XLOOKUP($B79,INPUT_DATA!$BP:$BP,INPUT_DATA!BU:BU))</f>
        <v/>
      </c>
      <c r="I79" s="140" t="str">
        <f>IF($B79=0,"",_xlfn.XLOOKUP($B79,INPUT_DATA!$BP:$BP,INPUT_DATA!BV:BV))</f>
        <v/>
      </c>
      <c r="J79" s="140" t="str">
        <f t="shared" si="19"/>
        <v/>
      </c>
      <c r="K79" s="1291" t="str">
        <f>IF($B79=0,"",_xlfn.XLOOKUP($B79,INPUT_DATA!$BP:$BP,INPUT_DATA!BW:BW))</f>
        <v/>
      </c>
      <c r="L79" s="140" t="str">
        <f>IF($B79=0,"",_xlfn.XLOOKUP($B79,INPUT_DATA!$BP:$BP,INPUT_DATA!BX:BX))</f>
        <v/>
      </c>
      <c r="M79" s="140" t="str">
        <f>IF($B79=0,"",_xlfn.XLOOKUP($B79,INPUT_DATA!$BP:$BP,INPUT_DATA!BY:BY))</f>
        <v/>
      </c>
      <c r="N79" s="140" t="str">
        <f t="shared" si="20"/>
        <v/>
      </c>
      <c r="O79" s="1275" t="str">
        <f t="shared" si="21"/>
        <v/>
      </c>
      <c r="P79" s="139" t="str">
        <f t="shared" si="22"/>
        <v/>
      </c>
      <c r="Q79" s="139" t="str">
        <f t="shared" si="23"/>
        <v/>
      </c>
      <c r="R79" s="139" t="str">
        <f t="shared" si="24"/>
        <v/>
      </c>
      <c r="S79" s="140" t="str">
        <f>IF($B79=0,"",_xlfn.XLOOKUP($B79,INPUT_DATA!$BP:$BP,INPUT_DATA!BZ:BZ))</f>
        <v/>
      </c>
      <c r="T79" s="140" t="str">
        <f>IF($B79=0,"",_xlfn.XLOOKUP($B79,INPUT_DATA!$BP:$BP,INPUT_DATA!CA:CA))</f>
        <v/>
      </c>
      <c r="U79" s="140" t="str">
        <f>IF($B79=0,"",_xlfn.XLOOKUP($B79,INPUT_DATA!$BP:$BP,INPUT_DATA!CB:CB))</f>
        <v/>
      </c>
      <c r="V79" s="1300" t="str">
        <f t="shared" si="25"/>
        <v/>
      </c>
      <c r="W79" s="139" t="str">
        <f t="shared" si="26"/>
        <v/>
      </c>
      <c r="X79" s="139" t="str">
        <f>IF($B79=0,"",_xlfn.XLOOKUP($B79,INPUT_DATA!$BP:$BP,INPUT_DATA!CC:CC))</f>
        <v/>
      </c>
      <c r="Y79" s="140" t="str">
        <f>IF($B79=0,"",_xlfn.XLOOKUP($B79,INPUT_DATA!$BP:$BP,INPUT_DATA!CD:CD))</f>
        <v/>
      </c>
      <c r="Z79" s="140" t="str">
        <f>IF($B79=0,"",_xlfn.XLOOKUP($B79,INPUT_DATA!$BP:$BP,INPUT_DATA!CE:CE))</f>
        <v/>
      </c>
      <c r="AA79" s="140" t="str">
        <f>IF($B79=0,"",_xlfn.XLOOKUP($B79,INPUT_DATA!$BP:$BP,INPUT_DATA!CF:CF))</f>
        <v/>
      </c>
      <c r="AB79" s="1300" t="str">
        <f t="shared" si="27"/>
        <v/>
      </c>
      <c r="AC79" s="139"/>
      <c r="AD79" s="139" t="str">
        <f t="shared" si="28"/>
        <v/>
      </c>
      <c r="AE79" s="1275" t="str">
        <f>IF($B79=0,"",_xlfn.XLOOKUP($B79,INPUT_DATA!$BP:$BP,INPUT_DATA!CH:CH))</f>
        <v/>
      </c>
      <c r="AF79" s="140" t="str">
        <f>IF($B79=0,"",_xlfn.XLOOKUP($B79,INPUT_DATA!$BP:$BP,INPUT_DATA!CI:CI))</f>
        <v/>
      </c>
      <c r="AG79" s="140" t="str">
        <f>IF($B79=0,"",_xlfn.XLOOKUP($B79,INPUT_DATA!$BP:$BP,INPUT_DATA!CJ:CJ))</f>
        <v/>
      </c>
      <c r="AH79" s="140" t="str">
        <f>IF($B79=0,"",_xlfn.XLOOKUP($B79,INPUT_DATA!$BP:$BP,INPUT_DATA!CK:CK))</f>
        <v/>
      </c>
      <c r="AI79" s="1300" t="str">
        <f t="shared" si="29"/>
        <v/>
      </c>
      <c r="AJ79" s="139" t="str">
        <f>IF($B79=0,"",_xlfn.XLOOKUP($B79,INPUT_DATA!$BP:$BP,INPUT_DATA!CL:CL))</f>
        <v/>
      </c>
      <c r="AK79" s="139" t="str">
        <f t="shared" si="30"/>
        <v/>
      </c>
      <c r="AL79" s="1275" t="str">
        <f>IF($B79=0,"",_xlfn.XLOOKUP($B79,INPUT_DATA!$BP:$BP,INPUT_DATA!CM:CM))</f>
        <v/>
      </c>
      <c r="AM79" s="139" t="str">
        <f t="shared" si="31"/>
        <v/>
      </c>
      <c r="AN79" s="1275" t="str">
        <f t="shared" si="32"/>
        <v/>
      </c>
    </row>
    <row r="80" spans="2:40">
      <c r="B80" s="137">
        <f>INPUT_DATA!BP71</f>
        <v>0</v>
      </c>
      <c r="C80" s="1291" t="str">
        <f>IF($B80=0,"",_xlfn.XLOOKUP($B80,INPUT_DATA!$BP:$BP,INPUT_DATA!BQ:BQ))</f>
        <v/>
      </c>
      <c r="D80" s="140" t="str">
        <f>IF($B80=0,"",_xlfn.XLOOKUP($B80,INPUT_DATA!$BP:$BP,INPUT_DATA!BR:BR))</f>
        <v/>
      </c>
      <c r="E80" s="140" t="str">
        <f>IF($B80=0,"",_xlfn.XLOOKUP($B80,INPUT_DATA!$BP:$BP,INPUT_DATA!BS:BS))</f>
        <v/>
      </c>
      <c r="F80" s="140" t="str">
        <f t="shared" si="18"/>
        <v/>
      </c>
      <c r="G80" s="1291" t="str">
        <f>IF($B80=0,"",_xlfn.XLOOKUP($B80,INPUT_DATA!$BP:$BP,INPUT_DATA!BT:BT))</f>
        <v/>
      </c>
      <c r="H80" s="140" t="str">
        <f>IF($B80=0,"",_xlfn.XLOOKUP($B80,INPUT_DATA!$BP:$BP,INPUT_DATA!BU:BU))</f>
        <v/>
      </c>
      <c r="I80" s="140" t="str">
        <f>IF($B80=0,"",_xlfn.XLOOKUP($B80,INPUT_DATA!$BP:$BP,INPUT_DATA!BV:BV))</f>
        <v/>
      </c>
      <c r="J80" s="140" t="str">
        <f t="shared" si="19"/>
        <v/>
      </c>
      <c r="K80" s="1291" t="str">
        <f>IF($B80=0,"",_xlfn.XLOOKUP($B80,INPUT_DATA!$BP:$BP,INPUT_DATA!BW:BW))</f>
        <v/>
      </c>
      <c r="L80" s="140" t="str">
        <f>IF($B80=0,"",_xlfn.XLOOKUP($B80,INPUT_DATA!$BP:$BP,INPUT_DATA!BX:BX))</f>
        <v/>
      </c>
      <c r="M80" s="140" t="str">
        <f>IF($B80=0,"",_xlfn.XLOOKUP($B80,INPUT_DATA!$BP:$BP,INPUT_DATA!BY:BY))</f>
        <v/>
      </c>
      <c r="N80" s="140" t="str">
        <f t="shared" si="20"/>
        <v/>
      </c>
      <c r="O80" s="1275" t="str">
        <f t="shared" si="21"/>
        <v/>
      </c>
      <c r="P80" s="139" t="str">
        <f t="shared" si="22"/>
        <v/>
      </c>
      <c r="Q80" s="139" t="str">
        <f t="shared" si="23"/>
        <v/>
      </c>
      <c r="R80" s="139" t="str">
        <f t="shared" si="24"/>
        <v/>
      </c>
      <c r="S80" s="140" t="str">
        <f>IF($B80=0,"",_xlfn.XLOOKUP($B80,INPUT_DATA!$BP:$BP,INPUT_DATA!BZ:BZ))</f>
        <v/>
      </c>
      <c r="T80" s="140" t="str">
        <f>IF($B80=0,"",_xlfn.XLOOKUP($B80,INPUT_DATA!$BP:$BP,INPUT_DATA!CA:CA))</f>
        <v/>
      </c>
      <c r="U80" s="140" t="str">
        <f>IF($B80=0,"",_xlfn.XLOOKUP($B80,INPUT_DATA!$BP:$BP,INPUT_DATA!CB:CB))</f>
        <v/>
      </c>
      <c r="V80" s="1300" t="str">
        <f t="shared" si="25"/>
        <v/>
      </c>
      <c r="W80" s="139" t="str">
        <f t="shared" si="26"/>
        <v/>
      </c>
      <c r="X80" s="139" t="str">
        <f>IF($B80=0,"",_xlfn.XLOOKUP($B80,INPUT_DATA!$BP:$BP,INPUT_DATA!CC:CC))</f>
        <v/>
      </c>
      <c r="Y80" s="140" t="str">
        <f>IF($B80=0,"",_xlfn.XLOOKUP($B80,INPUT_DATA!$BP:$BP,INPUT_DATA!CD:CD))</f>
        <v/>
      </c>
      <c r="Z80" s="140" t="str">
        <f>IF($B80=0,"",_xlfn.XLOOKUP($B80,INPUT_DATA!$BP:$BP,INPUT_DATA!CE:CE))</f>
        <v/>
      </c>
      <c r="AA80" s="140" t="str">
        <f>IF($B80=0,"",_xlfn.XLOOKUP($B80,INPUT_DATA!$BP:$BP,INPUT_DATA!CF:CF))</f>
        <v/>
      </c>
      <c r="AB80" s="1300" t="str">
        <f t="shared" si="27"/>
        <v/>
      </c>
      <c r="AC80" s="139"/>
      <c r="AD80" s="139" t="str">
        <f t="shared" si="28"/>
        <v/>
      </c>
      <c r="AE80" s="1275" t="str">
        <f>IF($B80=0,"",_xlfn.XLOOKUP($B80,INPUT_DATA!$BP:$BP,INPUT_DATA!CH:CH))</f>
        <v/>
      </c>
      <c r="AF80" s="140" t="str">
        <f>IF($B80=0,"",_xlfn.XLOOKUP($B80,INPUT_DATA!$BP:$BP,INPUT_DATA!CI:CI))</f>
        <v/>
      </c>
      <c r="AG80" s="140" t="str">
        <f>IF($B80=0,"",_xlfn.XLOOKUP($B80,INPUT_DATA!$BP:$BP,INPUT_DATA!CJ:CJ))</f>
        <v/>
      </c>
      <c r="AH80" s="140" t="str">
        <f>IF($B80=0,"",_xlfn.XLOOKUP($B80,INPUT_DATA!$BP:$BP,INPUT_DATA!CK:CK))</f>
        <v/>
      </c>
      <c r="AI80" s="1300" t="str">
        <f t="shared" si="29"/>
        <v/>
      </c>
      <c r="AJ80" s="139" t="str">
        <f>IF($B80=0,"",_xlfn.XLOOKUP($B80,INPUT_DATA!$BP:$BP,INPUT_DATA!CL:CL))</f>
        <v/>
      </c>
      <c r="AK80" s="139" t="str">
        <f t="shared" si="30"/>
        <v/>
      </c>
      <c r="AL80" s="1275" t="str">
        <f>IF($B80=0,"",_xlfn.XLOOKUP($B80,INPUT_DATA!$BP:$BP,INPUT_DATA!CM:CM))</f>
        <v/>
      </c>
      <c r="AM80" s="139" t="str">
        <f t="shared" si="31"/>
        <v/>
      </c>
      <c r="AN80" s="1275" t="str">
        <f t="shared" si="32"/>
        <v/>
      </c>
    </row>
    <row r="81" spans="2:40">
      <c r="B81" s="137">
        <f>INPUT_DATA!BP72</f>
        <v>0</v>
      </c>
      <c r="C81" s="1291" t="str">
        <f>IF($B81=0,"",_xlfn.XLOOKUP($B81,INPUT_DATA!$BP:$BP,INPUT_DATA!BQ:BQ))</f>
        <v/>
      </c>
      <c r="D81" s="140" t="str">
        <f>IF($B81=0,"",_xlfn.XLOOKUP($B81,INPUT_DATA!$BP:$BP,INPUT_DATA!BR:BR))</f>
        <v/>
      </c>
      <c r="E81" s="140" t="str">
        <f>IF($B81=0,"",_xlfn.XLOOKUP($B81,INPUT_DATA!$BP:$BP,INPUT_DATA!BS:BS))</f>
        <v/>
      </c>
      <c r="F81" s="140" t="str">
        <f t="shared" si="18"/>
        <v/>
      </c>
      <c r="G81" s="1291" t="str">
        <f>IF($B81=0,"",_xlfn.XLOOKUP($B81,INPUT_DATA!$BP:$BP,INPUT_DATA!BT:BT))</f>
        <v/>
      </c>
      <c r="H81" s="140" t="str">
        <f>IF($B81=0,"",_xlfn.XLOOKUP($B81,INPUT_DATA!$BP:$BP,INPUT_DATA!BU:BU))</f>
        <v/>
      </c>
      <c r="I81" s="140" t="str">
        <f>IF($B81=0,"",_xlfn.XLOOKUP($B81,INPUT_DATA!$BP:$BP,INPUT_DATA!BV:BV))</f>
        <v/>
      </c>
      <c r="J81" s="140" t="str">
        <f t="shared" si="19"/>
        <v/>
      </c>
      <c r="K81" s="1291" t="str">
        <f>IF($B81=0,"",_xlfn.XLOOKUP($B81,INPUT_DATA!$BP:$BP,INPUT_DATA!BW:BW))</f>
        <v/>
      </c>
      <c r="L81" s="140" t="str">
        <f>IF($B81=0,"",_xlfn.XLOOKUP($B81,INPUT_DATA!$BP:$BP,INPUT_DATA!BX:BX))</f>
        <v/>
      </c>
      <c r="M81" s="140" t="str">
        <f>IF($B81=0,"",_xlfn.XLOOKUP($B81,INPUT_DATA!$BP:$BP,INPUT_DATA!BY:BY))</f>
        <v/>
      </c>
      <c r="N81" s="140" t="str">
        <f t="shared" si="20"/>
        <v/>
      </c>
      <c r="O81" s="1275" t="str">
        <f t="shared" si="21"/>
        <v/>
      </c>
      <c r="P81" s="139" t="str">
        <f t="shared" si="22"/>
        <v/>
      </c>
      <c r="Q81" s="139" t="str">
        <f t="shared" si="23"/>
        <v/>
      </c>
      <c r="R81" s="139" t="str">
        <f t="shared" si="24"/>
        <v/>
      </c>
      <c r="S81" s="140" t="str">
        <f>IF($B81=0,"",_xlfn.XLOOKUP($B81,INPUT_DATA!$BP:$BP,INPUT_DATA!BZ:BZ))</f>
        <v/>
      </c>
      <c r="T81" s="140" t="str">
        <f>IF($B81=0,"",_xlfn.XLOOKUP($B81,INPUT_DATA!$BP:$BP,INPUT_DATA!CA:CA))</f>
        <v/>
      </c>
      <c r="U81" s="140" t="str">
        <f>IF($B81=0,"",_xlfn.XLOOKUP($B81,INPUT_DATA!$BP:$BP,INPUT_DATA!CB:CB))</f>
        <v/>
      </c>
      <c r="V81" s="1300" t="str">
        <f t="shared" si="25"/>
        <v/>
      </c>
      <c r="W81" s="139" t="str">
        <f t="shared" si="26"/>
        <v/>
      </c>
      <c r="X81" s="139" t="str">
        <f>IF($B81=0,"",_xlfn.XLOOKUP($B81,INPUT_DATA!$BP:$BP,INPUT_DATA!CC:CC))</f>
        <v/>
      </c>
      <c r="Y81" s="140" t="str">
        <f>IF($B81=0,"",_xlfn.XLOOKUP($B81,INPUT_DATA!$BP:$BP,INPUT_DATA!CD:CD))</f>
        <v/>
      </c>
      <c r="Z81" s="140" t="str">
        <f>IF($B81=0,"",_xlfn.XLOOKUP($B81,INPUT_DATA!$BP:$BP,INPUT_DATA!CE:CE))</f>
        <v/>
      </c>
      <c r="AA81" s="140" t="str">
        <f>IF($B81=0,"",_xlfn.XLOOKUP($B81,INPUT_DATA!$BP:$BP,INPUT_DATA!CF:CF))</f>
        <v/>
      </c>
      <c r="AB81" s="1300" t="str">
        <f t="shared" si="27"/>
        <v/>
      </c>
      <c r="AC81" s="139"/>
      <c r="AD81" s="139" t="str">
        <f t="shared" si="28"/>
        <v/>
      </c>
      <c r="AE81" s="1275" t="str">
        <f>IF($B81=0,"",_xlfn.XLOOKUP($B81,INPUT_DATA!$BP:$BP,INPUT_DATA!CH:CH))</f>
        <v/>
      </c>
      <c r="AF81" s="140" t="str">
        <f>IF($B81=0,"",_xlfn.XLOOKUP($B81,INPUT_DATA!$BP:$BP,INPUT_DATA!CI:CI))</f>
        <v/>
      </c>
      <c r="AG81" s="140" t="str">
        <f>IF($B81=0,"",_xlfn.XLOOKUP($B81,INPUT_DATA!$BP:$BP,INPUT_DATA!CJ:CJ))</f>
        <v/>
      </c>
      <c r="AH81" s="140" t="str">
        <f>IF($B81=0,"",_xlfn.XLOOKUP($B81,INPUT_DATA!$BP:$BP,INPUT_DATA!CK:CK))</f>
        <v/>
      </c>
      <c r="AI81" s="1300" t="str">
        <f t="shared" si="29"/>
        <v/>
      </c>
      <c r="AJ81" s="139" t="str">
        <f>IF($B81=0,"",_xlfn.XLOOKUP($B81,INPUT_DATA!$BP:$BP,INPUT_DATA!CL:CL))</f>
        <v/>
      </c>
      <c r="AK81" s="139" t="str">
        <f t="shared" si="30"/>
        <v/>
      </c>
      <c r="AL81" s="1275" t="str">
        <f>IF($B81=0,"",_xlfn.XLOOKUP($B81,INPUT_DATA!$BP:$BP,INPUT_DATA!CM:CM))</f>
        <v/>
      </c>
      <c r="AM81" s="139" t="str">
        <f t="shared" si="31"/>
        <v/>
      </c>
      <c r="AN81" s="1275" t="str">
        <f t="shared" si="32"/>
        <v/>
      </c>
    </row>
    <row r="82" spans="2:40">
      <c r="B82" s="137">
        <f>INPUT_DATA!BP73</f>
        <v>0</v>
      </c>
      <c r="C82" s="1291" t="str">
        <f>IF($B82=0,"",_xlfn.XLOOKUP($B82,INPUT_DATA!$BP:$BP,INPUT_DATA!BQ:BQ))</f>
        <v/>
      </c>
      <c r="D82" s="140" t="str">
        <f>IF($B82=0,"",_xlfn.XLOOKUP($B82,INPUT_DATA!$BP:$BP,INPUT_DATA!BR:BR))</f>
        <v/>
      </c>
      <c r="E82" s="140" t="str">
        <f>IF($B82=0,"",_xlfn.XLOOKUP($B82,INPUT_DATA!$BP:$BP,INPUT_DATA!BS:BS))</f>
        <v/>
      </c>
      <c r="F82" s="140" t="str">
        <f t="shared" si="18"/>
        <v/>
      </c>
      <c r="G82" s="1291" t="str">
        <f>IF($B82=0,"",_xlfn.XLOOKUP($B82,INPUT_DATA!$BP:$BP,INPUT_DATA!BT:BT))</f>
        <v/>
      </c>
      <c r="H82" s="140" t="str">
        <f>IF($B82=0,"",_xlfn.XLOOKUP($B82,INPUT_DATA!$BP:$BP,INPUT_DATA!BU:BU))</f>
        <v/>
      </c>
      <c r="I82" s="140" t="str">
        <f>IF($B82=0,"",_xlfn.XLOOKUP($B82,INPUT_DATA!$BP:$BP,INPUT_DATA!BV:BV))</f>
        <v/>
      </c>
      <c r="J82" s="140" t="str">
        <f t="shared" si="19"/>
        <v/>
      </c>
      <c r="K82" s="1291" t="str">
        <f>IF($B82=0,"",_xlfn.XLOOKUP($B82,INPUT_DATA!$BP:$BP,INPUT_DATA!BW:BW))</f>
        <v/>
      </c>
      <c r="L82" s="140" t="str">
        <f>IF($B82=0,"",_xlfn.XLOOKUP($B82,INPUT_DATA!$BP:$BP,INPUT_DATA!BX:BX))</f>
        <v/>
      </c>
      <c r="M82" s="140" t="str">
        <f>IF($B82=0,"",_xlfn.XLOOKUP($B82,INPUT_DATA!$BP:$BP,INPUT_DATA!BY:BY))</f>
        <v/>
      </c>
      <c r="N82" s="140" t="str">
        <f t="shared" si="20"/>
        <v/>
      </c>
      <c r="O82" s="1275" t="str">
        <f t="shared" si="21"/>
        <v/>
      </c>
      <c r="P82" s="139" t="str">
        <f t="shared" si="22"/>
        <v/>
      </c>
      <c r="Q82" s="139" t="str">
        <f t="shared" si="23"/>
        <v/>
      </c>
      <c r="R82" s="139" t="str">
        <f t="shared" si="24"/>
        <v/>
      </c>
      <c r="S82" s="140" t="str">
        <f>IF($B82=0,"",_xlfn.XLOOKUP($B82,INPUT_DATA!$BP:$BP,INPUT_DATA!BZ:BZ))</f>
        <v/>
      </c>
      <c r="T82" s="140" t="str">
        <f>IF($B82=0,"",_xlfn.XLOOKUP($B82,INPUT_DATA!$BP:$BP,INPUT_DATA!CA:CA))</f>
        <v/>
      </c>
      <c r="U82" s="140" t="str">
        <f>IF($B82=0,"",_xlfn.XLOOKUP($B82,INPUT_DATA!$BP:$BP,INPUT_DATA!CB:CB))</f>
        <v/>
      </c>
      <c r="V82" s="1300" t="str">
        <f t="shared" si="25"/>
        <v/>
      </c>
      <c r="W82" s="139" t="str">
        <f t="shared" si="26"/>
        <v/>
      </c>
      <c r="X82" s="139" t="str">
        <f>IF($B82=0,"",_xlfn.XLOOKUP($B82,INPUT_DATA!$BP:$BP,INPUT_DATA!CC:CC))</f>
        <v/>
      </c>
      <c r="Y82" s="140" t="str">
        <f>IF($B82=0,"",_xlfn.XLOOKUP($B82,INPUT_DATA!$BP:$BP,INPUT_DATA!CD:CD))</f>
        <v/>
      </c>
      <c r="Z82" s="140" t="str">
        <f>IF($B82=0,"",_xlfn.XLOOKUP($B82,INPUT_DATA!$BP:$BP,INPUT_DATA!CE:CE))</f>
        <v/>
      </c>
      <c r="AA82" s="140" t="str">
        <f>IF($B82=0,"",_xlfn.XLOOKUP($B82,INPUT_DATA!$BP:$BP,INPUT_DATA!CF:CF))</f>
        <v/>
      </c>
      <c r="AB82" s="1300" t="str">
        <f t="shared" si="27"/>
        <v/>
      </c>
      <c r="AC82" s="139"/>
      <c r="AD82" s="139" t="str">
        <f t="shared" si="28"/>
        <v/>
      </c>
      <c r="AE82" s="1275" t="str">
        <f>IF($B82=0,"",_xlfn.XLOOKUP($B82,INPUT_DATA!$BP:$BP,INPUT_DATA!CH:CH))</f>
        <v/>
      </c>
      <c r="AF82" s="140" t="str">
        <f>IF($B82=0,"",_xlfn.XLOOKUP($B82,INPUT_DATA!$BP:$BP,INPUT_DATA!CI:CI))</f>
        <v/>
      </c>
      <c r="AG82" s="140" t="str">
        <f>IF($B82=0,"",_xlfn.XLOOKUP($B82,INPUT_DATA!$BP:$BP,INPUT_DATA!CJ:CJ))</f>
        <v/>
      </c>
      <c r="AH82" s="140" t="str">
        <f>IF($B82=0,"",_xlfn.XLOOKUP($B82,INPUT_DATA!$BP:$BP,INPUT_DATA!CK:CK))</f>
        <v/>
      </c>
      <c r="AI82" s="1300" t="str">
        <f t="shared" si="29"/>
        <v/>
      </c>
      <c r="AJ82" s="139" t="str">
        <f>IF($B82=0,"",_xlfn.XLOOKUP($B82,INPUT_DATA!$BP:$BP,INPUT_DATA!CL:CL))</f>
        <v/>
      </c>
      <c r="AK82" s="139" t="str">
        <f t="shared" si="30"/>
        <v/>
      </c>
      <c r="AL82" s="1275" t="str">
        <f>IF($B82=0,"",_xlfn.XLOOKUP($B82,INPUT_DATA!$BP:$BP,INPUT_DATA!CM:CM))</f>
        <v/>
      </c>
      <c r="AM82" s="139" t="str">
        <f t="shared" si="31"/>
        <v/>
      </c>
      <c r="AN82" s="1275" t="str">
        <f t="shared" si="32"/>
        <v/>
      </c>
    </row>
    <row r="83" spans="2:40" ht="15.7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 t="shared" si="18"/>
        <v/>
      </c>
      <c r="G83" s="1291" t="str">
        <f>IF($B83=0,"",_xlfn.XLOOKUP($B83,INPUT_DATA!$BP:$BP,INPUT_DATA!BT:BT))</f>
        <v/>
      </c>
      <c r="H83" s="140" t="str">
        <f>IF($B83=0,"",_xlfn.XLOOKUP($B83,INPUT_DATA!$BP:$BP,INPUT_DATA!BU:BU))</f>
        <v/>
      </c>
      <c r="I83" s="140" t="str">
        <f>IF($B83=0,"",_xlfn.XLOOKUP($B83,INPUT_DATA!$BP:$BP,INPUT_DATA!BV:BV))</f>
        <v/>
      </c>
      <c r="J83" s="140" t="str">
        <f t="shared" si="19"/>
        <v/>
      </c>
      <c r="K83" s="1291" t="str">
        <f>IF($B83=0,"",_xlfn.XLOOKUP($B83,INPUT_DATA!$BP:$BP,INPUT_DATA!BW:BW))</f>
        <v/>
      </c>
      <c r="L83" s="140" t="str">
        <f>IF($B83=0,"",_xlfn.XLOOKUP($B83,INPUT_DATA!$BP:$BP,INPUT_DATA!BX:BX))</f>
        <v/>
      </c>
      <c r="M83" s="140" t="str">
        <f>IF($B83=0,"",_xlfn.XLOOKUP($B83,INPUT_DATA!$BP:$BP,INPUT_DATA!BY:BY))</f>
        <v/>
      </c>
      <c r="N83" s="140" t="str">
        <f t="shared" si="20"/>
        <v/>
      </c>
      <c r="O83" s="1275" t="str">
        <f t="shared" si="21"/>
        <v/>
      </c>
      <c r="P83" s="139" t="str">
        <f t="shared" si="22"/>
        <v/>
      </c>
      <c r="Q83" s="139" t="str">
        <f t="shared" si="23"/>
        <v/>
      </c>
      <c r="R83" s="139" t="str">
        <f t="shared" si="24"/>
        <v/>
      </c>
      <c r="S83" s="140" t="str">
        <f>IF($B83=0,"",_xlfn.XLOOKUP($B83,INPUT_DATA!$BP:$BP,INPUT_DATA!BZ:BZ))</f>
        <v/>
      </c>
      <c r="T83" s="140" t="str">
        <f>IF($B83=0,"",_xlfn.XLOOKUP($B83,INPUT_DATA!$BP:$BP,INPUT_DATA!CA:CA))</f>
        <v/>
      </c>
      <c r="U83" s="140" t="str">
        <f>IF($B83=0,"",_xlfn.XLOOKUP($B83,INPUT_DATA!$BP:$BP,INPUT_DATA!CB:CB))</f>
        <v/>
      </c>
      <c r="V83" s="1299" t="str">
        <f t="shared" si="25"/>
        <v/>
      </c>
      <c r="W83" s="124" t="str">
        <f t="shared" si="26"/>
        <v/>
      </c>
      <c r="X83" s="124" t="str">
        <f>IF($B83=0,"",_xlfn.XLOOKUP($B83,INPUT_DATA!$BP:$BP,INPUT_DATA!CC:CC))</f>
        <v/>
      </c>
      <c r="Y83" s="140" t="str">
        <f>IF($B83=0,"",_xlfn.XLOOKUP($B83,INPUT_DATA!$BP:$BP,INPUT_DATA!CD:CD))</f>
        <v/>
      </c>
      <c r="Z83" s="140" t="str">
        <f>IF($B83=0,"",_xlfn.XLOOKUP($B83,INPUT_DATA!$BP:$BP,INPUT_DATA!CE:CE))</f>
        <v/>
      </c>
      <c r="AA83" s="140" t="str">
        <f>IF($B83=0,"",_xlfn.XLOOKUP($B83,INPUT_DATA!$BP:$BP,INPUT_DATA!CF:CF))</f>
        <v/>
      </c>
      <c r="AB83" s="1299" t="str">
        <f t="shared" si="27"/>
        <v/>
      </c>
      <c r="AC83" s="124"/>
      <c r="AD83" s="124" t="str">
        <f t="shared" si="28"/>
        <v/>
      </c>
      <c r="AE83" s="1274" t="str">
        <f>IF($B83=0,"",_xlfn.XLOOKUP($B83,INPUT_DATA!$BP:$BP,INPUT_DATA!CH:CH))</f>
        <v/>
      </c>
      <c r="AF83" s="140" t="str">
        <f>IF($B83=0,"",_xlfn.XLOOKUP($B83,INPUT_DATA!$BP:$BP,INPUT_DATA!CI:CI))</f>
        <v/>
      </c>
      <c r="AG83" s="140" t="str">
        <f>IF($B83=0,"",_xlfn.XLOOKUP($B83,INPUT_DATA!$BP:$BP,INPUT_DATA!CJ:CJ))</f>
        <v/>
      </c>
      <c r="AH83" s="140" t="str">
        <f>IF($B83=0,"",_xlfn.XLOOKUP($B83,INPUT_DATA!$BP:$BP,INPUT_DATA!CK:CK))</f>
        <v/>
      </c>
      <c r="AI83" s="1299" t="str">
        <f t="shared" si="29"/>
        <v/>
      </c>
      <c r="AJ83" s="124" t="str">
        <f>IF($B83=0,"",_xlfn.XLOOKUP($B83,INPUT_DATA!$BP:$BP,INPUT_DATA!CL:CL))</f>
        <v/>
      </c>
      <c r="AK83" s="124" t="str">
        <f t="shared" si="30"/>
        <v/>
      </c>
      <c r="AL83" s="1274" t="str">
        <f>IF($B83=0,"",_xlfn.XLOOKUP($B83,INPUT_DATA!$BP:$BP,INPUT_DATA!CM:CM))</f>
        <v/>
      </c>
      <c r="AM83" s="124" t="str">
        <f t="shared" si="31"/>
        <v/>
      </c>
      <c r="AN83" s="1274" t="str">
        <f t="shared" si="32"/>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13" t="s">
        <v>99</v>
      </c>
      <c r="G3" s="1213">
        <f>'00 - Cover'!$F$17</f>
        <v>46022</v>
      </c>
      <c r="H3" s="37"/>
      <c r="I3" s="39"/>
      <c r="J3" s="39"/>
    </row>
    <row r="4" spans="1:10" ht="14.45" customHeight="1">
      <c r="A4" s="35"/>
      <c r="B4" s="37"/>
      <c r="C4" s="37"/>
      <c r="D4" s="37"/>
      <c r="E4" s="37"/>
      <c r="F4" s="1213" t="s">
        <v>4</v>
      </c>
      <c r="G4" s="1213">
        <f>'00 - Cover'!$F$19</f>
        <v>46042</v>
      </c>
      <c r="H4" s="37"/>
      <c r="I4" s="39"/>
      <c r="J4" s="39"/>
    </row>
    <row r="5" spans="1:10" ht="14.45" customHeight="1">
      <c r="A5" s="35"/>
      <c r="B5" s="37"/>
      <c r="C5" s="37"/>
      <c r="D5" s="37"/>
      <c r="E5" s="37"/>
      <c r="F5" s="1213" t="s">
        <v>5</v>
      </c>
      <c r="G5" s="1213">
        <f>'00 - Cover'!$F$20</f>
        <v>46049</v>
      </c>
      <c r="H5" s="37"/>
      <c r="I5" s="39"/>
      <c r="J5" s="39"/>
    </row>
    <row r="6" spans="1:10" ht="14.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5" t="s">
        <v>2000</v>
      </c>
      <c r="C9" s="230"/>
      <c r="D9" s="231"/>
      <c r="E9" s="232"/>
      <c r="F9" s="233"/>
    </row>
    <row r="11" spans="1:10" ht="63.6" customHeight="1">
      <c r="A11" s="234"/>
      <c r="B11" s="235" t="s">
        <v>100</v>
      </c>
      <c r="C11" s="235" t="s">
        <v>603</v>
      </c>
      <c r="D11" s="235" t="s">
        <v>1356</v>
      </c>
      <c r="E11" s="235" t="s">
        <v>101</v>
      </c>
      <c r="F11" s="235" t="s">
        <v>1355</v>
      </c>
    </row>
    <row r="12" spans="1:10">
      <c r="A12" s="234"/>
      <c r="B12" s="236">
        <f>+'02 - Monthly Asset Follow up'!B17</f>
        <v>46022</v>
      </c>
      <c r="C12" s="237">
        <f>D12*12</f>
        <v>2.9761868439498192E-2</v>
      </c>
      <c r="D12" s="237">
        <f>IF(OR(B12=0,F12=""),"",E12/F12)</f>
        <v>2.4801557032915161E-3</v>
      </c>
      <c r="E12" s="1739">
        <f>IF(B12=0,"",'02 - Monthly Asset Follow up'!F17)</f>
        <v>28299915.91</v>
      </c>
      <c r="F12" s="1742">
        <f>IF(B12=0,"",'02 - Monthly Asset Follow up'!C17)</f>
        <v>11410540020.709999</v>
      </c>
      <c r="G12" s="1741"/>
    </row>
    <row r="13" spans="1:10">
      <c r="A13" s="234"/>
      <c r="B13" s="254">
        <f>+'02 - Monthly Asset Follow up'!B18</f>
        <v>45991</v>
      </c>
      <c r="C13" s="1509">
        <f>IF(OR(B13=0,F13=""),"",D13*12)</f>
        <v>2.50785179838309E-2</v>
      </c>
      <c r="D13" s="1509">
        <f t="shared" ref="D13:D71" si="0">IF(OR(B13=0,F13=""),"",E13/F13)</f>
        <v>2.089876498652575E-3</v>
      </c>
      <c r="E13" s="1731">
        <f>IF(B14=0,"",'02 - Monthly Asset Follow up'!F18)</f>
        <v>24036133.25</v>
      </c>
      <c r="F13" s="1740">
        <f>IF(B14=0,"",'02 - Monthly Asset Follow up'!C18)</f>
        <v>11501221849.950001</v>
      </c>
      <c r="H13" s="1430"/>
    </row>
    <row r="14" spans="1:10">
      <c r="A14" s="234"/>
      <c r="B14" s="254">
        <f>+'02 - Monthly Asset Follow up'!B19</f>
        <v>45961</v>
      </c>
      <c r="C14" s="1509">
        <f t="shared" ref="C14:C71" si="1">IF(OR(B14=0,F14=""),"",D14*12)</f>
        <v>3.1977054959562295E-2</v>
      </c>
      <c r="D14" s="1509">
        <f t="shared" si="0"/>
        <v>2.6647545799635243E-3</v>
      </c>
      <c r="E14" s="1731">
        <f>IF(B15=0,"",'02 - Monthly Asset Follow up'!F19)</f>
        <v>30948441.43</v>
      </c>
      <c r="F14" s="1731">
        <f>IF(B15=0,"",'02 - Monthly Asset Follow up'!C19)</f>
        <v>11613993146.950001</v>
      </c>
    </row>
    <row r="15" spans="1:10">
      <c r="B15" s="254">
        <f>+'02 - Monthly Asset Follow up'!B20</f>
        <v>45930</v>
      </c>
      <c r="C15" s="1509">
        <f t="shared" si="1"/>
        <v>2.9294841021539758E-2</v>
      </c>
      <c r="D15" s="1509">
        <f t="shared" si="0"/>
        <v>2.4412367517949798E-3</v>
      </c>
      <c r="E15" s="1731">
        <f>IF(B16=0,"",'02 - Monthly Asset Follow up'!F20)</f>
        <v>18140271.010000002</v>
      </c>
      <c r="F15" s="1731">
        <f>IF(B16=0,"",'02 - Monthly Asset Follow up'!C20)</f>
        <v>7430770897.8500004</v>
      </c>
    </row>
    <row r="16" spans="1:10">
      <c r="B16" s="254">
        <f>+'02 - Monthly Asset Follow up'!B21</f>
        <v>45900</v>
      </c>
      <c r="C16" s="1509">
        <f t="shared" si="1"/>
        <v>3.8981747393720401E-2</v>
      </c>
      <c r="D16" s="1509">
        <f t="shared" si="0"/>
        <v>3.2484789494766999E-3</v>
      </c>
      <c r="E16" s="1731">
        <f>IF(B17=0,"",'02 - Monthly Asset Follow up'!F21)</f>
        <v>24368146.75</v>
      </c>
      <c r="F16" s="1731">
        <f>IF(B17=0,"",'02 - Monthly Asset Follow up'!C21)</f>
        <v>7501402080.4799995</v>
      </c>
    </row>
    <row r="17" spans="2:6">
      <c r="B17" s="254">
        <f>+'02 - Monthly Asset Follow up'!B22</f>
        <v>45869</v>
      </c>
      <c r="C17" s="1509">
        <f t="shared" si="1"/>
        <v>3.7301120015781175E-2</v>
      </c>
      <c r="D17" s="1509">
        <f t="shared" si="0"/>
        <v>3.1084266679817646E-3</v>
      </c>
      <c r="E17" s="1731">
        <f>IF(B18=0,"",'02 - Monthly Asset Follow up'!F22)</f>
        <v>23530806</v>
      </c>
      <c r="F17" s="1731">
        <f>IF(B18=0,"",'02 - Monthly Asset Follow up'!C22)</f>
        <v>7570005186.9899998</v>
      </c>
    </row>
    <row r="18" spans="2:6">
      <c r="B18" s="254">
        <f>+'02 - Monthly Asset Follow up'!B23</f>
        <v>45838</v>
      </c>
      <c r="C18" s="1509">
        <f t="shared" si="1"/>
        <v>2.7351720339595587E-2</v>
      </c>
      <c r="D18" s="1509">
        <f t="shared" si="0"/>
        <v>2.2793100282996323E-3</v>
      </c>
      <c r="E18" s="1731">
        <f>IF(B19=0,"",'02 - Monthly Asset Follow up'!F23)</f>
        <v>17402933.100000001</v>
      </c>
      <c r="F18" s="1731">
        <f>IF(B19=0,"",'02 - Monthly Asset Follow up'!C23)</f>
        <v>7635175945.3199997</v>
      </c>
    </row>
    <row r="19" spans="2:6">
      <c r="B19" s="254">
        <f>+'02 - Monthly Asset Follow up'!B24</f>
        <v>45808</v>
      </c>
      <c r="C19" s="1509">
        <f t="shared" si="1"/>
        <v>3.041708720881265E-2</v>
      </c>
      <c r="D19" s="1509">
        <f t="shared" si="0"/>
        <v>2.5347572674010543E-3</v>
      </c>
      <c r="E19" s="1731">
        <f>IF(B20=0,"",'02 - Monthly Asset Follow up'!F24)</f>
        <v>19519847.550000001</v>
      </c>
      <c r="F19" s="1731">
        <f>IF(B20=0,"",'02 - Monthly Asset Follow up'!C24)</f>
        <v>7700874478.6099997</v>
      </c>
    </row>
    <row r="20" spans="2:6">
      <c r="B20" s="254">
        <f>+'02 - Monthly Asset Follow up'!B25</f>
        <v>45777</v>
      </c>
      <c r="C20" s="1509">
        <f t="shared" si="1"/>
        <v>2.2945293583650217E-2</v>
      </c>
      <c r="D20" s="1509">
        <f t="shared" si="0"/>
        <v>1.9121077986375182E-3</v>
      </c>
      <c r="E20" s="1731">
        <f>IF(B21=0,"",'02 - Monthly Asset Follow up'!F25)</f>
        <v>14842897.939999999</v>
      </c>
      <c r="F20" s="1731">
        <f>IF(B21=0,"",'02 - Monthly Asset Follow up'!C25)</f>
        <v>7762584280.3299999</v>
      </c>
    </row>
    <row r="21" spans="2:6">
      <c r="B21" s="254">
        <f>+'02 - Monthly Asset Follow up'!B26</f>
        <v>45747</v>
      </c>
      <c r="C21" s="1509">
        <f t="shared" si="1"/>
        <v>2.3177549311461491E-2</v>
      </c>
      <c r="D21" s="1509">
        <f t="shared" si="0"/>
        <v>1.9314624426217909E-3</v>
      </c>
      <c r="E21" s="1731">
        <f>IF(B22=0,"",'02 - Monthly Asset Follow up'!F26)</f>
        <v>15107591.52</v>
      </c>
      <c r="F21" s="1731">
        <f>IF(B22=0,"",'02 - Monthly Asset Follow up'!C26)</f>
        <v>7821840687.46</v>
      </c>
    </row>
    <row r="22" spans="2:6">
      <c r="B22" s="254">
        <f>+'02 - Monthly Asset Follow up'!B27</f>
        <v>45716</v>
      </c>
      <c r="C22" s="1509">
        <f t="shared" si="1"/>
        <v>2.079140098954417E-2</v>
      </c>
      <c r="D22" s="1509">
        <f t="shared" si="0"/>
        <v>1.7326167491286807E-3</v>
      </c>
      <c r="E22" s="1731">
        <f>IF(B23=0,"",'02 - Monthly Asset Follow up'!F27)</f>
        <v>13656654.539999999</v>
      </c>
      <c r="F22" s="1731">
        <f>IF(B23=0,"",'02 - Monthly Asset Follow up'!C27)</f>
        <v>7882097726.96</v>
      </c>
    </row>
    <row r="23" spans="2:6">
      <c r="B23" s="254">
        <f>+'02 - Monthly Asset Follow up'!B28</f>
        <v>45688</v>
      </c>
      <c r="C23" s="1509">
        <f t="shared" si="1"/>
        <v>2.0851509775843345E-2</v>
      </c>
      <c r="D23" s="1509">
        <f t="shared" si="0"/>
        <v>1.737625814653612E-3</v>
      </c>
      <c r="E23" s="1731">
        <f>IF(B24=0,"",'02 - Monthly Asset Follow up'!F28)</f>
        <v>13800626.789999999</v>
      </c>
      <c r="F23" s="1731">
        <f>IF(B24=0,"",'02 - Monthly Asset Follow up'!C28)</f>
        <v>7942231678.1999998</v>
      </c>
    </row>
    <row r="24" spans="2:6">
      <c r="B24" s="254">
        <f>+'02 - Monthly Asset Follow up'!B29</f>
        <v>45657</v>
      </c>
      <c r="C24" s="1509">
        <f t="shared" si="1"/>
        <v>2.1983647908994354E-2</v>
      </c>
      <c r="D24" s="1509">
        <f t="shared" si="0"/>
        <v>1.8319706590828628E-3</v>
      </c>
      <c r="E24" s="1731">
        <f>IF(B25=0,"",'02 - Monthly Asset Follow up'!F29)</f>
        <v>14770590.32</v>
      </c>
      <c r="F24" s="1731">
        <f>IF(B25=0,"",'02 - Monthly Asset Follow up'!C29)</f>
        <v>8062678431.4300003</v>
      </c>
    </row>
    <row r="25" spans="2:6">
      <c r="B25" s="254">
        <f>+'02 - Monthly Asset Follow up'!B30</f>
        <v>45626</v>
      </c>
      <c r="C25" s="1509">
        <f t="shared" si="1"/>
        <v>1.8885672054024097E-2</v>
      </c>
      <c r="D25" s="1509">
        <f t="shared" si="0"/>
        <v>1.573806004502008E-3</v>
      </c>
      <c r="E25" s="1731">
        <f>IF(B26=0,"",'02 - Monthly Asset Follow up'!F30)</f>
        <v>12780562.119999999</v>
      </c>
      <c r="F25" s="1731">
        <f>IF(B26=0,"",'02 - Monthly Asset Follow up'!C30)</f>
        <v>8120798931.6599998</v>
      </c>
    </row>
    <row r="26" spans="2:6">
      <c r="B26" s="254">
        <f>+'02 - Monthly Asset Follow up'!B31</f>
        <v>45596</v>
      </c>
      <c r="C26" s="1509">
        <f t="shared" si="1"/>
        <v>1.8445462020741064E-2</v>
      </c>
      <c r="D26" s="1509">
        <f t="shared" si="0"/>
        <v>1.5371218350617552E-3</v>
      </c>
      <c r="E26" s="1731">
        <f>IF(B27=0,"",'02 - Monthly Asset Follow up'!F31)</f>
        <v>12577297.26</v>
      </c>
      <c r="F26" s="1731">
        <f>IF(B27=0,"",'02 - Monthly Asset Follow up'!C31)</f>
        <v>8182368484.4700003</v>
      </c>
    </row>
    <row r="27" spans="2:6">
      <c r="B27" s="254">
        <f>+'02 - Monthly Asset Follow up'!B32</f>
        <v>45565</v>
      </c>
      <c r="C27" s="1509" t="str">
        <f t="shared" si="1"/>
        <v/>
      </c>
      <c r="D27" s="1509" t="str">
        <f t="shared" si="0"/>
        <v/>
      </c>
      <c r="E27" s="1731" t="str">
        <f>IF(B28=0,"",'02 - Monthly Asset Follow up'!F32)</f>
        <v/>
      </c>
      <c r="F27" s="1731" t="str">
        <f>IF(B28=0,"",'02 - Monthly Asset Follow up'!C32)</f>
        <v/>
      </c>
    </row>
    <row r="28" spans="2:6">
      <c r="B28" s="254">
        <f>+'02 - Monthly Asset Follow up'!B33</f>
        <v>0</v>
      </c>
      <c r="C28" s="1509" t="str">
        <f t="shared" si="1"/>
        <v/>
      </c>
      <c r="D28" s="1509" t="str">
        <f t="shared" si="0"/>
        <v/>
      </c>
      <c r="E28" s="1731" t="str">
        <f>IF(B29=0,"",'02 - Monthly Asset Follow up'!F33)</f>
        <v/>
      </c>
      <c r="F28" s="1731" t="str">
        <f>IF(B29=0,"",'02 - Monthly Asset Follow up'!C33)</f>
        <v/>
      </c>
    </row>
    <row r="29" spans="2:6">
      <c r="B29" s="254">
        <f>+'02 - Monthly Asset Follow up'!B34</f>
        <v>0</v>
      </c>
      <c r="C29" s="1509" t="str">
        <f t="shared" si="1"/>
        <v/>
      </c>
      <c r="D29" s="1509" t="str">
        <f t="shared" si="0"/>
        <v/>
      </c>
      <c r="E29" s="1731" t="str">
        <f>IF(B30=0,"",'02 - Monthly Asset Follow up'!F34)</f>
        <v/>
      </c>
      <c r="F29" s="1731" t="str">
        <f>IF(B30=0,"",'02 - Monthly Asset Follow up'!C34)</f>
        <v/>
      </c>
    </row>
    <row r="30" spans="2:6">
      <c r="B30" s="254">
        <f>+'02 - Monthly Asset Follow up'!B35</f>
        <v>0</v>
      </c>
      <c r="C30" s="1509" t="str">
        <f t="shared" si="1"/>
        <v/>
      </c>
      <c r="D30" s="1509" t="str">
        <f t="shared" si="0"/>
        <v/>
      </c>
      <c r="E30" s="1731" t="str">
        <f>IF(B31=0,"",'02 - Monthly Asset Follow up'!F35)</f>
        <v/>
      </c>
      <c r="F30" s="1731" t="str">
        <f>IF(B31=0,"",'02 - Monthly Asset Follow up'!C35)</f>
        <v/>
      </c>
    </row>
    <row r="31" spans="2:6">
      <c r="B31" s="254">
        <f>+'02 - Monthly Asset Follow up'!B36</f>
        <v>0</v>
      </c>
      <c r="C31" s="1509" t="str">
        <f t="shared" si="1"/>
        <v/>
      </c>
      <c r="D31" s="1509" t="str">
        <f t="shared" si="0"/>
        <v/>
      </c>
      <c r="E31" s="1731" t="str">
        <f>IF(B32=0,"",'02 - Monthly Asset Follow up'!F36)</f>
        <v/>
      </c>
      <c r="F31" s="1731" t="str">
        <f>IF(B32=0,"",'02 - Monthly Asset Follow up'!C36)</f>
        <v/>
      </c>
    </row>
    <row r="32" spans="2:6">
      <c r="B32" s="254">
        <f>+'02 - Monthly Asset Follow up'!B37</f>
        <v>0</v>
      </c>
      <c r="C32" s="1509" t="str">
        <f t="shared" si="1"/>
        <v/>
      </c>
      <c r="D32" s="1509" t="str">
        <f t="shared" si="0"/>
        <v/>
      </c>
      <c r="E32" s="1731" t="str">
        <f>IF(B33=0,"",'02 - Monthly Asset Follow up'!F37)</f>
        <v/>
      </c>
      <c r="F32" s="1731" t="str">
        <f>IF(B33=0,"",'02 - Monthly Asset Follow up'!C37)</f>
        <v/>
      </c>
    </row>
    <row r="33" spans="2:6">
      <c r="B33" s="254">
        <f>+'02 - Monthly Asset Follow up'!B38</f>
        <v>0</v>
      </c>
      <c r="C33" s="1509" t="str">
        <f t="shared" si="1"/>
        <v/>
      </c>
      <c r="D33" s="1509" t="str">
        <f t="shared" si="0"/>
        <v/>
      </c>
      <c r="E33" s="1731" t="str">
        <f>IF(B34=0,"",'02 - Monthly Asset Follow up'!F38)</f>
        <v/>
      </c>
      <c r="F33" s="1731" t="str">
        <f>IF(B34=0,"",'02 - Monthly Asset Follow up'!C38)</f>
        <v/>
      </c>
    </row>
    <row r="34" spans="2:6">
      <c r="B34" s="254">
        <f>+'02 - Monthly Asset Follow up'!B39</f>
        <v>0</v>
      </c>
      <c r="C34" s="1509" t="str">
        <f t="shared" si="1"/>
        <v/>
      </c>
      <c r="D34" s="1509" t="str">
        <f t="shared" si="0"/>
        <v/>
      </c>
      <c r="E34" s="1731" t="str">
        <f>IF(B35=0,"",'02 - Monthly Asset Follow up'!F39)</f>
        <v/>
      </c>
      <c r="F34" s="1731" t="str">
        <f>IF(B35=0,"",'02 - Monthly Asset Follow up'!C39)</f>
        <v/>
      </c>
    </row>
    <row r="35" spans="2:6">
      <c r="B35" s="254">
        <f>+'02 - Monthly Asset Follow up'!B40</f>
        <v>0</v>
      </c>
      <c r="C35" s="1509" t="str">
        <f t="shared" si="1"/>
        <v/>
      </c>
      <c r="D35" s="1509" t="str">
        <f t="shared" si="0"/>
        <v/>
      </c>
      <c r="E35" s="1731" t="str">
        <f>IF(B36=0,"",'02 - Monthly Asset Follow up'!F40)</f>
        <v/>
      </c>
      <c r="F35" s="1731" t="str">
        <f>IF(B36=0,"",'02 - Monthly Asset Follow up'!C40)</f>
        <v/>
      </c>
    </row>
    <row r="36" spans="2:6">
      <c r="B36" s="254">
        <f>+'02 - Monthly Asset Follow up'!B41</f>
        <v>0</v>
      </c>
      <c r="C36" s="1509" t="str">
        <f t="shared" si="1"/>
        <v/>
      </c>
      <c r="D36" s="1509" t="str">
        <f t="shared" si="0"/>
        <v/>
      </c>
      <c r="E36" s="1731" t="str">
        <f>IF(B37=0,"",'02 - Monthly Asset Follow up'!F41)</f>
        <v/>
      </c>
      <c r="F36" s="1731" t="str">
        <f>IF(B37=0,"",'02 - Monthly Asset Follow up'!C41)</f>
        <v/>
      </c>
    </row>
    <row r="37" spans="2:6">
      <c r="B37" s="254">
        <f>+'02 - Monthly Asset Follow up'!B42</f>
        <v>0</v>
      </c>
      <c r="C37" s="1509" t="str">
        <f t="shared" si="1"/>
        <v/>
      </c>
      <c r="D37" s="1509" t="str">
        <f t="shared" si="0"/>
        <v/>
      </c>
      <c r="E37" s="1731" t="str">
        <f>IF(B38=0,"",'02 - Monthly Asset Follow up'!F42)</f>
        <v/>
      </c>
      <c r="F37" s="1731" t="str">
        <f>IF(B38=0,"",'02 - Monthly Asset Follow up'!C42)</f>
        <v/>
      </c>
    </row>
    <row r="38" spans="2:6">
      <c r="B38" s="254">
        <f>+'02 - Monthly Asset Follow up'!B43</f>
        <v>0</v>
      </c>
      <c r="C38" s="1509" t="str">
        <f t="shared" si="1"/>
        <v/>
      </c>
      <c r="D38" s="1509" t="str">
        <f t="shared" si="0"/>
        <v/>
      </c>
      <c r="E38" s="1731" t="str">
        <f>IF(B39=0,"",'02 - Monthly Asset Follow up'!F43)</f>
        <v/>
      </c>
      <c r="F38" s="1731" t="str">
        <f>IF(B39=0,"",'02 - Monthly Asset Follow up'!C43)</f>
        <v/>
      </c>
    </row>
    <row r="39" spans="2:6">
      <c r="B39" s="254">
        <f>+'02 - Monthly Asset Follow up'!B44</f>
        <v>0</v>
      </c>
      <c r="C39" s="1509" t="str">
        <f t="shared" si="1"/>
        <v/>
      </c>
      <c r="D39" s="1509" t="str">
        <f t="shared" si="0"/>
        <v/>
      </c>
      <c r="E39" s="1731" t="str">
        <f>IF(B40=0,"",'02 - Monthly Asset Follow up'!F44)</f>
        <v/>
      </c>
      <c r="F39" s="1731" t="str">
        <f>IF(B40=0,"",'02 - Monthly Asset Follow up'!C44)</f>
        <v/>
      </c>
    </row>
    <row r="40" spans="2:6">
      <c r="B40" s="254">
        <f>+'02 - Monthly Asset Follow up'!B45</f>
        <v>0</v>
      </c>
      <c r="C40" s="1509" t="str">
        <f t="shared" si="1"/>
        <v/>
      </c>
      <c r="D40" s="1509" t="str">
        <f t="shared" si="0"/>
        <v/>
      </c>
      <c r="E40" s="1731" t="str">
        <f>IF(B41=0,"",'02 - Monthly Asset Follow up'!F45)</f>
        <v/>
      </c>
      <c r="F40" s="1731" t="str">
        <f>IF(B41=0,"",'02 - Monthly Asset Follow up'!C45)</f>
        <v/>
      </c>
    </row>
    <row r="41" spans="2:6">
      <c r="B41" s="254">
        <f>+'02 - Monthly Asset Follow up'!B46</f>
        <v>0</v>
      </c>
      <c r="C41" s="1509" t="str">
        <f t="shared" si="1"/>
        <v/>
      </c>
      <c r="D41" s="1509" t="str">
        <f t="shared" si="0"/>
        <v/>
      </c>
      <c r="E41" s="1731" t="str">
        <f>IF(B42=0,"",'02 - Monthly Asset Follow up'!F46)</f>
        <v/>
      </c>
      <c r="F41" s="1731" t="str">
        <f>IF(B42=0,"",'02 - Monthly Asset Follow up'!C46)</f>
        <v/>
      </c>
    </row>
    <row r="42" spans="2:6">
      <c r="B42" s="254">
        <f>+'02 - Monthly Asset Follow up'!B47</f>
        <v>0</v>
      </c>
      <c r="C42" s="1509" t="str">
        <f t="shared" si="1"/>
        <v/>
      </c>
      <c r="D42" s="1509" t="str">
        <f t="shared" si="0"/>
        <v/>
      </c>
      <c r="E42" s="1731" t="str">
        <f>IF(B43=0,"",'02 - Monthly Asset Follow up'!F47)</f>
        <v/>
      </c>
      <c r="F42" s="1731" t="str">
        <f>IF(B43=0,"",'02 - Monthly Asset Follow up'!C47)</f>
        <v/>
      </c>
    </row>
    <row r="43" spans="2:6">
      <c r="B43" s="254">
        <f>+'02 - Monthly Asset Follow up'!B48</f>
        <v>0</v>
      </c>
      <c r="C43" s="1509" t="str">
        <f t="shared" si="1"/>
        <v/>
      </c>
      <c r="D43" s="1509" t="str">
        <f t="shared" si="0"/>
        <v/>
      </c>
      <c r="E43" s="1731" t="str">
        <f>IF(B44=0,"",'02 - Monthly Asset Follow up'!F48)</f>
        <v/>
      </c>
      <c r="F43" s="1731" t="str">
        <f>IF(B44=0,"",'02 - Monthly Asset Follow up'!C48)</f>
        <v/>
      </c>
    </row>
    <row r="44" spans="2:6">
      <c r="B44" s="254">
        <f>+'02 - Monthly Asset Follow up'!B49</f>
        <v>0</v>
      </c>
      <c r="C44" s="1509" t="str">
        <f t="shared" si="1"/>
        <v/>
      </c>
      <c r="D44" s="1509" t="str">
        <f t="shared" si="0"/>
        <v/>
      </c>
      <c r="E44" s="1731" t="str">
        <f>IF(B45=0,"",'02 - Monthly Asset Follow up'!F49)</f>
        <v/>
      </c>
      <c r="F44" s="1731" t="str">
        <f>IF(B45=0,"",'02 - Monthly Asset Follow up'!C49)</f>
        <v/>
      </c>
    </row>
    <row r="45" spans="2:6">
      <c r="B45" s="254">
        <f>+'02 - Monthly Asset Follow up'!B50</f>
        <v>0</v>
      </c>
      <c r="C45" s="1509" t="str">
        <f t="shared" si="1"/>
        <v/>
      </c>
      <c r="D45" s="1509" t="str">
        <f t="shared" si="0"/>
        <v/>
      </c>
      <c r="E45" s="1731" t="str">
        <f>IF(B46=0,"",'02 - Monthly Asset Follow up'!F50)</f>
        <v/>
      </c>
      <c r="F45" s="1731" t="str">
        <f>IF(B46=0,"",'02 - Monthly Asset Follow up'!C50)</f>
        <v/>
      </c>
    </row>
    <row r="46" spans="2:6">
      <c r="B46" s="254">
        <f>+'02 - Monthly Asset Follow up'!B51</f>
        <v>0</v>
      </c>
      <c r="C46" s="1509" t="str">
        <f t="shared" si="1"/>
        <v/>
      </c>
      <c r="D46" s="1509" t="str">
        <f t="shared" si="0"/>
        <v/>
      </c>
      <c r="E46" s="1731" t="str">
        <f>IF(B47=0,"",'02 - Monthly Asset Follow up'!F51)</f>
        <v/>
      </c>
      <c r="F46" s="1731" t="str">
        <f>IF(B47=0,"",'02 - Monthly Asset Follow up'!C51)</f>
        <v/>
      </c>
    </row>
    <row r="47" spans="2:6">
      <c r="B47" s="254">
        <f>+'02 - Monthly Asset Follow up'!B52</f>
        <v>0</v>
      </c>
      <c r="C47" s="1509" t="str">
        <f t="shared" si="1"/>
        <v/>
      </c>
      <c r="D47" s="1509" t="str">
        <f t="shared" si="0"/>
        <v/>
      </c>
      <c r="E47" s="1731" t="str">
        <f>IF(B48=0,"",'02 - Monthly Asset Follow up'!F52)</f>
        <v/>
      </c>
      <c r="F47" s="1731" t="str">
        <f>IF(B48=0,"",'02 - Monthly Asset Follow up'!C52)</f>
        <v/>
      </c>
    </row>
    <row r="48" spans="2:6">
      <c r="B48" s="254">
        <f>+'02 - Monthly Asset Follow up'!B53</f>
        <v>0</v>
      </c>
      <c r="C48" s="1509" t="str">
        <f t="shared" si="1"/>
        <v/>
      </c>
      <c r="D48" s="1509" t="str">
        <f t="shared" si="0"/>
        <v/>
      </c>
      <c r="E48" s="1731" t="str">
        <f>IF(B49=0,"",'02 - Monthly Asset Follow up'!F53)</f>
        <v/>
      </c>
      <c r="F48" s="1731" t="str">
        <f>IF(B49=0,"",'02 - Monthly Asset Follow up'!C53)</f>
        <v/>
      </c>
    </row>
    <row r="49" spans="2:6">
      <c r="B49" s="254">
        <f>+'02 - Monthly Asset Follow up'!B54</f>
        <v>0</v>
      </c>
      <c r="C49" s="1509" t="str">
        <f t="shared" si="1"/>
        <v/>
      </c>
      <c r="D49" s="1509" t="str">
        <f t="shared" si="0"/>
        <v/>
      </c>
      <c r="E49" s="1731" t="str">
        <f>IF(B50=0,"",'02 - Monthly Asset Follow up'!F54)</f>
        <v/>
      </c>
      <c r="F49" s="1731" t="str">
        <f>IF(B50=0,"",'02 - Monthly Asset Follow up'!C54)</f>
        <v/>
      </c>
    </row>
    <row r="50" spans="2:6">
      <c r="B50" s="254">
        <f>+'02 - Monthly Asset Follow up'!B55</f>
        <v>0</v>
      </c>
      <c r="C50" s="1509" t="str">
        <f t="shared" si="1"/>
        <v/>
      </c>
      <c r="D50" s="1509" t="str">
        <f t="shared" si="0"/>
        <v/>
      </c>
      <c r="E50" s="1731" t="str">
        <f>IF(B51=0,"",'02 - Monthly Asset Follow up'!F55)</f>
        <v/>
      </c>
      <c r="F50" s="1731" t="str">
        <f>IF(B51=0,"",'02 - Monthly Asset Follow up'!C55)</f>
        <v/>
      </c>
    </row>
    <row r="51" spans="2:6">
      <c r="B51" s="254">
        <f>+'02 - Monthly Asset Follow up'!B56</f>
        <v>0</v>
      </c>
      <c r="C51" s="1509" t="str">
        <f t="shared" si="1"/>
        <v/>
      </c>
      <c r="D51" s="1509" t="str">
        <f t="shared" si="0"/>
        <v/>
      </c>
      <c r="E51" s="1731" t="str">
        <f>IF(B52=0,"",'02 - Monthly Asset Follow up'!F56)</f>
        <v/>
      </c>
      <c r="F51" s="1731" t="str">
        <f>IF(B52=0,"",'02 - Monthly Asset Follow up'!C56)</f>
        <v/>
      </c>
    </row>
    <row r="52" spans="2:6">
      <c r="B52" s="254">
        <f>+'02 - Monthly Asset Follow up'!B57</f>
        <v>0</v>
      </c>
      <c r="C52" s="1509" t="str">
        <f t="shared" si="1"/>
        <v/>
      </c>
      <c r="D52" s="1509" t="str">
        <f t="shared" si="0"/>
        <v/>
      </c>
      <c r="E52" s="1731" t="str">
        <f>IF(B53=0,"",'02 - Monthly Asset Follow up'!F57)</f>
        <v/>
      </c>
      <c r="F52" s="1731" t="str">
        <f>IF(B53=0,"",'02 - Monthly Asset Follow up'!C57)</f>
        <v/>
      </c>
    </row>
    <row r="53" spans="2:6">
      <c r="B53" s="254">
        <f>+'02 - Monthly Asset Follow up'!B58</f>
        <v>0</v>
      </c>
      <c r="C53" s="1509" t="str">
        <f t="shared" si="1"/>
        <v/>
      </c>
      <c r="D53" s="1509" t="str">
        <f t="shared" si="0"/>
        <v/>
      </c>
      <c r="E53" s="1731" t="str">
        <f>IF(B54=0,"",'02 - Monthly Asset Follow up'!F58)</f>
        <v/>
      </c>
      <c r="F53" s="1731" t="str">
        <f>IF(B54=0,"",'02 - Monthly Asset Follow up'!C58)</f>
        <v/>
      </c>
    </row>
    <row r="54" spans="2:6">
      <c r="B54" s="254">
        <f>+'02 - Monthly Asset Follow up'!B59</f>
        <v>0</v>
      </c>
      <c r="C54" s="1509" t="str">
        <f t="shared" si="1"/>
        <v/>
      </c>
      <c r="D54" s="1509" t="str">
        <f t="shared" si="0"/>
        <v/>
      </c>
      <c r="E54" s="1731" t="str">
        <f>IF(B55=0,"",'02 - Monthly Asset Follow up'!F59)</f>
        <v/>
      </c>
      <c r="F54" s="1731" t="str">
        <f>IF(B55=0,"",'02 - Monthly Asset Follow up'!C59)</f>
        <v/>
      </c>
    </row>
    <row r="55" spans="2:6">
      <c r="B55" s="254">
        <f>+'02 - Monthly Asset Follow up'!B60</f>
        <v>0</v>
      </c>
      <c r="C55" s="1509" t="str">
        <f t="shared" si="1"/>
        <v/>
      </c>
      <c r="D55" s="1509" t="str">
        <f t="shared" si="0"/>
        <v/>
      </c>
      <c r="E55" s="1731" t="str">
        <f>IF(B56=0,"",'02 - Monthly Asset Follow up'!F60)</f>
        <v/>
      </c>
      <c r="F55" s="1731" t="str">
        <f>IF(B56=0,"",'02 - Monthly Asset Follow up'!C60)</f>
        <v/>
      </c>
    </row>
    <row r="56" spans="2:6">
      <c r="B56" s="254">
        <f>+'02 - Monthly Asset Follow up'!B61</f>
        <v>0</v>
      </c>
      <c r="C56" s="1509" t="str">
        <f t="shared" si="1"/>
        <v/>
      </c>
      <c r="D56" s="1509" t="str">
        <f t="shared" si="0"/>
        <v/>
      </c>
      <c r="E56" s="1731" t="str">
        <f>IF(B57=0,"",'02 - Monthly Asset Follow up'!F61)</f>
        <v/>
      </c>
      <c r="F56" s="1731" t="str">
        <f>IF(B57=0,"",'02 - Monthly Asset Follow up'!C61)</f>
        <v/>
      </c>
    </row>
    <row r="57" spans="2:6">
      <c r="B57" s="254">
        <f>+'02 - Monthly Asset Follow up'!B62</f>
        <v>0</v>
      </c>
      <c r="C57" s="1509" t="str">
        <f t="shared" si="1"/>
        <v/>
      </c>
      <c r="D57" s="1509" t="str">
        <f t="shared" si="0"/>
        <v/>
      </c>
      <c r="E57" s="1731" t="str">
        <f>IF(B58=0,"",'02 - Monthly Asset Follow up'!F62)</f>
        <v/>
      </c>
      <c r="F57" s="1731" t="str">
        <f>IF(B58=0,"",'02 - Monthly Asset Follow up'!C62)</f>
        <v/>
      </c>
    </row>
    <row r="58" spans="2:6">
      <c r="B58" s="254">
        <f>+'02 - Monthly Asset Follow up'!B63</f>
        <v>0</v>
      </c>
      <c r="C58" s="1509" t="str">
        <f t="shared" si="1"/>
        <v/>
      </c>
      <c r="D58" s="1509" t="str">
        <f t="shared" si="0"/>
        <v/>
      </c>
      <c r="E58" s="1731" t="str">
        <f>IF(B59=0,"",'02 - Monthly Asset Follow up'!F63)</f>
        <v/>
      </c>
      <c r="F58" s="1731" t="str">
        <f>IF(B59=0,"",'02 - Monthly Asset Follow up'!C63)</f>
        <v/>
      </c>
    </row>
    <row r="59" spans="2:6">
      <c r="B59" s="254">
        <f>+'02 - Monthly Asset Follow up'!B64</f>
        <v>0</v>
      </c>
      <c r="C59" s="1509" t="str">
        <f t="shared" si="1"/>
        <v/>
      </c>
      <c r="D59" s="1509" t="str">
        <f t="shared" si="0"/>
        <v/>
      </c>
      <c r="E59" s="1731" t="str">
        <f>IF(B60=0,"",'02 - Monthly Asset Follow up'!F64)</f>
        <v/>
      </c>
      <c r="F59" s="1731" t="str">
        <f>IF(B60=0,"",'02 - Monthly Asset Follow up'!C64)</f>
        <v/>
      </c>
    </row>
    <row r="60" spans="2:6">
      <c r="B60" s="254">
        <f>+'02 - Monthly Asset Follow up'!B65</f>
        <v>0</v>
      </c>
      <c r="C60" s="1509" t="str">
        <f t="shared" si="1"/>
        <v/>
      </c>
      <c r="D60" s="1509" t="str">
        <f t="shared" si="0"/>
        <v/>
      </c>
      <c r="E60" s="1731" t="str">
        <f>IF(B61=0,"",'02 - Monthly Asset Follow up'!F65)</f>
        <v/>
      </c>
      <c r="F60" s="1731" t="str">
        <f>IF(B61=0,"",'02 - Monthly Asset Follow up'!C65)</f>
        <v/>
      </c>
    </row>
    <row r="61" spans="2:6">
      <c r="B61" s="254">
        <f>+'02 - Monthly Asset Follow up'!B66</f>
        <v>0</v>
      </c>
      <c r="C61" s="1509" t="str">
        <f t="shared" si="1"/>
        <v/>
      </c>
      <c r="D61" s="1509" t="str">
        <f t="shared" si="0"/>
        <v/>
      </c>
      <c r="E61" s="1731" t="str">
        <f>IF(B62=0,"",'02 - Monthly Asset Follow up'!F66)</f>
        <v/>
      </c>
      <c r="F61" s="1731" t="str">
        <f>IF(B62=0,"",'02 - Monthly Asset Follow up'!C66)</f>
        <v/>
      </c>
    </row>
    <row r="62" spans="2:6">
      <c r="B62" s="254">
        <f>+'02 - Monthly Asset Follow up'!B67</f>
        <v>0</v>
      </c>
      <c r="C62" s="1509" t="str">
        <f t="shared" si="1"/>
        <v/>
      </c>
      <c r="D62" s="1509" t="str">
        <f t="shared" si="0"/>
        <v/>
      </c>
      <c r="E62" s="1731" t="str">
        <f>IF(B63=0,"",'02 - Monthly Asset Follow up'!F67)</f>
        <v/>
      </c>
      <c r="F62" s="1731" t="str">
        <f>IF(B63=0,"",'02 - Monthly Asset Follow up'!C67)</f>
        <v/>
      </c>
    </row>
    <row r="63" spans="2:6">
      <c r="B63" s="254">
        <f>+'02 - Monthly Asset Follow up'!B68</f>
        <v>0</v>
      </c>
      <c r="C63" s="1509" t="str">
        <f t="shared" si="1"/>
        <v/>
      </c>
      <c r="D63" s="1509" t="str">
        <f t="shared" si="0"/>
        <v/>
      </c>
      <c r="E63" s="1731" t="str">
        <f>IF(B64=0,"",'02 - Monthly Asset Follow up'!F68)</f>
        <v/>
      </c>
      <c r="F63" s="1731" t="str">
        <f>IF(B64=0,"",'02 - Monthly Asset Follow up'!C68)</f>
        <v/>
      </c>
    </row>
    <row r="64" spans="2:6">
      <c r="B64" s="254">
        <f>+'02 - Monthly Asset Follow up'!B69</f>
        <v>0</v>
      </c>
      <c r="C64" s="1509" t="str">
        <f t="shared" si="1"/>
        <v/>
      </c>
      <c r="D64" s="1509" t="str">
        <f t="shared" si="0"/>
        <v/>
      </c>
      <c r="E64" s="1731" t="str">
        <f>IF(B65=0,"",'02 - Monthly Asset Follow up'!F69)</f>
        <v/>
      </c>
      <c r="F64" s="1731" t="str">
        <f>IF(B65=0,"",'02 - Monthly Asset Follow up'!C69)</f>
        <v/>
      </c>
    </row>
    <row r="65" spans="2:6">
      <c r="B65" s="254">
        <f>+'02 - Monthly Asset Follow up'!B70</f>
        <v>0</v>
      </c>
      <c r="C65" s="1509" t="str">
        <f t="shared" si="1"/>
        <v/>
      </c>
      <c r="D65" s="1509" t="str">
        <f t="shared" si="0"/>
        <v/>
      </c>
      <c r="E65" s="1731" t="str">
        <f>IF(B66=0,"",'02 - Monthly Asset Follow up'!F70)</f>
        <v/>
      </c>
      <c r="F65" s="1731" t="str">
        <f>IF(B66=0,"",'02 - Monthly Asset Follow up'!C70)</f>
        <v/>
      </c>
    </row>
    <row r="66" spans="2:6">
      <c r="B66" s="254">
        <f>+'02 - Monthly Asset Follow up'!B71</f>
        <v>0</v>
      </c>
      <c r="C66" s="1509" t="str">
        <f t="shared" si="1"/>
        <v/>
      </c>
      <c r="D66" s="1509" t="str">
        <f t="shared" si="0"/>
        <v/>
      </c>
      <c r="E66" s="1731" t="str">
        <f>IF(B67=0,"",'02 - Monthly Asset Follow up'!F71)</f>
        <v/>
      </c>
      <c r="F66" s="1731" t="str">
        <f>IF(B67=0,"",'02 - Monthly Asset Follow up'!C71)</f>
        <v/>
      </c>
    </row>
    <row r="67" spans="2:6">
      <c r="B67" s="254">
        <f>+'02 - Monthly Asset Follow up'!B72</f>
        <v>0</v>
      </c>
      <c r="C67" s="1509" t="str">
        <f t="shared" si="1"/>
        <v/>
      </c>
      <c r="D67" s="1509" t="str">
        <f t="shared" si="0"/>
        <v/>
      </c>
      <c r="E67" s="1731" t="str">
        <f>IF(B68=0,"",'02 - Monthly Asset Follow up'!F72)</f>
        <v/>
      </c>
      <c r="F67" s="1731" t="str">
        <f>IF(B68=0,"",'02 - Monthly Asset Follow up'!C72)</f>
        <v/>
      </c>
    </row>
    <row r="68" spans="2:6">
      <c r="B68" s="254">
        <f>+'02 - Monthly Asset Follow up'!B73</f>
        <v>0</v>
      </c>
      <c r="C68" s="1509" t="str">
        <f t="shared" si="1"/>
        <v/>
      </c>
      <c r="D68" s="1509" t="str">
        <f t="shared" si="0"/>
        <v/>
      </c>
      <c r="E68" s="1731" t="str">
        <f>IF(B69=0,"",'02 - Monthly Asset Follow up'!F73)</f>
        <v/>
      </c>
      <c r="F68" s="1731" t="str">
        <f>IF(B69=0,"",'02 - Monthly Asset Follow up'!C73)</f>
        <v/>
      </c>
    </row>
    <row r="69" spans="2:6">
      <c r="B69" s="254">
        <f>+'02 - Monthly Asset Follow up'!B74</f>
        <v>0</v>
      </c>
      <c r="C69" s="1509" t="str">
        <f t="shared" si="1"/>
        <v/>
      </c>
      <c r="D69" s="1509" t="str">
        <f t="shared" si="0"/>
        <v/>
      </c>
      <c r="E69" s="1731" t="str">
        <f>IF(B70=0,"",'02 - Monthly Asset Follow up'!F74)</f>
        <v/>
      </c>
      <c r="F69" s="1731" t="str">
        <f>IF(B70=0,"",'02 - Monthly Asset Follow up'!C74)</f>
        <v/>
      </c>
    </row>
    <row r="70" spans="2:6">
      <c r="B70" s="254">
        <f>+'02 - Monthly Asset Follow up'!B75</f>
        <v>0</v>
      </c>
      <c r="C70" s="1509" t="str">
        <f t="shared" si="1"/>
        <v/>
      </c>
      <c r="D70" s="1509" t="str">
        <f t="shared" si="0"/>
        <v/>
      </c>
      <c r="E70" s="1731" t="str">
        <f>IF(B71=0,"",'02 - Monthly Asset Follow up'!F75)</f>
        <v/>
      </c>
      <c r="F70" s="1731" t="str">
        <f>IF(B71=0,"",'02 - Monthly Asset Follow up'!C75)</f>
        <v/>
      </c>
    </row>
    <row r="71" spans="2:6">
      <c r="B71" s="254">
        <f>+'02 - Monthly Asset Follow up'!B76</f>
        <v>0</v>
      </c>
      <c r="C71" s="1509" t="str">
        <f t="shared" si="1"/>
        <v/>
      </c>
      <c r="D71" s="1509" t="str">
        <f t="shared" si="0"/>
        <v/>
      </c>
      <c r="E71" s="1731" t="str">
        <f>IF(B72=0,"",'02 - Monthly Asset Follow up'!F76)</f>
        <v/>
      </c>
      <c r="F71" s="1731" t="str">
        <f>IF(B72=0,"",'02 - Monthly Asset Follow up'!C76)</f>
        <v/>
      </c>
    </row>
    <row r="72" spans="2:6">
      <c r="B72" s="254">
        <f>+'02 - Monthly Asset Follow up'!B77</f>
        <v>0</v>
      </c>
      <c r="C72" s="238"/>
      <c r="D72" s="238"/>
      <c r="E72" s="1731"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election activeCell="H13" sqref="H13"/>
    </sheetView>
  </sheetViews>
  <sheetFormatPr defaultColWidth="9.140625" defaultRowHeight="12.75"/>
  <cols>
    <col min="1" max="1" width="4" style="240" bestFit="1" customWidth="1"/>
    <col min="2" max="2" width="16.85546875" style="241" customWidth="1"/>
    <col min="3" max="3" width="1.42578125" style="241" customWidth="1"/>
    <col min="4" max="6" width="27.42578125" style="241" customWidth="1"/>
    <col min="7" max="7" width="20.140625" style="241" customWidth="1"/>
    <col min="8" max="8" width="19.5703125" style="241" bestFit="1" customWidth="1"/>
    <col min="9" max="16384" width="9.140625" style="241"/>
  </cols>
  <sheetData>
    <row r="3" spans="1:8" ht="15">
      <c r="F3" s="242"/>
      <c r="G3" s="1213" t="s">
        <v>99</v>
      </c>
      <c r="H3" s="1213">
        <f>'00 - Cover'!$F$17</f>
        <v>46022</v>
      </c>
    </row>
    <row r="4" spans="1:8" ht="15">
      <c r="F4" s="242"/>
      <c r="G4" s="1213" t="s">
        <v>4</v>
      </c>
      <c r="H4" s="1213">
        <f>'00 - Cover'!$F$19</f>
        <v>46042</v>
      </c>
    </row>
    <row r="5" spans="1:8" ht="15">
      <c r="F5" s="242"/>
      <c r="G5" s="1213" t="s">
        <v>5</v>
      </c>
      <c r="H5" s="1213">
        <f>'00 - Cover'!$F$20</f>
        <v>46049</v>
      </c>
    </row>
    <row r="6" spans="1:8">
      <c r="G6" s="82"/>
      <c r="H6" s="82"/>
    </row>
    <row r="8" spans="1:8" ht="15.75">
      <c r="B8" s="44" t="s">
        <v>2001</v>
      </c>
      <c r="C8" s="84"/>
      <c r="D8" s="84"/>
      <c r="E8" s="84"/>
      <c r="F8" s="84"/>
      <c r="G8" s="84"/>
      <c r="H8" s="84"/>
    </row>
    <row r="9" spans="1:8" ht="13.5" thickBot="1"/>
    <row r="10" spans="1:8" ht="18.600000000000001" customHeight="1">
      <c r="A10" s="243"/>
      <c r="B10" s="1935" t="s">
        <v>102</v>
      </c>
      <c r="C10" s="244"/>
      <c r="D10" s="1935" t="s">
        <v>103</v>
      </c>
      <c r="E10" s="1935" t="s">
        <v>104</v>
      </c>
      <c r="F10" s="1935" t="s">
        <v>105</v>
      </c>
      <c r="G10" s="245"/>
    </row>
    <row r="11" spans="1:8" ht="18">
      <c r="A11" s="243"/>
      <c r="B11" s="1936"/>
      <c r="C11" s="244"/>
      <c r="D11" s="1936"/>
      <c r="E11" s="1936"/>
      <c r="F11" s="1936"/>
      <c r="G11" s="245"/>
    </row>
    <row r="12" spans="1:8" ht="13.5" thickBot="1">
      <c r="A12" s="243"/>
      <c r="B12" s="1937"/>
      <c r="C12" s="246"/>
      <c r="D12" s="1937"/>
      <c r="E12" s="1937"/>
      <c r="F12" s="1937"/>
      <c r="G12" s="245"/>
    </row>
    <row r="13" spans="1:8">
      <c r="A13" s="243"/>
      <c r="B13" s="1547">
        <v>46053</v>
      </c>
      <c r="C13" s="247"/>
      <c r="D13" s="1541">
        <v>11314114762.059999</v>
      </c>
      <c r="E13" s="1539">
        <v>58504778.390000001</v>
      </c>
      <c r="F13" s="1540">
        <v>15829423.939999999</v>
      </c>
      <c r="G13" s="248"/>
      <c r="H13" s="1700">
        <f>D13-'02 - Monthly Asset Follow up'!P17</f>
        <v>-105788.53000068665</v>
      </c>
    </row>
    <row r="14" spans="1:8">
      <c r="A14" s="243"/>
      <c r="B14" s="1204">
        <v>46081</v>
      </c>
      <c r="C14" s="247"/>
      <c r="D14" s="1541">
        <v>11255609983.67</v>
      </c>
      <c r="E14" s="1542">
        <v>58649515.420000002</v>
      </c>
      <c r="F14" s="1543">
        <v>15758615.810000001</v>
      </c>
      <c r="G14" s="245"/>
    </row>
    <row r="15" spans="1:8">
      <c r="A15" s="243"/>
      <c r="B15" s="1204">
        <v>46112</v>
      </c>
      <c r="C15" s="247"/>
      <c r="D15" s="1541">
        <v>11196960468.25</v>
      </c>
      <c r="E15" s="1542">
        <v>58801314.729999997</v>
      </c>
      <c r="F15" s="1543">
        <v>15645012.09</v>
      </c>
      <c r="G15" s="245"/>
      <c r="H15" s="1704">
        <f>'02 - Monthly Asset Follow up'!P17</f>
        <v>11314220550.59</v>
      </c>
    </row>
    <row r="16" spans="1:8">
      <c r="A16" s="243"/>
      <c r="B16" s="1204">
        <v>46142</v>
      </c>
      <c r="C16" s="247"/>
      <c r="D16" s="1541">
        <v>11138159153.52</v>
      </c>
      <c r="E16" s="1542">
        <v>58876826.149999999</v>
      </c>
      <c r="F16" s="1543">
        <v>15612613.24</v>
      </c>
      <c r="G16" s="245"/>
    </row>
    <row r="17" spans="1:7">
      <c r="A17" s="243"/>
      <c r="B17" s="1204">
        <v>46173</v>
      </c>
      <c r="C17" s="247"/>
      <c r="D17" s="1541">
        <v>11079282327.370001</v>
      </c>
      <c r="E17" s="1542">
        <v>59004176.619999997</v>
      </c>
      <c r="F17" s="1543">
        <v>15525904.6</v>
      </c>
      <c r="G17" s="245"/>
    </row>
    <row r="18" spans="1:7">
      <c r="A18" s="243"/>
      <c r="B18" s="1204">
        <v>46203</v>
      </c>
      <c r="C18" s="247"/>
      <c r="D18" s="1541">
        <v>11020278150.75</v>
      </c>
      <c r="E18" s="1542">
        <v>59088642.68</v>
      </c>
      <c r="F18" s="1543">
        <v>15465688.689999999</v>
      </c>
      <c r="G18" s="245"/>
    </row>
    <row r="19" spans="1:7">
      <c r="A19" s="243"/>
      <c r="B19" s="1204">
        <v>46234</v>
      </c>
      <c r="C19" s="247"/>
      <c r="D19" s="1541">
        <v>10961189508.07</v>
      </c>
      <c r="E19" s="1542">
        <v>59188531.689999998</v>
      </c>
      <c r="F19" s="1543">
        <v>15379035.380000001</v>
      </c>
      <c r="G19" s="245"/>
    </row>
    <row r="20" spans="1:7">
      <c r="A20" s="243"/>
      <c r="B20" s="1204">
        <v>46265</v>
      </c>
      <c r="C20" s="247"/>
      <c r="D20" s="1541">
        <v>10902000976.379999</v>
      </c>
      <c r="E20" s="1542">
        <v>59225213.920000002</v>
      </c>
      <c r="F20" s="1543">
        <v>15318191.51</v>
      </c>
      <c r="G20" s="245"/>
    </row>
    <row r="21" spans="1:7">
      <c r="A21" s="243"/>
      <c r="B21" s="1204">
        <v>46295</v>
      </c>
      <c r="C21" s="247"/>
      <c r="D21" s="1541">
        <v>10842775762.459999</v>
      </c>
      <c r="E21" s="1542">
        <v>59287680.659999996</v>
      </c>
      <c r="F21" s="1543">
        <v>15244191.960000001</v>
      </c>
      <c r="G21" s="245"/>
    </row>
    <row r="22" spans="1:7">
      <c r="A22" s="243"/>
      <c r="B22" s="1204">
        <v>46326</v>
      </c>
      <c r="C22" s="247"/>
      <c r="D22" s="1541">
        <v>10783488081.799999</v>
      </c>
      <c r="E22" s="1542">
        <v>59350872.68</v>
      </c>
      <c r="F22" s="1543">
        <v>15157352.630000001</v>
      </c>
      <c r="G22" s="245"/>
    </row>
    <row r="23" spans="1:7">
      <c r="A23" s="243"/>
      <c r="B23" s="1204">
        <v>46356</v>
      </c>
      <c r="C23" s="247"/>
      <c r="D23" s="1541">
        <v>10724137209.120001</v>
      </c>
      <c r="E23" s="1542">
        <v>59394546.049999997</v>
      </c>
      <c r="F23" s="1543">
        <v>15095828.609999999</v>
      </c>
      <c r="G23" s="245"/>
    </row>
    <row r="24" spans="1:7">
      <c r="A24" s="243"/>
      <c r="B24" s="1204">
        <v>46387</v>
      </c>
      <c r="C24" s="247"/>
      <c r="D24" s="1541">
        <v>10664742663.07</v>
      </c>
      <c r="E24" s="1542">
        <v>59431720.07</v>
      </c>
      <c r="F24" s="1543">
        <v>15009779.109999999</v>
      </c>
      <c r="G24" s="245"/>
    </row>
    <row r="25" spans="1:7">
      <c r="A25" s="243"/>
      <c r="B25" s="1204">
        <v>46418</v>
      </c>
      <c r="C25" s="247"/>
      <c r="D25" s="1541">
        <v>10605310943</v>
      </c>
      <c r="E25" s="1542">
        <v>59456063.140000001</v>
      </c>
      <c r="F25" s="1543">
        <v>14947784.01</v>
      </c>
      <c r="G25" s="245"/>
    </row>
    <row r="26" spans="1:7">
      <c r="A26" s="243"/>
      <c r="B26" s="1204">
        <v>46446</v>
      </c>
      <c r="C26" s="247"/>
      <c r="D26" s="1541">
        <v>10545854879.860001</v>
      </c>
      <c r="E26" s="1542">
        <v>59482397.600000001</v>
      </c>
      <c r="F26" s="1543">
        <v>14873186.08</v>
      </c>
      <c r="G26" s="245"/>
    </row>
    <row r="27" spans="1:7">
      <c r="A27" s="243"/>
      <c r="B27" s="1204">
        <v>46477</v>
      </c>
      <c r="C27" s="247"/>
      <c r="D27" s="1541">
        <v>10486372482.26</v>
      </c>
      <c r="E27" s="1542">
        <v>59539771.93</v>
      </c>
      <c r="F27" s="1543">
        <v>14762505.17</v>
      </c>
      <c r="G27" s="245"/>
    </row>
    <row r="28" spans="1:7">
      <c r="A28" s="243"/>
      <c r="B28" s="1204">
        <v>46507</v>
      </c>
      <c r="C28" s="247"/>
      <c r="D28" s="1541">
        <v>10426832710.33</v>
      </c>
      <c r="E28" s="1542">
        <v>59509286.509999998</v>
      </c>
      <c r="F28" s="1543">
        <v>14724000.550000001</v>
      </c>
      <c r="G28" s="245"/>
    </row>
    <row r="29" spans="1:7">
      <c r="A29" s="243"/>
      <c r="B29" s="1204">
        <v>46538</v>
      </c>
      <c r="C29" s="247"/>
      <c r="D29" s="1541">
        <v>10367323423.82</v>
      </c>
      <c r="E29" s="1542">
        <v>59545453.25</v>
      </c>
      <c r="F29" s="1543">
        <v>14637398.23</v>
      </c>
      <c r="G29" s="245"/>
    </row>
    <row r="30" spans="1:7">
      <c r="A30" s="243"/>
      <c r="B30" s="1204">
        <v>46568</v>
      </c>
      <c r="C30" s="247"/>
      <c r="D30" s="1541">
        <v>10307777970.57</v>
      </c>
      <c r="E30" s="1542">
        <v>59540262.240000002</v>
      </c>
      <c r="F30" s="1543">
        <v>14574386.689999999</v>
      </c>
      <c r="G30" s="245"/>
    </row>
    <row r="31" spans="1:7">
      <c r="A31" s="243"/>
      <c r="B31" s="1204">
        <v>46599</v>
      </c>
      <c r="C31" s="247"/>
      <c r="D31" s="1541">
        <v>10248237708.33</v>
      </c>
      <c r="E31" s="1542">
        <v>59562024.560000002</v>
      </c>
      <c r="F31" s="1543">
        <v>14487880.51</v>
      </c>
      <c r="G31" s="245"/>
    </row>
    <row r="32" spans="1:7">
      <c r="A32" s="243"/>
      <c r="B32" s="1204">
        <v>46630</v>
      </c>
      <c r="C32" s="247"/>
      <c r="D32" s="1541">
        <v>10188675683.77</v>
      </c>
      <c r="E32" s="1542">
        <v>59549618.07</v>
      </c>
      <c r="F32" s="1543">
        <v>14424511.140000001</v>
      </c>
      <c r="G32" s="245"/>
    </row>
    <row r="33" spans="1:7">
      <c r="A33" s="243"/>
      <c r="B33" s="1204">
        <v>46660</v>
      </c>
      <c r="C33" s="247"/>
      <c r="D33" s="1541">
        <v>10129126065.700001</v>
      </c>
      <c r="E33" s="1542">
        <v>59543971.130000003</v>
      </c>
      <c r="F33" s="1543">
        <v>14349841.6</v>
      </c>
      <c r="G33" s="245"/>
    </row>
    <row r="34" spans="1:7">
      <c r="A34" s="243"/>
      <c r="B34" s="1204">
        <v>46691</v>
      </c>
      <c r="C34" s="247"/>
      <c r="D34" s="1541">
        <v>10069582094.57</v>
      </c>
      <c r="E34" s="1542">
        <v>59554578.969999999</v>
      </c>
      <c r="F34" s="1543">
        <v>14263681.550000001</v>
      </c>
      <c r="G34" s="245"/>
    </row>
    <row r="35" spans="1:7">
      <c r="A35" s="243"/>
      <c r="B35" s="1204">
        <v>46721</v>
      </c>
      <c r="C35" s="247"/>
      <c r="D35" s="1541">
        <v>10010027515.6</v>
      </c>
      <c r="E35" s="1542">
        <v>59537191.490000002</v>
      </c>
      <c r="F35" s="1543">
        <v>14199947.369999999</v>
      </c>
      <c r="G35" s="245"/>
    </row>
    <row r="36" spans="1:7">
      <c r="A36" s="243"/>
      <c r="B36" s="1204">
        <v>46752</v>
      </c>
      <c r="C36" s="247"/>
      <c r="D36" s="1541">
        <v>9950490324.1100006</v>
      </c>
      <c r="E36" s="1542">
        <v>59553681.670000002</v>
      </c>
      <c r="F36" s="1543">
        <v>14114050.18</v>
      </c>
      <c r="G36" s="245"/>
    </row>
    <row r="37" spans="1:7">
      <c r="A37" s="243"/>
      <c r="B37" s="1204">
        <v>46783</v>
      </c>
      <c r="C37" s="247"/>
      <c r="D37" s="1541">
        <v>9890936642.4400005</v>
      </c>
      <c r="E37" s="1542">
        <v>59537020.259999998</v>
      </c>
      <c r="F37" s="1543">
        <v>14049659.01</v>
      </c>
      <c r="G37" s="245"/>
    </row>
    <row r="38" spans="1:7">
      <c r="A38" s="243"/>
      <c r="B38" s="1204">
        <v>46812</v>
      </c>
      <c r="C38" s="247"/>
      <c r="D38" s="1541">
        <v>9831399622.1800003</v>
      </c>
      <c r="E38" s="1542">
        <v>59530874.219999999</v>
      </c>
      <c r="F38" s="1543">
        <v>13973677.07</v>
      </c>
      <c r="G38" s="245"/>
    </row>
    <row r="39" spans="1:7">
      <c r="A39" s="243"/>
      <c r="B39" s="1204">
        <v>46843</v>
      </c>
      <c r="C39" s="247"/>
      <c r="D39" s="1541">
        <v>9771868747.9599991</v>
      </c>
      <c r="E39" s="1542">
        <v>59570063.5</v>
      </c>
      <c r="F39" s="1543">
        <v>13877281.32</v>
      </c>
      <c r="G39" s="245"/>
    </row>
    <row r="40" spans="1:7">
      <c r="A40" s="243"/>
      <c r="B40" s="1204">
        <v>46873</v>
      </c>
      <c r="C40" s="247"/>
      <c r="D40" s="1541">
        <v>9712298684.4599991</v>
      </c>
      <c r="E40" s="1542">
        <v>59566018.810000002</v>
      </c>
      <c r="F40" s="1543">
        <v>13823145.119999999</v>
      </c>
      <c r="G40" s="245"/>
    </row>
    <row r="41" spans="1:7">
      <c r="A41" s="243"/>
      <c r="B41" s="1204">
        <v>46904</v>
      </c>
      <c r="C41" s="247"/>
      <c r="D41" s="1541">
        <v>9652732665.6499996</v>
      </c>
      <c r="E41" s="1542">
        <v>59563114.719999999</v>
      </c>
      <c r="F41" s="1543">
        <v>13737422.57</v>
      </c>
      <c r="G41" s="245"/>
    </row>
    <row r="42" spans="1:7">
      <c r="A42" s="243"/>
      <c r="B42" s="1204">
        <v>46934</v>
      </c>
      <c r="C42" s="247"/>
      <c r="D42" s="1541">
        <v>9593169550.9300003</v>
      </c>
      <c r="E42" s="1542">
        <v>59508363.770000003</v>
      </c>
      <c r="F42" s="1543">
        <v>13672375.48</v>
      </c>
      <c r="G42" s="245"/>
    </row>
    <row r="43" spans="1:7">
      <c r="A43" s="243"/>
      <c r="B43" s="1204">
        <v>46965</v>
      </c>
      <c r="C43" s="247"/>
      <c r="D43" s="1541">
        <v>9533661187.1599998</v>
      </c>
      <c r="E43" s="1542">
        <v>59497079.479999997</v>
      </c>
      <c r="F43" s="1543">
        <v>13586873.720000001</v>
      </c>
      <c r="G43" s="245"/>
    </row>
    <row r="44" spans="1:7">
      <c r="A44" s="243"/>
      <c r="B44" s="1204">
        <v>46996</v>
      </c>
      <c r="C44" s="247"/>
      <c r="D44" s="1541">
        <v>9474164107.6800003</v>
      </c>
      <c r="E44" s="1542">
        <v>59462591.950000003</v>
      </c>
      <c r="F44" s="1543">
        <v>13521606.939999999</v>
      </c>
      <c r="G44" s="245"/>
    </row>
    <row r="45" spans="1:7">
      <c r="A45" s="243"/>
      <c r="B45" s="1204">
        <v>47026</v>
      </c>
      <c r="C45" s="247"/>
      <c r="D45" s="1541">
        <v>9414701515.7299995</v>
      </c>
      <c r="E45" s="1542">
        <v>59397283.93</v>
      </c>
      <c r="F45" s="1543">
        <v>13446195.109999999</v>
      </c>
      <c r="G45" s="245"/>
    </row>
    <row r="46" spans="1:7">
      <c r="A46" s="243"/>
      <c r="B46" s="1204">
        <v>47057</v>
      </c>
      <c r="C46" s="247"/>
      <c r="D46" s="1541">
        <v>9355304231.7999992</v>
      </c>
      <c r="E46" s="1542">
        <v>59362304.649999999</v>
      </c>
      <c r="F46" s="1543">
        <v>13361094.949999999</v>
      </c>
      <c r="G46" s="245"/>
    </row>
    <row r="47" spans="1:7">
      <c r="A47" s="243"/>
      <c r="B47" s="1204">
        <v>47087</v>
      </c>
      <c r="C47" s="247"/>
      <c r="D47" s="1541">
        <v>9295941927.1499996</v>
      </c>
      <c r="E47" s="1542">
        <v>59301039.799999997</v>
      </c>
      <c r="F47" s="1543">
        <v>13295519.310000001</v>
      </c>
      <c r="G47" s="245"/>
    </row>
    <row r="48" spans="1:7">
      <c r="A48" s="243"/>
      <c r="B48" s="1204">
        <v>47118</v>
      </c>
      <c r="C48" s="247"/>
      <c r="D48" s="1541">
        <v>9236640887.3500004</v>
      </c>
      <c r="E48" s="1542">
        <v>59271053.5</v>
      </c>
      <c r="F48" s="1543">
        <v>13210646.119999999</v>
      </c>
      <c r="G48" s="245"/>
    </row>
    <row r="49" spans="1:7">
      <c r="A49" s="243"/>
      <c r="B49" s="1204">
        <v>47149</v>
      </c>
      <c r="C49" s="247"/>
      <c r="D49" s="1541">
        <v>9177369833.8500004</v>
      </c>
      <c r="E49" s="1542">
        <v>59226768.619999997</v>
      </c>
      <c r="F49" s="1543">
        <v>13144988.73</v>
      </c>
      <c r="G49" s="245"/>
    </row>
    <row r="50" spans="1:7">
      <c r="A50" s="243"/>
      <c r="B50" s="1204">
        <v>47177</v>
      </c>
      <c r="C50" s="247"/>
      <c r="D50" s="1541">
        <v>9118143065.2299995</v>
      </c>
      <c r="E50" s="1542">
        <v>59185734.789999999</v>
      </c>
      <c r="F50" s="1543">
        <v>13070219.42</v>
      </c>
      <c r="G50" s="245"/>
    </row>
    <row r="51" spans="1:7">
      <c r="A51" s="243"/>
      <c r="B51" s="1204">
        <v>47208</v>
      </c>
      <c r="C51" s="247"/>
      <c r="D51" s="1541">
        <v>9058957330.4400005</v>
      </c>
      <c r="E51" s="1542">
        <v>59170167.649999999</v>
      </c>
      <c r="F51" s="1543">
        <v>12967295.24</v>
      </c>
      <c r="G51" s="245"/>
    </row>
    <row r="52" spans="1:7">
      <c r="A52" s="243"/>
      <c r="B52" s="1204">
        <v>47238</v>
      </c>
      <c r="C52" s="247"/>
      <c r="D52" s="1541">
        <v>8999787162.7900009</v>
      </c>
      <c r="E52" s="1542">
        <v>59113774.979999997</v>
      </c>
      <c r="F52" s="1543">
        <v>12919548.43</v>
      </c>
      <c r="G52" s="245"/>
    </row>
    <row r="53" spans="1:7">
      <c r="A53" s="243"/>
      <c r="B53" s="1204">
        <v>47269</v>
      </c>
      <c r="C53" s="247"/>
      <c r="D53" s="1541">
        <v>8940673387.8099995</v>
      </c>
      <c r="E53" s="1542">
        <v>59079007.479999997</v>
      </c>
      <c r="F53" s="1543">
        <v>12835199.73</v>
      </c>
      <c r="G53" s="245"/>
    </row>
    <row r="54" spans="1:7">
      <c r="A54" s="243"/>
      <c r="B54" s="1204">
        <v>47299</v>
      </c>
      <c r="C54" s="247"/>
      <c r="D54" s="1541">
        <v>8881594380.3299999</v>
      </c>
      <c r="E54" s="1542">
        <v>59013114.219999999</v>
      </c>
      <c r="F54" s="1543">
        <v>12768774.99</v>
      </c>
      <c r="G54" s="245"/>
    </row>
    <row r="55" spans="1:7">
      <c r="A55" s="243"/>
      <c r="B55" s="1204">
        <v>47330</v>
      </c>
      <c r="C55" s="247"/>
      <c r="D55" s="1541">
        <v>8822581266.1100006</v>
      </c>
      <c r="E55" s="1542">
        <v>58956410.82</v>
      </c>
      <c r="F55" s="1543">
        <v>12684643.6</v>
      </c>
      <c r="G55" s="245"/>
    </row>
    <row r="56" spans="1:7">
      <c r="A56" s="243"/>
      <c r="B56" s="1204">
        <v>47361</v>
      </c>
      <c r="C56" s="247"/>
      <c r="D56" s="1541">
        <v>8763624855.2900009</v>
      </c>
      <c r="E56" s="1542">
        <v>58909561.75</v>
      </c>
      <c r="F56" s="1543">
        <v>12618082.970000001</v>
      </c>
      <c r="G56" s="245"/>
    </row>
    <row r="57" spans="1:7">
      <c r="A57" s="243"/>
      <c r="B57" s="1204">
        <v>47391</v>
      </c>
      <c r="C57" s="247"/>
      <c r="D57" s="1541">
        <v>8704715293.5400009</v>
      </c>
      <c r="E57" s="1542">
        <v>58836173.009999998</v>
      </c>
      <c r="F57" s="1543">
        <v>12542791.060000001</v>
      </c>
      <c r="G57" s="245"/>
    </row>
    <row r="58" spans="1:7">
      <c r="A58" s="243"/>
      <c r="B58" s="1204">
        <v>47422</v>
      </c>
      <c r="C58" s="247"/>
      <c r="D58" s="1541">
        <v>8645879120.5300007</v>
      </c>
      <c r="E58" s="1542">
        <v>58798235.729999997</v>
      </c>
      <c r="F58" s="1543">
        <v>12459042.369999999</v>
      </c>
      <c r="G58" s="245"/>
    </row>
    <row r="59" spans="1:7">
      <c r="A59" s="243"/>
      <c r="B59" s="1204">
        <v>47452</v>
      </c>
      <c r="C59" s="247"/>
      <c r="D59" s="1541">
        <v>8587080884.8000002</v>
      </c>
      <c r="E59" s="1542">
        <v>58714460.899999999</v>
      </c>
      <c r="F59" s="1543">
        <v>12392169.75</v>
      </c>
      <c r="G59" s="245"/>
    </row>
    <row r="60" spans="1:7">
      <c r="A60" s="243"/>
      <c r="B60" s="1204">
        <v>47483</v>
      </c>
      <c r="C60" s="247"/>
      <c r="D60" s="1541">
        <v>8528366423.8999996</v>
      </c>
      <c r="E60" s="1542">
        <v>58656435.469999999</v>
      </c>
      <c r="F60" s="1543">
        <v>12308649.890000001</v>
      </c>
      <c r="G60" s="245"/>
    </row>
    <row r="61" spans="1:7">
      <c r="A61" s="243"/>
      <c r="B61" s="1204">
        <v>47514</v>
      </c>
      <c r="C61" s="247"/>
      <c r="D61" s="1541">
        <v>8469709988.4300003</v>
      </c>
      <c r="E61" s="1542">
        <v>58572579.719999999</v>
      </c>
      <c r="F61" s="1543">
        <v>12241638.52</v>
      </c>
      <c r="G61" s="245"/>
    </row>
    <row r="62" spans="1:7">
      <c r="A62" s="243"/>
      <c r="B62" s="1204">
        <v>47542</v>
      </c>
      <c r="C62" s="247"/>
      <c r="D62" s="1541">
        <v>8411137408.71</v>
      </c>
      <c r="E62" s="1542">
        <v>58492813.719999999</v>
      </c>
      <c r="F62" s="1543">
        <v>12166477.16</v>
      </c>
      <c r="G62" s="245"/>
    </row>
    <row r="63" spans="1:7">
      <c r="A63" s="243"/>
      <c r="B63" s="1204">
        <v>47573</v>
      </c>
      <c r="C63" s="247"/>
      <c r="D63" s="1541">
        <v>8352644594.9899998</v>
      </c>
      <c r="E63" s="1542">
        <v>58439706.719999999</v>
      </c>
      <c r="F63" s="1543">
        <v>12067622.77</v>
      </c>
      <c r="G63" s="245"/>
    </row>
    <row r="64" spans="1:7">
      <c r="A64" s="243"/>
      <c r="B64" s="1204">
        <v>47603</v>
      </c>
      <c r="C64" s="247"/>
      <c r="D64" s="1541">
        <v>8294204888.2700005</v>
      </c>
      <c r="E64" s="1542">
        <v>58380018.719999999</v>
      </c>
      <c r="F64" s="1543">
        <v>12016096.949999999</v>
      </c>
      <c r="G64" s="245"/>
    </row>
    <row r="65" spans="1:7">
      <c r="A65" s="243"/>
      <c r="B65" s="1204">
        <v>47634</v>
      </c>
      <c r="C65" s="247"/>
      <c r="D65" s="1541">
        <v>8235824869.5500002</v>
      </c>
      <c r="E65" s="1542">
        <v>58341413.659999996</v>
      </c>
      <c r="F65" s="1543">
        <v>11933307.02</v>
      </c>
      <c r="G65" s="245"/>
    </row>
    <row r="66" spans="1:7">
      <c r="A66" s="243"/>
      <c r="B66" s="1204">
        <v>47664</v>
      </c>
      <c r="C66" s="247"/>
      <c r="D66" s="1541">
        <v>8177483455.8900003</v>
      </c>
      <c r="E66" s="1542">
        <v>58288973.229999997</v>
      </c>
      <c r="F66" s="1543">
        <v>11865857.77</v>
      </c>
      <c r="G66" s="245"/>
    </row>
    <row r="67" spans="1:7">
      <c r="A67" s="243"/>
      <c r="B67" s="1204">
        <v>47695</v>
      </c>
      <c r="C67" s="247"/>
      <c r="D67" s="1541">
        <v>8119194482.6599998</v>
      </c>
      <c r="E67" s="1542">
        <v>58243963.350000001</v>
      </c>
      <c r="F67" s="1543">
        <v>11783356.630000001</v>
      </c>
      <c r="G67" s="245"/>
    </row>
    <row r="68" spans="1:7">
      <c r="A68" s="243"/>
      <c r="B68" s="1204">
        <v>47726</v>
      </c>
      <c r="C68" s="247"/>
      <c r="D68" s="1541">
        <v>8060950519.3100004</v>
      </c>
      <c r="E68" s="1542">
        <v>58101472.93</v>
      </c>
      <c r="F68" s="1543">
        <v>11715714.460000001</v>
      </c>
      <c r="G68" s="245"/>
    </row>
    <row r="69" spans="1:7">
      <c r="A69" s="243"/>
      <c r="B69" s="1204">
        <v>47756</v>
      </c>
      <c r="C69" s="247"/>
      <c r="D69" s="1541">
        <v>8002849046.3800001</v>
      </c>
      <c r="E69" s="1542">
        <v>58018833.899999999</v>
      </c>
      <c r="F69" s="1543">
        <v>11640781.289999999</v>
      </c>
      <c r="G69" s="245"/>
    </row>
    <row r="70" spans="1:7">
      <c r="A70" s="243"/>
      <c r="B70" s="1204">
        <v>47787</v>
      </c>
      <c r="C70" s="247"/>
      <c r="D70" s="1541">
        <v>7944830212.4799995</v>
      </c>
      <c r="E70" s="1542">
        <v>57963144.219999999</v>
      </c>
      <c r="F70" s="1543">
        <v>11558724.970000001</v>
      </c>
      <c r="G70" s="245"/>
    </row>
    <row r="71" spans="1:7">
      <c r="A71" s="243"/>
      <c r="B71" s="1204">
        <v>47817</v>
      </c>
      <c r="C71" s="247"/>
      <c r="D71" s="1541">
        <v>7886867068.2600002</v>
      </c>
      <c r="E71" s="1542">
        <v>57857147.170000002</v>
      </c>
      <c r="F71" s="1543">
        <v>11490974.6</v>
      </c>
      <c r="G71" s="245"/>
    </row>
    <row r="72" spans="1:7">
      <c r="A72" s="243"/>
      <c r="B72" s="1204">
        <v>47848</v>
      </c>
      <c r="C72" s="247"/>
      <c r="D72" s="1541">
        <v>7829009921.0900002</v>
      </c>
      <c r="E72" s="1542">
        <v>57757840.100000001</v>
      </c>
      <c r="F72" s="1543">
        <v>11409279.210000001</v>
      </c>
      <c r="G72" s="245"/>
    </row>
    <row r="73" spans="1:7">
      <c r="A73" s="243"/>
      <c r="B73" s="1204">
        <v>47879</v>
      </c>
      <c r="C73" s="247"/>
      <c r="D73" s="1541">
        <v>7771252080.9899998</v>
      </c>
      <c r="E73" s="1542">
        <v>57653949.539999999</v>
      </c>
      <c r="F73" s="1543">
        <v>11341501.029999999</v>
      </c>
      <c r="G73" s="245"/>
    </row>
    <row r="74" spans="1:7">
      <c r="A74" s="243"/>
      <c r="B74" s="1204">
        <v>47907</v>
      </c>
      <c r="C74" s="247"/>
      <c r="D74" s="1541">
        <v>7713598131.4499998</v>
      </c>
      <c r="E74" s="1542">
        <v>57556375.82</v>
      </c>
      <c r="F74" s="1543">
        <v>11266843.050000001</v>
      </c>
      <c r="G74" s="245"/>
    </row>
    <row r="75" spans="1:7">
      <c r="A75" s="243"/>
      <c r="B75" s="1204">
        <v>47938</v>
      </c>
      <c r="C75" s="247"/>
      <c r="D75" s="1541">
        <v>7656041755.6300001</v>
      </c>
      <c r="E75" s="1542">
        <v>57495520.5</v>
      </c>
      <c r="F75" s="1543">
        <v>11172514.859999999</v>
      </c>
      <c r="G75" s="245"/>
    </row>
    <row r="76" spans="1:7">
      <c r="A76" s="243"/>
      <c r="B76" s="1204">
        <v>47968</v>
      </c>
      <c r="C76" s="247"/>
      <c r="D76" s="1541">
        <v>7598546235.1300001</v>
      </c>
      <c r="E76" s="1542">
        <v>57396853.439999998</v>
      </c>
      <c r="F76" s="1543">
        <v>11117863.460000001</v>
      </c>
      <c r="G76" s="245"/>
    </row>
    <row r="77" spans="1:7">
      <c r="A77" s="243"/>
      <c r="B77" s="1204">
        <v>47999</v>
      </c>
      <c r="C77" s="247"/>
      <c r="D77" s="1541">
        <v>7541149381.6899996</v>
      </c>
      <c r="E77" s="1542">
        <v>57322738.079999998</v>
      </c>
      <c r="F77" s="1543">
        <v>11037052.880000001</v>
      </c>
      <c r="G77" s="245"/>
    </row>
    <row r="78" spans="1:7">
      <c r="A78" s="243"/>
      <c r="B78" s="1204">
        <v>48029</v>
      </c>
      <c r="C78" s="247"/>
      <c r="D78" s="1541">
        <v>7483826643.6099997</v>
      </c>
      <c r="E78" s="1542">
        <v>57227317.520000003</v>
      </c>
      <c r="F78" s="1543">
        <v>10969103.449999999</v>
      </c>
      <c r="G78" s="245"/>
    </row>
    <row r="79" spans="1:7">
      <c r="A79" s="243"/>
      <c r="B79" s="1204">
        <v>48060</v>
      </c>
      <c r="C79" s="247"/>
      <c r="D79" s="1541">
        <v>7426599326.0900002</v>
      </c>
      <c r="E79" s="1542">
        <v>57108953.030000001</v>
      </c>
      <c r="F79" s="1543">
        <v>10888623.43</v>
      </c>
      <c r="G79" s="245"/>
    </row>
    <row r="80" spans="1:7">
      <c r="A80" s="243"/>
      <c r="B80" s="1204">
        <v>48091</v>
      </c>
      <c r="C80" s="247"/>
      <c r="D80" s="1541">
        <v>7369490373.0600004</v>
      </c>
      <c r="E80" s="1542">
        <v>56966042.25</v>
      </c>
      <c r="F80" s="1543">
        <v>10820635.6</v>
      </c>
      <c r="G80" s="245"/>
    </row>
    <row r="81" spans="1:7">
      <c r="A81" s="243"/>
      <c r="B81" s="1204">
        <v>48121</v>
      </c>
      <c r="C81" s="247"/>
      <c r="D81" s="1541">
        <v>7312524330.8100004</v>
      </c>
      <c r="E81" s="1542">
        <v>56858708.840000004</v>
      </c>
      <c r="F81" s="1543">
        <v>10746547.85</v>
      </c>
      <c r="G81" s="245"/>
    </row>
    <row r="82" spans="1:7">
      <c r="A82" s="243"/>
      <c r="B82" s="1204">
        <v>48152</v>
      </c>
      <c r="C82" s="247"/>
      <c r="D82" s="1541">
        <v>7255665621.9700003</v>
      </c>
      <c r="E82" s="1542">
        <v>56790232.950000003</v>
      </c>
      <c r="F82" s="1543">
        <v>10666617.85</v>
      </c>
      <c r="G82" s="245"/>
    </row>
    <row r="83" spans="1:7">
      <c r="A83" s="243"/>
      <c r="B83" s="1204">
        <v>48182</v>
      </c>
      <c r="C83" s="247"/>
      <c r="D83" s="1541">
        <v>7198875389.0200005</v>
      </c>
      <c r="E83" s="1542">
        <v>56622935.310000002</v>
      </c>
      <c r="F83" s="1543">
        <v>10598541.15</v>
      </c>
      <c r="G83" s="245"/>
    </row>
    <row r="84" spans="1:7">
      <c r="A84" s="243"/>
      <c r="B84" s="1204">
        <v>48213</v>
      </c>
      <c r="C84" s="247"/>
      <c r="D84" s="1541">
        <v>7142252453.71</v>
      </c>
      <c r="E84" s="1542">
        <v>56495274.119999997</v>
      </c>
      <c r="F84" s="1543">
        <v>10518977.6</v>
      </c>
      <c r="G84" s="245"/>
    </row>
    <row r="85" spans="1:7">
      <c r="A85" s="243"/>
      <c r="B85" s="1204">
        <v>48244</v>
      </c>
      <c r="C85" s="247"/>
      <c r="D85" s="1541">
        <v>7085757179.5900002</v>
      </c>
      <c r="E85" s="1542">
        <v>56377041.68</v>
      </c>
      <c r="F85" s="1543">
        <v>10450703.630000001</v>
      </c>
      <c r="G85" s="245"/>
    </row>
    <row r="86" spans="1:7">
      <c r="A86" s="243"/>
      <c r="B86" s="1204">
        <v>48273</v>
      </c>
      <c r="C86" s="247"/>
      <c r="D86" s="1541">
        <v>7029380137.9099998</v>
      </c>
      <c r="E86" s="1542">
        <v>56227576.82</v>
      </c>
      <c r="F86" s="1543">
        <v>10376592.18</v>
      </c>
      <c r="G86" s="245"/>
    </row>
    <row r="87" spans="1:7">
      <c r="A87" s="243"/>
      <c r="B87" s="1204">
        <v>48304</v>
      </c>
      <c r="C87" s="247"/>
      <c r="D87" s="1541">
        <v>6973152561.0900002</v>
      </c>
      <c r="E87" s="1542">
        <v>56134791.350000001</v>
      </c>
      <c r="F87" s="1543">
        <v>10292152.050000001</v>
      </c>
      <c r="G87" s="245"/>
    </row>
    <row r="88" spans="1:7">
      <c r="A88" s="243"/>
      <c r="B88" s="1204">
        <v>48334</v>
      </c>
      <c r="C88" s="247"/>
      <c r="D88" s="1541">
        <v>6917017769.7399998</v>
      </c>
      <c r="E88" s="1542">
        <v>56006651.719999999</v>
      </c>
      <c r="F88" s="1543">
        <v>10229448.970000001</v>
      </c>
      <c r="G88" s="245"/>
    </row>
    <row r="89" spans="1:7">
      <c r="A89" s="243"/>
      <c r="B89" s="1204">
        <v>48365</v>
      </c>
      <c r="C89" s="247"/>
      <c r="D89" s="1541">
        <v>6861011118.0200005</v>
      </c>
      <c r="E89" s="1542">
        <v>55880080.439999998</v>
      </c>
      <c r="F89" s="1543">
        <v>10150731.449999999</v>
      </c>
      <c r="G89" s="245"/>
    </row>
    <row r="90" spans="1:7">
      <c r="A90" s="243"/>
      <c r="B90" s="1204">
        <v>48395</v>
      </c>
      <c r="C90" s="247"/>
      <c r="D90" s="1541">
        <v>6805131037.5799999</v>
      </c>
      <c r="E90" s="1542">
        <v>55775158.700000003</v>
      </c>
      <c r="F90" s="1543">
        <v>10082575.75</v>
      </c>
      <c r="G90" s="245"/>
    </row>
    <row r="91" spans="1:7">
      <c r="A91" s="243"/>
      <c r="B91" s="1204">
        <v>48426</v>
      </c>
      <c r="C91" s="247"/>
      <c r="D91" s="1541">
        <v>6749355878.8800001</v>
      </c>
      <c r="E91" s="1542">
        <v>55663870.579999998</v>
      </c>
      <c r="F91" s="1543">
        <v>10004209.880000001</v>
      </c>
      <c r="G91" s="245"/>
    </row>
    <row r="92" spans="1:7">
      <c r="A92" s="243"/>
      <c r="B92" s="1204">
        <v>48457</v>
      </c>
      <c r="C92" s="247"/>
      <c r="D92" s="1541">
        <v>6693692008.3000002</v>
      </c>
      <c r="E92" s="1542">
        <v>55490030.810000002</v>
      </c>
      <c r="F92" s="1543">
        <v>9936017.4100000001</v>
      </c>
      <c r="G92" s="245"/>
    </row>
    <row r="93" spans="1:7">
      <c r="A93" s="243"/>
      <c r="B93" s="1204">
        <v>48487</v>
      </c>
      <c r="C93" s="247"/>
      <c r="D93" s="1541">
        <v>6638201977.4899998</v>
      </c>
      <c r="E93" s="1542">
        <v>55367315.579999998</v>
      </c>
      <c r="F93" s="1543">
        <v>9862952.0700000003</v>
      </c>
      <c r="G93" s="245"/>
    </row>
    <row r="94" spans="1:7">
      <c r="A94" s="243"/>
      <c r="B94" s="1204">
        <v>48518</v>
      </c>
      <c r="C94" s="247"/>
      <c r="D94" s="1541">
        <v>6582834661.9099998</v>
      </c>
      <c r="E94" s="1542">
        <v>55300174.340000004</v>
      </c>
      <c r="F94" s="1543">
        <v>9785172.7799999993</v>
      </c>
      <c r="G94" s="245"/>
    </row>
    <row r="95" spans="1:7">
      <c r="A95" s="243"/>
      <c r="B95" s="1204">
        <v>48548</v>
      </c>
      <c r="C95" s="247"/>
      <c r="D95" s="1541">
        <v>6527534487.5699997</v>
      </c>
      <c r="E95" s="1542">
        <v>55211233.539999999</v>
      </c>
      <c r="F95" s="1543">
        <v>9717126.8499999996</v>
      </c>
      <c r="G95" s="245"/>
    </row>
    <row r="96" spans="1:7">
      <c r="A96" s="243"/>
      <c r="B96" s="1204">
        <v>48579</v>
      </c>
      <c r="C96" s="247"/>
      <c r="D96" s="1541">
        <v>6472323254.0299997</v>
      </c>
      <c r="E96" s="1542">
        <v>55116870.950000003</v>
      </c>
      <c r="F96" s="1543">
        <v>9639591.4399999995</v>
      </c>
      <c r="G96" s="245"/>
    </row>
    <row r="97" spans="1:7">
      <c r="A97" s="243"/>
      <c r="B97" s="1204">
        <v>48610</v>
      </c>
      <c r="C97" s="247"/>
      <c r="D97" s="1541">
        <v>6417206383.0799999</v>
      </c>
      <c r="E97" s="1542">
        <v>54994274.700000003</v>
      </c>
      <c r="F97" s="1543">
        <v>9571514.7899999991</v>
      </c>
      <c r="G97" s="245"/>
    </row>
    <row r="98" spans="1:7">
      <c r="A98" s="243"/>
      <c r="B98" s="1204">
        <v>48638</v>
      </c>
      <c r="C98" s="247"/>
      <c r="D98" s="1541">
        <v>6362212108.3800001</v>
      </c>
      <c r="E98" s="1542">
        <v>54870302.689999998</v>
      </c>
      <c r="F98" s="1543">
        <v>9499110.1799999997</v>
      </c>
      <c r="G98" s="245"/>
    </row>
    <row r="99" spans="1:7">
      <c r="A99" s="243"/>
      <c r="B99" s="1204">
        <v>48669</v>
      </c>
      <c r="C99" s="247"/>
      <c r="D99" s="1541">
        <v>6307341805.6899996</v>
      </c>
      <c r="E99" s="1542">
        <v>54760283.68</v>
      </c>
      <c r="F99" s="1543">
        <v>9413379.5600000005</v>
      </c>
      <c r="G99" s="245"/>
    </row>
    <row r="100" spans="1:7">
      <c r="A100" s="243"/>
      <c r="B100" s="1204">
        <v>48699</v>
      </c>
      <c r="C100" s="247"/>
      <c r="D100" s="1541">
        <v>6252581522.0100002</v>
      </c>
      <c r="E100" s="1542">
        <v>54619458.009999998</v>
      </c>
      <c r="F100" s="1543">
        <v>9353945.9100000001</v>
      </c>
      <c r="G100" s="245"/>
    </row>
    <row r="101" spans="1:7">
      <c r="A101" s="243"/>
      <c r="B101" s="1204">
        <v>48730</v>
      </c>
      <c r="C101" s="247"/>
      <c r="D101" s="1541">
        <v>6197962064</v>
      </c>
      <c r="E101" s="1542">
        <v>54505316.700000003</v>
      </c>
      <c r="F101" s="1543">
        <v>9277274.9199999999</v>
      </c>
      <c r="G101" s="245"/>
    </row>
    <row r="102" spans="1:7">
      <c r="A102" s="243"/>
      <c r="B102" s="1204">
        <v>48760</v>
      </c>
      <c r="C102" s="247"/>
      <c r="D102" s="1541">
        <v>6143456747.3000002</v>
      </c>
      <c r="E102" s="1542">
        <v>54343481.350000001</v>
      </c>
      <c r="F102" s="1543">
        <v>9209262.4399999995</v>
      </c>
      <c r="G102" s="245"/>
    </row>
    <row r="103" spans="1:7">
      <c r="A103" s="243"/>
      <c r="B103" s="1204">
        <v>48791</v>
      </c>
      <c r="C103" s="247"/>
      <c r="D103" s="1541">
        <v>6089113265.9499998</v>
      </c>
      <c r="E103" s="1542">
        <v>54189959.18</v>
      </c>
      <c r="F103" s="1543">
        <v>9133038.8699999992</v>
      </c>
      <c r="G103" s="245"/>
    </row>
    <row r="104" spans="1:7">
      <c r="A104" s="243"/>
      <c r="B104" s="1204">
        <v>48822</v>
      </c>
      <c r="C104" s="247"/>
      <c r="D104" s="1541">
        <v>6034923306.7700005</v>
      </c>
      <c r="E104" s="1542">
        <v>54001780.32</v>
      </c>
      <c r="F104" s="1543">
        <v>9065191.7599999998</v>
      </c>
      <c r="G104" s="245"/>
    </row>
    <row r="105" spans="1:7">
      <c r="A105" s="243"/>
      <c r="B105" s="1204">
        <v>48852</v>
      </c>
      <c r="C105" s="247"/>
      <c r="D105" s="1541">
        <v>5980921526.4499998</v>
      </c>
      <c r="E105" s="1542">
        <v>53876678.090000004</v>
      </c>
      <c r="F105" s="1543">
        <v>8993457.4399999995</v>
      </c>
      <c r="G105" s="245"/>
    </row>
    <row r="106" spans="1:7">
      <c r="A106" s="243"/>
      <c r="B106" s="1204">
        <v>48883</v>
      </c>
      <c r="C106" s="247"/>
      <c r="D106" s="1541">
        <v>5927044848.3599997</v>
      </c>
      <c r="E106" s="1542">
        <v>53718986.770000003</v>
      </c>
      <c r="F106" s="1543">
        <v>8917909.3499999996</v>
      </c>
      <c r="G106" s="245"/>
    </row>
    <row r="107" spans="1:7">
      <c r="A107" s="243"/>
      <c r="B107" s="1204">
        <v>48913</v>
      </c>
      <c r="C107" s="247"/>
      <c r="D107" s="1541">
        <v>5873325861.5900002</v>
      </c>
      <c r="E107" s="1542">
        <v>53500980.579999998</v>
      </c>
      <c r="F107" s="1543">
        <v>8850277</v>
      </c>
      <c r="G107" s="245"/>
    </row>
    <row r="108" spans="1:7">
      <c r="A108" s="243"/>
      <c r="B108" s="1204">
        <v>48944</v>
      </c>
      <c r="C108" s="247"/>
      <c r="D108" s="1541">
        <v>5819824881.0100002</v>
      </c>
      <c r="E108" s="1542">
        <v>53346316.5</v>
      </c>
      <c r="F108" s="1543">
        <v>8775362.9700000007</v>
      </c>
      <c r="G108" s="245"/>
    </row>
    <row r="109" spans="1:7">
      <c r="A109" s="243"/>
      <c r="B109" s="1204">
        <v>48975</v>
      </c>
      <c r="C109" s="247"/>
      <c r="D109" s="1541">
        <v>5766478564.5100002</v>
      </c>
      <c r="E109" s="1542">
        <v>53182114.740000002</v>
      </c>
      <c r="F109" s="1543">
        <v>8707955.4900000002</v>
      </c>
      <c r="G109" s="245"/>
    </row>
    <row r="110" spans="1:7">
      <c r="A110" s="243"/>
      <c r="B110" s="1204">
        <v>49003</v>
      </c>
      <c r="C110" s="247"/>
      <c r="D110" s="1541">
        <v>5713296449.7700005</v>
      </c>
      <c r="E110" s="1542">
        <v>53036710.049999997</v>
      </c>
      <c r="F110" s="1543">
        <v>8636941.9199999999</v>
      </c>
      <c r="G110" s="245"/>
    </row>
    <row r="111" spans="1:7">
      <c r="A111" s="243"/>
      <c r="B111" s="1204">
        <v>49034</v>
      </c>
      <c r="C111" s="247"/>
      <c r="D111" s="1541">
        <v>5660259739.7200003</v>
      </c>
      <c r="E111" s="1542">
        <v>52938883</v>
      </c>
      <c r="F111" s="1543">
        <v>8555645.3399999999</v>
      </c>
      <c r="G111" s="245"/>
    </row>
    <row r="112" spans="1:7">
      <c r="A112" s="243"/>
      <c r="B112" s="1204">
        <v>49064</v>
      </c>
      <c r="C112" s="247"/>
      <c r="D112" s="1541">
        <v>5607320856.7200003</v>
      </c>
      <c r="E112" s="1542">
        <v>52770986.200000003</v>
      </c>
      <c r="F112" s="1543">
        <v>8495478.0299999993</v>
      </c>
      <c r="G112" s="245"/>
    </row>
    <row r="113" spans="1:7">
      <c r="A113" s="243"/>
      <c r="B113" s="1204">
        <v>49095</v>
      </c>
      <c r="C113" s="247"/>
      <c r="D113" s="1541">
        <v>5554549870.5200005</v>
      </c>
      <c r="E113" s="1542">
        <v>52614651.109999999</v>
      </c>
      <c r="F113" s="1543">
        <v>8421722.2300000004</v>
      </c>
      <c r="G113" s="245"/>
    </row>
    <row r="114" spans="1:7">
      <c r="A114" s="243"/>
      <c r="B114" s="1204">
        <v>49125</v>
      </c>
      <c r="C114" s="247"/>
      <c r="D114" s="1541">
        <v>5501935219.4099998</v>
      </c>
      <c r="E114" s="1542">
        <v>52452869.079999998</v>
      </c>
      <c r="F114" s="1543">
        <v>8354769.1600000001</v>
      </c>
      <c r="G114" s="245"/>
    </row>
    <row r="115" spans="1:7">
      <c r="A115" s="243"/>
      <c r="B115" s="1204">
        <v>49156</v>
      </c>
      <c r="C115" s="247"/>
      <c r="D115" s="1541">
        <v>5449482350.3299999</v>
      </c>
      <c r="E115" s="1542">
        <v>52263502.619999997</v>
      </c>
      <c r="F115" s="1543">
        <v>8281393.5</v>
      </c>
      <c r="G115" s="245"/>
    </row>
    <row r="116" spans="1:7">
      <c r="A116" s="243"/>
      <c r="B116" s="1204">
        <v>49187</v>
      </c>
      <c r="C116" s="247"/>
      <c r="D116" s="1541">
        <v>5397218847.71</v>
      </c>
      <c r="E116" s="1542">
        <v>52041641.039999999</v>
      </c>
      <c r="F116" s="1543">
        <v>8214823.6299999999</v>
      </c>
      <c r="G116" s="245"/>
    </row>
    <row r="117" spans="1:7">
      <c r="A117" s="243"/>
      <c r="B117" s="1204">
        <v>49217</v>
      </c>
      <c r="C117" s="247"/>
      <c r="D117" s="1541">
        <v>5345177206.6700001</v>
      </c>
      <c r="E117" s="1542">
        <v>51825616.460000001</v>
      </c>
      <c r="F117" s="1543">
        <v>8145116.8099999996</v>
      </c>
      <c r="G117" s="245"/>
    </row>
    <row r="118" spans="1:7">
      <c r="A118" s="243"/>
      <c r="B118" s="1204">
        <v>49248</v>
      </c>
      <c r="C118" s="247"/>
      <c r="D118" s="1541">
        <v>5293351590.21</v>
      </c>
      <c r="E118" s="1542">
        <v>51659739.590000004</v>
      </c>
      <c r="F118" s="1543">
        <v>8072657.79</v>
      </c>
      <c r="G118" s="245"/>
    </row>
    <row r="119" spans="1:7">
      <c r="A119" s="243"/>
      <c r="B119" s="1204">
        <v>49278</v>
      </c>
      <c r="C119" s="247"/>
      <c r="D119" s="1541">
        <v>5241691850.6199999</v>
      </c>
      <c r="E119" s="1542">
        <v>51442725.439999998</v>
      </c>
      <c r="F119" s="1543">
        <v>8006589.29</v>
      </c>
      <c r="G119" s="245"/>
    </row>
    <row r="120" spans="1:7">
      <c r="A120" s="243"/>
      <c r="B120" s="1204">
        <v>49309</v>
      </c>
      <c r="C120" s="247"/>
      <c r="D120" s="1541">
        <v>5190249125.1800003</v>
      </c>
      <c r="E120" s="1542">
        <v>51218044.159999996</v>
      </c>
      <c r="F120" s="1543">
        <v>7934578.3600000003</v>
      </c>
      <c r="G120" s="245"/>
    </row>
    <row r="121" spans="1:7">
      <c r="A121" s="243"/>
      <c r="B121" s="1204">
        <v>49340</v>
      </c>
      <c r="C121" s="247"/>
      <c r="D121" s="1541">
        <v>5139031081.0200005</v>
      </c>
      <c r="E121" s="1542">
        <v>51006380.460000001</v>
      </c>
      <c r="F121" s="1543">
        <v>7868668.0800000001</v>
      </c>
      <c r="G121" s="245"/>
    </row>
    <row r="122" spans="1:7">
      <c r="A122" s="243"/>
      <c r="B122" s="1204">
        <v>49368</v>
      </c>
      <c r="C122" s="247"/>
      <c r="D122" s="1541">
        <v>5088024700.5600004</v>
      </c>
      <c r="E122" s="1542">
        <v>50787773.939999998</v>
      </c>
      <c r="F122" s="1543">
        <v>7800187.6299999999</v>
      </c>
      <c r="G122" s="245"/>
    </row>
    <row r="123" spans="1:7">
      <c r="A123" s="243"/>
      <c r="B123" s="1204">
        <v>49399</v>
      </c>
      <c r="C123" s="247"/>
      <c r="D123" s="1541">
        <v>5037236926.6199999</v>
      </c>
      <c r="E123" s="1542">
        <v>50508106.170000002</v>
      </c>
      <c r="F123" s="1543">
        <v>7723687.3099999996</v>
      </c>
      <c r="G123" s="245"/>
    </row>
    <row r="124" spans="1:7">
      <c r="A124" s="243"/>
      <c r="B124" s="1204">
        <v>49429</v>
      </c>
      <c r="C124" s="247"/>
      <c r="D124" s="1541">
        <v>4986728820.4499998</v>
      </c>
      <c r="E124" s="1542">
        <v>50305749.409999996</v>
      </c>
      <c r="F124" s="1543">
        <v>7663831.5300000003</v>
      </c>
      <c r="G124" s="245"/>
    </row>
    <row r="125" spans="1:7">
      <c r="A125" s="243"/>
      <c r="B125" s="1204">
        <v>49460</v>
      </c>
      <c r="C125" s="247"/>
      <c r="D125" s="1541">
        <v>4936423071.04</v>
      </c>
      <c r="E125" s="1542">
        <v>50136084.539999999</v>
      </c>
      <c r="F125" s="1543">
        <v>7593464.1900000004</v>
      </c>
      <c r="G125" s="245"/>
    </row>
    <row r="126" spans="1:7">
      <c r="A126" s="243"/>
      <c r="B126" s="1204">
        <v>49490</v>
      </c>
      <c r="C126" s="247"/>
      <c r="D126" s="1541">
        <v>4886286986.5</v>
      </c>
      <c r="E126" s="1542">
        <v>49945225.210000001</v>
      </c>
      <c r="F126" s="1543">
        <v>7528532.3099999996</v>
      </c>
      <c r="G126" s="245"/>
    </row>
    <row r="127" spans="1:7">
      <c r="A127" s="243"/>
      <c r="B127" s="1204">
        <v>49521</v>
      </c>
      <c r="C127" s="247"/>
      <c r="D127" s="1541">
        <v>4836341761.29</v>
      </c>
      <c r="E127" s="1542">
        <v>49755407.829999998</v>
      </c>
      <c r="F127" s="1543">
        <v>7458815.4000000004</v>
      </c>
      <c r="G127" s="245"/>
    </row>
    <row r="128" spans="1:7">
      <c r="A128" s="243"/>
      <c r="B128" s="1204">
        <v>49552</v>
      </c>
      <c r="C128" s="247"/>
      <c r="D128" s="1541">
        <v>4786586353.46</v>
      </c>
      <c r="E128" s="1542">
        <v>49500046.259999998</v>
      </c>
      <c r="F128" s="1543">
        <v>7394083.9000000004</v>
      </c>
      <c r="G128" s="245"/>
    </row>
    <row r="129" spans="1:7">
      <c r="A129" s="243"/>
      <c r="B129" s="1204">
        <v>49582</v>
      </c>
      <c r="C129" s="247"/>
      <c r="D129" s="1541">
        <v>4737086307.1999998</v>
      </c>
      <c r="E129" s="1542">
        <v>49206549.399999999</v>
      </c>
      <c r="F129" s="1543">
        <v>7327189.6699999999</v>
      </c>
      <c r="G129" s="245"/>
    </row>
    <row r="130" spans="1:7">
      <c r="A130" s="243"/>
      <c r="B130" s="1204">
        <v>49613</v>
      </c>
      <c r="C130" s="247"/>
      <c r="D130" s="1541">
        <v>4687879757.8000002</v>
      </c>
      <c r="E130" s="1542">
        <v>49030314.579999998</v>
      </c>
      <c r="F130" s="1543">
        <v>7258676.4299999997</v>
      </c>
      <c r="G130" s="245"/>
    </row>
    <row r="131" spans="1:7">
      <c r="A131" s="243"/>
      <c r="B131" s="1204">
        <v>49643</v>
      </c>
      <c r="C131" s="247"/>
      <c r="D131" s="1541">
        <v>4638849443.2200003</v>
      </c>
      <c r="E131" s="1542">
        <v>48796115.420000002</v>
      </c>
      <c r="F131" s="1543">
        <v>7194542.4199999999</v>
      </c>
      <c r="G131" s="245"/>
    </row>
    <row r="132" spans="1:7">
      <c r="A132" s="243"/>
      <c r="B132" s="1204">
        <v>49674</v>
      </c>
      <c r="C132" s="247"/>
      <c r="D132" s="1541">
        <v>4590053327.8000002</v>
      </c>
      <c r="E132" s="1542">
        <v>48603889.159999996</v>
      </c>
      <c r="F132" s="1543">
        <v>7126367.0099999998</v>
      </c>
      <c r="G132" s="245"/>
    </row>
    <row r="133" spans="1:7">
      <c r="A133" s="243"/>
      <c r="B133" s="1204">
        <v>49705</v>
      </c>
      <c r="C133" s="247"/>
      <c r="D133" s="1541">
        <v>4541449438.6400003</v>
      </c>
      <c r="E133" s="1542">
        <v>48441512.390000001</v>
      </c>
      <c r="F133" s="1543">
        <v>7062763.1500000004</v>
      </c>
      <c r="G133" s="245"/>
    </row>
    <row r="134" spans="1:7">
      <c r="A134" s="243"/>
      <c r="B134" s="1204">
        <v>49734</v>
      </c>
      <c r="C134" s="247"/>
      <c r="D134" s="1541">
        <v>4493007926.25</v>
      </c>
      <c r="E134" s="1542">
        <v>48221817.18</v>
      </c>
      <c r="F134" s="1543">
        <v>6997110.96</v>
      </c>
      <c r="G134" s="245"/>
    </row>
    <row r="135" spans="1:7">
      <c r="A135" s="243"/>
      <c r="B135" s="1204">
        <v>49765</v>
      </c>
      <c r="C135" s="247"/>
      <c r="D135" s="1541">
        <v>4444786109.0699997</v>
      </c>
      <c r="E135" s="1542">
        <v>48080592.549999997</v>
      </c>
      <c r="F135" s="1543">
        <v>6927525.75</v>
      </c>
      <c r="G135" s="245"/>
    </row>
    <row r="136" spans="1:7">
      <c r="A136" s="243"/>
      <c r="B136" s="1204">
        <v>49795</v>
      </c>
      <c r="C136" s="247"/>
      <c r="D136" s="1541">
        <v>4396705516.5200005</v>
      </c>
      <c r="E136" s="1542">
        <v>47886348.950000003</v>
      </c>
      <c r="F136" s="1543">
        <v>6866398.1299999999</v>
      </c>
      <c r="G136" s="245"/>
    </row>
    <row r="137" spans="1:7">
      <c r="A137" s="243"/>
      <c r="B137" s="1204">
        <v>49826</v>
      </c>
      <c r="C137" s="247"/>
      <c r="D137" s="1541">
        <v>4348819167.5699997</v>
      </c>
      <c r="E137" s="1542">
        <v>47713789.140000001</v>
      </c>
      <c r="F137" s="1543">
        <v>6799423.5199999996</v>
      </c>
      <c r="G137" s="245"/>
    </row>
    <row r="138" spans="1:7">
      <c r="A138" s="243"/>
      <c r="B138" s="1204">
        <v>49856</v>
      </c>
      <c r="C138" s="247"/>
      <c r="D138" s="1541">
        <v>4301105378.4300003</v>
      </c>
      <c r="E138" s="1542">
        <v>47524034.159999996</v>
      </c>
      <c r="F138" s="1543">
        <v>6736558.4100000001</v>
      </c>
      <c r="G138" s="245"/>
    </row>
    <row r="139" spans="1:7">
      <c r="A139" s="243"/>
      <c r="B139" s="1204">
        <v>49887</v>
      </c>
      <c r="C139" s="247"/>
      <c r="D139" s="1541">
        <v>4253581344.27</v>
      </c>
      <c r="E139" s="1542">
        <v>47349125</v>
      </c>
      <c r="F139" s="1543">
        <v>6669965.3099999996</v>
      </c>
      <c r="G139" s="245"/>
    </row>
    <row r="140" spans="1:7">
      <c r="A140" s="243"/>
      <c r="B140" s="1204">
        <v>49918</v>
      </c>
      <c r="C140" s="247"/>
      <c r="D140" s="1541">
        <v>4206232219.27</v>
      </c>
      <c r="E140" s="1542">
        <v>47090587.780000001</v>
      </c>
      <c r="F140" s="1543">
        <v>6607448.6699999999</v>
      </c>
      <c r="G140" s="245"/>
    </row>
    <row r="141" spans="1:7">
      <c r="A141" s="243"/>
      <c r="B141" s="1204">
        <v>49948</v>
      </c>
      <c r="C141" s="247"/>
      <c r="D141" s="1541">
        <v>4159141631.4899998</v>
      </c>
      <c r="E141" s="1542">
        <v>46872695.219999999</v>
      </c>
      <c r="F141" s="1543">
        <v>6543160.1399999997</v>
      </c>
      <c r="G141" s="245"/>
    </row>
    <row r="142" spans="1:7">
      <c r="A142" s="243"/>
      <c r="B142" s="1204">
        <v>49979</v>
      </c>
      <c r="C142" s="247"/>
      <c r="D142" s="1541">
        <v>4112268936.27</v>
      </c>
      <c r="E142" s="1542">
        <v>46635113.880000003</v>
      </c>
      <c r="F142" s="1543">
        <v>6477062.6699999999</v>
      </c>
      <c r="G142" s="245"/>
    </row>
    <row r="143" spans="1:7">
      <c r="A143" s="243"/>
      <c r="B143" s="1204">
        <v>50009</v>
      </c>
      <c r="C143" s="247"/>
      <c r="D143" s="1541">
        <v>4065633822.3899999</v>
      </c>
      <c r="E143" s="1542">
        <v>46408544.880000003</v>
      </c>
      <c r="F143" s="1543">
        <v>6414872.6699999999</v>
      </c>
      <c r="G143" s="245"/>
    </row>
    <row r="144" spans="1:7">
      <c r="A144" s="243"/>
      <c r="B144" s="1204">
        <v>50040</v>
      </c>
      <c r="C144" s="247"/>
      <c r="D144" s="1541">
        <v>4019225277.5100002</v>
      </c>
      <c r="E144" s="1542">
        <v>46147223.609999999</v>
      </c>
      <c r="F144" s="1543">
        <v>6349529.6100000003</v>
      </c>
      <c r="G144" s="245"/>
    </row>
    <row r="145" spans="1:7">
      <c r="A145" s="243"/>
      <c r="B145" s="1204">
        <v>50071</v>
      </c>
      <c r="C145" s="247"/>
      <c r="D145" s="1541">
        <v>3973078053.9000001</v>
      </c>
      <c r="E145" s="1542">
        <v>45929881.219999999</v>
      </c>
      <c r="F145" s="1543">
        <v>6287751.5899999999</v>
      </c>
      <c r="G145" s="245"/>
    </row>
    <row r="146" spans="1:7">
      <c r="A146" s="243"/>
      <c r="B146" s="1204">
        <v>50099</v>
      </c>
      <c r="C146" s="247"/>
      <c r="D146" s="1541">
        <v>3927148172.6799998</v>
      </c>
      <c r="E146" s="1542">
        <v>45678630.899999999</v>
      </c>
      <c r="F146" s="1543">
        <v>6224604.7599999998</v>
      </c>
      <c r="G146" s="245"/>
    </row>
    <row r="147" spans="1:7">
      <c r="A147" s="243"/>
      <c r="B147" s="1204">
        <v>50130</v>
      </c>
      <c r="C147" s="247"/>
      <c r="D147" s="1541">
        <v>3881469541.7800002</v>
      </c>
      <c r="E147" s="1542">
        <v>45498385.630000003</v>
      </c>
      <c r="F147" s="1543">
        <v>6157175.7999999998</v>
      </c>
      <c r="G147" s="245"/>
    </row>
    <row r="148" spans="1:7">
      <c r="A148" s="243"/>
      <c r="B148" s="1204">
        <v>50160</v>
      </c>
      <c r="C148" s="247"/>
      <c r="D148" s="1541">
        <v>3835971156.1500001</v>
      </c>
      <c r="E148" s="1542">
        <v>45249433.899999999</v>
      </c>
      <c r="F148" s="1543">
        <v>6098604.9800000004</v>
      </c>
      <c r="G148" s="245"/>
    </row>
    <row r="149" spans="1:7">
      <c r="A149" s="243"/>
      <c r="B149" s="1204">
        <v>50191</v>
      </c>
      <c r="C149" s="247"/>
      <c r="D149" s="1541">
        <v>3790721722.25</v>
      </c>
      <c r="E149" s="1542">
        <v>45034043.619999997</v>
      </c>
      <c r="F149" s="1543">
        <v>6034711.1399999997</v>
      </c>
      <c r="G149" s="245"/>
    </row>
    <row r="150" spans="1:7">
      <c r="A150" s="243"/>
      <c r="B150" s="1204">
        <v>50221</v>
      </c>
      <c r="C150" s="247"/>
      <c r="D150" s="1541">
        <v>3745687678.6300001</v>
      </c>
      <c r="E150" s="1542">
        <v>44845084.229999997</v>
      </c>
      <c r="F150" s="1543">
        <v>5973682.7400000002</v>
      </c>
      <c r="G150" s="245"/>
    </row>
    <row r="151" spans="1:7">
      <c r="A151" s="243"/>
      <c r="B151" s="1204">
        <v>50252</v>
      </c>
      <c r="C151" s="247"/>
      <c r="D151" s="1541">
        <v>3700842594.4000001</v>
      </c>
      <c r="E151" s="1542">
        <v>44595658.579999998</v>
      </c>
      <c r="F151" s="1543">
        <v>5910089.6699999999</v>
      </c>
      <c r="G151" s="245"/>
    </row>
    <row r="152" spans="1:7">
      <c r="A152" s="243"/>
      <c r="B152" s="1204">
        <v>50283</v>
      </c>
      <c r="C152" s="247"/>
      <c r="D152" s="1541">
        <v>3656246935.8200002</v>
      </c>
      <c r="E152" s="1542">
        <v>44288473.299999997</v>
      </c>
      <c r="F152" s="1543">
        <v>5849246.2599999998</v>
      </c>
      <c r="G152" s="245"/>
    </row>
    <row r="153" spans="1:7">
      <c r="A153" s="243"/>
      <c r="B153" s="1204">
        <v>50313</v>
      </c>
      <c r="C153" s="247"/>
      <c r="D153" s="1541">
        <v>3611958462.52</v>
      </c>
      <c r="E153" s="1542">
        <v>43996381.829999998</v>
      </c>
      <c r="F153" s="1543">
        <v>5787631.7800000003</v>
      </c>
      <c r="G153" s="245"/>
    </row>
    <row r="154" spans="1:7">
      <c r="A154" s="243"/>
      <c r="B154" s="1204">
        <v>50344</v>
      </c>
      <c r="C154" s="247"/>
      <c r="D154" s="1541">
        <v>3567962080.6900001</v>
      </c>
      <c r="E154" s="1542">
        <v>43779797.299999997</v>
      </c>
      <c r="F154" s="1543">
        <v>5725029.6399999997</v>
      </c>
      <c r="G154" s="245"/>
    </row>
    <row r="155" spans="1:7">
      <c r="A155" s="243"/>
      <c r="B155" s="1204">
        <v>50374</v>
      </c>
      <c r="C155" s="247"/>
      <c r="D155" s="1541">
        <v>3524182283.3899999</v>
      </c>
      <c r="E155" s="1542">
        <v>43517369.789999999</v>
      </c>
      <c r="F155" s="1543">
        <v>5665067.7699999996</v>
      </c>
      <c r="G155" s="245"/>
    </row>
    <row r="156" spans="1:7">
      <c r="A156" s="243"/>
      <c r="B156" s="1204">
        <v>50405</v>
      </c>
      <c r="C156" s="247"/>
      <c r="D156" s="1541">
        <v>3480664913.5999999</v>
      </c>
      <c r="E156" s="1542">
        <v>43339448.020000003</v>
      </c>
      <c r="F156" s="1543">
        <v>5602994.3600000003</v>
      </c>
      <c r="G156" s="245"/>
    </row>
    <row r="157" spans="1:7">
      <c r="A157" s="243"/>
      <c r="B157" s="1204">
        <v>50436</v>
      </c>
      <c r="C157" s="247"/>
      <c r="D157" s="1541">
        <v>3437325465.5799999</v>
      </c>
      <c r="E157" s="1542">
        <v>43105537.950000003</v>
      </c>
      <c r="F157" s="1543">
        <v>5543572.9800000004</v>
      </c>
      <c r="G157" s="245"/>
    </row>
    <row r="158" spans="1:7">
      <c r="A158" s="243"/>
      <c r="B158" s="1204">
        <v>50464</v>
      </c>
      <c r="C158" s="247"/>
      <c r="D158" s="1541">
        <v>3394219927.6300001</v>
      </c>
      <c r="E158" s="1542">
        <v>42818246.670000002</v>
      </c>
      <c r="F158" s="1543">
        <v>5482996.3600000003</v>
      </c>
      <c r="G158" s="245"/>
    </row>
    <row r="159" spans="1:7">
      <c r="A159" s="243"/>
      <c r="B159" s="1204">
        <v>50495</v>
      </c>
      <c r="C159" s="247"/>
      <c r="D159" s="1541">
        <v>3351401680.96</v>
      </c>
      <c r="E159" s="1542">
        <v>42584753.590000004</v>
      </c>
      <c r="F159" s="1543">
        <v>5419674.2999999998</v>
      </c>
      <c r="G159" s="245"/>
    </row>
    <row r="160" spans="1:7">
      <c r="A160" s="243"/>
      <c r="B160" s="1204">
        <v>50525</v>
      </c>
      <c r="C160" s="247"/>
      <c r="D160" s="1541">
        <v>3308816927.3699999</v>
      </c>
      <c r="E160" s="1542">
        <v>42356701.170000002</v>
      </c>
      <c r="F160" s="1543">
        <v>5362894.07</v>
      </c>
      <c r="G160" s="245"/>
    </row>
    <row r="161" spans="1:7">
      <c r="A161" s="243"/>
      <c r="B161" s="1204">
        <v>50556</v>
      </c>
      <c r="C161" s="247"/>
      <c r="D161" s="1541">
        <v>3266460226.1999998</v>
      </c>
      <c r="E161" s="1542">
        <v>42133748.25</v>
      </c>
      <c r="F161" s="1543">
        <v>5302512.29</v>
      </c>
      <c r="G161" s="245"/>
    </row>
    <row r="162" spans="1:7">
      <c r="A162" s="243"/>
      <c r="B162" s="1204">
        <v>50586</v>
      </c>
      <c r="C162" s="247"/>
      <c r="D162" s="1541">
        <v>3224326477.9499998</v>
      </c>
      <c r="E162" s="1542">
        <v>41945694.810000002</v>
      </c>
      <c r="F162" s="1543">
        <v>5243806.2699999996</v>
      </c>
      <c r="G162" s="245"/>
    </row>
    <row r="163" spans="1:7">
      <c r="A163" s="243"/>
      <c r="B163" s="1204">
        <v>50617</v>
      </c>
      <c r="C163" s="247"/>
      <c r="D163" s="1541">
        <v>3182380783.1399999</v>
      </c>
      <c r="E163" s="1542">
        <v>41760546.789999999</v>
      </c>
      <c r="F163" s="1543">
        <v>5183653.96</v>
      </c>
      <c r="G163" s="245"/>
    </row>
    <row r="164" spans="1:7">
      <c r="A164" s="243"/>
      <c r="B164" s="1204">
        <v>50648</v>
      </c>
      <c r="C164" s="247"/>
      <c r="D164" s="1541">
        <v>3140620236.3499999</v>
      </c>
      <c r="E164" s="1542">
        <v>41529314.409999996</v>
      </c>
      <c r="F164" s="1543">
        <v>5125597.13</v>
      </c>
      <c r="G164" s="245"/>
    </row>
    <row r="165" spans="1:7">
      <c r="A165" s="243"/>
      <c r="B165" s="1204">
        <v>50678</v>
      </c>
      <c r="C165" s="247"/>
      <c r="D165" s="1541">
        <v>3099090921.9400001</v>
      </c>
      <c r="E165" s="1542">
        <v>41262995.130000003</v>
      </c>
      <c r="F165" s="1543">
        <v>5066906.87</v>
      </c>
      <c r="G165" s="245"/>
    </row>
    <row r="166" spans="1:7">
      <c r="A166" s="243"/>
      <c r="B166" s="1204">
        <v>50709</v>
      </c>
      <c r="C166" s="247"/>
      <c r="D166" s="1541">
        <v>3057827926.8099999</v>
      </c>
      <c r="E166" s="1542">
        <v>41042893.149999999</v>
      </c>
      <c r="F166" s="1543">
        <v>5007487.51</v>
      </c>
      <c r="G166" s="245"/>
    </row>
    <row r="167" spans="1:7">
      <c r="A167" s="243"/>
      <c r="B167" s="1204">
        <v>50739</v>
      </c>
      <c r="C167" s="247"/>
      <c r="D167" s="1541">
        <v>3016785033.6599998</v>
      </c>
      <c r="E167" s="1542">
        <v>40818898.210000001</v>
      </c>
      <c r="F167" s="1543">
        <v>4950128.97</v>
      </c>
      <c r="G167" s="245"/>
    </row>
    <row r="168" spans="1:7">
      <c r="A168" s="243"/>
      <c r="B168" s="1204">
        <v>50770</v>
      </c>
      <c r="C168" s="247"/>
      <c r="D168" s="1541">
        <v>2975966135.4499998</v>
      </c>
      <c r="E168" s="1542">
        <v>40600084.799999997</v>
      </c>
      <c r="F168" s="1543">
        <v>4891258.9400000004</v>
      </c>
      <c r="G168" s="245"/>
    </row>
    <row r="169" spans="1:7">
      <c r="A169" s="243"/>
      <c r="B169" s="1204">
        <v>50801</v>
      </c>
      <c r="C169" s="247"/>
      <c r="D169" s="1541">
        <v>2935366050.6500001</v>
      </c>
      <c r="E169" s="1542">
        <v>40427501.340000004</v>
      </c>
      <c r="F169" s="1543">
        <v>4834539.72</v>
      </c>
      <c r="G169" s="245"/>
    </row>
    <row r="170" spans="1:7">
      <c r="A170" s="243"/>
      <c r="B170" s="1204">
        <v>50829</v>
      </c>
      <c r="C170" s="247"/>
      <c r="D170" s="1541">
        <v>2894938549.3099999</v>
      </c>
      <c r="E170" s="1542">
        <v>40213030</v>
      </c>
      <c r="F170" s="1543">
        <v>4776978.32</v>
      </c>
      <c r="G170" s="245"/>
    </row>
    <row r="171" spans="1:7">
      <c r="A171" s="243"/>
      <c r="B171" s="1204">
        <v>50860</v>
      </c>
      <c r="C171" s="247"/>
      <c r="D171" s="1541">
        <v>2854725519.3099999</v>
      </c>
      <c r="E171" s="1542">
        <v>39992743.509999998</v>
      </c>
      <c r="F171" s="1543">
        <v>4717242.93</v>
      </c>
      <c r="G171" s="245"/>
    </row>
    <row r="172" spans="1:7">
      <c r="A172" s="243"/>
      <c r="B172" s="1204">
        <v>50890</v>
      </c>
      <c r="C172" s="247"/>
      <c r="D172" s="1541">
        <v>2814732775.8000002</v>
      </c>
      <c r="E172" s="1542">
        <v>39800467.789999999</v>
      </c>
      <c r="F172" s="1543">
        <v>4662507.57</v>
      </c>
      <c r="G172" s="245"/>
    </row>
    <row r="173" spans="1:7">
      <c r="A173" s="243"/>
      <c r="B173" s="1204">
        <v>50921</v>
      </c>
      <c r="C173" s="247"/>
      <c r="D173" s="1541">
        <v>2774932308.0100002</v>
      </c>
      <c r="E173" s="1542">
        <v>39582791.18</v>
      </c>
      <c r="F173" s="1543">
        <v>4604991.72</v>
      </c>
      <c r="G173" s="245"/>
    </row>
    <row r="174" spans="1:7">
      <c r="A174" s="243"/>
      <c r="B174" s="1204">
        <v>50951</v>
      </c>
      <c r="C174" s="247"/>
      <c r="D174" s="1541">
        <v>2735349516.8299999</v>
      </c>
      <c r="E174" s="1542">
        <v>39300428.299999997</v>
      </c>
      <c r="F174" s="1543">
        <v>4549262.76</v>
      </c>
      <c r="G174" s="245"/>
    </row>
    <row r="175" spans="1:7">
      <c r="A175" s="243"/>
      <c r="B175" s="1204">
        <v>50982</v>
      </c>
      <c r="C175" s="247"/>
      <c r="D175" s="1541">
        <v>2696049088.5300002</v>
      </c>
      <c r="E175" s="1542">
        <v>39017202.869999997</v>
      </c>
      <c r="F175" s="1543">
        <v>4492443.17</v>
      </c>
      <c r="G175" s="245"/>
    </row>
    <row r="176" spans="1:7">
      <c r="A176" s="243"/>
      <c r="B176" s="1204">
        <v>51013</v>
      </c>
      <c r="C176" s="247"/>
      <c r="D176" s="1541">
        <v>2657031885.6599998</v>
      </c>
      <c r="E176" s="1542">
        <v>38713132.210000001</v>
      </c>
      <c r="F176" s="1543">
        <v>4437636.8600000003</v>
      </c>
      <c r="G176" s="245"/>
    </row>
    <row r="177" spans="1:7">
      <c r="A177" s="243"/>
      <c r="B177" s="1204">
        <v>51043</v>
      </c>
      <c r="C177" s="247"/>
      <c r="D177" s="1541">
        <v>2618318753.4499998</v>
      </c>
      <c r="E177" s="1542">
        <v>38406913.840000004</v>
      </c>
      <c r="F177" s="1543">
        <v>4382139.78</v>
      </c>
      <c r="G177" s="245"/>
    </row>
    <row r="178" spans="1:7">
      <c r="A178" s="243"/>
      <c r="B178" s="1204">
        <v>51074</v>
      </c>
      <c r="C178" s="247"/>
      <c r="D178" s="1541">
        <v>2579911839.6100001</v>
      </c>
      <c r="E178" s="1542">
        <v>38131075.409999996</v>
      </c>
      <c r="F178" s="1543">
        <v>4326424.4400000004</v>
      </c>
      <c r="G178" s="245"/>
    </row>
    <row r="179" spans="1:7">
      <c r="A179" s="243"/>
      <c r="B179" s="1204">
        <v>51104</v>
      </c>
      <c r="C179" s="247"/>
      <c r="D179" s="1541">
        <v>2541780764.1999998</v>
      </c>
      <c r="E179" s="1542">
        <v>37836025.759999998</v>
      </c>
      <c r="F179" s="1543">
        <v>4272020.84</v>
      </c>
      <c r="G179" s="245"/>
    </row>
    <row r="180" spans="1:7">
      <c r="A180" s="243"/>
      <c r="B180" s="1204">
        <v>51135</v>
      </c>
      <c r="C180" s="247"/>
      <c r="D180" s="1541">
        <v>2503944738.4400001</v>
      </c>
      <c r="E180" s="1542">
        <v>37506407.130000003</v>
      </c>
      <c r="F180" s="1543">
        <v>4217259.38</v>
      </c>
      <c r="G180" s="245"/>
    </row>
    <row r="181" spans="1:7">
      <c r="A181" s="243"/>
      <c r="B181" s="1204">
        <v>51166</v>
      </c>
      <c r="C181" s="247"/>
      <c r="D181" s="1541">
        <v>2466438331.3099999</v>
      </c>
      <c r="E181" s="1542">
        <v>37231292.969999999</v>
      </c>
      <c r="F181" s="1543">
        <v>4163767.8</v>
      </c>
      <c r="G181" s="245"/>
    </row>
    <row r="182" spans="1:7">
      <c r="A182" s="243"/>
      <c r="B182" s="1204">
        <v>51195</v>
      </c>
      <c r="C182" s="247"/>
      <c r="D182" s="1541">
        <v>2429207038.3400002</v>
      </c>
      <c r="E182" s="1542">
        <v>36853272.880000003</v>
      </c>
      <c r="F182" s="1543">
        <v>4109976.45</v>
      </c>
      <c r="G182" s="245"/>
    </row>
    <row r="183" spans="1:7">
      <c r="A183" s="243"/>
      <c r="B183" s="1204">
        <v>51226</v>
      </c>
      <c r="C183" s="247"/>
      <c r="D183" s="1541">
        <v>2392353765.46</v>
      </c>
      <c r="E183" s="1542">
        <v>36516800.789999999</v>
      </c>
      <c r="F183" s="1543">
        <v>4055545.04</v>
      </c>
      <c r="G183" s="245"/>
    </row>
    <row r="184" spans="1:7">
      <c r="A184" s="243"/>
      <c r="B184" s="1204">
        <v>51256</v>
      </c>
      <c r="C184" s="247"/>
      <c r="D184" s="1541">
        <v>2355836964.6700001</v>
      </c>
      <c r="E184" s="1542">
        <v>36216430.810000002</v>
      </c>
      <c r="F184" s="1543">
        <v>4003177.34</v>
      </c>
      <c r="G184" s="245"/>
    </row>
    <row r="185" spans="1:7">
      <c r="A185" s="243"/>
      <c r="B185" s="1204">
        <v>51287</v>
      </c>
      <c r="C185" s="247"/>
      <c r="D185" s="1541">
        <v>2319620533.8600001</v>
      </c>
      <c r="E185" s="1542">
        <v>35952459.539999999</v>
      </c>
      <c r="F185" s="1543">
        <v>3949884.37</v>
      </c>
      <c r="G185" s="245"/>
    </row>
    <row r="186" spans="1:7">
      <c r="A186" s="243"/>
      <c r="B186" s="1204">
        <v>51317</v>
      </c>
      <c r="C186" s="247"/>
      <c r="D186" s="1541">
        <v>2283668074.3200002</v>
      </c>
      <c r="E186" s="1542">
        <v>35702948.329999998</v>
      </c>
      <c r="F186" s="1543">
        <v>3898043.31</v>
      </c>
      <c r="G186" s="245"/>
    </row>
    <row r="187" spans="1:7">
      <c r="A187" s="243"/>
      <c r="B187" s="1204">
        <v>51348</v>
      </c>
      <c r="C187" s="247"/>
      <c r="D187" s="1541">
        <v>2247965125.9899998</v>
      </c>
      <c r="E187" s="1542">
        <v>35386481.5</v>
      </c>
      <c r="F187" s="1543">
        <v>3845294.58</v>
      </c>
      <c r="G187" s="245"/>
    </row>
    <row r="188" spans="1:7">
      <c r="A188" s="243"/>
      <c r="B188" s="1204">
        <v>51379</v>
      </c>
      <c r="C188" s="247"/>
      <c r="D188" s="1541">
        <v>2212578644.4899998</v>
      </c>
      <c r="E188" s="1542">
        <v>35121131.060000002</v>
      </c>
      <c r="F188" s="1543">
        <v>3794040.59</v>
      </c>
      <c r="G188" s="245"/>
    </row>
    <row r="189" spans="1:7">
      <c r="A189" s="243"/>
      <c r="B189" s="1204">
        <v>51409</v>
      </c>
      <c r="C189" s="247"/>
      <c r="D189" s="1541">
        <v>2177457513.4299998</v>
      </c>
      <c r="E189" s="1542">
        <v>34844763.310000002</v>
      </c>
      <c r="F189" s="1543">
        <v>3742433.65</v>
      </c>
      <c r="G189" s="245"/>
    </row>
    <row r="190" spans="1:7">
      <c r="A190" s="243"/>
      <c r="B190" s="1204">
        <v>51440</v>
      </c>
      <c r="C190" s="247"/>
      <c r="D190" s="1541">
        <v>2142612750.1199999</v>
      </c>
      <c r="E190" s="1542">
        <v>34573091.719999999</v>
      </c>
      <c r="F190" s="1543">
        <v>3690822.74</v>
      </c>
      <c r="G190" s="245"/>
    </row>
    <row r="191" spans="1:7">
      <c r="A191" s="243"/>
      <c r="B191" s="1204">
        <v>51470</v>
      </c>
      <c r="C191" s="247"/>
      <c r="D191" s="1541">
        <v>2108039658.4000001</v>
      </c>
      <c r="E191" s="1542">
        <v>34333270.060000002</v>
      </c>
      <c r="F191" s="1543">
        <v>3640110.32</v>
      </c>
      <c r="G191" s="245"/>
    </row>
    <row r="192" spans="1:7">
      <c r="A192" s="243"/>
      <c r="B192" s="1204">
        <v>51501</v>
      </c>
      <c r="C192" s="247"/>
      <c r="D192" s="1541">
        <v>2073706388.3399999</v>
      </c>
      <c r="E192" s="1542">
        <v>34113338.259999998</v>
      </c>
      <c r="F192" s="1543">
        <v>3589064.65</v>
      </c>
      <c r="G192" s="245"/>
    </row>
    <row r="193" spans="1:7">
      <c r="A193" s="243"/>
      <c r="B193" s="1204">
        <v>51532</v>
      </c>
      <c r="C193" s="247"/>
      <c r="D193" s="1541">
        <v>2039593050.0799999</v>
      </c>
      <c r="E193" s="1542">
        <v>33902193.890000001</v>
      </c>
      <c r="F193" s="1543">
        <v>3538959.35</v>
      </c>
      <c r="G193" s="245"/>
    </row>
    <row r="194" spans="1:7">
      <c r="A194" s="243"/>
      <c r="B194" s="1204">
        <v>51560</v>
      </c>
      <c r="C194" s="247"/>
      <c r="D194" s="1541">
        <v>2005690856.1900001</v>
      </c>
      <c r="E194" s="1542">
        <v>33622498.840000004</v>
      </c>
      <c r="F194" s="1543">
        <v>3488589.83</v>
      </c>
      <c r="G194" s="245"/>
    </row>
    <row r="195" spans="1:7">
      <c r="A195" s="243"/>
      <c r="B195" s="1204">
        <v>51591</v>
      </c>
      <c r="C195" s="247"/>
      <c r="D195" s="1541">
        <v>1972068357.3499999</v>
      </c>
      <c r="E195" s="1542">
        <v>33436210.350000001</v>
      </c>
      <c r="F195" s="1543">
        <v>3437462.44</v>
      </c>
      <c r="G195" s="245"/>
    </row>
    <row r="196" spans="1:7">
      <c r="A196" s="243"/>
      <c r="B196" s="1204">
        <v>51621</v>
      </c>
      <c r="C196" s="247"/>
      <c r="D196" s="1541">
        <v>1938632147</v>
      </c>
      <c r="E196" s="1542">
        <v>33250218.66</v>
      </c>
      <c r="F196" s="1543">
        <v>3388682.81</v>
      </c>
      <c r="G196" s="245"/>
    </row>
    <row r="197" spans="1:7">
      <c r="A197" s="243"/>
      <c r="B197" s="1204">
        <v>51652</v>
      </c>
      <c r="C197" s="247"/>
      <c r="D197" s="1541">
        <v>1905381928.3399999</v>
      </c>
      <c r="E197" s="1542">
        <v>32997229.98</v>
      </c>
      <c r="F197" s="1543">
        <v>3338445.12</v>
      </c>
      <c r="G197" s="245"/>
    </row>
    <row r="198" spans="1:7">
      <c r="A198" s="243"/>
      <c r="B198" s="1204">
        <v>51682</v>
      </c>
      <c r="C198" s="247"/>
      <c r="D198" s="1541">
        <v>1872384698.3599999</v>
      </c>
      <c r="E198" s="1542">
        <v>32770304.5</v>
      </c>
      <c r="F198" s="1543">
        <v>3289196.05</v>
      </c>
      <c r="G198" s="245"/>
    </row>
    <row r="199" spans="1:7">
      <c r="A199" s="243"/>
      <c r="B199" s="1204">
        <v>51713</v>
      </c>
      <c r="C199" s="247"/>
      <c r="D199" s="1541">
        <v>1839614393.8599999</v>
      </c>
      <c r="E199" s="1542">
        <v>32543433.16</v>
      </c>
      <c r="F199" s="1543">
        <v>3239955.8</v>
      </c>
      <c r="G199" s="245"/>
    </row>
    <row r="200" spans="1:7">
      <c r="A200" s="243"/>
      <c r="B200" s="1204">
        <v>51744</v>
      </c>
      <c r="C200" s="247"/>
      <c r="D200" s="1541">
        <v>1807070960.7</v>
      </c>
      <c r="E200" s="1542">
        <v>32205832.789999999</v>
      </c>
      <c r="F200" s="1543">
        <v>3190456.46</v>
      </c>
      <c r="G200" s="245"/>
    </row>
    <row r="201" spans="1:7">
      <c r="A201" s="243"/>
      <c r="B201" s="1204">
        <v>51774</v>
      </c>
      <c r="C201" s="247"/>
      <c r="D201" s="1541">
        <v>1774865127.9100001</v>
      </c>
      <c r="E201" s="1542">
        <v>31873194.690000001</v>
      </c>
      <c r="F201" s="1543">
        <v>3141689.43</v>
      </c>
      <c r="G201" s="245"/>
    </row>
    <row r="202" spans="1:7">
      <c r="A202" s="243"/>
      <c r="B202" s="1204">
        <v>51805</v>
      </c>
      <c r="C202" s="247"/>
      <c r="D202" s="1541">
        <v>1742991933.22</v>
      </c>
      <c r="E202" s="1542">
        <v>31590281.34</v>
      </c>
      <c r="F202" s="1543">
        <v>3093023.23</v>
      </c>
      <c r="G202" s="245"/>
    </row>
    <row r="203" spans="1:7">
      <c r="A203" s="243"/>
      <c r="B203" s="1204">
        <v>51835</v>
      </c>
      <c r="C203" s="247"/>
      <c r="D203" s="1541">
        <v>1711401651.8800001</v>
      </c>
      <c r="E203" s="1542">
        <v>31229258.09</v>
      </c>
      <c r="F203" s="1543">
        <v>3044557.41</v>
      </c>
      <c r="G203" s="245"/>
    </row>
    <row r="204" spans="1:7">
      <c r="A204" s="243"/>
      <c r="B204" s="1204">
        <v>51866</v>
      </c>
      <c r="C204" s="247"/>
      <c r="D204" s="1541">
        <v>1680172393.79</v>
      </c>
      <c r="E204" s="1542">
        <v>30842152.170000002</v>
      </c>
      <c r="F204" s="1543">
        <v>2996322.98</v>
      </c>
      <c r="G204" s="245"/>
    </row>
    <row r="205" spans="1:7">
      <c r="A205" s="243"/>
      <c r="B205" s="1204">
        <v>51897</v>
      </c>
      <c r="C205" s="247"/>
      <c r="D205" s="1541">
        <v>1649330241.6199999</v>
      </c>
      <c r="E205" s="1542">
        <v>30538862.260000002</v>
      </c>
      <c r="F205" s="1543">
        <v>2948663.39</v>
      </c>
      <c r="G205" s="245"/>
    </row>
    <row r="206" spans="1:7">
      <c r="A206" s="243"/>
      <c r="B206" s="1204">
        <v>51925</v>
      </c>
      <c r="C206" s="247"/>
      <c r="D206" s="1541">
        <v>1618791379.3599999</v>
      </c>
      <c r="E206" s="1542">
        <v>30224348.68</v>
      </c>
      <c r="F206" s="1543">
        <v>2901339.46</v>
      </c>
      <c r="G206" s="245"/>
    </row>
    <row r="207" spans="1:7">
      <c r="A207" s="243"/>
      <c r="B207" s="1204">
        <v>51956</v>
      </c>
      <c r="C207" s="247"/>
      <c r="D207" s="1541">
        <v>1588567030.6800001</v>
      </c>
      <c r="E207" s="1542">
        <v>29955608.219999999</v>
      </c>
      <c r="F207" s="1543">
        <v>2853118.32</v>
      </c>
      <c r="G207" s="245"/>
    </row>
    <row r="208" spans="1:7">
      <c r="A208" s="243"/>
      <c r="B208" s="1204">
        <v>51986</v>
      </c>
      <c r="C208" s="247"/>
      <c r="D208" s="1541">
        <v>1558611422.46</v>
      </c>
      <c r="E208" s="1542">
        <v>29674835.059999999</v>
      </c>
      <c r="F208" s="1543">
        <v>2806545.3</v>
      </c>
      <c r="G208" s="245"/>
    </row>
    <row r="209" spans="1:7">
      <c r="A209" s="243"/>
      <c r="B209" s="1204">
        <v>52017</v>
      </c>
      <c r="C209" s="247"/>
      <c r="D209" s="1541">
        <v>1528936587.4000001</v>
      </c>
      <c r="E209" s="1542">
        <v>29385098</v>
      </c>
      <c r="F209" s="1543">
        <v>2759343.91</v>
      </c>
      <c r="G209" s="245"/>
    </row>
    <row r="210" spans="1:7">
      <c r="A210" s="243"/>
      <c r="B210" s="1204">
        <v>52047</v>
      </c>
      <c r="C210" s="247"/>
      <c r="D210" s="1541">
        <v>1499551489.4000001</v>
      </c>
      <c r="E210" s="1542">
        <v>29097053.41</v>
      </c>
      <c r="F210" s="1543">
        <v>2712595.82</v>
      </c>
      <c r="G210" s="245"/>
    </row>
    <row r="211" spans="1:7">
      <c r="A211" s="243"/>
      <c r="B211" s="1204">
        <v>52078</v>
      </c>
      <c r="C211" s="247"/>
      <c r="D211" s="1541">
        <v>1470454435.99</v>
      </c>
      <c r="E211" s="1542">
        <v>28804670.530000001</v>
      </c>
      <c r="F211" s="1543">
        <v>2666107.7400000002</v>
      </c>
      <c r="G211" s="245"/>
    </row>
    <row r="212" spans="1:7">
      <c r="A212" s="243"/>
      <c r="B212" s="1204">
        <v>52109</v>
      </c>
      <c r="C212" s="247"/>
      <c r="D212" s="1541">
        <v>1441649765.46</v>
      </c>
      <c r="E212" s="1542">
        <v>28483765.390000001</v>
      </c>
      <c r="F212" s="1543">
        <v>2620023.46</v>
      </c>
      <c r="G212" s="245"/>
    </row>
    <row r="213" spans="1:7">
      <c r="A213" s="243"/>
      <c r="B213" s="1204">
        <v>52139</v>
      </c>
      <c r="C213" s="247"/>
      <c r="D213" s="1541">
        <v>1413166000.0699999</v>
      </c>
      <c r="E213" s="1542">
        <v>28166402.09</v>
      </c>
      <c r="F213" s="1543">
        <v>2574258.83</v>
      </c>
      <c r="G213" s="245"/>
    </row>
    <row r="214" spans="1:7">
      <c r="A214" s="243"/>
      <c r="B214" s="1204">
        <v>52170</v>
      </c>
      <c r="C214" s="247"/>
      <c r="D214" s="1541">
        <v>1384999597.98</v>
      </c>
      <c r="E214" s="1542">
        <v>27916005.050000001</v>
      </c>
      <c r="F214" s="1543">
        <v>2528597.2599999998</v>
      </c>
      <c r="G214" s="245"/>
    </row>
    <row r="215" spans="1:7">
      <c r="A215" s="243"/>
      <c r="B215" s="1204">
        <v>52200</v>
      </c>
      <c r="C215" s="247"/>
      <c r="D215" s="1541">
        <v>1357083592.9300001</v>
      </c>
      <c r="E215" s="1542">
        <v>27635760.059999999</v>
      </c>
      <c r="F215" s="1543">
        <v>2483320.88</v>
      </c>
      <c r="G215" s="245"/>
    </row>
    <row r="216" spans="1:7">
      <c r="A216" s="243"/>
      <c r="B216" s="1204">
        <v>52231</v>
      </c>
      <c r="C216" s="247"/>
      <c r="D216" s="1541">
        <v>1329447832.8699999</v>
      </c>
      <c r="E216" s="1542">
        <v>27328486.550000001</v>
      </c>
      <c r="F216" s="1543">
        <v>2438212.09</v>
      </c>
      <c r="G216" s="245"/>
    </row>
    <row r="217" spans="1:7">
      <c r="A217" s="243"/>
      <c r="B217" s="1204">
        <v>52262</v>
      </c>
      <c r="C217" s="247"/>
      <c r="D217" s="1541">
        <v>1302119346.3199999</v>
      </c>
      <c r="E217" s="1542">
        <v>27028343.969999999</v>
      </c>
      <c r="F217" s="1543">
        <v>2393474.5099999998</v>
      </c>
      <c r="G217" s="245"/>
    </row>
    <row r="218" spans="1:7">
      <c r="A218" s="243"/>
      <c r="B218" s="1204">
        <v>52290</v>
      </c>
      <c r="C218" s="247"/>
      <c r="D218" s="1541">
        <v>1275091002.3499999</v>
      </c>
      <c r="E218" s="1542">
        <v>26697475.149999999</v>
      </c>
      <c r="F218" s="1543">
        <v>2349164.17</v>
      </c>
      <c r="G218" s="245"/>
    </row>
    <row r="219" spans="1:7">
      <c r="A219" s="243"/>
      <c r="B219" s="1204">
        <v>52321</v>
      </c>
      <c r="C219" s="247"/>
      <c r="D219" s="1541">
        <v>1248393527.2</v>
      </c>
      <c r="E219" s="1542">
        <v>26478298.649999999</v>
      </c>
      <c r="F219" s="1543">
        <v>2305105.1800000002</v>
      </c>
      <c r="G219" s="245"/>
    </row>
    <row r="220" spans="1:7">
      <c r="A220" s="243"/>
      <c r="B220" s="1204">
        <v>52351</v>
      </c>
      <c r="C220" s="247"/>
      <c r="D220" s="1541">
        <v>1221915228.55</v>
      </c>
      <c r="E220" s="1542">
        <v>26177027.75</v>
      </c>
      <c r="F220" s="1543">
        <v>2261785.23</v>
      </c>
      <c r="G220" s="245"/>
    </row>
    <row r="221" spans="1:7">
      <c r="A221" s="243"/>
      <c r="B221" s="1204">
        <v>52382</v>
      </c>
      <c r="C221" s="247"/>
      <c r="D221" s="1541">
        <v>1195738200.8</v>
      </c>
      <c r="E221" s="1542">
        <v>25861412.350000001</v>
      </c>
      <c r="F221" s="1543">
        <v>2218232.09</v>
      </c>
      <c r="G221" s="245"/>
    </row>
    <row r="222" spans="1:7">
      <c r="A222" s="243"/>
      <c r="B222" s="1204">
        <v>52412</v>
      </c>
      <c r="C222" s="247"/>
      <c r="D222" s="1541">
        <v>1169876788.45</v>
      </c>
      <c r="E222" s="1542">
        <v>25599367.989999998</v>
      </c>
      <c r="F222" s="1543">
        <v>2175512.9500000002</v>
      </c>
      <c r="G222" s="245"/>
    </row>
    <row r="223" spans="1:7">
      <c r="A223" s="243"/>
      <c r="B223" s="1204">
        <v>52443</v>
      </c>
      <c r="C223" s="247"/>
      <c r="D223" s="1541">
        <v>1144277420.46</v>
      </c>
      <c r="E223" s="1542">
        <v>25401636.390000001</v>
      </c>
      <c r="F223" s="1543">
        <v>2132860.87</v>
      </c>
      <c r="G223" s="245"/>
    </row>
    <row r="224" spans="1:7">
      <c r="A224" s="243"/>
      <c r="B224" s="1204">
        <v>52474</v>
      </c>
      <c r="C224" s="247"/>
      <c r="D224" s="1541">
        <v>1118875784.0699999</v>
      </c>
      <c r="E224" s="1542">
        <v>25148321.02</v>
      </c>
      <c r="F224" s="1543">
        <v>2090555.49</v>
      </c>
      <c r="G224" s="245"/>
    </row>
    <row r="225" spans="1:7">
      <c r="A225" s="243"/>
      <c r="B225" s="1204">
        <v>52504</v>
      </c>
      <c r="C225" s="247"/>
      <c r="D225" s="1541">
        <v>1093727463.05</v>
      </c>
      <c r="E225" s="1542">
        <v>24854188.719999999</v>
      </c>
      <c r="F225" s="1543">
        <v>2048664.63</v>
      </c>
      <c r="G225" s="245"/>
    </row>
    <row r="226" spans="1:7">
      <c r="A226" s="243"/>
      <c r="B226" s="1204">
        <v>52535</v>
      </c>
      <c r="C226" s="247"/>
      <c r="D226" s="1541">
        <v>1068873274.33</v>
      </c>
      <c r="E226" s="1542">
        <v>24622375.489999998</v>
      </c>
      <c r="F226" s="1543">
        <v>2007277.59</v>
      </c>
      <c r="G226" s="245"/>
    </row>
    <row r="227" spans="1:7">
      <c r="A227" s="243"/>
      <c r="B227" s="1204">
        <v>52565</v>
      </c>
      <c r="C227" s="247"/>
      <c r="D227" s="1541">
        <v>1044250898.84</v>
      </c>
      <c r="E227" s="1542">
        <v>24408663.960000001</v>
      </c>
      <c r="F227" s="1543">
        <v>1966113.9</v>
      </c>
      <c r="G227" s="245"/>
    </row>
    <row r="228" spans="1:7">
      <c r="A228" s="243"/>
      <c r="B228" s="1204">
        <v>52596</v>
      </c>
      <c r="C228" s="247"/>
      <c r="D228" s="1541">
        <v>1019842234.88</v>
      </c>
      <c r="E228" s="1542">
        <v>24168103.539999999</v>
      </c>
      <c r="F228" s="1543">
        <v>1925307.62</v>
      </c>
      <c r="G228" s="245"/>
    </row>
    <row r="229" spans="1:7">
      <c r="A229" s="243"/>
      <c r="B229" s="1204">
        <v>52627</v>
      </c>
      <c r="C229" s="247"/>
      <c r="D229" s="1541">
        <v>995674131.34000003</v>
      </c>
      <c r="E229" s="1542">
        <v>23950754.620000001</v>
      </c>
      <c r="F229" s="1543">
        <v>1884929.56</v>
      </c>
      <c r="G229" s="245"/>
    </row>
    <row r="230" spans="1:7">
      <c r="A230" s="243"/>
      <c r="B230" s="1204">
        <v>52656</v>
      </c>
      <c r="C230" s="247"/>
      <c r="D230" s="1541">
        <v>971723376.72000003</v>
      </c>
      <c r="E230" s="1542">
        <v>23705045.300000001</v>
      </c>
      <c r="F230" s="1543">
        <v>1844994.98</v>
      </c>
      <c r="G230" s="245"/>
    </row>
    <row r="231" spans="1:7">
      <c r="A231" s="243"/>
      <c r="B231" s="1204">
        <v>52687</v>
      </c>
      <c r="C231" s="247"/>
      <c r="D231" s="1541">
        <v>948018331.41999996</v>
      </c>
      <c r="E231" s="1542">
        <v>23519848.350000001</v>
      </c>
      <c r="F231" s="1543">
        <v>1805208.98</v>
      </c>
      <c r="G231" s="245"/>
    </row>
    <row r="232" spans="1:7">
      <c r="A232" s="243"/>
      <c r="B232" s="1204">
        <v>52717</v>
      </c>
      <c r="C232" s="247"/>
      <c r="D232" s="1541">
        <v>924498483.07000005</v>
      </c>
      <c r="E232" s="1542">
        <v>23284009.559999999</v>
      </c>
      <c r="F232" s="1543">
        <v>1765784.88</v>
      </c>
      <c r="G232" s="245"/>
    </row>
    <row r="233" spans="1:7">
      <c r="A233" s="243"/>
      <c r="B233" s="1204">
        <v>52748</v>
      </c>
      <c r="C233" s="247"/>
      <c r="D233" s="1541">
        <v>901214473.50999999</v>
      </c>
      <c r="E233" s="1542">
        <v>23017860.77</v>
      </c>
      <c r="F233" s="1543">
        <v>1726740.9</v>
      </c>
      <c r="G233" s="245"/>
    </row>
    <row r="234" spans="1:7">
      <c r="A234" s="243"/>
      <c r="B234" s="1204">
        <v>52778</v>
      </c>
      <c r="C234" s="247"/>
      <c r="D234" s="1541">
        <v>878196612.74000001</v>
      </c>
      <c r="E234" s="1542">
        <v>22733983.699999999</v>
      </c>
      <c r="F234" s="1543">
        <v>1688260.86</v>
      </c>
      <c r="G234" s="245"/>
    </row>
    <row r="235" spans="1:7">
      <c r="A235" s="243"/>
      <c r="B235" s="1204">
        <v>52809</v>
      </c>
      <c r="C235" s="247"/>
      <c r="D235" s="1541">
        <v>855462629.03999996</v>
      </c>
      <c r="E235" s="1542">
        <v>22448996.719999999</v>
      </c>
      <c r="F235" s="1543">
        <v>1650237.65</v>
      </c>
      <c r="G235" s="245"/>
    </row>
    <row r="236" spans="1:7">
      <c r="A236" s="243"/>
      <c r="B236" s="1204">
        <v>52840</v>
      </c>
      <c r="C236" s="247"/>
      <c r="D236" s="1541">
        <v>833013632.32000005</v>
      </c>
      <c r="E236" s="1542">
        <v>22106163.640000001</v>
      </c>
      <c r="F236" s="1543">
        <v>1612751.88</v>
      </c>
      <c r="G236" s="245"/>
    </row>
    <row r="237" spans="1:7">
      <c r="A237" s="243"/>
      <c r="B237" s="1204">
        <v>52870</v>
      </c>
      <c r="C237" s="247"/>
      <c r="D237" s="1541">
        <v>810907468.67999995</v>
      </c>
      <c r="E237" s="1542">
        <v>21696982.440000001</v>
      </c>
      <c r="F237" s="1543">
        <v>1575775.37</v>
      </c>
      <c r="G237" s="245"/>
    </row>
    <row r="238" spans="1:7">
      <c r="A238" s="243"/>
      <c r="B238" s="1204">
        <v>52901</v>
      </c>
      <c r="C238" s="247"/>
      <c r="D238" s="1541">
        <v>789210486.24000001</v>
      </c>
      <c r="E238" s="1542">
        <v>21387739.149999999</v>
      </c>
      <c r="F238" s="1543">
        <v>1539643.77</v>
      </c>
      <c r="G238" s="245"/>
    </row>
    <row r="239" spans="1:7">
      <c r="A239" s="243">
        <v>226</v>
      </c>
      <c r="B239" s="1204">
        <v>52931</v>
      </c>
      <c r="C239" s="247"/>
      <c r="D239" s="1541">
        <v>767822747.09000003</v>
      </c>
      <c r="E239" s="1542">
        <v>21046498.640000001</v>
      </c>
      <c r="F239" s="1543">
        <v>1503706.58</v>
      </c>
      <c r="G239" s="245"/>
    </row>
    <row r="240" spans="1:7">
      <c r="B240" s="1204">
        <v>52962</v>
      </c>
      <c r="C240" s="247"/>
      <c r="D240" s="1541">
        <v>746776248.45000005</v>
      </c>
      <c r="E240" s="1542">
        <v>20629756.489999998</v>
      </c>
      <c r="F240" s="1543">
        <v>1468485.11</v>
      </c>
    </row>
    <row r="241" spans="2:6">
      <c r="B241" s="1204">
        <v>52993</v>
      </c>
      <c r="C241" s="247"/>
      <c r="D241" s="1541">
        <v>726146491.96000004</v>
      </c>
      <c r="E241" s="1542">
        <v>20302388.989999998</v>
      </c>
      <c r="F241" s="1543">
        <v>1433841.04</v>
      </c>
    </row>
    <row r="242" spans="2:6">
      <c r="B242" s="1204">
        <v>53021</v>
      </c>
      <c r="C242" s="247"/>
      <c r="D242" s="1541">
        <v>705844102.97000003</v>
      </c>
      <c r="E242" s="1542">
        <v>19888560.760000002</v>
      </c>
      <c r="F242" s="1543">
        <v>1399772.17</v>
      </c>
    </row>
    <row r="243" spans="2:6">
      <c r="B243" s="1204">
        <v>53052</v>
      </c>
      <c r="C243" s="247"/>
      <c r="D243" s="1541">
        <v>685955542.21000004</v>
      </c>
      <c r="E243" s="1542">
        <v>19557307.59</v>
      </c>
      <c r="F243" s="1543">
        <v>1366040.26</v>
      </c>
    </row>
    <row r="244" spans="2:6">
      <c r="B244" s="1204">
        <v>53082</v>
      </c>
      <c r="C244" s="247"/>
      <c r="D244" s="1541">
        <v>666398234.62</v>
      </c>
      <c r="E244" s="1542">
        <v>19278034.359999999</v>
      </c>
      <c r="F244" s="1543">
        <v>1333084.45</v>
      </c>
    </row>
    <row r="245" spans="2:6">
      <c r="B245" s="1204">
        <v>53113</v>
      </c>
      <c r="C245" s="247"/>
      <c r="D245" s="1541">
        <v>647120200.25999999</v>
      </c>
      <c r="E245" s="1542">
        <v>19017188.48</v>
      </c>
      <c r="F245" s="1543">
        <v>1300366.32</v>
      </c>
    </row>
    <row r="246" spans="2:6">
      <c r="B246" s="1204">
        <v>53143</v>
      </c>
      <c r="C246" s="247"/>
      <c r="D246" s="1541">
        <v>628103011.77999997</v>
      </c>
      <c r="E246" s="1542">
        <v>18712272.559999999</v>
      </c>
      <c r="F246" s="1543">
        <v>1268178.03</v>
      </c>
    </row>
    <row r="247" spans="2:6">
      <c r="B247" s="1204">
        <v>53174</v>
      </c>
      <c r="C247" s="247"/>
      <c r="D247" s="1541">
        <v>609390739.22000003</v>
      </c>
      <c r="E247" s="1542">
        <v>18372840.100000001</v>
      </c>
      <c r="F247" s="1543">
        <v>1236506.3</v>
      </c>
    </row>
    <row r="248" spans="2:6">
      <c r="B248" s="1204">
        <v>53205</v>
      </c>
      <c r="C248" s="247"/>
      <c r="D248" s="1541">
        <v>591017899.12</v>
      </c>
      <c r="E248" s="1542">
        <v>18034673.84</v>
      </c>
      <c r="F248" s="1543">
        <v>1205444.55</v>
      </c>
    </row>
    <row r="249" spans="2:6">
      <c r="B249" s="1204">
        <v>53235</v>
      </c>
      <c r="C249" s="247"/>
      <c r="D249" s="1541">
        <v>572983225.27999997</v>
      </c>
      <c r="E249" s="1542">
        <v>17741028.649999999</v>
      </c>
      <c r="F249" s="1543">
        <v>1174842.8799999999</v>
      </c>
    </row>
    <row r="250" spans="2:6">
      <c r="B250" s="1204">
        <v>53266</v>
      </c>
      <c r="C250" s="247"/>
      <c r="D250" s="1541">
        <v>555242196.63</v>
      </c>
      <c r="E250" s="1542">
        <v>17555961.23</v>
      </c>
      <c r="F250" s="1543">
        <v>1144861.1000000001</v>
      </c>
    </row>
    <row r="251" spans="2:6">
      <c r="B251" s="1204">
        <v>53296</v>
      </c>
      <c r="C251" s="247"/>
      <c r="D251" s="1541">
        <v>537686235.39999998</v>
      </c>
      <c r="E251" s="1542">
        <v>17377772.219999999</v>
      </c>
      <c r="F251" s="1543">
        <v>1115084.99</v>
      </c>
    </row>
    <row r="252" spans="2:6">
      <c r="B252" s="1204">
        <v>53327</v>
      </c>
      <c r="C252" s="247"/>
      <c r="D252" s="1541">
        <v>520308463.18000001</v>
      </c>
      <c r="E252" s="1542">
        <v>17210811.100000001</v>
      </c>
      <c r="F252" s="1543">
        <v>1085528.1100000001</v>
      </c>
    </row>
    <row r="253" spans="2:6">
      <c r="B253" s="1204">
        <v>53358</v>
      </c>
      <c r="C253" s="247"/>
      <c r="D253" s="1541">
        <v>503097652.07999998</v>
      </c>
      <c r="E253" s="1542">
        <v>17054429.120000001</v>
      </c>
      <c r="F253" s="1543">
        <v>1056182.82</v>
      </c>
    </row>
    <row r="254" spans="2:6">
      <c r="B254" s="1204">
        <v>53386</v>
      </c>
      <c r="C254" s="247"/>
      <c r="D254" s="1541">
        <v>486043222.95999998</v>
      </c>
      <c r="E254" s="1542">
        <v>16918179.309999999</v>
      </c>
      <c r="F254" s="1543">
        <v>1026891.27</v>
      </c>
    </row>
    <row r="255" spans="2:6">
      <c r="B255" s="1204">
        <v>53417</v>
      </c>
      <c r="C255" s="247"/>
      <c r="D255" s="1541">
        <v>469125043.64999998</v>
      </c>
      <c r="E255" s="1542">
        <v>16782111.539999999</v>
      </c>
      <c r="F255" s="1543">
        <v>997900.21</v>
      </c>
    </row>
    <row r="256" spans="2:6">
      <c r="B256" s="1204">
        <v>53447</v>
      </c>
      <c r="C256" s="247"/>
      <c r="D256" s="1541">
        <v>452342932.11000001</v>
      </c>
      <c r="E256" s="1542">
        <v>16653916.25</v>
      </c>
      <c r="F256" s="1543">
        <v>969000.61</v>
      </c>
    </row>
    <row r="257" spans="2:6">
      <c r="B257" s="1204">
        <v>53478</v>
      </c>
      <c r="C257" s="247"/>
      <c r="D257" s="1541">
        <v>435689015.86000001</v>
      </c>
      <c r="E257" s="1542">
        <v>16465556.85</v>
      </c>
      <c r="F257" s="1543">
        <v>939813.65</v>
      </c>
    </row>
    <row r="258" spans="2:6">
      <c r="B258" s="1204">
        <v>53508</v>
      </c>
      <c r="C258" s="247"/>
      <c r="D258" s="1541">
        <v>419223459.00999999</v>
      </c>
      <c r="E258" s="1542">
        <v>16308049.039999999</v>
      </c>
      <c r="F258" s="1543">
        <v>911246.61</v>
      </c>
    </row>
    <row r="259" spans="2:6">
      <c r="B259" s="1204">
        <v>53539</v>
      </c>
      <c r="C259" s="247"/>
      <c r="D259" s="1541">
        <v>402915409.97000003</v>
      </c>
      <c r="E259" s="1542">
        <v>16064920.050000001</v>
      </c>
      <c r="F259" s="1543">
        <v>882675.75</v>
      </c>
    </row>
    <row r="260" spans="2:6">
      <c r="B260" s="1204">
        <v>53570</v>
      </c>
      <c r="C260" s="247"/>
      <c r="D260" s="1541">
        <v>386850489.92000002</v>
      </c>
      <c r="E260" s="1542">
        <v>15789260</v>
      </c>
      <c r="F260" s="1543">
        <v>854078.08</v>
      </c>
    </row>
    <row r="261" spans="2:6">
      <c r="B261" s="1204">
        <v>53600</v>
      </c>
      <c r="C261" s="247"/>
      <c r="D261" s="1541">
        <v>371061229.92000002</v>
      </c>
      <c r="E261" s="1542">
        <v>15341501.720000001</v>
      </c>
      <c r="F261" s="1543">
        <v>826099.19</v>
      </c>
    </row>
    <row r="262" spans="2:6">
      <c r="B262" s="1204">
        <v>53631</v>
      </c>
      <c r="C262" s="247"/>
      <c r="D262" s="1541">
        <v>355719728.19999999</v>
      </c>
      <c r="E262" s="1542">
        <v>14996076.02</v>
      </c>
      <c r="F262" s="1543">
        <v>798359.18</v>
      </c>
    </row>
    <row r="263" spans="2:6">
      <c r="B263" s="1204">
        <v>53661</v>
      </c>
      <c r="C263" s="247"/>
      <c r="D263" s="1541">
        <v>340723652.18000001</v>
      </c>
      <c r="E263" s="1542">
        <v>14604363.880000001</v>
      </c>
      <c r="F263" s="1543">
        <v>770988.85</v>
      </c>
    </row>
    <row r="264" spans="2:6">
      <c r="B264" s="1204">
        <v>53692</v>
      </c>
      <c r="C264" s="247"/>
      <c r="D264" s="1541">
        <v>326119288.30000001</v>
      </c>
      <c r="E264" s="1542">
        <v>14218248.58</v>
      </c>
      <c r="F264" s="1543">
        <v>744005.66</v>
      </c>
    </row>
    <row r="265" spans="2:6">
      <c r="B265" s="1204">
        <v>53723</v>
      </c>
      <c r="C265" s="247"/>
      <c r="D265" s="1541">
        <v>311901039.72000003</v>
      </c>
      <c r="E265" s="1542">
        <v>13865436.33</v>
      </c>
      <c r="F265" s="1543">
        <v>717073.51</v>
      </c>
    </row>
    <row r="266" spans="2:6">
      <c r="B266" s="1204">
        <v>53751</v>
      </c>
      <c r="C266" s="247"/>
      <c r="D266" s="1541">
        <v>298035603.38999999</v>
      </c>
      <c r="E266" s="1542">
        <v>13497300.029999999</v>
      </c>
      <c r="F266" s="1543">
        <v>690703.35</v>
      </c>
    </row>
    <row r="267" spans="2:6">
      <c r="B267" s="1204">
        <v>53782</v>
      </c>
      <c r="C267" s="247"/>
      <c r="D267" s="1541">
        <v>284538303.36000001</v>
      </c>
      <c r="E267" s="1542">
        <v>13175303.99</v>
      </c>
      <c r="F267" s="1543">
        <v>664736.77</v>
      </c>
    </row>
    <row r="268" spans="2:6">
      <c r="B268" s="1204">
        <v>53812</v>
      </c>
      <c r="C268" s="247"/>
      <c r="D268" s="1541">
        <v>271362999.37</v>
      </c>
      <c r="E268" s="1542">
        <v>12858033.32</v>
      </c>
      <c r="F268" s="1543">
        <v>638732.63</v>
      </c>
    </row>
    <row r="269" spans="2:6">
      <c r="B269" s="1204">
        <v>53843</v>
      </c>
      <c r="C269" s="247"/>
      <c r="D269" s="1541">
        <v>258504966.05000001</v>
      </c>
      <c r="E269" s="1542">
        <v>12479126.15</v>
      </c>
      <c r="F269" s="1543">
        <v>612958.59</v>
      </c>
    </row>
    <row r="270" spans="2:6">
      <c r="B270" s="1204">
        <v>53873</v>
      </c>
      <c r="C270" s="247"/>
      <c r="D270" s="1541">
        <v>246025839.90000001</v>
      </c>
      <c r="E270" s="1542">
        <v>12027014.050000001</v>
      </c>
      <c r="F270" s="1543">
        <v>587734.36</v>
      </c>
    </row>
    <row r="271" spans="2:6">
      <c r="B271" s="1204">
        <v>53904</v>
      </c>
      <c r="C271" s="247"/>
      <c r="D271" s="1541">
        <v>233998825.84999999</v>
      </c>
      <c r="E271" s="1542">
        <v>11540548.300000001</v>
      </c>
      <c r="F271" s="1543">
        <v>562917.75</v>
      </c>
    </row>
    <row r="272" spans="2:6">
      <c r="B272" s="1204">
        <v>53935</v>
      </c>
      <c r="C272" s="247"/>
      <c r="D272" s="1541">
        <v>222458277.55000001</v>
      </c>
      <c r="E272" s="1542">
        <v>11127019.32</v>
      </c>
      <c r="F272" s="1543">
        <v>538799.43999999994</v>
      </c>
    </row>
    <row r="273" spans="2:6">
      <c r="B273" s="1204">
        <v>53965</v>
      </c>
      <c r="C273" s="247"/>
      <c r="D273" s="1541">
        <v>211331258.22999999</v>
      </c>
      <c r="E273" s="1542">
        <v>10620720.689999999</v>
      </c>
      <c r="F273" s="1543">
        <v>514684.07</v>
      </c>
    </row>
    <row r="274" spans="2:6">
      <c r="B274" s="1204">
        <v>53996</v>
      </c>
      <c r="C274" s="247"/>
      <c r="D274" s="1541">
        <v>200710537.53999999</v>
      </c>
      <c r="E274" s="1542">
        <v>10251475.84</v>
      </c>
      <c r="F274" s="1543">
        <v>491343.79</v>
      </c>
    </row>
    <row r="275" spans="2:6">
      <c r="B275" s="1204">
        <v>54026</v>
      </c>
      <c r="C275" s="247"/>
      <c r="D275" s="1541">
        <v>190459061.69999999</v>
      </c>
      <c r="E275" s="1542">
        <v>9834513.6099999994</v>
      </c>
      <c r="F275" s="1543">
        <v>468441.71</v>
      </c>
    </row>
    <row r="276" spans="2:6">
      <c r="B276" s="1204">
        <v>54057</v>
      </c>
      <c r="C276" s="247"/>
      <c r="D276" s="1541">
        <v>180624548.09</v>
      </c>
      <c r="E276" s="1542">
        <v>9459087.1500000004</v>
      </c>
      <c r="F276" s="1543">
        <v>446078.06</v>
      </c>
    </row>
    <row r="277" spans="2:6">
      <c r="B277" s="1204">
        <v>54088</v>
      </c>
      <c r="C277" s="247"/>
      <c r="D277" s="1541">
        <v>171165460.94</v>
      </c>
      <c r="E277" s="1542">
        <v>9149601.5199999996</v>
      </c>
      <c r="F277" s="1543">
        <v>424219.49</v>
      </c>
    </row>
    <row r="278" spans="2:6">
      <c r="B278" s="1204">
        <v>54117</v>
      </c>
      <c r="C278" s="247"/>
      <c r="D278" s="1541">
        <v>162015859.41999999</v>
      </c>
      <c r="E278" s="1542">
        <v>8801072.4499999993</v>
      </c>
      <c r="F278" s="1543">
        <v>402797.18</v>
      </c>
    </row>
    <row r="279" spans="2:6">
      <c r="B279" s="1204">
        <v>54148</v>
      </c>
      <c r="C279" s="247"/>
      <c r="D279" s="1541">
        <v>153214786.97</v>
      </c>
      <c r="E279" s="1542">
        <v>8497857.5899999999</v>
      </c>
      <c r="F279" s="1543">
        <v>381869.47</v>
      </c>
    </row>
    <row r="280" spans="2:6">
      <c r="B280" s="1204">
        <v>54178</v>
      </c>
      <c r="C280" s="247"/>
      <c r="D280" s="1541">
        <v>144716929.38</v>
      </c>
      <c r="E280" s="1542">
        <v>8202928.2599999998</v>
      </c>
      <c r="F280" s="1543">
        <v>361426.14</v>
      </c>
    </row>
    <row r="281" spans="2:6">
      <c r="B281" s="1204">
        <v>54209</v>
      </c>
      <c r="C281" s="247"/>
      <c r="D281" s="1541">
        <v>136514001.12</v>
      </c>
      <c r="E281" s="1542">
        <v>7910998.7800000003</v>
      </c>
      <c r="F281" s="1543">
        <v>341477.95</v>
      </c>
    </row>
    <row r="282" spans="2:6">
      <c r="B282" s="1204">
        <v>54239</v>
      </c>
      <c r="C282" s="247"/>
      <c r="D282" s="1541">
        <v>128603002.34</v>
      </c>
      <c r="E282" s="1542">
        <v>7651474.7199999997</v>
      </c>
      <c r="F282" s="1543">
        <v>322075.15999999997</v>
      </c>
    </row>
    <row r="283" spans="2:6">
      <c r="B283" s="1204">
        <v>54270</v>
      </c>
      <c r="C283" s="247"/>
      <c r="D283" s="1541">
        <v>120951527.62</v>
      </c>
      <c r="E283" s="1542">
        <v>7463328.7800000003</v>
      </c>
      <c r="F283" s="1543">
        <v>303162.8</v>
      </c>
    </row>
    <row r="284" spans="2:6">
      <c r="B284" s="1204">
        <v>54301</v>
      </c>
      <c r="C284" s="247"/>
      <c r="D284" s="1541">
        <v>113488198.84</v>
      </c>
      <c r="E284" s="1542">
        <v>7216534.9500000002</v>
      </c>
      <c r="F284" s="1543">
        <v>284618.78999999998</v>
      </c>
    </row>
    <row r="285" spans="2:6">
      <c r="B285" s="1204">
        <v>54331</v>
      </c>
      <c r="C285" s="247"/>
      <c r="D285" s="1541">
        <v>106271663.89</v>
      </c>
      <c r="E285" s="1542">
        <v>6971524.6699999999</v>
      </c>
      <c r="F285" s="1543">
        <v>266625.62</v>
      </c>
    </row>
    <row r="286" spans="2:6">
      <c r="B286" s="1204">
        <v>54362</v>
      </c>
      <c r="C286" s="247"/>
      <c r="D286" s="1541">
        <v>99300139.219999999</v>
      </c>
      <c r="E286" s="1542">
        <v>6778880.75</v>
      </c>
      <c r="F286" s="1543">
        <v>249179</v>
      </c>
    </row>
    <row r="287" spans="2:6">
      <c r="B287" s="1204">
        <v>54392</v>
      </c>
      <c r="C287" s="247"/>
      <c r="D287" s="1541">
        <v>92521258.469999999</v>
      </c>
      <c r="E287" s="1542">
        <v>6608274.1399999997</v>
      </c>
      <c r="F287" s="1543">
        <v>232151.86</v>
      </c>
    </row>
    <row r="288" spans="2:6">
      <c r="B288" s="1204">
        <v>54423</v>
      </c>
      <c r="C288" s="247"/>
      <c r="D288" s="1541">
        <v>85912984.329999998</v>
      </c>
      <c r="E288" s="1542">
        <v>6414081.4000000004</v>
      </c>
      <c r="F288" s="1543">
        <v>215523.95</v>
      </c>
    </row>
    <row r="289" spans="2:6">
      <c r="B289" s="1204">
        <v>54454</v>
      </c>
      <c r="C289" s="247"/>
      <c r="D289" s="1541">
        <v>79498902.930000007</v>
      </c>
      <c r="E289" s="1542">
        <v>6295675.6699999999</v>
      </c>
      <c r="F289" s="1543">
        <v>199317.27</v>
      </c>
    </row>
    <row r="290" spans="2:6">
      <c r="B290" s="1204">
        <v>54482</v>
      </c>
      <c r="C290" s="247"/>
      <c r="D290" s="1541">
        <v>73203227.260000005</v>
      </c>
      <c r="E290" s="1542">
        <v>6097336.8600000003</v>
      </c>
      <c r="F290" s="1543">
        <v>183373.05</v>
      </c>
    </row>
    <row r="291" spans="2:6">
      <c r="B291" s="1204">
        <v>54513</v>
      </c>
      <c r="C291" s="247"/>
      <c r="D291" s="1541">
        <v>67105890.399999999</v>
      </c>
      <c r="E291" s="1542">
        <v>5989517.8399999999</v>
      </c>
      <c r="F291" s="1543">
        <v>167841.41</v>
      </c>
    </row>
    <row r="292" spans="2:6">
      <c r="B292" s="1204">
        <v>54543</v>
      </c>
      <c r="C292" s="247"/>
      <c r="D292" s="1541">
        <v>61116372.560000002</v>
      </c>
      <c r="E292" s="1542">
        <v>5778804.96</v>
      </c>
      <c r="F292" s="1543">
        <v>152548.5</v>
      </c>
    </row>
    <row r="293" spans="2:6">
      <c r="B293" s="1204">
        <v>54574</v>
      </c>
      <c r="C293" s="247"/>
      <c r="D293" s="1541">
        <v>55337567.600000001</v>
      </c>
      <c r="E293" s="1542">
        <v>5499804.25</v>
      </c>
      <c r="F293" s="1543">
        <v>137820.4</v>
      </c>
    </row>
    <row r="294" spans="2:6">
      <c r="B294" s="1204">
        <v>54604</v>
      </c>
      <c r="C294" s="247"/>
      <c r="D294" s="1541">
        <v>49837763.350000001</v>
      </c>
      <c r="E294" s="1542">
        <v>5219077.3899999997</v>
      </c>
      <c r="F294" s="1543">
        <v>123833.45</v>
      </c>
    </row>
    <row r="295" spans="2:6">
      <c r="B295" s="1204">
        <v>54635</v>
      </c>
      <c r="C295" s="247"/>
      <c r="D295" s="1541">
        <v>44618685.960000001</v>
      </c>
      <c r="E295" s="1542">
        <v>4950092.1399999997</v>
      </c>
      <c r="F295" s="1543">
        <v>110644.98</v>
      </c>
    </row>
    <row r="296" spans="2:6">
      <c r="B296" s="1204">
        <v>54666</v>
      </c>
      <c r="C296" s="247"/>
      <c r="D296" s="1541">
        <v>39668593.82</v>
      </c>
      <c r="E296" s="1542">
        <v>4699139.5</v>
      </c>
      <c r="F296" s="1543">
        <v>98217.16</v>
      </c>
    </row>
    <row r="297" spans="2:6">
      <c r="B297" s="1204">
        <v>54696</v>
      </c>
      <c r="C297" s="247"/>
      <c r="D297" s="1541">
        <v>34969454.32</v>
      </c>
      <c r="E297" s="1542">
        <v>4364459.17</v>
      </c>
      <c r="F297" s="1543">
        <v>86446.28</v>
      </c>
    </row>
    <row r="298" spans="2:6">
      <c r="B298" s="1204">
        <v>54727</v>
      </c>
      <c r="C298" s="247"/>
      <c r="D298" s="1541">
        <v>30604995.149999999</v>
      </c>
      <c r="E298" s="1542">
        <v>4178936.01</v>
      </c>
      <c r="F298" s="1543">
        <v>75580.13</v>
      </c>
    </row>
    <row r="299" spans="2:6">
      <c r="B299" s="1204">
        <v>54757</v>
      </c>
      <c r="C299" s="247"/>
      <c r="D299" s="1541">
        <v>26426059.140000001</v>
      </c>
      <c r="E299" s="1542">
        <v>3917983.56</v>
      </c>
      <c r="F299" s="1543">
        <v>65208.52</v>
      </c>
    </row>
    <row r="300" spans="2:6">
      <c r="B300" s="1204">
        <v>54788</v>
      </c>
      <c r="C300" s="247"/>
      <c r="D300" s="1541">
        <v>22508075.579999998</v>
      </c>
      <c r="E300" s="1542">
        <v>3627765.71</v>
      </c>
      <c r="F300" s="1543">
        <v>55525.27</v>
      </c>
    </row>
    <row r="301" spans="2:6">
      <c r="B301" s="1204">
        <v>54819</v>
      </c>
      <c r="C301" s="247"/>
      <c r="D301" s="1541">
        <v>18880309.870000001</v>
      </c>
      <c r="E301" s="1542">
        <v>3422173.26</v>
      </c>
      <c r="F301" s="1543">
        <v>46602.97</v>
      </c>
    </row>
    <row r="302" spans="2:6">
      <c r="B302" s="1204">
        <v>54847</v>
      </c>
      <c r="C302" s="247"/>
      <c r="D302" s="1541">
        <v>15458136.609999999</v>
      </c>
      <c r="E302" s="1542">
        <v>3214002.69</v>
      </c>
      <c r="F302" s="1543">
        <v>38188.400000000001</v>
      </c>
    </row>
    <row r="303" spans="2:6">
      <c r="B303" s="1204">
        <v>54878</v>
      </c>
      <c r="C303" s="247"/>
      <c r="D303" s="1541">
        <v>12244133.92</v>
      </c>
      <c r="E303" s="1542">
        <v>3047546.34</v>
      </c>
      <c r="F303" s="1543">
        <v>30272.27</v>
      </c>
    </row>
    <row r="304" spans="2:6">
      <c r="B304" s="1204">
        <v>54908</v>
      </c>
      <c r="C304" s="247"/>
      <c r="D304" s="1541">
        <v>9196587.5800000001</v>
      </c>
      <c r="E304" s="1542">
        <v>2802320.24</v>
      </c>
      <c r="F304" s="1543">
        <v>22749.01</v>
      </c>
    </row>
    <row r="305" spans="2:6">
      <c r="B305" s="1204">
        <v>54939</v>
      </c>
      <c r="D305" s="1541">
        <v>6394267.3399999999</v>
      </c>
      <c r="E305" s="1542">
        <v>2355005.9</v>
      </c>
      <c r="F305" s="1543">
        <v>15818.81</v>
      </c>
    </row>
    <row r="306" spans="2:6">
      <c r="B306" s="1204">
        <v>54969</v>
      </c>
      <c r="D306" s="1541">
        <v>4039261.44</v>
      </c>
      <c r="E306" s="1542">
        <v>1809948.08</v>
      </c>
      <c r="F306" s="1543">
        <v>9994.14</v>
      </c>
    </row>
    <row r="307" spans="2:6">
      <c r="B307" s="1204">
        <v>55000</v>
      </c>
      <c r="D307" s="1541">
        <v>2229313.36</v>
      </c>
      <c r="E307" s="1542">
        <v>1302647.8799999999</v>
      </c>
      <c r="F307" s="1543">
        <v>5506.26</v>
      </c>
    </row>
    <row r="308" spans="2:6">
      <c r="B308" s="1204">
        <v>55031</v>
      </c>
      <c r="D308" s="1541">
        <v>926665.48</v>
      </c>
      <c r="E308" s="1542">
        <v>652883.62</v>
      </c>
      <c r="F308" s="1543">
        <v>2255.52</v>
      </c>
    </row>
    <row r="309" spans="2:6">
      <c r="B309" s="1204">
        <v>55061</v>
      </c>
      <c r="D309" s="1541">
        <v>273781.86</v>
      </c>
      <c r="E309" s="1542">
        <v>233328.83</v>
      </c>
      <c r="F309" s="1543">
        <v>622.71</v>
      </c>
    </row>
    <row r="310" spans="2:6">
      <c r="B310" s="1204">
        <v>55092</v>
      </c>
      <c r="D310" s="1541">
        <v>40453.03</v>
      </c>
      <c r="E310" s="1542">
        <v>7342.03</v>
      </c>
      <c r="F310" s="1543">
        <v>43.62</v>
      </c>
    </row>
    <row r="311" spans="2:6">
      <c r="B311" s="1204">
        <v>55122</v>
      </c>
      <c r="D311" s="1541">
        <v>33111</v>
      </c>
      <c r="E311" s="1542">
        <v>7353.06</v>
      </c>
      <c r="F311" s="1543">
        <v>34.58</v>
      </c>
    </row>
    <row r="312" spans="2:6">
      <c r="B312" s="1204">
        <v>55153</v>
      </c>
      <c r="D312" s="1541">
        <v>25757.94</v>
      </c>
      <c r="E312" s="1542">
        <v>6764.05</v>
      </c>
      <c r="F312" s="1543">
        <v>25.55</v>
      </c>
    </row>
    <row r="313" spans="2:6">
      <c r="B313" s="1204">
        <v>55184</v>
      </c>
      <c r="D313" s="1541">
        <v>18993.89</v>
      </c>
      <c r="E313" s="1542">
        <v>6767.3</v>
      </c>
      <c r="F313" s="1543">
        <v>18.149999999999999</v>
      </c>
    </row>
    <row r="314" spans="2:6">
      <c r="B314" s="1204">
        <v>55212</v>
      </c>
      <c r="D314" s="1541">
        <v>12226.59</v>
      </c>
      <c r="E314" s="1542">
        <v>1742.92</v>
      </c>
      <c r="F314" s="1543">
        <v>10.77</v>
      </c>
    </row>
    <row r="315" spans="2:6">
      <c r="B315" s="1204">
        <v>55243</v>
      </c>
      <c r="D315" s="1541">
        <v>10483.67</v>
      </c>
      <c r="E315" s="1542">
        <v>1744.46</v>
      </c>
      <c r="F315" s="1543">
        <v>9.23</v>
      </c>
    </row>
    <row r="316" spans="2:6">
      <c r="B316" s="1204">
        <v>55273</v>
      </c>
      <c r="D316" s="1541">
        <v>8739.2099999999991</v>
      </c>
      <c r="E316" s="1542">
        <v>1745.99</v>
      </c>
      <c r="F316" s="1543">
        <v>7.7</v>
      </c>
    </row>
    <row r="317" spans="2:6">
      <c r="B317" s="1204">
        <v>55304</v>
      </c>
      <c r="D317" s="1541">
        <v>6993.22</v>
      </c>
      <c r="E317" s="1542">
        <v>1747.53</v>
      </c>
      <c r="F317" s="1543">
        <v>6.16</v>
      </c>
    </row>
    <row r="318" spans="2:6">
      <c r="B318" s="1204">
        <v>55334</v>
      </c>
      <c r="D318" s="1541">
        <v>5245.69</v>
      </c>
      <c r="E318" s="1542">
        <v>1749.07</v>
      </c>
      <c r="F318" s="1543">
        <v>4.62</v>
      </c>
    </row>
    <row r="319" spans="2:6">
      <c r="B319" s="1204">
        <v>55365</v>
      </c>
      <c r="D319" s="1541">
        <v>3496.62</v>
      </c>
      <c r="E319" s="1542">
        <v>1750.61</v>
      </c>
      <c r="F319" s="1543">
        <v>3.08</v>
      </c>
    </row>
    <row r="320" spans="2:6">
      <c r="B320" s="1204">
        <v>55396</v>
      </c>
      <c r="D320" s="1541">
        <v>1746.01</v>
      </c>
      <c r="E320" s="1542">
        <v>1746.01</v>
      </c>
      <c r="F320" s="1543">
        <v>1.54</v>
      </c>
    </row>
    <row r="321" spans="2:6">
      <c r="B321" s="1204"/>
      <c r="D321" s="1541"/>
      <c r="E321" s="1542"/>
      <c r="F321" s="1543"/>
    </row>
    <row r="322" spans="2:6">
      <c r="B322" s="1204"/>
      <c r="D322" s="1541"/>
      <c r="E322" s="1542"/>
      <c r="F322" s="1543"/>
    </row>
    <row r="323" spans="2:6" ht="13.5" thickBot="1">
      <c r="B323" s="1846"/>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election activeCell="B13" sqref="B13"/>
    </sheetView>
  </sheetViews>
  <sheetFormatPr defaultColWidth="10.85546875" defaultRowHeight="15"/>
  <cols>
    <col min="1" max="1" width="3.42578125" style="36" customWidth="1"/>
    <col min="2" max="3" width="20.140625" style="36" customWidth="1"/>
    <col min="4" max="4" width="20.140625" style="53" customWidth="1"/>
    <col min="5" max="30" width="19.7109375" style="36" customWidth="1"/>
    <col min="31" max="16384" width="10.8554687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45" customHeight="1">
      <c r="A3" s="35"/>
      <c r="B3" s="37"/>
      <c r="C3" s="37"/>
      <c r="D3" s="1511"/>
      <c r="E3" s="37"/>
      <c r="F3" s="37"/>
      <c r="G3" s="37"/>
      <c r="H3" s="37"/>
      <c r="I3" s="249"/>
      <c r="L3" s="82"/>
      <c r="M3" s="1213" t="s">
        <v>99</v>
      </c>
      <c r="N3" s="1213">
        <f>'00 - Cover'!$F$17</f>
        <v>46022</v>
      </c>
      <c r="Q3" s="39"/>
      <c r="R3" s="39"/>
      <c r="S3" s="39"/>
      <c r="T3" s="39"/>
    </row>
    <row r="4" spans="1:30" ht="14.45" customHeight="1">
      <c r="A4" s="35"/>
      <c r="B4" s="37"/>
      <c r="C4" s="37"/>
      <c r="D4" s="1511"/>
      <c r="E4" s="37"/>
      <c r="F4" s="37"/>
      <c r="G4" s="37"/>
      <c r="H4" s="37"/>
      <c r="I4" s="249"/>
      <c r="L4" s="82"/>
      <c r="M4" s="1213" t="s">
        <v>4</v>
      </c>
      <c r="N4" s="1213">
        <f>'00 - Cover'!$F$19</f>
        <v>46042</v>
      </c>
      <c r="Q4" s="39"/>
      <c r="R4" s="39"/>
      <c r="S4" s="39"/>
      <c r="T4" s="39"/>
    </row>
    <row r="5" spans="1:30" ht="14.45" customHeight="1">
      <c r="A5" s="35"/>
      <c r="B5" s="37"/>
      <c r="C5" s="37"/>
      <c r="D5" s="1511"/>
      <c r="E5" s="37"/>
      <c r="F5" s="37"/>
      <c r="G5" s="37"/>
      <c r="H5" s="37"/>
      <c r="I5" s="249"/>
      <c r="L5" s="82"/>
      <c r="M5" s="1213" t="s">
        <v>5</v>
      </c>
      <c r="N5" s="1213">
        <f>'00 - Cover'!$F$20</f>
        <v>46049</v>
      </c>
      <c r="Q5" s="39"/>
      <c r="R5" s="39"/>
      <c r="S5" s="39"/>
      <c r="T5" s="39"/>
    </row>
    <row r="6" spans="1:30" ht="14.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75">
      <c r="B9" s="1765"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38" t="s">
        <v>574</v>
      </c>
      <c r="C11" s="1940" t="s">
        <v>246</v>
      </c>
      <c r="D11" s="1945" t="s">
        <v>764</v>
      </c>
      <c r="E11" s="1942" t="s">
        <v>636</v>
      </c>
      <c r="F11" s="1943"/>
      <c r="G11" s="1943"/>
      <c r="H11" s="1943"/>
      <c r="I11" s="1943"/>
      <c r="J11" s="1943"/>
      <c r="K11" s="1943"/>
      <c r="L11" s="1943"/>
      <c r="M11" s="1943"/>
      <c r="N11" s="1943"/>
      <c r="O11" s="1943"/>
      <c r="P11" s="1943"/>
      <c r="Q11" s="1943"/>
      <c r="R11" s="1943"/>
      <c r="S11" s="1943"/>
      <c r="T11" s="1943"/>
      <c r="U11" s="1943"/>
      <c r="V11" s="1943"/>
      <c r="W11" s="1943"/>
      <c r="X11" s="1943"/>
      <c r="Y11" s="1943"/>
      <c r="Z11" s="1943"/>
      <c r="AA11" s="1943"/>
      <c r="AB11" s="1943"/>
      <c r="AC11" s="1943"/>
      <c r="AD11" s="1944"/>
    </row>
    <row r="12" spans="1:30" ht="59.25" customHeight="1">
      <c r="B12" s="1939"/>
      <c r="C12" s="1941"/>
      <c r="D12" s="1946"/>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46022</v>
      </c>
      <c r="C13" s="255">
        <f t="shared" ref="C13:C28" si="0">IF($B13=0,"",SUM(E13,G13,I13,K13,M13,O13,Q13,S13,U13,W13,Y13,AA13,AC13))</f>
        <v>11314220550.59</v>
      </c>
      <c r="D13" s="1254">
        <f t="shared" ref="D13:D72" si="1">IF($B13=0,"",SUM(F13,H13,J13,L13,N13,P13,R13,T13,V13,X13,Z13,AB13,AD13,AE13))</f>
        <v>75171</v>
      </c>
      <c r="E13" s="255">
        <f>IF($B13=0,"",_xlfn.XLOOKUP($B13,INPUT_DATA!$CN:$CN,INPUT_DATA!CO:CO))</f>
        <v>11253127328.719999</v>
      </c>
      <c r="F13" s="1254">
        <f>IF($B13=0,"",_xlfn.XLOOKUP($B13,INPUT_DATA!$CN:$CN,INPUT_DATA!CP:CP))</f>
        <v>74804</v>
      </c>
      <c r="G13" s="255">
        <f>IF($B13=0,"",_xlfn.XLOOKUP($B13,INPUT_DATA!$CN:$CN,INPUT_DATA!CQ:CQ))</f>
        <v>35344558.509999998</v>
      </c>
      <c r="H13" s="1254">
        <f>IF($B13=0,"",_xlfn.XLOOKUP($B13,INPUT_DATA!$CN:$CN,INPUT_DATA!CR:CR))</f>
        <v>199</v>
      </c>
      <c r="I13" s="255">
        <f>IF($B13=0,"",_xlfn.XLOOKUP($B13,INPUT_DATA!$CN:$CN,INPUT_DATA!CS:CS))</f>
        <v>11159368.609999999</v>
      </c>
      <c r="J13" s="1254">
        <f>IF($B13=0,"",_xlfn.XLOOKUP($B13,INPUT_DATA!$CN:$CN,INPUT_DATA!CT:CT))</f>
        <v>75</v>
      </c>
      <c r="K13" s="255">
        <f>IF($B13=0,"",_xlfn.XLOOKUP($B13,INPUT_DATA!$CN:$CN,INPUT_DATA!CU:CU))</f>
        <v>5107537.99</v>
      </c>
      <c r="L13" s="1254">
        <f>IF($B13=0,"",_xlfn.XLOOKUP($B13,INPUT_DATA!$CN:$CN,INPUT_DATA!CV:CV))</f>
        <v>33</v>
      </c>
      <c r="M13" s="255">
        <f>IF($B13=0,"",_xlfn.XLOOKUP($B13,INPUT_DATA!$CN:$CN,INPUT_DATA!CW:CW))</f>
        <v>3800389.08</v>
      </c>
      <c r="N13" s="1254">
        <f>IF($B13=0,"",_xlfn.XLOOKUP($B13,INPUT_DATA!$CN:$CN,INPUT_DATA!CX:CX))</f>
        <v>15</v>
      </c>
      <c r="O13" s="255">
        <f>IF($B13=0,"",_xlfn.XLOOKUP($B13,INPUT_DATA!$CN:$CN,INPUT_DATA!CY:CY))</f>
        <v>1143184.33</v>
      </c>
      <c r="P13" s="1254">
        <f>IF($B13=0,"",_xlfn.XLOOKUP($B13,INPUT_DATA!$CN:$CN,INPUT_DATA!CZ:CZ))</f>
        <v>11</v>
      </c>
      <c r="Q13" s="255">
        <f>IF($B13=0,"",_xlfn.XLOOKUP($B13,INPUT_DATA!$CN:$CN,INPUT_DATA!DA:DA))</f>
        <v>759349.86</v>
      </c>
      <c r="R13" s="1254">
        <f>IF($B13=0,"",_xlfn.XLOOKUP($B13,INPUT_DATA!$CN:$CN,INPUT_DATA!DB:DB))</f>
        <v>11</v>
      </c>
      <c r="S13" s="255">
        <f>IF($B13=0,"",_xlfn.XLOOKUP($B13,INPUT_DATA!$CN:$CN,INPUT_DATA!DC:DC))</f>
        <v>719664.8</v>
      </c>
      <c r="T13" s="1254">
        <f>IF($B13=0,"",_xlfn.XLOOKUP($B13,INPUT_DATA!$CN:$CN,INPUT_DATA!DD:DD))</f>
        <v>6</v>
      </c>
      <c r="U13" s="255">
        <f>IF($B13=0,"",_xlfn.XLOOKUP($B13,INPUT_DATA!$CN:$CN,INPUT_DATA!DE:DE))</f>
        <v>619500.30000000005</v>
      </c>
      <c r="V13" s="1254">
        <f>IF($B13=0,"",_xlfn.XLOOKUP($B13,INPUT_DATA!$CN:$CN,INPUT_DATA!DF:DF))</f>
        <v>6</v>
      </c>
      <c r="W13" s="255">
        <f>IF($B13=0,"",_xlfn.XLOOKUP($B13,INPUT_DATA!$CN:$CN,INPUT_DATA!DG:DG))</f>
        <v>204882.79</v>
      </c>
      <c r="X13" s="1254">
        <f>IF($B13=0,"",_xlfn.XLOOKUP($B13,INPUT_DATA!$CN:$CN,INPUT_DATA!DH:DH))</f>
        <v>3</v>
      </c>
      <c r="Y13" s="255">
        <f>IF($B13=0,"",_xlfn.XLOOKUP($B13,INPUT_DATA!$CN:$CN,INPUT_DATA!DI:DI))</f>
        <v>148657.75</v>
      </c>
      <c r="Z13" s="1254">
        <f>IF($B13=0,"",_xlfn.XLOOKUP($B13,INPUT_DATA!$CN:$CN,INPUT_DATA!DJ:DJ))</f>
        <v>2</v>
      </c>
      <c r="AA13" s="255">
        <f>IF($B13=0,"",_xlfn.XLOOKUP($B13,INPUT_DATA!$CN:$CN,INPUT_DATA!DK:DK))</f>
        <v>1980339.32</v>
      </c>
      <c r="AB13" s="1254">
        <f>IF($B13=0,"",_xlfn.XLOOKUP($B13,INPUT_DATA!$CN:$CN,INPUT_DATA!DL:DL))</f>
        <v>4</v>
      </c>
      <c r="AC13" s="255">
        <f>IF($B13=0,"",_xlfn.XLOOKUP($B13,INPUT_DATA!$CN:$CN,INPUT_DATA!DM:DM))</f>
        <v>105788.53</v>
      </c>
      <c r="AD13" s="1254">
        <f>IF($B13=0,"",_xlfn.XLOOKUP($B13,INPUT_DATA!$CN:$CN,INPUT_DATA!DN:DN))</f>
        <v>2</v>
      </c>
    </row>
    <row r="14" spans="1:30">
      <c r="B14" s="1202">
        <f>'02 - Monthly Asset Follow up'!B18</f>
        <v>45991</v>
      </c>
      <c r="C14" s="255">
        <f t="shared" si="0"/>
        <v>11410540020.710003</v>
      </c>
      <c r="D14" s="1255">
        <f t="shared" si="1"/>
        <v>75498</v>
      </c>
      <c r="E14" s="255">
        <f>IF($B14=0,"",_xlfn.XLOOKUP($B14,INPUT_DATA!$CN:$CN,INPUT_DATA!CO:CO))</f>
        <v>11346607692.01</v>
      </c>
      <c r="F14" s="1255">
        <f>IF($B14=0,"",_xlfn.XLOOKUP($B14,INPUT_DATA!$CN:$CN,INPUT_DATA!CP:CP))</f>
        <v>75112</v>
      </c>
      <c r="G14" s="255">
        <f>IF($B14=0,"",_xlfn.XLOOKUP($B14,INPUT_DATA!$CN:$CN,INPUT_DATA!CQ:CQ))</f>
        <v>39436167.170000002</v>
      </c>
      <c r="H14" s="1255">
        <f>IF($B14=0,"",_xlfn.XLOOKUP($B14,INPUT_DATA!$CN:$CN,INPUT_DATA!CR:CR))</f>
        <v>234</v>
      </c>
      <c r="I14" s="255">
        <f>IF($B14=0,"",_xlfn.XLOOKUP($B14,INPUT_DATA!$CN:$CN,INPUT_DATA!CS:CS))</f>
        <v>11439894.35</v>
      </c>
      <c r="J14" s="1255">
        <f>IF($B14=0,"",_xlfn.XLOOKUP($B14,INPUT_DATA!$CN:$CN,INPUT_DATA!CT:CT))</f>
        <v>67</v>
      </c>
      <c r="K14" s="255">
        <f>IF($B14=0,"",_xlfn.XLOOKUP($B14,INPUT_DATA!$CN:$CN,INPUT_DATA!CU:CU))</f>
        <v>5323863.7699999996</v>
      </c>
      <c r="L14" s="1255">
        <f>IF($B14=0,"",_xlfn.XLOOKUP($B14,INPUT_DATA!$CN:$CN,INPUT_DATA!CV:CV))</f>
        <v>23</v>
      </c>
      <c r="M14" s="255">
        <f>IF($B14=0,"",_xlfn.XLOOKUP($B14,INPUT_DATA!$CN:$CN,INPUT_DATA!CW:CW))</f>
        <v>2391343.63</v>
      </c>
      <c r="N14" s="1255">
        <f>IF($B14=0,"",_xlfn.XLOOKUP($B14,INPUT_DATA!$CN:$CN,INPUT_DATA!CX:CX))</f>
        <v>20</v>
      </c>
      <c r="O14" s="255">
        <f>IF($B14=0,"",_xlfn.XLOOKUP($B14,INPUT_DATA!$CN:$CN,INPUT_DATA!CY:CY))</f>
        <v>805448.37</v>
      </c>
      <c r="P14" s="1255">
        <f>IF($B14=0,"",_xlfn.XLOOKUP($B14,INPUT_DATA!$CN:$CN,INPUT_DATA!CZ:CZ))</f>
        <v>14</v>
      </c>
      <c r="Q14" s="255">
        <f>IF($B14=0,"",_xlfn.XLOOKUP($B14,INPUT_DATA!$CN:$CN,INPUT_DATA!DA:DA))</f>
        <v>1071613.51</v>
      </c>
      <c r="R14" s="1255">
        <f>IF($B14=0,"",_xlfn.XLOOKUP($B14,INPUT_DATA!$CN:$CN,INPUT_DATA!DB:DB))</f>
        <v>9</v>
      </c>
      <c r="S14" s="255">
        <f>IF($B14=0,"",_xlfn.XLOOKUP($B14,INPUT_DATA!$CN:$CN,INPUT_DATA!DC:DC))</f>
        <v>695252.28</v>
      </c>
      <c r="T14" s="1255">
        <f>IF($B14=0,"",_xlfn.XLOOKUP($B14,INPUT_DATA!$CN:$CN,INPUT_DATA!DD:DD))</f>
        <v>8</v>
      </c>
      <c r="U14" s="255">
        <f>IF($B14=0,"",_xlfn.XLOOKUP($B14,INPUT_DATA!$CN:$CN,INPUT_DATA!DE:DE))</f>
        <v>518862.44</v>
      </c>
      <c r="V14" s="1255">
        <f>IF($B14=0,"",_xlfn.XLOOKUP($B14,INPUT_DATA!$CN:$CN,INPUT_DATA!DF:DF))</f>
        <v>3</v>
      </c>
      <c r="W14" s="255">
        <f>IF($B14=0,"",_xlfn.XLOOKUP($B14,INPUT_DATA!$CN:$CN,INPUT_DATA!DG:DG))</f>
        <v>149956.5</v>
      </c>
      <c r="X14" s="1255">
        <f>IF($B14=0,"",_xlfn.XLOOKUP($B14,INPUT_DATA!$CN:$CN,INPUT_DATA!DH:DH))</f>
        <v>2</v>
      </c>
      <c r="Y14" s="255">
        <f>IF($B14=0,"",_xlfn.XLOOKUP($B14,INPUT_DATA!$CN:$CN,INPUT_DATA!DI:DI))</f>
        <v>2013086.36</v>
      </c>
      <c r="Z14" s="1255">
        <f>IF($B14=0,"",_xlfn.XLOOKUP($B14,INPUT_DATA!$CN:$CN,INPUT_DATA!DJ:DJ))</f>
        <v>5</v>
      </c>
      <c r="AA14" s="255">
        <f>IF($B14=0,"",_xlfn.XLOOKUP($B14,INPUT_DATA!$CN:$CN,INPUT_DATA!DK:DK))</f>
        <v>86840.320000000007</v>
      </c>
      <c r="AB14" s="1255">
        <f>IF($B14=0,"",_xlfn.XLOOKUP($B14,INPUT_DATA!$CN:$CN,INPUT_DATA!DL:DL))</f>
        <v>1</v>
      </c>
      <c r="AC14" s="255">
        <f>IF($B14=0,"",_xlfn.XLOOKUP($B14,INPUT_DATA!$CN:$CN,INPUT_DATA!DM:DM))</f>
        <v>0</v>
      </c>
      <c r="AD14" s="1255">
        <f>IF($B14=0,"",_xlfn.XLOOKUP($B14,INPUT_DATA!$CN:$CN,INPUT_DATA!DN:DN))</f>
        <v>0</v>
      </c>
    </row>
    <row r="15" spans="1:30">
      <c r="B15" s="1202">
        <f>'02 - Monthly Asset Follow up'!B19</f>
        <v>45961</v>
      </c>
      <c r="C15" s="255">
        <f t="shared" si="0"/>
        <v>11501221849.949997</v>
      </c>
      <c r="D15" s="1255">
        <f t="shared" si="1"/>
        <v>75774</v>
      </c>
      <c r="E15" s="255">
        <f>IF($B15=0,"",_xlfn.XLOOKUP($B15,INPUT_DATA!$CN:$CN,INPUT_DATA!CO:CO))</f>
        <v>11450567231.139999</v>
      </c>
      <c r="F15" s="1255">
        <f>IF($B15=0,"",_xlfn.XLOOKUP($B15,INPUT_DATA!$CN:$CN,INPUT_DATA!CP:CP))</f>
        <v>75475</v>
      </c>
      <c r="G15" s="255">
        <f>IF($B15=0,"",_xlfn.XLOOKUP($B15,INPUT_DATA!$CN:$CN,INPUT_DATA!CQ:CQ))</f>
        <v>27825823.879999999</v>
      </c>
      <c r="H15" s="1255">
        <f>IF($B15=0,"",_xlfn.XLOOKUP($B15,INPUT_DATA!$CN:$CN,INPUT_DATA!CR:CR))</f>
        <v>159</v>
      </c>
      <c r="I15" s="255">
        <f>IF($B15=0,"",_xlfn.XLOOKUP($B15,INPUT_DATA!$CN:$CN,INPUT_DATA!CS:CS))</f>
        <v>11047178.52</v>
      </c>
      <c r="J15" s="1255">
        <f>IF($B15=0,"",_xlfn.XLOOKUP($B15,INPUT_DATA!$CN:$CN,INPUT_DATA!CT:CT))</f>
        <v>58</v>
      </c>
      <c r="K15" s="255">
        <f>IF($B15=0,"",_xlfn.XLOOKUP($B15,INPUT_DATA!$CN:$CN,INPUT_DATA!CU:CU))</f>
        <v>4763834.8499999996</v>
      </c>
      <c r="L15" s="1255">
        <f>IF($B15=0,"",_xlfn.XLOOKUP($B15,INPUT_DATA!$CN:$CN,INPUT_DATA!CV:CV))</f>
        <v>28</v>
      </c>
      <c r="M15" s="255">
        <f>IF($B15=0,"",_xlfn.XLOOKUP($B15,INPUT_DATA!$CN:$CN,INPUT_DATA!CW:CW))</f>
        <v>1556628.24</v>
      </c>
      <c r="N15" s="1255">
        <f>IF($B15=0,"",_xlfn.XLOOKUP($B15,INPUT_DATA!$CN:$CN,INPUT_DATA!CX:CX))</f>
        <v>18</v>
      </c>
      <c r="O15" s="255">
        <f>IF($B15=0,"",_xlfn.XLOOKUP($B15,INPUT_DATA!$CN:$CN,INPUT_DATA!CY:CY))</f>
        <v>1561937.22</v>
      </c>
      <c r="P15" s="1255">
        <f>IF($B15=0,"",_xlfn.XLOOKUP($B15,INPUT_DATA!$CN:$CN,INPUT_DATA!CZ:CZ))</f>
        <v>13</v>
      </c>
      <c r="Q15" s="255">
        <f>IF($B15=0,"",_xlfn.XLOOKUP($B15,INPUT_DATA!$CN:$CN,INPUT_DATA!DA:DA))</f>
        <v>868711.64</v>
      </c>
      <c r="R15" s="1255">
        <f>IF($B15=0,"",_xlfn.XLOOKUP($B15,INPUT_DATA!$CN:$CN,INPUT_DATA!DB:DB))</f>
        <v>10</v>
      </c>
      <c r="S15" s="255">
        <f>IF($B15=0,"",_xlfn.XLOOKUP($B15,INPUT_DATA!$CN:$CN,INPUT_DATA!DC:DC))</f>
        <v>634010.34</v>
      </c>
      <c r="T15" s="1255">
        <f>IF($B15=0,"",_xlfn.XLOOKUP($B15,INPUT_DATA!$CN:$CN,INPUT_DATA!DD:DD))</f>
        <v>4</v>
      </c>
      <c r="U15" s="255">
        <f>IF($B15=0,"",_xlfn.XLOOKUP($B15,INPUT_DATA!$CN:$CN,INPUT_DATA!DE:DE))</f>
        <v>151253.07999999999</v>
      </c>
      <c r="V15" s="1255">
        <f>IF($B15=0,"",_xlfn.XLOOKUP($B15,INPUT_DATA!$CN:$CN,INPUT_DATA!DF:DF))</f>
        <v>2</v>
      </c>
      <c r="W15" s="255">
        <f>IF($B15=0,"",_xlfn.XLOOKUP($B15,INPUT_DATA!$CN:$CN,INPUT_DATA!DG:DG))</f>
        <v>2026597.8</v>
      </c>
      <c r="X15" s="1255">
        <f>IF($B15=0,"",_xlfn.XLOOKUP($B15,INPUT_DATA!$CN:$CN,INPUT_DATA!DH:DH))</f>
        <v>5</v>
      </c>
      <c r="Y15" s="255">
        <f>IF($B15=0,"",_xlfn.XLOOKUP($B15,INPUT_DATA!$CN:$CN,INPUT_DATA!DI:DI))</f>
        <v>87109.5</v>
      </c>
      <c r="Z15" s="1255">
        <f>IF($B15=0,"",_xlfn.XLOOKUP($B15,INPUT_DATA!$CN:$CN,INPUT_DATA!DJ:DJ))</f>
        <v>1</v>
      </c>
      <c r="AA15" s="255">
        <f>IF($B15=0,"",_xlfn.XLOOKUP($B15,INPUT_DATA!$CN:$CN,INPUT_DATA!DK:DK))</f>
        <v>0</v>
      </c>
      <c r="AB15" s="1255">
        <f>IF($B15=0,"",_xlfn.XLOOKUP($B15,INPUT_DATA!$CN:$CN,INPUT_DATA!DL:DL))</f>
        <v>0</v>
      </c>
      <c r="AC15" s="255">
        <f>IF($B15=0,"",_xlfn.XLOOKUP($B15,INPUT_DATA!$CN:$CN,INPUT_DATA!DM:DM))</f>
        <v>131533.74</v>
      </c>
      <c r="AD15" s="1255">
        <f>IF($B15=0,"",_xlfn.XLOOKUP($B15,INPUT_DATA!$CN:$CN,INPUT_DATA!DN:DN))</f>
        <v>1</v>
      </c>
    </row>
    <row r="16" spans="1:30">
      <c r="B16" s="1202">
        <f>'02 - Monthly Asset Follow up'!B20</f>
        <v>45930</v>
      </c>
      <c r="C16" s="255">
        <f t="shared" si="0"/>
        <v>11613993146.950001</v>
      </c>
      <c r="D16" s="1255">
        <f t="shared" si="1"/>
        <v>76155</v>
      </c>
      <c r="E16" s="255">
        <f>IF($B16=0,"",_xlfn.XLOOKUP($B16,INPUT_DATA!$CN:$CN,INPUT_DATA!CO:CO))</f>
        <v>11570315320.68</v>
      </c>
      <c r="F16" s="1255">
        <f>IF($B16=0,"",_xlfn.XLOOKUP($B16,INPUT_DATA!$CN:$CN,INPUT_DATA!CP:CP))</f>
        <v>75865</v>
      </c>
      <c r="G16" s="255">
        <f>IF($B16=0,"",_xlfn.XLOOKUP($B16,INPUT_DATA!$CN:$CN,INPUT_DATA!CQ:CQ))</f>
        <v>20809808.390000001</v>
      </c>
      <c r="H16" s="1255">
        <f>IF($B16=0,"",_xlfn.XLOOKUP($B16,INPUT_DATA!$CN:$CN,INPUT_DATA!CR:CR))</f>
        <v>149</v>
      </c>
      <c r="I16" s="255">
        <f>IF($B16=0,"",_xlfn.XLOOKUP($B16,INPUT_DATA!$CN:$CN,INPUT_DATA!CS:CS))</f>
        <v>10684438.75</v>
      </c>
      <c r="J16" s="1255">
        <f>IF($B16=0,"",_xlfn.XLOOKUP($B16,INPUT_DATA!$CN:$CN,INPUT_DATA!CT:CT))</f>
        <v>56</v>
      </c>
      <c r="K16" s="255">
        <f>IF($B16=0,"",_xlfn.XLOOKUP($B16,INPUT_DATA!$CN:$CN,INPUT_DATA!CU:CU))</f>
        <v>3548474.18</v>
      </c>
      <c r="L16" s="1255">
        <f>IF($B16=0,"",_xlfn.XLOOKUP($B16,INPUT_DATA!$CN:$CN,INPUT_DATA!CV:CV))</f>
        <v>32</v>
      </c>
      <c r="M16" s="255">
        <f>IF($B16=0,"",_xlfn.XLOOKUP($B16,INPUT_DATA!$CN:$CN,INPUT_DATA!CW:CW))</f>
        <v>3022878.48</v>
      </c>
      <c r="N16" s="1255">
        <f>IF($B16=0,"",_xlfn.XLOOKUP($B16,INPUT_DATA!$CN:$CN,INPUT_DATA!CX:CX))</f>
        <v>22</v>
      </c>
      <c r="O16" s="255">
        <f>IF($B16=0,"",_xlfn.XLOOKUP($B16,INPUT_DATA!$CN:$CN,INPUT_DATA!CY:CY))</f>
        <v>1217894.76</v>
      </c>
      <c r="P16" s="1255">
        <f>IF($B16=0,"",_xlfn.XLOOKUP($B16,INPUT_DATA!$CN:$CN,INPUT_DATA!CZ:CZ))</f>
        <v>15</v>
      </c>
      <c r="Q16" s="255">
        <f>IF($B16=0,"",_xlfn.XLOOKUP($B16,INPUT_DATA!$CN:$CN,INPUT_DATA!DA:DA))</f>
        <v>1982216.38</v>
      </c>
      <c r="R16" s="1255">
        <f>IF($B16=0,"",_xlfn.XLOOKUP($B16,INPUT_DATA!$CN:$CN,INPUT_DATA!DB:DB))</f>
        <v>7</v>
      </c>
      <c r="S16" s="255">
        <f>IF($B16=0,"",_xlfn.XLOOKUP($B16,INPUT_DATA!$CN:$CN,INPUT_DATA!DC:DC))</f>
        <v>152547.49</v>
      </c>
      <c r="T16" s="1255">
        <f>IF($B16=0,"",_xlfn.XLOOKUP($B16,INPUT_DATA!$CN:$CN,INPUT_DATA!DD:DD))</f>
        <v>2</v>
      </c>
      <c r="U16" s="255">
        <f>IF($B16=0,"",_xlfn.XLOOKUP($B16,INPUT_DATA!$CN:$CN,INPUT_DATA!DE:DE))</f>
        <v>2040091.45</v>
      </c>
      <c r="V16" s="1255">
        <f>IF($B16=0,"",_xlfn.XLOOKUP($B16,INPUT_DATA!$CN:$CN,INPUT_DATA!DF:DF))</f>
        <v>5</v>
      </c>
      <c r="W16" s="255">
        <f>IF($B16=0,"",_xlfn.XLOOKUP($B16,INPUT_DATA!$CN:$CN,INPUT_DATA!DG:DG))</f>
        <v>87378.27</v>
      </c>
      <c r="X16" s="1255">
        <f>IF($B16=0,"",_xlfn.XLOOKUP($B16,INPUT_DATA!$CN:$CN,INPUT_DATA!DH:DH))</f>
        <v>1</v>
      </c>
      <c r="Y16" s="255">
        <f>IF($B16=0,"",_xlfn.XLOOKUP($B16,INPUT_DATA!$CN:$CN,INPUT_DATA!DI:DI))</f>
        <v>0</v>
      </c>
      <c r="Z16" s="1255">
        <f>IF($B16=0,"",_xlfn.XLOOKUP($B16,INPUT_DATA!$CN:$CN,INPUT_DATA!DJ:DJ))</f>
        <v>0</v>
      </c>
      <c r="AA16" s="255">
        <f>IF($B16=0,"",_xlfn.XLOOKUP($B16,INPUT_DATA!$CN:$CN,INPUT_DATA!DK:DK))</f>
        <v>132098.12</v>
      </c>
      <c r="AB16" s="1255">
        <f>IF($B16=0,"",_xlfn.XLOOKUP($B16,INPUT_DATA!$CN:$CN,INPUT_DATA!DL:DL))</f>
        <v>1</v>
      </c>
      <c r="AC16" s="255">
        <f>IF($B16=0,"",_xlfn.XLOOKUP($B16,INPUT_DATA!$CN:$CN,INPUT_DATA!DM:DM))</f>
        <v>0</v>
      </c>
      <c r="AD16" s="1255">
        <f>IF($B16=0,"",_xlfn.XLOOKUP($B16,INPUT_DATA!$CN:$CN,INPUT_DATA!DN:DN))</f>
        <v>0</v>
      </c>
    </row>
    <row r="17" spans="2:30">
      <c r="B17" s="1202">
        <f>'02 - Monthly Asset Follow up'!B21</f>
        <v>45900</v>
      </c>
      <c r="C17" s="255">
        <f t="shared" si="0"/>
        <v>7430770897.8499994</v>
      </c>
      <c r="D17" s="1255">
        <f t="shared" si="1"/>
        <v>54553</v>
      </c>
      <c r="E17" s="255">
        <f>IF($B17=0,"",_xlfn.XLOOKUP($B17,INPUT_DATA!$CN:$CN,INPUT_DATA!CO:CO))</f>
        <v>7384905193.1400003</v>
      </c>
      <c r="F17" s="1255">
        <f>IF($B17=0,"",_xlfn.XLOOKUP($B17,INPUT_DATA!$CN:$CN,INPUT_DATA!CP:CP))</f>
        <v>54241</v>
      </c>
      <c r="G17" s="255">
        <f>IF($B17=0,"",_xlfn.XLOOKUP($B17,INPUT_DATA!$CN:$CN,INPUT_DATA!CQ:CQ))</f>
        <v>24062889.48</v>
      </c>
      <c r="H17" s="1255">
        <f>IF($B17=0,"",_xlfn.XLOOKUP($B17,INPUT_DATA!$CN:$CN,INPUT_DATA!CR:CR))</f>
        <v>166</v>
      </c>
      <c r="I17" s="255">
        <f>IF($B17=0,"",_xlfn.XLOOKUP($B17,INPUT_DATA!$CN:$CN,INPUT_DATA!CS:CS))</f>
        <v>9283792.9700000007</v>
      </c>
      <c r="J17" s="1255">
        <f>IF($B17=0,"",_xlfn.XLOOKUP($B17,INPUT_DATA!$CN:$CN,INPUT_DATA!CT:CT))</f>
        <v>62</v>
      </c>
      <c r="K17" s="255">
        <f>IF($B17=0,"",_xlfn.XLOOKUP($B17,INPUT_DATA!$CN:$CN,INPUT_DATA!CU:CU))</f>
        <v>4698441.28</v>
      </c>
      <c r="L17" s="1255">
        <f>IF($B17=0,"",_xlfn.XLOOKUP($B17,INPUT_DATA!$CN:$CN,INPUT_DATA!CV:CV))</f>
        <v>35</v>
      </c>
      <c r="M17" s="255">
        <f>IF($B17=0,"",_xlfn.XLOOKUP($B17,INPUT_DATA!$CN:$CN,INPUT_DATA!CW:CW))</f>
        <v>1919487.61</v>
      </c>
      <c r="N17" s="1255">
        <f>IF($B17=0,"",_xlfn.XLOOKUP($B17,INPUT_DATA!$CN:$CN,INPUT_DATA!CX:CX))</f>
        <v>23</v>
      </c>
      <c r="O17" s="255">
        <f>IF($B17=0,"",_xlfn.XLOOKUP($B17,INPUT_DATA!$CN:$CN,INPUT_DATA!CY:CY))</f>
        <v>2386547.66</v>
      </c>
      <c r="P17" s="1255">
        <f>IF($B17=0,"",_xlfn.XLOOKUP($B17,INPUT_DATA!$CN:$CN,INPUT_DATA!CZ:CZ))</f>
        <v>11</v>
      </c>
      <c r="Q17" s="255">
        <f>IF($B17=0,"",_xlfn.XLOOKUP($B17,INPUT_DATA!$CN:$CN,INPUT_DATA!DA:DA))</f>
        <v>948584.7</v>
      </c>
      <c r="R17" s="1255">
        <f>IF($B17=0,"",_xlfn.XLOOKUP($B17,INPUT_DATA!$CN:$CN,INPUT_DATA!DB:DB))</f>
        <v>4</v>
      </c>
      <c r="S17" s="255">
        <f>IF($B17=0,"",_xlfn.XLOOKUP($B17,INPUT_DATA!$CN:$CN,INPUT_DATA!DC:DC))</f>
        <v>2236676.54</v>
      </c>
      <c r="T17" s="1255">
        <f>IF($B17=0,"",_xlfn.XLOOKUP($B17,INPUT_DATA!$CN:$CN,INPUT_DATA!DD:DD))</f>
        <v>7</v>
      </c>
      <c r="U17" s="255">
        <f>IF($B17=0,"",_xlfn.XLOOKUP($B17,INPUT_DATA!$CN:$CN,INPUT_DATA!DE:DE))</f>
        <v>125860.31</v>
      </c>
      <c r="V17" s="1255">
        <f>IF($B17=0,"",_xlfn.XLOOKUP($B17,INPUT_DATA!$CN:$CN,INPUT_DATA!DF:DF))</f>
        <v>2</v>
      </c>
      <c r="W17" s="255">
        <f>IF($B17=0,"",_xlfn.XLOOKUP($B17,INPUT_DATA!$CN:$CN,INPUT_DATA!DG:DG))</f>
        <v>0</v>
      </c>
      <c r="X17" s="1255">
        <f>IF($B17=0,"",_xlfn.XLOOKUP($B17,INPUT_DATA!$CN:$CN,INPUT_DATA!DH:DH))</f>
        <v>0</v>
      </c>
      <c r="Y17" s="255">
        <f>IF($B17=0,"",_xlfn.XLOOKUP($B17,INPUT_DATA!$CN:$CN,INPUT_DATA!DI:DI))</f>
        <v>132661.79</v>
      </c>
      <c r="Z17" s="1255">
        <f>IF($B17=0,"",_xlfn.XLOOKUP($B17,INPUT_DATA!$CN:$CN,INPUT_DATA!DJ:DJ))</f>
        <v>1</v>
      </c>
      <c r="AA17" s="255">
        <f>IF($B17=0,"",_xlfn.XLOOKUP($B17,INPUT_DATA!$CN:$CN,INPUT_DATA!DK:DK))</f>
        <v>70762.37</v>
      </c>
      <c r="AB17" s="1255">
        <f>IF($B17=0,"",_xlfn.XLOOKUP($B17,INPUT_DATA!$CN:$CN,INPUT_DATA!DL:DL))</f>
        <v>1</v>
      </c>
      <c r="AC17" s="255">
        <f>IF($B17=0,"",_xlfn.XLOOKUP($B17,INPUT_DATA!$CN:$CN,INPUT_DATA!DM:DM))</f>
        <v>0</v>
      </c>
      <c r="AD17" s="1255">
        <f>IF($B17=0,"",_xlfn.XLOOKUP($B17,INPUT_DATA!$CN:$CN,INPUT_DATA!DN:DN))</f>
        <v>0</v>
      </c>
    </row>
    <row r="18" spans="2:30">
      <c r="B18" s="1202">
        <f>'02 - Monthly Asset Follow up'!B22</f>
        <v>45869</v>
      </c>
      <c r="C18" s="255">
        <f t="shared" si="0"/>
        <v>7501402080.4800005</v>
      </c>
      <c r="D18" s="1255">
        <f t="shared" si="1"/>
        <v>54804</v>
      </c>
      <c r="E18" s="255">
        <f>IF($B18=0,"",_xlfn.XLOOKUP($B18,INPUT_DATA!$CN:$CN,INPUT_DATA!CO:CO))</f>
        <v>7454588609.0799999</v>
      </c>
      <c r="F18" s="1255">
        <f>IF($B18=0,"",_xlfn.XLOOKUP($B18,INPUT_DATA!$CN:$CN,INPUT_DATA!CP:CP))</f>
        <v>54516</v>
      </c>
      <c r="G18" s="255">
        <f>IF($B18=0,"",_xlfn.XLOOKUP($B18,INPUT_DATA!$CN:$CN,INPUT_DATA!CQ:CQ))</f>
        <v>23850789</v>
      </c>
      <c r="H18" s="1255">
        <f>IF($B18=0,"",_xlfn.XLOOKUP($B18,INPUT_DATA!$CN:$CN,INPUT_DATA!CR:CR))</f>
        <v>151</v>
      </c>
      <c r="I18" s="255">
        <f>IF($B18=0,"",_xlfn.XLOOKUP($B18,INPUT_DATA!$CN:$CN,INPUT_DATA!CS:CS))</f>
        <v>12696531.630000001</v>
      </c>
      <c r="J18" s="1255">
        <f>IF($B18=0,"",_xlfn.XLOOKUP($B18,INPUT_DATA!$CN:$CN,INPUT_DATA!CT:CT))</f>
        <v>69</v>
      </c>
      <c r="K18" s="255">
        <f>IF($B18=0,"",_xlfn.XLOOKUP($B18,INPUT_DATA!$CN:$CN,INPUT_DATA!CU:CU))</f>
        <v>3191368.02</v>
      </c>
      <c r="L18" s="1255">
        <f>IF($B18=0,"",_xlfn.XLOOKUP($B18,INPUT_DATA!$CN:$CN,INPUT_DATA!CV:CV))</f>
        <v>34</v>
      </c>
      <c r="M18" s="255">
        <f>IF($B18=0,"",_xlfn.XLOOKUP($B18,INPUT_DATA!$CN:$CN,INPUT_DATA!CW:CW))</f>
        <v>2435825.7400000002</v>
      </c>
      <c r="N18" s="1255">
        <f>IF($B18=0,"",_xlfn.XLOOKUP($B18,INPUT_DATA!$CN:$CN,INPUT_DATA!CX:CX))</f>
        <v>13</v>
      </c>
      <c r="O18" s="255">
        <f>IF($B18=0,"",_xlfn.XLOOKUP($B18,INPUT_DATA!$CN:$CN,INPUT_DATA!CY:CY))</f>
        <v>1284920.02</v>
      </c>
      <c r="P18" s="1255">
        <f>IF($B18=0,"",_xlfn.XLOOKUP($B18,INPUT_DATA!$CN:$CN,INPUT_DATA!CZ:CZ))</f>
        <v>7</v>
      </c>
      <c r="Q18" s="255">
        <f>IF($B18=0,"",_xlfn.XLOOKUP($B18,INPUT_DATA!$CN:$CN,INPUT_DATA!DA:DA))</f>
        <v>2815372.28</v>
      </c>
      <c r="R18" s="1255">
        <f>IF($B18=0,"",_xlfn.XLOOKUP($B18,INPUT_DATA!$CN:$CN,INPUT_DATA!DB:DB))</f>
        <v>8</v>
      </c>
      <c r="S18" s="255">
        <f>IF($B18=0,"",_xlfn.XLOOKUP($B18,INPUT_DATA!$CN:$CN,INPUT_DATA!DC:DC))</f>
        <v>334090.07</v>
      </c>
      <c r="T18" s="1255">
        <f>IF($B18=0,"",_xlfn.XLOOKUP($B18,INPUT_DATA!$CN:$CN,INPUT_DATA!DD:DD))</f>
        <v>4</v>
      </c>
      <c r="U18" s="255">
        <f>IF($B18=0,"",_xlfn.XLOOKUP($B18,INPUT_DATA!$CN:$CN,INPUT_DATA!DE:DE))</f>
        <v>0</v>
      </c>
      <c r="V18" s="1255">
        <f>IF($B18=0,"",_xlfn.XLOOKUP($B18,INPUT_DATA!$CN:$CN,INPUT_DATA!DF:DF))</f>
        <v>0</v>
      </c>
      <c r="W18" s="255">
        <f>IF($B18=0,"",_xlfn.XLOOKUP($B18,INPUT_DATA!$CN:$CN,INPUT_DATA!DG:DG))</f>
        <v>133224.76</v>
      </c>
      <c r="X18" s="1255">
        <f>IF($B18=0,"",_xlfn.XLOOKUP($B18,INPUT_DATA!$CN:$CN,INPUT_DATA!DH:DH))</f>
        <v>1</v>
      </c>
      <c r="Y18" s="255">
        <f>IF($B18=0,"",_xlfn.XLOOKUP($B18,INPUT_DATA!$CN:$CN,INPUT_DATA!DI:DI))</f>
        <v>71349.88</v>
      </c>
      <c r="Z18" s="1255">
        <f>IF($B18=0,"",_xlfn.XLOOKUP($B18,INPUT_DATA!$CN:$CN,INPUT_DATA!DJ:DJ))</f>
        <v>1</v>
      </c>
      <c r="AA18" s="255">
        <f>IF($B18=0,"",_xlfn.XLOOKUP($B18,INPUT_DATA!$CN:$CN,INPUT_DATA!DK:DK))</f>
        <v>0</v>
      </c>
      <c r="AB18" s="1255">
        <f>IF($B18=0,"",_xlfn.XLOOKUP($B18,INPUT_DATA!$CN:$CN,INPUT_DATA!DL:DL))</f>
        <v>0</v>
      </c>
      <c r="AC18" s="255">
        <f>IF($B18=0,"",_xlfn.XLOOKUP($B18,INPUT_DATA!$CN:$CN,INPUT_DATA!DM:DM))</f>
        <v>0</v>
      </c>
      <c r="AD18" s="1255">
        <f>IF($B18=0,"",_xlfn.XLOOKUP($B18,INPUT_DATA!$CN:$CN,INPUT_DATA!DN:DN))</f>
        <v>0</v>
      </c>
    </row>
    <row r="19" spans="2:30">
      <c r="B19" s="1202">
        <f>'02 - Monthly Asset Follow up'!B23</f>
        <v>45838</v>
      </c>
      <c r="C19" s="255">
        <f t="shared" si="0"/>
        <v>7570005186.9900017</v>
      </c>
      <c r="D19" s="1255">
        <f t="shared" si="1"/>
        <v>55049</v>
      </c>
      <c r="E19" s="255">
        <f>IF($B19=0,"",_xlfn.XLOOKUP($B19,INPUT_DATA!$CN:$CN,INPUT_DATA!CO:CO))</f>
        <v>7520827672.6000004</v>
      </c>
      <c r="F19" s="1255">
        <f>IF($B19=0,"",_xlfn.XLOOKUP($B19,INPUT_DATA!$CN:$CN,INPUT_DATA!CP:CP))</f>
        <v>54742</v>
      </c>
      <c r="G19" s="255">
        <f>IF($B19=0,"",_xlfn.XLOOKUP($B19,INPUT_DATA!$CN:$CN,INPUT_DATA!CQ:CQ))</f>
        <v>29661773.43</v>
      </c>
      <c r="H19" s="1255">
        <f>IF($B19=0,"",_xlfn.XLOOKUP($B19,INPUT_DATA!$CN:$CN,INPUT_DATA!CR:CR))</f>
        <v>181</v>
      </c>
      <c r="I19" s="255">
        <f>IF($B19=0,"",_xlfn.XLOOKUP($B19,INPUT_DATA!$CN:$CN,INPUT_DATA!CS:CS))</f>
        <v>8846201.8499999996</v>
      </c>
      <c r="J19" s="1255">
        <f>IF($B19=0,"",_xlfn.XLOOKUP($B19,INPUT_DATA!$CN:$CN,INPUT_DATA!CT:CT))</f>
        <v>66</v>
      </c>
      <c r="K19" s="255">
        <f>IF($B19=0,"",_xlfn.XLOOKUP($B19,INPUT_DATA!$CN:$CN,INPUT_DATA!CU:CU))</f>
        <v>4724255.96</v>
      </c>
      <c r="L19" s="1255">
        <f>IF($B19=0,"",_xlfn.XLOOKUP($B19,INPUT_DATA!$CN:$CN,INPUT_DATA!CV:CV))</f>
        <v>29</v>
      </c>
      <c r="M19" s="255">
        <f>IF($B19=0,"",_xlfn.XLOOKUP($B19,INPUT_DATA!$CN:$CN,INPUT_DATA!CW:CW))</f>
        <v>1839709.39</v>
      </c>
      <c r="N19" s="1255">
        <f>IF($B19=0,"",_xlfn.XLOOKUP($B19,INPUT_DATA!$CN:$CN,INPUT_DATA!CX:CX))</f>
        <v>12</v>
      </c>
      <c r="O19" s="255">
        <f>IF($B19=0,"",_xlfn.XLOOKUP($B19,INPUT_DATA!$CN:$CN,INPUT_DATA!CY:CY))</f>
        <v>3312110.58</v>
      </c>
      <c r="P19" s="1255">
        <f>IF($B19=0,"",_xlfn.XLOOKUP($B19,INPUT_DATA!$CN:$CN,INPUT_DATA!CZ:CZ))</f>
        <v>11</v>
      </c>
      <c r="Q19" s="255">
        <f>IF($B19=0,"",_xlfn.XLOOKUP($B19,INPUT_DATA!$CN:$CN,INPUT_DATA!DA:DA))</f>
        <v>587739.22</v>
      </c>
      <c r="R19" s="1255">
        <f>IF($B19=0,"",_xlfn.XLOOKUP($B19,INPUT_DATA!$CN:$CN,INPUT_DATA!DB:DB))</f>
        <v>6</v>
      </c>
      <c r="S19" s="255">
        <f>IF($B19=0,"",_xlfn.XLOOKUP($B19,INPUT_DATA!$CN:$CN,INPUT_DATA!DC:DC))</f>
        <v>0</v>
      </c>
      <c r="T19" s="1255">
        <f>IF($B19=0,"",_xlfn.XLOOKUP($B19,INPUT_DATA!$CN:$CN,INPUT_DATA!DD:DD))</f>
        <v>0</v>
      </c>
      <c r="U19" s="255">
        <f>IF($B19=0,"",_xlfn.XLOOKUP($B19,INPUT_DATA!$CN:$CN,INPUT_DATA!DE:DE))</f>
        <v>133787.03</v>
      </c>
      <c r="V19" s="1255">
        <f>IF($B19=0,"",_xlfn.XLOOKUP($B19,INPUT_DATA!$CN:$CN,INPUT_DATA!DF:DF))</f>
        <v>1</v>
      </c>
      <c r="W19" s="255">
        <f>IF($B19=0,"",_xlfn.XLOOKUP($B19,INPUT_DATA!$CN:$CN,INPUT_DATA!DG:DG))</f>
        <v>71936.929999999993</v>
      </c>
      <c r="X19" s="1255">
        <f>IF($B19=0,"",_xlfn.XLOOKUP($B19,INPUT_DATA!$CN:$CN,INPUT_DATA!DH:DH))</f>
        <v>1</v>
      </c>
      <c r="Y19" s="255">
        <f>IF($B19=0,"",_xlfn.XLOOKUP($B19,INPUT_DATA!$CN:$CN,INPUT_DATA!DI:DI))</f>
        <v>0</v>
      </c>
      <c r="Z19" s="1255">
        <f>IF($B19=0,"",_xlfn.XLOOKUP($B19,INPUT_DATA!$CN:$CN,INPUT_DATA!DJ:DJ))</f>
        <v>0</v>
      </c>
      <c r="AA19" s="255">
        <f>IF($B19=0,"",_xlfn.XLOOKUP($B19,INPUT_DATA!$CN:$CN,INPUT_DATA!DK:DK))</f>
        <v>0</v>
      </c>
      <c r="AB19" s="1255">
        <f>IF($B19=0,"",_xlfn.XLOOKUP($B19,INPUT_DATA!$CN:$CN,INPUT_DATA!DL:DL))</f>
        <v>0</v>
      </c>
      <c r="AC19" s="255">
        <f>IF($B19=0,"",_xlfn.XLOOKUP($B19,INPUT_DATA!$CN:$CN,INPUT_DATA!DM:DM))</f>
        <v>0</v>
      </c>
      <c r="AD19" s="1255">
        <f>IF($B19=0,"",_xlfn.XLOOKUP($B19,INPUT_DATA!$CN:$CN,INPUT_DATA!DN:DN))</f>
        <v>0</v>
      </c>
    </row>
    <row r="20" spans="2:30">
      <c r="B20" s="1202">
        <f>'02 - Monthly Asset Follow up'!B24</f>
        <v>45808</v>
      </c>
      <c r="C20" s="255">
        <f t="shared" si="0"/>
        <v>7635175945.3200016</v>
      </c>
      <c r="D20" s="1255">
        <f t="shared" si="1"/>
        <v>55261</v>
      </c>
      <c r="E20" s="255">
        <f>IF($B20=0,"",_xlfn.XLOOKUP($B20,INPUT_DATA!$CN:$CN,INPUT_DATA!CO:CO))</f>
        <v>7591031347.8900003</v>
      </c>
      <c r="F20" s="1255">
        <f>IF($B20=0,"",_xlfn.XLOOKUP($B20,INPUT_DATA!$CN:$CN,INPUT_DATA!CP:CP))</f>
        <v>54983</v>
      </c>
      <c r="G20" s="255">
        <f>IF($B20=0,"",_xlfn.XLOOKUP($B20,INPUT_DATA!$CN:$CN,INPUT_DATA!CQ:CQ))</f>
        <v>24995335.219999999</v>
      </c>
      <c r="H20" s="1255">
        <f>IF($B20=0,"",_xlfn.XLOOKUP($B20,INPUT_DATA!$CN:$CN,INPUT_DATA!CR:CR))</f>
        <v>161</v>
      </c>
      <c r="I20" s="255">
        <f>IF($B20=0,"",_xlfn.XLOOKUP($B20,INPUT_DATA!$CN:$CN,INPUT_DATA!CS:CS))</f>
        <v>10648567.65</v>
      </c>
      <c r="J20" s="1255">
        <f>IF($B20=0,"",_xlfn.XLOOKUP($B20,INPUT_DATA!$CN:$CN,INPUT_DATA!CT:CT))</f>
        <v>67</v>
      </c>
      <c r="K20" s="255">
        <f>IF($B20=0,"",_xlfn.XLOOKUP($B20,INPUT_DATA!$CN:$CN,INPUT_DATA!CU:CU))</f>
        <v>3293113.43</v>
      </c>
      <c r="L20" s="1255">
        <f>IF($B20=0,"",_xlfn.XLOOKUP($B20,INPUT_DATA!$CN:$CN,INPUT_DATA!CV:CV))</f>
        <v>24</v>
      </c>
      <c r="M20" s="255">
        <f>IF($B20=0,"",_xlfn.XLOOKUP($B20,INPUT_DATA!$CN:$CN,INPUT_DATA!CW:CW))</f>
        <v>3890820.76</v>
      </c>
      <c r="N20" s="1255">
        <f>IF($B20=0,"",_xlfn.XLOOKUP($B20,INPUT_DATA!$CN:$CN,INPUT_DATA!CX:CX))</f>
        <v>15</v>
      </c>
      <c r="O20" s="255">
        <f>IF($B20=0,"",_xlfn.XLOOKUP($B20,INPUT_DATA!$CN:$CN,INPUT_DATA!CY:CY))</f>
        <v>1109888.26</v>
      </c>
      <c r="P20" s="1255">
        <f>IF($B20=0,"",_xlfn.XLOOKUP($B20,INPUT_DATA!$CN:$CN,INPUT_DATA!CZ:CZ))</f>
        <v>9</v>
      </c>
      <c r="Q20" s="255">
        <f>IF($B20=0,"",_xlfn.XLOOKUP($B20,INPUT_DATA!$CN:$CN,INPUT_DATA!DA:DA))</f>
        <v>0</v>
      </c>
      <c r="R20" s="1255">
        <f>IF($B20=0,"",_xlfn.XLOOKUP($B20,INPUT_DATA!$CN:$CN,INPUT_DATA!DB:DB))</f>
        <v>0</v>
      </c>
      <c r="S20" s="255">
        <f>IF($B20=0,"",_xlfn.XLOOKUP($B20,INPUT_DATA!$CN:$CN,INPUT_DATA!DC:DC))</f>
        <v>134348.59</v>
      </c>
      <c r="T20" s="1255">
        <f>IF($B20=0,"",_xlfn.XLOOKUP($B20,INPUT_DATA!$CN:$CN,INPUT_DATA!DD:DD))</f>
        <v>1</v>
      </c>
      <c r="U20" s="255">
        <f>IF($B20=0,"",_xlfn.XLOOKUP($B20,INPUT_DATA!$CN:$CN,INPUT_DATA!DE:DE))</f>
        <v>72523.520000000004</v>
      </c>
      <c r="V20" s="1255">
        <f>IF($B20=0,"",_xlfn.XLOOKUP($B20,INPUT_DATA!$CN:$CN,INPUT_DATA!DF:DF))</f>
        <v>1</v>
      </c>
      <c r="W20" s="255">
        <f>IF($B20=0,"",_xlfn.XLOOKUP($B20,INPUT_DATA!$CN:$CN,INPUT_DATA!DG:DG))</f>
        <v>0</v>
      </c>
      <c r="X20" s="1255">
        <f>IF($B20=0,"",_xlfn.XLOOKUP($B20,INPUT_DATA!$CN:$CN,INPUT_DATA!DH:DH))</f>
        <v>0</v>
      </c>
      <c r="Y20" s="255">
        <f>IF($B20=0,"",_xlfn.XLOOKUP($B20,INPUT_DATA!$CN:$CN,INPUT_DATA!DI:DI))</f>
        <v>0</v>
      </c>
      <c r="Z20" s="1255">
        <f>IF($B20=0,"",_xlfn.XLOOKUP($B20,INPUT_DATA!$CN:$CN,INPUT_DATA!DJ:DJ))</f>
        <v>0</v>
      </c>
      <c r="AA20" s="255">
        <f>IF($B20=0,"",_xlfn.XLOOKUP($B20,INPUT_DATA!$CN:$CN,INPUT_DATA!DK:DK))</f>
        <v>0</v>
      </c>
      <c r="AB20" s="1255">
        <f>IF($B20=0,"",_xlfn.XLOOKUP($B20,INPUT_DATA!$CN:$CN,INPUT_DATA!DL:DL))</f>
        <v>0</v>
      </c>
      <c r="AC20" s="255">
        <f>IF($B20=0,"",_xlfn.XLOOKUP($B20,INPUT_DATA!$CN:$CN,INPUT_DATA!DM:DM))</f>
        <v>0</v>
      </c>
      <c r="AD20" s="1255">
        <f>IF($B20=0,"",_xlfn.XLOOKUP($B20,INPUT_DATA!$CN:$CN,INPUT_DATA!DN:DN))</f>
        <v>0</v>
      </c>
    </row>
    <row r="21" spans="2:30">
      <c r="B21" s="1202">
        <f>'02 - Monthly Asset Follow up'!B25</f>
        <v>45777</v>
      </c>
      <c r="C21" s="255">
        <f t="shared" si="0"/>
        <v>7700874478.6100006</v>
      </c>
      <c r="D21" s="1255">
        <f t="shared" si="1"/>
        <v>55473</v>
      </c>
      <c r="E21" s="255">
        <f>IF($B21=0,"",_xlfn.XLOOKUP($B21,INPUT_DATA!$CN:$CN,INPUT_DATA!CO:CO))</f>
        <v>7661667205.3900003</v>
      </c>
      <c r="F21" s="1255">
        <f>IF($B21=0,"",_xlfn.XLOOKUP($B21,INPUT_DATA!$CN:$CN,INPUT_DATA!CP:CP))</f>
        <v>55229</v>
      </c>
      <c r="G21" s="255">
        <f>IF($B21=0,"",_xlfn.XLOOKUP($B21,INPUT_DATA!$CN:$CN,INPUT_DATA!CQ:CQ))</f>
        <v>26057469.039999999</v>
      </c>
      <c r="H21" s="1255">
        <f>IF($B21=0,"",_xlfn.XLOOKUP($B21,INPUT_DATA!$CN:$CN,INPUT_DATA!CR:CR))</f>
        <v>151</v>
      </c>
      <c r="I21" s="255">
        <f>IF($B21=0,"",_xlfn.XLOOKUP($B21,INPUT_DATA!$CN:$CN,INPUT_DATA!CS:CS))</f>
        <v>6202320.4100000001</v>
      </c>
      <c r="J21" s="1255">
        <f>IF($B21=0,"",_xlfn.XLOOKUP($B21,INPUT_DATA!$CN:$CN,INPUT_DATA!CT:CT))</f>
        <v>49</v>
      </c>
      <c r="K21" s="255">
        <f>IF($B21=0,"",_xlfn.XLOOKUP($B21,INPUT_DATA!$CN:$CN,INPUT_DATA!CU:CU))</f>
        <v>4750524.0199999996</v>
      </c>
      <c r="L21" s="1255">
        <f>IF($B21=0,"",_xlfn.XLOOKUP($B21,INPUT_DATA!$CN:$CN,INPUT_DATA!CV:CV))</f>
        <v>24</v>
      </c>
      <c r="M21" s="255">
        <f>IF($B21=0,"",_xlfn.XLOOKUP($B21,INPUT_DATA!$CN:$CN,INPUT_DATA!CW:CW))</f>
        <v>1645759.45</v>
      </c>
      <c r="N21" s="1255">
        <f>IF($B21=0,"",_xlfn.XLOOKUP($B21,INPUT_DATA!$CN:$CN,INPUT_DATA!CX:CX))</f>
        <v>13</v>
      </c>
      <c r="O21" s="255">
        <f>IF($B21=0,"",_xlfn.XLOOKUP($B21,INPUT_DATA!$CN:$CN,INPUT_DATA!CY:CY))</f>
        <v>322362.76</v>
      </c>
      <c r="P21" s="1255">
        <f>IF($B21=0,"",_xlfn.XLOOKUP($B21,INPUT_DATA!$CN:$CN,INPUT_DATA!CZ:CZ))</f>
        <v>4</v>
      </c>
      <c r="Q21" s="255">
        <f>IF($B21=0,"",_xlfn.XLOOKUP($B21,INPUT_DATA!$CN:$CN,INPUT_DATA!DA:DA))</f>
        <v>134909.45000000001</v>
      </c>
      <c r="R21" s="1255">
        <f>IF($B21=0,"",_xlfn.XLOOKUP($B21,INPUT_DATA!$CN:$CN,INPUT_DATA!DB:DB))</f>
        <v>1</v>
      </c>
      <c r="S21" s="255">
        <f>IF($B21=0,"",_xlfn.XLOOKUP($B21,INPUT_DATA!$CN:$CN,INPUT_DATA!DC:DC))</f>
        <v>93928.09</v>
      </c>
      <c r="T21" s="1255">
        <f>IF($B21=0,"",_xlfn.XLOOKUP($B21,INPUT_DATA!$CN:$CN,INPUT_DATA!DD:DD))</f>
        <v>2</v>
      </c>
      <c r="U21" s="255">
        <f>IF($B21=0,"",_xlfn.XLOOKUP($B21,INPUT_DATA!$CN:$CN,INPUT_DATA!DE:DE))</f>
        <v>0</v>
      </c>
      <c r="V21" s="1255">
        <f>IF($B21=0,"",_xlfn.XLOOKUP($B21,INPUT_DATA!$CN:$CN,INPUT_DATA!DF:DF))</f>
        <v>0</v>
      </c>
      <c r="W21" s="255">
        <f>IF($B21=0,"",_xlfn.XLOOKUP($B21,INPUT_DATA!$CN:$CN,INPUT_DATA!DG:DG))</f>
        <v>0</v>
      </c>
      <c r="X21" s="1255">
        <f>IF($B21=0,"",_xlfn.XLOOKUP($B21,INPUT_DATA!$CN:$CN,INPUT_DATA!DH:DH))</f>
        <v>0</v>
      </c>
      <c r="Y21" s="255">
        <f>IF($B21=0,"",_xlfn.XLOOKUP($B21,INPUT_DATA!$CN:$CN,INPUT_DATA!DI:DI))</f>
        <v>0</v>
      </c>
      <c r="Z21" s="1255">
        <f>IF($B21=0,"",_xlfn.XLOOKUP($B21,INPUT_DATA!$CN:$CN,INPUT_DATA!DJ:DJ))</f>
        <v>0</v>
      </c>
      <c r="AA21" s="255">
        <f>IF($B21=0,"",_xlfn.XLOOKUP($B21,INPUT_DATA!$CN:$CN,INPUT_DATA!DK:DK))</f>
        <v>0</v>
      </c>
      <c r="AB21" s="1255">
        <f>IF($B21=0,"",_xlfn.XLOOKUP($B21,INPUT_DATA!$CN:$CN,INPUT_DATA!DL:DL))</f>
        <v>0</v>
      </c>
      <c r="AC21" s="255">
        <f>IF($B21=0,"",_xlfn.XLOOKUP($B21,INPUT_DATA!$CN:$CN,INPUT_DATA!DM:DM))</f>
        <v>0</v>
      </c>
      <c r="AD21" s="1255">
        <f>IF($B21=0,"",_xlfn.XLOOKUP($B21,INPUT_DATA!$CN:$CN,INPUT_DATA!DN:DN))</f>
        <v>0</v>
      </c>
    </row>
    <row r="22" spans="2:30">
      <c r="B22" s="1202">
        <f>'02 - Monthly Asset Follow up'!B26</f>
        <v>45747</v>
      </c>
      <c r="C22" s="255">
        <f t="shared" si="0"/>
        <v>7762584280.3299999</v>
      </c>
      <c r="D22" s="1255">
        <f t="shared" si="1"/>
        <v>55647</v>
      </c>
      <c r="E22" s="255">
        <f>IF($B22=0,"",_xlfn.XLOOKUP($B22,INPUT_DATA!$CN:$CN,INPUT_DATA!CO:CO))</f>
        <v>7746846469.2600002</v>
      </c>
      <c r="F22" s="1255">
        <f>IF($B22=0,"",_xlfn.XLOOKUP($B22,INPUT_DATA!$CN:$CN,INPUT_DATA!CP:CP))</f>
        <v>55539</v>
      </c>
      <c r="G22" s="255">
        <f>IF($B22=0,"",_xlfn.XLOOKUP($B22,INPUT_DATA!$CN:$CN,INPUT_DATA!CQ:CQ))</f>
        <v>3235865.67</v>
      </c>
      <c r="H22" s="1255">
        <f>IF($B22=0,"",_xlfn.XLOOKUP($B22,INPUT_DATA!$CN:$CN,INPUT_DATA!CR:CR))</f>
        <v>28</v>
      </c>
      <c r="I22" s="255">
        <f>IF($B22=0,"",_xlfn.XLOOKUP($B22,INPUT_DATA!$CN:$CN,INPUT_DATA!CS:CS))</f>
        <v>7173558.7999999998</v>
      </c>
      <c r="J22" s="1255">
        <f>IF($B22=0,"",_xlfn.XLOOKUP($B22,INPUT_DATA!$CN:$CN,INPUT_DATA!CT:CT))</f>
        <v>40</v>
      </c>
      <c r="K22" s="255">
        <f>IF($B22=0,"",_xlfn.XLOOKUP($B22,INPUT_DATA!$CN:$CN,INPUT_DATA!CU:CU))</f>
        <v>2613714.33</v>
      </c>
      <c r="L22" s="1255">
        <f>IF($B22=0,"",_xlfn.XLOOKUP($B22,INPUT_DATA!$CN:$CN,INPUT_DATA!CV:CV))</f>
        <v>20</v>
      </c>
      <c r="M22" s="255">
        <f>IF($B22=0,"",_xlfn.XLOOKUP($B22,INPUT_DATA!$CN:$CN,INPUT_DATA!CW:CW))</f>
        <v>1665753.94</v>
      </c>
      <c r="N22" s="1255">
        <f>IF($B22=0,"",_xlfn.XLOOKUP($B22,INPUT_DATA!$CN:$CN,INPUT_DATA!CX:CX))</f>
        <v>11</v>
      </c>
      <c r="O22" s="255">
        <f>IF($B22=0,"",_xlfn.XLOOKUP($B22,INPUT_DATA!$CN:$CN,INPUT_DATA!CY:CY))</f>
        <v>954168.5</v>
      </c>
      <c r="P22" s="1255">
        <f>IF($B22=0,"",_xlfn.XLOOKUP($B22,INPUT_DATA!$CN:$CN,INPUT_DATA!CZ:CZ))</f>
        <v>7</v>
      </c>
      <c r="Q22" s="255">
        <f>IF($B22=0,"",_xlfn.XLOOKUP($B22,INPUT_DATA!$CN:$CN,INPUT_DATA!DA:DA))</f>
        <v>94749.83</v>
      </c>
      <c r="R22" s="1255">
        <f>IF($B22=0,"",_xlfn.XLOOKUP($B22,INPUT_DATA!$CN:$CN,INPUT_DATA!DB:DB))</f>
        <v>2</v>
      </c>
      <c r="S22" s="255">
        <f>IF($B22=0,"",_xlfn.XLOOKUP($B22,INPUT_DATA!$CN:$CN,INPUT_DATA!DC:DC))</f>
        <v>0</v>
      </c>
      <c r="T22" s="1255">
        <f>IF($B22=0,"",_xlfn.XLOOKUP($B22,INPUT_DATA!$CN:$CN,INPUT_DATA!DD:DD))</f>
        <v>0</v>
      </c>
      <c r="U22" s="255">
        <f>IF($B22=0,"",_xlfn.XLOOKUP($B22,INPUT_DATA!$CN:$CN,INPUT_DATA!DE:DE))</f>
        <v>0</v>
      </c>
      <c r="V22" s="1255">
        <f>IF($B22=0,"",_xlfn.XLOOKUP($B22,INPUT_DATA!$CN:$CN,INPUT_DATA!DF:DF))</f>
        <v>0</v>
      </c>
      <c r="W22" s="255">
        <f>IF($B22=0,"",_xlfn.XLOOKUP($B22,INPUT_DATA!$CN:$CN,INPUT_DATA!DG:DG))</f>
        <v>0</v>
      </c>
      <c r="X22" s="1255">
        <f>IF($B22=0,"",_xlfn.XLOOKUP($B22,INPUT_DATA!$CN:$CN,INPUT_DATA!DH:DH))</f>
        <v>0</v>
      </c>
      <c r="Y22" s="255">
        <f>IF($B22=0,"",_xlfn.XLOOKUP($B22,INPUT_DATA!$CN:$CN,INPUT_DATA!DI:DI))</f>
        <v>0</v>
      </c>
      <c r="Z22" s="1255">
        <f>IF($B22=0,"",_xlfn.XLOOKUP($B22,INPUT_DATA!$CN:$CN,INPUT_DATA!DJ:DJ))</f>
        <v>0</v>
      </c>
      <c r="AA22" s="255">
        <f>IF($B22=0,"",_xlfn.XLOOKUP($B22,INPUT_DATA!$CN:$CN,INPUT_DATA!DK:DK))</f>
        <v>0</v>
      </c>
      <c r="AB22" s="1255">
        <f>IF($B22=0,"",_xlfn.XLOOKUP($B22,INPUT_DATA!$CN:$CN,INPUT_DATA!DL:DL))</f>
        <v>0</v>
      </c>
      <c r="AC22" s="255">
        <f>IF($B22=0,"",_xlfn.XLOOKUP($B22,INPUT_DATA!$CN:$CN,INPUT_DATA!DM:DM))</f>
        <v>0</v>
      </c>
      <c r="AD22" s="1255">
        <f>IF($B22=0,"",_xlfn.XLOOKUP($B22,INPUT_DATA!$CN:$CN,INPUT_DATA!DN:DN))</f>
        <v>0</v>
      </c>
    </row>
    <row r="23" spans="2:30">
      <c r="B23" s="1202">
        <f>'02 - Monthly Asset Follow up'!B27</f>
        <v>45716</v>
      </c>
      <c r="C23" s="255">
        <f t="shared" si="0"/>
        <v>7821840687.46</v>
      </c>
      <c r="D23" s="1255">
        <f t="shared" si="1"/>
        <v>55811</v>
      </c>
      <c r="E23" s="255">
        <f>IF($B23=0,"",_xlfn.XLOOKUP($B23,INPUT_DATA!$CN:$CN,INPUT_DATA!CO:CO))</f>
        <v>7790721274.6099997</v>
      </c>
      <c r="F23" s="1255">
        <f>IF($B23=0,"",_xlfn.XLOOKUP($B23,INPUT_DATA!$CN:$CN,INPUT_DATA!CP:CP))</f>
        <v>55610</v>
      </c>
      <c r="G23" s="255">
        <f>IF($B23=0,"",_xlfn.XLOOKUP($B23,INPUT_DATA!$CN:$CN,INPUT_DATA!CQ:CQ))</f>
        <v>17680350.039999999</v>
      </c>
      <c r="H23" s="1255">
        <f>IF($B23=0,"",_xlfn.XLOOKUP($B23,INPUT_DATA!$CN:$CN,INPUT_DATA!CR:CR))</f>
        <v>118</v>
      </c>
      <c r="I23" s="255">
        <f>IF($B23=0,"",_xlfn.XLOOKUP($B23,INPUT_DATA!$CN:$CN,INPUT_DATA!CS:CS))</f>
        <v>9154659.6799999997</v>
      </c>
      <c r="J23" s="1255">
        <f>IF($B23=0,"",_xlfn.XLOOKUP($B23,INPUT_DATA!$CN:$CN,INPUT_DATA!CT:CT))</f>
        <v>50</v>
      </c>
      <c r="K23" s="255">
        <f>IF($B23=0,"",_xlfn.XLOOKUP($B23,INPUT_DATA!$CN:$CN,INPUT_DATA!CU:CU))</f>
        <v>2833646.73</v>
      </c>
      <c r="L23" s="1255">
        <f>IF($B23=0,"",_xlfn.XLOOKUP($B23,INPUT_DATA!$CN:$CN,INPUT_DATA!CV:CV))</f>
        <v>19</v>
      </c>
      <c r="M23" s="255">
        <f>IF($B23=0,"",_xlfn.XLOOKUP($B23,INPUT_DATA!$CN:$CN,INPUT_DATA!CW:CW))</f>
        <v>1167432.8400000001</v>
      </c>
      <c r="N23" s="1255">
        <f>IF($B23=0,"",_xlfn.XLOOKUP($B23,INPUT_DATA!$CN:$CN,INPUT_DATA!CX:CX))</f>
        <v>10</v>
      </c>
      <c r="O23" s="255">
        <f>IF($B23=0,"",_xlfn.XLOOKUP($B23,INPUT_DATA!$CN:$CN,INPUT_DATA!CY:CY))</f>
        <v>283323.56</v>
      </c>
      <c r="P23" s="1255">
        <f>IF($B23=0,"",_xlfn.XLOOKUP($B23,INPUT_DATA!$CN:$CN,INPUT_DATA!CZ:CZ))</f>
        <v>4</v>
      </c>
      <c r="Q23" s="255">
        <f>IF($B23=0,"",_xlfn.XLOOKUP($B23,INPUT_DATA!$CN:$CN,INPUT_DATA!DA:DA))</f>
        <v>0</v>
      </c>
      <c r="R23" s="1255">
        <f>IF($B23=0,"",_xlfn.XLOOKUP($B23,INPUT_DATA!$CN:$CN,INPUT_DATA!DB:DB))</f>
        <v>0</v>
      </c>
      <c r="S23" s="255">
        <f>IF($B23=0,"",_xlfn.XLOOKUP($B23,INPUT_DATA!$CN:$CN,INPUT_DATA!DC:DC))</f>
        <v>0</v>
      </c>
      <c r="T23" s="1255">
        <f>IF($B23=0,"",_xlfn.XLOOKUP($B23,INPUT_DATA!$CN:$CN,INPUT_DATA!DD:DD))</f>
        <v>0</v>
      </c>
      <c r="U23" s="255">
        <f>IF($B23=0,"",_xlfn.XLOOKUP($B23,INPUT_DATA!$CN:$CN,INPUT_DATA!DE:DE))</f>
        <v>0</v>
      </c>
      <c r="V23" s="1255">
        <f>IF($B23=0,"",_xlfn.XLOOKUP($B23,INPUT_DATA!$CN:$CN,INPUT_DATA!DF:DF))</f>
        <v>0</v>
      </c>
      <c r="W23" s="255">
        <f>IF($B23=0,"",_xlfn.XLOOKUP($B23,INPUT_DATA!$CN:$CN,INPUT_DATA!DG:DG))</f>
        <v>0</v>
      </c>
      <c r="X23" s="1255">
        <f>IF($B23=0,"",_xlfn.XLOOKUP($B23,INPUT_DATA!$CN:$CN,INPUT_DATA!DH:DH))</f>
        <v>0</v>
      </c>
      <c r="Y23" s="255">
        <f>IF($B23=0,"",_xlfn.XLOOKUP($B23,INPUT_DATA!$CN:$CN,INPUT_DATA!DI:DI))</f>
        <v>0</v>
      </c>
      <c r="Z23" s="1255">
        <f>IF($B23=0,"",_xlfn.XLOOKUP($B23,INPUT_DATA!$CN:$CN,INPUT_DATA!DJ:DJ))</f>
        <v>0</v>
      </c>
      <c r="AA23" s="255">
        <f>IF($B23=0,"",_xlfn.XLOOKUP($B23,INPUT_DATA!$CN:$CN,INPUT_DATA!DK:DK))</f>
        <v>0</v>
      </c>
      <c r="AB23" s="1255">
        <f>IF($B23=0,"",_xlfn.XLOOKUP($B23,INPUT_DATA!$CN:$CN,INPUT_DATA!DL:DL))</f>
        <v>0</v>
      </c>
      <c r="AC23" s="255">
        <f>IF($B23=0,"",_xlfn.XLOOKUP($B23,INPUT_DATA!$CN:$CN,INPUT_DATA!DM:DM))</f>
        <v>0</v>
      </c>
      <c r="AD23" s="1255">
        <f>IF($B23=0,"",_xlfn.XLOOKUP($B23,INPUT_DATA!$CN:$CN,INPUT_DATA!DN:DN))</f>
        <v>0</v>
      </c>
    </row>
    <row r="24" spans="2:30">
      <c r="B24" s="1202">
        <f>'02 - Monthly Asset Follow up'!B28</f>
        <v>45688</v>
      </c>
      <c r="C24" s="255">
        <f t="shared" si="0"/>
        <v>7882097726.960001</v>
      </c>
      <c r="D24" s="1255">
        <f t="shared" si="1"/>
        <v>55980</v>
      </c>
      <c r="E24" s="255">
        <f>IF($B24=0,"",_xlfn.XLOOKUP($B24,INPUT_DATA!$CN:$CN,INPUT_DATA!CO:CO))</f>
        <v>7851886174.6700001</v>
      </c>
      <c r="F24" s="1255">
        <f>IF($B24=0,"",_xlfn.XLOOKUP($B24,INPUT_DATA!$CN:$CN,INPUT_DATA!CP:CP))</f>
        <v>55789</v>
      </c>
      <c r="G24" s="255">
        <f>IF($B24=0,"",_xlfn.XLOOKUP($B24,INPUT_DATA!$CN:$CN,INPUT_DATA!CQ:CQ))</f>
        <v>19070387.640000001</v>
      </c>
      <c r="H24" s="1255">
        <f>IF($B24=0,"",_xlfn.XLOOKUP($B24,INPUT_DATA!$CN:$CN,INPUT_DATA!CR:CR))</f>
        <v>114</v>
      </c>
      <c r="I24" s="255">
        <f>IF($B24=0,"",_xlfn.XLOOKUP($B24,INPUT_DATA!$CN:$CN,INPUT_DATA!CS:CS))</f>
        <v>7512666.54</v>
      </c>
      <c r="J24" s="1255">
        <f>IF($B24=0,"",_xlfn.XLOOKUP($B24,INPUT_DATA!$CN:$CN,INPUT_DATA!CT:CT))</f>
        <v>47</v>
      </c>
      <c r="K24" s="255">
        <f>IF($B24=0,"",_xlfn.XLOOKUP($B24,INPUT_DATA!$CN:$CN,INPUT_DATA!CU:CU))</f>
        <v>2234762.4300000002</v>
      </c>
      <c r="L24" s="1255">
        <f>IF($B24=0,"",_xlfn.XLOOKUP($B24,INPUT_DATA!$CN:$CN,INPUT_DATA!CV:CV))</f>
        <v>22</v>
      </c>
      <c r="M24" s="255">
        <f>IF($B24=0,"",_xlfn.XLOOKUP($B24,INPUT_DATA!$CN:$CN,INPUT_DATA!CW:CW))</f>
        <v>1393735.6799999999</v>
      </c>
      <c r="N24" s="1255">
        <f>IF($B24=0,"",_xlfn.XLOOKUP($B24,INPUT_DATA!$CN:$CN,INPUT_DATA!CX:CX))</f>
        <v>8</v>
      </c>
      <c r="O24" s="255">
        <f>IF($B24=0,"",_xlfn.XLOOKUP($B24,INPUT_DATA!$CN:$CN,INPUT_DATA!CY:CY))</f>
        <v>0</v>
      </c>
      <c r="P24" s="1255">
        <f>IF($B24=0,"",_xlfn.XLOOKUP($B24,INPUT_DATA!$CN:$CN,INPUT_DATA!CZ:CZ))</f>
        <v>0</v>
      </c>
      <c r="Q24" s="255">
        <f>IF($B24=0,"",_xlfn.XLOOKUP($B24,INPUT_DATA!$CN:$CN,INPUT_DATA!DA:DA))</f>
        <v>0</v>
      </c>
      <c r="R24" s="1255">
        <f>IF($B24=0,"",_xlfn.XLOOKUP($B24,INPUT_DATA!$CN:$CN,INPUT_DATA!DB:DB))</f>
        <v>0</v>
      </c>
      <c r="S24" s="255">
        <f>IF($B24=0,"",_xlfn.XLOOKUP($B24,INPUT_DATA!$CN:$CN,INPUT_DATA!DC:DC))</f>
        <v>0</v>
      </c>
      <c r="T24" s="1255">
        <f>IF($B24=0,"",_xlfn.XLOOKUP($B24,INPUT_DATA!$CN:$CN,INPUT_DATA!DD:DD))</f>
        <v>0</v>
      </c>
      <c r="U24" s="255">
        <f>IF($B24=0,"",_xlfn.XLOOKUP($B24,INPUT_DATA!$CN:$CN,INPUT_DATA!DE:DE))</f>
        <v>0</v>
      </c>
      <c r="V24" s="1255">
        <f>IF($B24=0,"",_xlfn.XLOOKUP($B24,INPUT_DATA!$CN:$CN,INPUT_DATA!DF:DF))</f>
        <v>0</v>
      </c>
      <c r="W24" s="255">
        <f>IF($B24=0,"",_xlfn.XLOOKUP($B24,INPUT_DATA!$CN:$CN,INPUT_DATA!DG:DG))</f>
        <v>0</v>
      </c>
      <c r="X24" s="1255">
        <f>IF($B24=0,"",_xlfn.XLOOKUP($B24,INPUT_DATA!$CN:$CN,INPUT_DATA!DH:DH))</f>
        <v>0</v>
      </c>
      <c r="Y24" s="255">
        <f>IF($B24=0,"",_xlfn.XLOOKUP($B24,INPUT_DATA!$CN:$CN,INPUT_DATA!DI:DI))</f>
        <v>0</v>
      </c>
      <c r="Z24" s="1255">
        <f>IF($B24=0,"",_xlfn.XLOOKUP($B24,INPUT_DATA!$CN:$CN,INPUT_DATA!DJ:DJ))</f>
        <v>0</v>
      </c>
      <c r="AA24" s="255">
        <f>IF($B24=0,"",_xlfn.XLOOKUP($B24,INPUT_DATA!$CN:$CN,INPUT_DATA!DK:DK))</f>
        <v>0</v>
      </c>
      <c r="AB24" s="1255">
        <f>IF($B24=0,"",_xlfn.XLOOKUP($B24,INPUT_DATA!$CN:$CN,INPUT_DATA!DL:DL))</f>
        <v>0</v>
      </c>
      <c r="AC24" s="255">
        <f>IF($B24=0,"",_xlfn.XLOOKUP($B24,INPUT_DATA!$CN:$CN,INPUT_DATA!DM:DM))</f>
        <v>0</v>
      </c>
      <c r="AD24" s="1255">
        <f>IF($B24=0,"",_xlfn.XLOOKUP($B24,INPUT_DATA!$CN:$CN,INPUT_DATA!DN:DN))</f>
        <v>0</v>
      </c>
    </row>
    <row r="25" spans="2:30">
      <c r="B25" s="1202">
        <f>'02 - Monthly Asset Follow up'!B29</f>
        <v>45657</v>
      </c>
      <c r="C25" s="255">
        <f t="shared" si="0"/>
        <v>7942231678.2000008</v>
      </c>
      <c r="D25" s="1255">
        <f t="shared" si="1"/>
        <v>56150</v>
      </c>
      <c r="E25" s="255">
        <f>IF($B25=0,"",_xlfn.XLOOKUP($B25,INPUT_DATA!$CN:$CN,INPUT_DATA!CO:CO))</f>
        <v>7913177373.5100002</v>
      </c>
      <c r="F25" s="1255">
        <f>IF($B25=0,"",_xlfn.XLOOKUP($B25,INPUT_DATA!$CN:$CN,INPUT_DATA!CP:CP))</f>
        <v>55965</v>
      </c>
      <c r="G25" s="255">
        <f>IF($B25=0,"",_xlfn.XLOOKUP($B25,INPUT_DATA!$CN:$CN,INPUT_DATA!CQ:CQ))</f>
        <v>20261511.460000001</v>
      </c>
      <c r="H25" s="1255">
        <f>IF($B25=0,"",_xlfn.XLOOKUP($B25,INPUT_DATA!$CN:$CN,INPUT_DATA!CR:CR))</f>
        <v>126</v>
      </c>
      <c r="I25" s="255">
        <f>IF($B25=0,"",_xlfn.XLOOKUP($B25,INPUT_DATA!$CN:$CN,INPUT_DATA!CS:CS))</f>
        <v>6209398.6799999997</v>
      </c>
      <c r="J25" s="1255">
        <f>IF($B25=0,"",_xlfn.XLOOKUP($B25,INPUT_DATA!$CN:$CN,INPUT_DATA!CT:CT))</f>
        <v>39</v>
      </c>
      <c r="K25" s="255">
        <f>IF($B25=0,"",_xlfn.XLOOKUP($B25,INPUT_DATA!$CN:$CN,INPUT_DATA!CU:CU))</f>
        <v>2583394.5499999998</v>
      </c>
      <c r="L25" s="1255">
        <f>IF($B25=0,"",_xlfn.XLOOKUP($B25,INPUT_DATA!$CN:$CN,INPUT_DATA!CV:CV))</f>
        <v>20</v>
      </c>
      <c r="M25" s="255">
        <f>IF($B25=0,"",_xlfn.XLOOKUP($B25,INPUT_DATA!$CN:$CN,INPUT_DATA!CW:CW))</f>
        <v>0</v>
      </c>
      <c r="N25" s="1255">
        <f>IF($B25=0,"",_xlfn.XLOOKUP($B25,INPUT_DATA!$CN:$CN,INPUT_DATA!CX:CX))</f>
        <v>0</v>
      </c>
      <c r="O25" s="255">
        <f>IF($B25=0,"",_xlfn.XLOOKUP($B25,INPUT_DATA!$CN:$CN,INPUT_DATA!CY:CY))</f>
        <v>0</v>
      </c>
      <c r="P25" s="1255">
        <f>IF($B25=0,"",_xlfn.XLOOKUP($B25,INPUT_DATA!$CN:$CN,INPUT_DATA!CZ:CZ))</f>
        <v>0</v>
      </c>
      <c r="Q25" s="255">
        <f>IF($B25=0,"",_xlfn.XLOOKUP($B25,INPUT_DATA!$CN:$CN,INPUT_DATA!DA:DA))</f>
        <v>0</v>
      </c>
      <c r="R25" s="1255">
        <f>IF($B25=0,"",_xlfn.XLOOKUP($B25,INPUT_DATA!$CN:$CN,INPUT_DATA!DB:DB))</f>
        <v>0</v>
      </c>
      <c r="S25" s="255">
        <f>IF($B25=0,"",_xlfn.XLOOKUP($B25,INPUT_DATA!$CN:$CN,INPUT_DATA!DC:DC))</f>
        <v>0</v>
      </c>
      <c r="T25" s="1255">
        <f>IF($B25=0,"",_xlfn.XLOOKUP($B25,INPUT_DATA!$CN:$CN,INPUT_DATA!DD:DD))</f>
        <v>0</v>
      </c>
      <c r="U25" s="255">
        <f>IF($B25=0,"",_xlfn.XLOOKUP($B25,INPUT_DATA!$CN:$CN,INPUT_DATA!DE:DE))</f>
        <v>0</v>
      </c>
      <c r="V25" s="1255">
        <f>IF($B25=0,"",_xlfn.XLOOKUP($B25,INPUT_DATA!$CN:$CN,INPUT_DATA!DF:DF))</f>
        <v>0</v>
      </c>
      <c r="W25" s="255">
        <f>IF($B25=0,"",_xlfn.XLOOKUP($B25,INPUT_DATA!$CN:$CN,INPUT_DATA!DG:DG))</f>
        <v>0</v>
      </c>
      <c r="X25" s="1255">
        <f>IF($B25=0,"",_xlfn.XLOOKUP($B25,INPUT_DATA!$CN:$CN,INPUT_DATA!DH:DH))</f>
        <v>0</v>
      </c>
      <c r="Y25" s="255">
        <f>IF($B25=0,"",_xlfn.XLOOKUP($B25,INPUT_DATA!$CN:$CN,INPUT_DATA!DI:DI))</f>
        <v>0</v>
      </c>
      <c r="Z25" s="1255">
        <f>IF($B25=0,"",_xlfn.XLOOKUP($B25,INPUT_DATA!$CN:$CN,INPUT_DATA!DJ:DJ))</f>
        <v>0</v>
      </c>
      <c r="AA25" s="255">
        <f>IF($B25=0,"",_xlfn.XLOOKUP($B25,INPUT_DATA!$CN:$CN,INPUT_DATA!DK:DK))</f>
        <v>0</v>
      </c>
      <c r="AB25" s="1255">
        <f>IF($B25=0,"",_xlfn.XLOOKUP($B25,INPUT_DATA!$CN:$CN,INPUT_DATA!DL:DL))</f>
        <v>0</v>
      </c>
      <c r="AC25" s="255">
        <f>IF($B25=0,"",_xlfn.XLOOKUP($B25,INPUT_DATA!$CN:$CN,INPUT_DATA!DM:DM))</f>
        <v>0</v>
      </c>
      <c r="AD25" s="1255">
        <f>IF($B25=0,"",_xlfn.XLOOKUP($B25,INPUT_DATA!$CN:$CN,INPUT_DATA!DN:DN))</f>
        <v>0</v>
      </c>
    </row>
    <row r="26" spans="2:30">
      <c r="B26" s="1202">
        <f>'02 - Monthly Asset Follow up'!B30</f>
        <v>45626</v>
      </c>
      <c r="C26" s="255">
        <f t="shared" si="0"/>
        <v>8062678431.4300003</v>
      </c>
      <c r="D26" s="1255">
        <f t="shared" si="1"/>
        <v>56690</v>
      </c>
      <c r="E26" s="255">
        <f>IF($B26=0,"",_xlfn.XLOOKUP($B26,INPUT_DATA!$CN:$CN,INPUT_DATA!CO:CO))</f>
        <v>8038993600.0500002</v>
      </c>
      <c r="F26" s="1255">
        <f>IF($B26=0,"",_xlfn.XLOOKUP($B26,INPUT_DATA!$CN:$CN,INPUT_DATA!CP:CP))</f>
        <v>56548</v>
      </c>
      <c r="G26" s="255">
        <f>IF($B26=0,"",_xlfn.XLOOKUP($B26,INPUT_DATA!$CN:$CN,INPUT_DATA!CQ:CQ))</f>
        <v>17650355.260000002</v>
      </c>
      <c r="H26" s="1255">
        <f>IF($B26=0,"",_xlfn.XLOOKUP($B26,INPUT_DATA!$CN:$CN,INPUT_DATA!CR:CR))</f>
        <v>111</v>
      </c>
      <c r="I26" s="255">
        <f>IF($B26=0,"",_xlfn.XLOOKUP($B26,INPUT_DATA!$CN:$CN,INPUT_DATA!CS:CS))</f>
        <v>6034476.1200000001</v>
      </c>
      <c r="J26" s="1255">
        <f>IF($B26=0,"",_xlfn.XLOOKUP($B26,INPUT_DATA!$CN:$CN,INPUT_DATA!CT:CT))</f>
        <v>31</v>
      </c>
      <c r="K26" s="255">
        <f>IF($B26=0,"",_xlfn.XLOOKUP($B26,INPUT_DATA!$CN:$CN,INPUT_DATA!CU:CU))</f>
        <v>0</v>
      </c>
      <c r="L26" s="1255">
        <f>IF($B26=0,"",_xlfn.XLOOKUP($B26,INPUT_DATA!$CN:$CN,INPUT_DATA!CV:CV))</f>
        <v>0</v>
      </c>
      <c r="M26" s="255">
        <f>IF($B26=0,"",_xlfn.XLOOKUP($B26,INPUT_DATA!$CN:$CN,INPUT_DATA!CW:CW))</f>
        <v>0</v>
      </c>
      <c r="N26" s="1255">
        <f>IF($B26=0,"",_xlfn.XLOOKUP($B26,INPUT_DATA!$CN:$CN,INPUT_DATA!CX:CX))</f>
        <v>0</v>
      </c>
      <c r="O26" s="255">
        <f>IF($B26=0,"",_xlfn.XLOOKUP($B26,INPUT_DATA!$CN:$CN,INPUT_DATA!CY:CY))</f>
        <v>0</v>
      </c>
      <c r="P26" s="1255">
        <f>IF($B26=0,"",_xlfn.XLOOKUP($B26,INPUT_DATA!$CN:$CN,INPUT_DATA!CZ:CZ))</f>
        <v>0</v>
      </c>
      <c r="Q26" s="255">
        <f>IF($B26=0,"",_xlfn.XLOOKUP($B26,INPUT_DATA!$CN:$CN,INPUT_DATA!DA:DA))</f>
        <v>0</v>
      </c>
      <c r="R26" s="1255">
        <f>IF($B26=0,"",_xlfn.XLOOKUP($B26,INPUT_DATA!$CN:$CN,INPUT_DATA!DB:DB))</f>
        <v>0</v>
      </c>
      <c r="S26" s="255">
        <f>IF($B26=0,"",_xlfn.XLOOKUP($B26,INPUT_DATA!$CN:$CN,INPUT_DATA!DC:DC))</f>
        <v>0</v>
      </c>
      <c r="T26" s="1255">
        <f>IF($B26=0,"",_xlfn.XLOOKUP($B26,INPUT_DATA!$CN:$CN,INPUT_DATA!DD:DD))</f>
        <v>0</v>
      </c>
      <c r="U26" s="255">
        <f>IF($B26=0,"",_xlfn.XLOOKUP($B26,INPUT_DATA!$CN:$CN,INPUT_DATA!DE:DE))</f>
        <v>0</v>
      </c>
      <c r="V26" s="1255">
        <f>IF($B26=0,"",_xlfn.XLOOKUP($B26,INPUT_DATA!$CN:$CN,INPUT_DATA!DF:DF))</f>
        <v>0</v>
      </c>
      <c r="W26" s="255">
        <f>IF($B26=0,"",_xlfn.XLOOKUP($B26,INPUT_DATA!$CN:$CN,INPUT_DATA!DG:DG))</f>
        <v>0</v>
      </c>
      <c r="X26" s="1255">
        <f>IF($B26=0,"",_xlfn.XLOOKUP($B26,INPUT_DATA!$CN:$CN,INPUT_DATA!DH:DH))</f>
        <v>0</v>
      </c>
      <c r="Y26" s="255">
        <f>IF($B26=0,"",_xlfn.XLOOKUP($B26,INPUT_DATA!$CN:$CN,INPUT_DATA!DI:DI))</f>
        <v>0</v>
      </c>
      <c r="Z26" s="1255">
        <f>IF($B26=0,"",_xlfn.XLOOKUP($B26,INPUT_DATA!$CN:$CN,INPUT_DATA!DJ:DJ))</f>
        <v>0</v>
      </c>
      <c r="AA26" s="255">
        <f>IF($B26=0,"",_xlfn.XLOOKUP($B26,INPUT_DATA!$CN:$CN,INPUT_DATA!DK:DK))</f>
        <v>0</v>
      </c>
      <c r="AB26" s="1255">
        <f>IF($B26=0,"",_xlfn.XLOOKUP($B26,INPUT_DATA!$CN:$CN,INPUT_DATA!DL:DL))</f>
        <v>0</v>
      </c>
      <c r="AC26" s="255">
        <f>IF($B26=0,"",_xlfn.XLOOKUP($B26,INPUT_DATA!$CN:$CN,INPUT_DATA!DM:DM))</f>
        <v>0</v>
      </c>
      <c r="AD26" s="1255">
        <f>IF($B26=0,"",_xlfn.XLOOKUP($B26,INPUT_DATA!$CN:$CN,INPUT_DATA!DN:DN))</f>
        <v>0</v>
      </c>
    </row>
    <row r="27" spans="2:30">
      <c r="B27" s="1202">
        <f>'02 - Monthly Asset Follow up'!B31</f>
        <v>45596</v>
      </c>
      <c r="C27" s="255">
        <f t="shared" si="0"/>
        <v>8120798931.6599998</v>
      </c>
      <c r="D27" s="1255">
        <f t="shared" si="1"/>
        <v>56839</v>
      </c>
      <c r="E27" s="255">
        <f>IF($B27=0,"",_xlfn.XLOOKUP($B27,INPUT_DATA!$CN:$CN,INPUT_DATA!CO:CO))</f>
        <v>8120798931.6599998</v>
      </c>
      <c r="F27" s="1255">
        <f>IF($B27=0,"",_xlfn.XLOOKUP($B27,INPUT_DATA!$CN:$CN,INPUT_DATA!CP:CP))</f>
        <v>56839</v>
      </c>
      <c r="G27" s="255">
        <f>IF($B27=0,"",_xlfn.XLOOKUP($B27,INPUT_DATA!$CN:$CN,INPUT_DATA!CQ:CQ))</f>
        <v>0</v>
      </c>
      <c r="H27" s="1255">
        <f>IF($B27=0,"",_xlfn.XLOOKUP($B27,INPUT_DATA!$CN:$CN,INPUT_DATA!CR:CR))</f>
        <v>0</v>
      </c>
      <c r="I27" s="255">
        <f>IF($B27=0,"",_xlfn.XLOOKUP($B27,INPUT_DATA!$CN:$CN,INPUT_DATA!CS:CS))</f>
        <v>0</v>
      </c>
      <c r="J27" s="1255">
        <f>IF($B27=0,"",_xlfn.XLOOKUP($B27,INPUT_DATA!$CN:$CN,INPUT_DATA!CT:CT))</f>
        <v>0</v>
      </c>
      <c r="K27" s="255">
        <f>IF($B27=0,"",_xlfn.XLOOKUP($B27,INPUT_DATA!$CN:$CN,INPUT_DATA!CU:CU))</f>
        <v>0</v>
      </c>
      <c r="L27" s="1255">
        <f>IF($B27=0,"",_xlfn.XLOOKUP($B27,INPUT_DATA!$CN:$CN,INPUT_DATA!CV:CV))</f>
        <v>0</v>
      </c>
      <c r="M27" s="255">
        <f>IF($B27=0,"",_xlfn.XLOOKUP($B27,INPUT_DATA!$CN:$CN,INPUT_DATA!CW:CW))</f>
        <v>0</v>
      </c>
      <c r="N27" s="1255">
        <f>IF($B27=0,"",_xlfn.XLOOKUP($B27,INPUT_DATA!$CN:$CN,INPUT_DATA!CX:CX))</f>
        <v>0</v>
      </c>
      <c r="O27" s="255">
        <f>IF($B27=0,"",_xlfn.XLOOKUP($B27,INPUT_DATA!$CN:$CN,INPUT_DATA!CY:CY))</f>
        <v>0</v>
      </c>
      <c r="P27" s="1255">
        <f>IF($B27=0,"",_xlfn.XLOOKUP($B27,INPUT_DATA!$CN:$CN,INPUT_DATA!CZ:CZ))</f>
        <v>0</v>
      </c>
      <c r="Q27" s="255">
        <f>IF($B27=0,"",_xlfn.XLOOKUP($B27,INPUT_DATA!$CN:$CN,INPUT_DATA!DA:DA))</f>
        <v>0</v>
      </c>
      <c r="R27" s="1255">
        <f>IF($B27=0,"",_xlfn.XLOOKUP($B27,INPUT_DATA!$CN:$CN,INPUT_DATA!DB:DB))</f>
        <v>0</v>
      </c>
      <c r="S27" s="255">
        <f>IF($B27=0,"",_xlfn.XLOOKUP($B27,INPUT_DATA!$CN:$CN,INPUT_DATA!DC:DC))</f>
        <v>0</v>
      </c>
      <c r="T27" s="1255">
        <f>IF($B27=0,"",_xlfn.XLOOKUP($B27,INPUT_DATA!$CN:$CN,INPUT_DATA!DD:DD))</f>
        <v>0</v>
      </c>
      <c r="U27" s="255">
        <f>IF($B27=0,"",_xlfn.XLOOKUP($B27,INPUT_DATA!$CN:$CN,INPUT_DATA!DE:DE))</f>
        <v>0</v>
      </c>
      <c r="V27" s="1255">
        <f>IF($B27=0,"",_xlfn.XLOOKUP($B27,INPUT_DATA!$CN:$CN,INPUT_DATA!DF:DF))</f>
        <v>0</v>
      </c>
      <c r="W27" s="255">
        <f>IF($B27=0,"",_xlfn.XLOOKUP($B27,INPUT_DATA!$CN:$CN,INPUT_DATA!DG:DG))</f>
        <v>0</v>
      </c>
      <c r="X27" s="1255">
        <f>IF($B27=0,"",_xlfn.XLOOKUP($B27,INPUT_DATA!$CN:$CN,INPUT_DATA!DH:DH))</f>
        <v>0</v>
      </c>
      <c r="Y27" s="255">
        <f>IF($B27=0,"",_xlfn.XLOOKUP($B27,INPUT_DATA!$CN:$CN,INPUT_DATA!DI:DI))</f>
        <v>0</v>
      </c>
      <c r="Z27" s="1255">
        <f>IF($B27=0,"",_xlfn.XLOOKUP($B27,INPUT_DATA!$CN:$CN,INPUT_DATA!DJ:DJ))</f>
        <v>0</v>
      </c>
      <c r="AA27" s="255">
        <f>IF($B27=0,"",_xlfn.XLOOKUP($B27,INPUT_DATA!$CN:$CN,INPUT_DATA!DK:DK))</f>
        <v>0</v>
      </c>
      <c r="AB27" s="1255">
        <f>IF($B27=0,"",_xlfn.XLOOKUP($B27,INPUT_DATA!$CN:$CN,INPUT_DATA!DL:DL))</f>
        <v>0</v>
      </c>
      <c r="AC27" s="255">
        <f>IF($B27=0,"",_xlfn.XLOOKUP($B27,INPUT_DATA!$CN:$CN,INPUT_DATA!DM:DM))</f>
        <v>0</v>
      </c>
      <c r="AD27" s="1255">
        <f>IF($B27=0,"",_xlfn.XLOOKUP($B27,INPUT_DATA!$CN:$CN,INPUT_DATA!DN:DN))</f>
        <v>0</v>
      </c>
    </row>
    <row r="28" spans="2:30">
      <c r="B28" s="1202">
        <f>'02 - Monthly Asset Follow up'!B32</f>
        <v>45565</v>
      </c>
      <c r="C28" s="255">
        <f t="shared" si="0"/>
        <v>8182368484.4700003</v>
      </c>
      <c r="D28" s="1255">
        <f t="shared" si="1"/>
        <v>56971</v>
      </c>
      <c r="E28" s="255">
        <f>IF($B28=0,"",_xlfn.XLOOKUP($B28,INPUT_DATA!$CN:$CN,INPUT_DATA!CO:CO))</f>
        <v>8182368484.4700003</v>
      </c>
      <c r="F28" s="1255">
        <f>IF($B28=0,"",_xlfn.XLOOKUP($B28,INPUT_DATA!$CN:$CN,INPUT_DATA!CP:CP))</f>
        <v>56971</v>
      </c>
      <c r="G28" s="255">
        <f>IF($B28=0,"",_xlfn.XLOOKUP($B28,INPUT_DATA!$CN:$CN,INPUT_DATA!CQ:CQ))</f>
        <v>0</v>
      </c>
      <c r="H28" s="1255">
        <f>IF($B28=0,"",_xlfn.XLOOKUP($B28,INPUT_DATA!$CN:$CN,INPUT_DATA!CR:CR))</f>
        <v>0</v>
      </c>
      <c r="I28" s="255">
        <f>IF($B28=0,"",_xlfn.XLOOKUP($B28,INPUT_DATA!$CN:$CN,INPUT_DATA!CS:CS))</f>
        <v>0</v>
      </c>
      <c r="J28" s="1255">
        <f>IF($B28=0,"",_xlfn.XLOOKUP($B28,INPUT_DATA!$CN:$CN,INPUT_DATA!CT:CT))</f>
        <v>0</v>
      </c>
      <c r="K28" s="255">
        <f>IF($B28=0,"",_xlfn.XLOOKUP($B28,INPUT_DATA!$CN:$CN,INPUT_DATA!CU:CU))</f>
        <v>0</v>
      </c>
      <c r="L28" s="1255">
        <f>IF($B28=0,"",_xlfn.XLOOKUP($B28,INPUT_DATA!$CN:$CN,INPUT_DATA!CV:CV))</f>
        <v>0</v>
      </c>
      <c r="M28" s="255">
        <f>IF($B28=0,"",_xlfn.XLOOKUP($B28,INPUT_DATA!$CN:$CN,INPUT_DATA!CW:CW))</f>
        <v>0</v>
      </c>
      <c r="N28" s="1255">
        <f>IF($B28=0,"",_xlfn.XLOOKUP($B28,INPUT_DATA!$CN:$CN,INPUT_DATA!CX:CX))</f>
        <v>0</v>
      </c>
      <c r="O28" s="255">
        <f>IF($B28=0,"",_xlfn.XLOOKUP($B28,INPUT_DATA!$CN:$CN,INPUT_DATA!CY:CY))</f>
        <v>0</v>
      </c>
      <c r="P28" s="1255">
        <f>IF($B28=0,"",_xlfn.XLOOKUP($B28,INPUT_DATA!$CN:$CN,INPUT_DATA!CZ:CZ))</f>
        <v>0</v>
      </c>
      <c r="Q28" s="255">
        <f>IF($B28=0,"",_xlfn.XLOOKUP($B28,INPUT_DATA!$CN:$CN,INPUT_DATA!DA:DA))</f>
        <v>0</v>
      </c>
      <c r="R28" s="1255">
        <f>IF($B28=0,"",_xlfn.XLOOKUP($B28,INPUT_DATA!$CN:$CN,INPUT_DATA!DB:DB))</f>
        <v>0</v>
      </c>
      <c r="S28" s="255">
        <f>IF($B28=0,"",_xlfn.XLOOKUP($B28,INPUT_DATA!$CN:$CN,INPUT_DATA!DC:DC))</f>
        <v>0</v>
      </c>
      <c r="T28" s="1255">
        <f>IF($B28=0,"",_xlfn.XLOOKUP($B28,INPUT_DATA!$CN:$CN,INPUT_DATA!DD:DD))</f>
        <v>0</v>
      </c>
      <c r="U28" s="255">
        <f>IF($B28=0,"",_xlfn.XLOOKUP($B28,INPUT_DATA!$CN:$CN,INPUT_DATA!DE:DE))</f>
        <v>0</v>
      </c>
      <c r="V28" s="1255">
        <f>IF($B28=0,"",_xlfn.XLOOKUP($B28,INPUT_DATA!$CN:$CN,INPUT_DATA!DF:DF))</f>
        <v>0</v>
      </c>
      <c r="W28" s="255">
        <f>IF($B28=0,"",_xlfn.XLOOKUP($B28,INPUT_DATA!$CN:$CN,INPUT_DATA!DG:DG))</f>
        <v>0</v>
      </c>
      <c r="X28" s="1255">
        <f>IF($B28=0,"",_xlfn.XLOOKUP($B28,INPUT_DATA!$CN:$CN,INPUT_DATA!DH:DH))</f>
        <v>0</v>
      </c>
      <c r="Y28" s="255">
        <f>IF($B28=0,"",_xlfn.XLOOKUP($B28,INPUT_DATA!$CN:$CN,INPUT_DATA!DI:DI))</f>
        <v>0</v>
      </c>
      <c r="Z28" s="1255">
        <f>IF($B28=0,"",_xlfn.XLOOKUP($B28,INPUT_DATA!$CN:$CN,INPUT_DATA!DJ:DJ))</f>
        <v>0</v>
      </c>
      <c r="AA28" s="255">
        <f>IF($B28=0,"",_xlfn.XLOOKUP($B28,INPUT_DATA!$CN:$CN,INPUT_DATA!DK:DK))</f>
        <v>0</v>
      </c>
      <c r="AB28" s="1255">
        <f>IF($B28=0,"",_xlfn.XLOOKUP($B28,INPUT_DATA!$CN:$CN,INPUT_DATA!DL:DL))</f>
        <v>0</v>
      </c>
      <c r="AC28" s="255">
        <f>IF($B28=0,"",_xlfn.XLOOKUP($B28,INPUT_DATA!$CN:$CN,INPUT_DATA!DM:DM))</f>
        <v>0</v>
      </c>
      <c r="AD28" s="1255">
        <f>IF($B28=0,"",_xlfn.XLOOKUP($B28,INPUT_DATA!$CN:$CN,INPUT_DATA!DN:DN))</f>
        <v>0</v>
      </c>
    </row>
    <row r="29" spans="2:30">
      <c r="B29" s="1202">
        <f>'02 - Monthly Asset Follow up'!B33</f>
        <v>0</v>
      </c>
      <c r="C29" s="255" t="str">
        <f t="shared" ref="C29:C72" si="2">IF($B29=0,"",SUM(E29,G29,I29,K29,M29,O29,Q29,S29,U29,W29,Y29,AA29,AC29))</f>
        <v/>
      </c>
      <c r="D29" s="1255" t="str">
        <f t="shared" si="1"/>
        <v/>
      </c>
      <c r="E29" s="255" t="str">
        <f>IF($B29=0,"",_xlfn.XLOOKUP($B29,INPUT_DATA!$CN:$CN,INPUT_DATA!CO:CO))</f>
        <v/>
      </c>
      <c r="F29" s="1255" t="str">
        <f>IF($B29=0,"",_xlfn.XLOOKUP($B29,INPUT_DATA!$CN:$CN,INPUT_DATA!CP:CP))</f>
        <v/>
      </c>
      <c r="G29" s="255" t="str">
        <f>IF($B29=0,"",_xlfn.XLOOKUP($B29,INPUT_DATA!$CN:$CN,INPUT_DATA!CQ:CQ))</f>
        <v/>
      </c>
      <c r="H29" s="1255" t="str">
        <f>IF($B29=0,"",_xlfn.XLOOKUP($B29,INPUT_DATA!$CN:$CN,INPUT_DATA!CR:CR))</f>
        <v/>
      </c>
      <c r="I29" s="255" t="str">
        <f>IF($B29=0,"",_xlfn.XLOOKUP($B29,INPUT_DATA!$CN:$CN,INPUT_DATA!CS:CS))</f>
        <v/>
      </c>
      <c r="J29" s="1255" t="str">
        <f>IF($B29=0,"",_xlfn.XLOOKUP($B29,INPUT_DATA!$CN:$CN,INPUT_DATA!CT:CT))</f>
        <v/>
      </c>
      <c r="K29" s="255" t="str">
        <f>IF($B29=0,"",_xlfn.XLOOKUP($B29,INPUT_DATA!$CN:$CN,INPUT_DATA!CU:CU))</f>
        <v/>
      </c>
      <c r="L29" s="1255" t="str">
        <f>IF($B29=0,"",_xlfn.XLOOKUP($B29,INPUT_DATA!$CN:$CN,INPUT_DATA!CV:CV))</f>
        <v/>
      </c>
      <c r="M29" s="255" t="str">
        <f>IF($B29=0,"",_xlfn.XLOOKUP($B29,INPUT_DATA!$CN:$CN,INPUT_DATA!CW:CW))</f>
        <v/>
      </c>
      <c r="N29" s="1255" t="str">
        <f>IF($B29=0,"",_xlfn.XLOOKUP($B29,INPUT_DATA!$CN:$CN,INPUT_DATA!CX:CX))</f>
        <v/>
      </c>
      <c r="O29" s="255" t="str">
        <f>IF($B29=0,"",_xlfn.XLOOKUP($B29,INPUT_DATA!$CN:$CN,INPUT_DATA!CY:CY))</f>
        <v/>
      </c>
      <c r="P29" s="1255" t="str">
        <f>IF($B29=0,"",_xlfn.XLOOKUP($B29,INPUT_DATA!$CN:$CN,INPUT_DATA!CZ:CZ))</f>
        <v/>
      </c>
      <c r="Q29" s="255" t="str">
        <f>IF($B29=0,"",_xlfn.XLOOKUP($B29,INPUT_DATA!$CN:$CN,INPUT_DATA!DA:DA))</f>
        <v/>
      </c>
      <c r="R29" s="1255" t="str">
        <f>IF($B29=0,"",_xlfn.XLOOKUP($B29,INPUT_DATA!$CN:$CN,INPUT_DATA!DB:DB))</f>
        <v/>
      </c>
      <c r="S29" s="255" t="str">
        <f>IF($B29=0,"",_xlfn.XLOOKUP($B29,INPUT_DATA!$CN:$CN,INPUT_DATA!DC:DC))</f>
        <v/>
      </c>
      <c r="T29" s="1255" t="str">
        <f>IF($B29=0,"",_xlfn.XLOOKUP($B29,INPUT_DATA!$CN:$CN,INPUT_DATA!DD:DD))</f>
        <v/>
      </c>
      <c r="U29" s="255" t="str">
        <f>IF($B29=0,"",_xlfn.XLOOKUP($B29,INPUT_DATA!$CN:$CN,INPUT_DATA!DE:DE))</f>
        <v/>
      </c>
      <c r="V29" s="1255" t="str">
        <f>IF($B29=0,"",_xlfn.XLOOKUP($B29,INPUT_DATA!$CN:$CN,INPUT_DATA!DF:DF))</f>
        <v/>
      </c>
      <c r="W29" s="255" t="str">
        <f>IF($B29=0,"",_xlfn.XLOOKUP($B29,INPUT_DATA!$CN:$CN,INPUT_DATA!DG:DG))</f>
        <v/>
      </c>
      <c r="X29" s="1255" t="str">
        <f>IF($B29=0,"",_xlfn.XLOOKUP($B29,INPUT_DATA!$CN:$CN,INPUT_DATA!DH:DH))</f>
        <v/>
      </c>
      <c r="Y29" s="255" t="str">
        <f>IF($B29=0,"",_xlfn.XLOOKUP($B29,INPUT_DATA!$CN:$CN,INPUT_DATA!DI:DI))</f>
        <v/>
      </c>
      <c r="Z29" s="1255" t="str">
        <f>IF($B29=0,"",_xlfn.XLOOKUP($B29,INPUT_DATA!$CN:$CN,INPUT_DATA!DJ:DJ))</f>
        <v/>
      </c>
      <c r="AA29" s="255" t="str">
        <f>IF($B29=0,"",_xlfn.XLOOKUP($B29,INPUT_DATA!$CN:$CN,INPUT_DATA!DK:DK))</f>
        <v/>
      </c>
      <c r="AB29" s="1255" t="str">
        <f>IF($B29=0,"",_xlfn.XLOOKUP($B29,INPUT_DATA!$CN:$CN,INPUT_DATA!DL:DL))</f>
        <v/>
      </c>
      <c r="AC29" s="255" t="str">
        <f>IF($B29=0,"",_xlfn.XLOOKUP($B29,INPUT_DATA!$CN:$CN,INPUT_DATA!DM:DM))</f>
        <v/>
      </c>
      <c r="AD29" s="1255" t="str">
        <f>IF($B29=0,"",_xlfn.XLOOKUP($B29,INPUT_DATA!$CN:$CN,INPUT_DATA!DN:DN))</f>
        <v/>
      </c>
    </row>
    <row r="30" spans="2:30">
      <c r="B30" s="1202">
        <f>'02 - Monthly Asset Follow up'!B34</f>
        <v>0</v>
      </c>
      <c r="C30" s="255" t="str">
        <f t="shared" si="2"/>
        <v/>
      </c>
      <c r="D30" s="1255" t="str">
        <f t="shared" si="1"/>
        <v/>
      </c>
      <c r="E30" s="255" t="str">
        <f>IF($B30=0,"",_xlfn.XLOOKUP($B30,INPUT_DATA!$CN:$CN,INPUT_DATA!CO:CO))</f>
        <v/>
      </c>
      <c r="F30" s="1255" t="str">
        <f>IF($B30=0,"",_xlfn.XLOOKUP($B30,INPUT_DATA!$CN:$CN,INPUT_DATA!CP:CP))</f>
        <v/>
      </c>
      <c r="G30" s="255" t="str">
        <f>IF($B30=0,"",_xlfn.XLOOKUP($B30,INPUT_DATA!$CN:$CN,INPUT_DATA!CQ:CQ))</f>
        <v/>
      </c>
      <c r="H30" s="1255" t="str">
        <f>IF($B30=0,"",_xlfn.XLOOKUP($B30,INPUT_DATA!$CN:$CN,INPUT_DATA!CR:CR))</f>
        <v/>
      </c>
      <c r="I30" s="255" t="str">
        <f>IF($B30=0,"",_xlfn.XLOOKUP($B30,INPUT_DATA!$CN:$CN,INPUT_DATA!CS:CS))</f>
        <v/>
      </c>
      <c r="J30" s="1255" t="str">
        <f>IF($B30=0,"",_xlfn.XLOOKUP($B30,INPUT_DATA!$CN:$CN,INPUT_DATA!CT:CT))</f>
        <v/>
      </c>
      <c r="K30" s="255" t="str">
        <f>IF($B30=0,"",_xlfn.XLOOKUP($B30,INPUT_DATA!$CN:$CN,INPUT_DATA!CU:CU))</f>
        <v/>
      </c>
      <c r="L30" s="1255" t="str">
        <f>IF($B30=0,"",_xlfn.XLOOKUP($B30,INPUT_DATA!$CN:$CN,INPUT_DATA!CV:CV))</f>
        <v/>
      </c>
      <c r="M30" s="255" t="str">
        <f>IF($B30=0,"",_xlfn.XLOOKUP($B30,INPUT_DATA!$CN:$CN,INPUT_DATA!CW:CW))</f>
        <v/>
      </c>
      <c r="N30" s="1255" t="str">
        <f>IF($B30=0,"",_xlfn.XLOOKUP($B30,INPUT_DATA!$CN:$CN,INPUT_DATA!CX:CX))</f>
        <v/>
      </c>
      <c r="O30" s="255" t="str">
        <f>IF($B30=0,"",_xlfn.XLOOKUP($B30,INPUT_DATA!$CN:$CN,INPUT_DATA!CY:CY))</f>
        <v/>
      </c>
      <c r="P30" s="1255" t="str">
        <f>IF($B30=0,"",_xlfn.XLOOKUP($B30,INPUT_DATA!$CN:$CN,INPUT_DATA!CZ:CZ))</f>
        <v/>
      </c>
      <c r="Q30" s="255" t="str">
        <f>IF($B30=0,"",_xlfn.XLOOKUP($B30,INPUT_DATA!$CN:$CN,INPUT_DATA!DA:DA))</f>
        <v/>
      </c>
      <c r="R30" s="1255" t="str">
        <f>IF($B30=0,"",_xlfn.XLOOKUP($B30,INPUT_DATA!$CN:$CN,INPUT_DATA!DB:DB))</f>
        <v/>
      </c>
      <c r="S30" s="255" t="str">
        <f>IF($B30=0,"",_xlfn.XLOOKUP($B30,INPUT_DATA!$CN:$CN,INPUT_DATA!DC:DC))</f>
        <v/>
      </c>
      <c r="T30" s="1255" t="str">
        <f>IF($B30=0,"",_xlfn.XLOOKUP($B30,INPUT_DATA!$CN:$CN,INPUT_DATA!DD:DD))</f>
        <v/>
      </c>
      <c r="U30" s="255" t="str">
        <f>IF($B30=0,"",_xlfn.XLOOKUP($B30,INPUT_DATA!$CN:$CN,INPUT_DATA!DE:DE))</f>
        <v/>
      </c>
      <c r="V30" s="1255" t="str">
        <f>IF($B30=0,"",_xlfn.XLOOKUP($B30,INPUT_DATA!$CN:$CN,INPUT_DATA!DF:DF))</f>
        <v/>
      </c>
      <c r="W30" s="255" t="str">
        <f>IF($B30=0,"",_xlfn.XLOOKUP($B30,INPUT_DATA!$CN:$CN,INPUT_DATA!DG:DG))</f>
        <v/>
      </c>
      <c r="X30" s="1255" t="str">
        <f>IF($B30=0,"",_xlfn.XLOOKUP($B30,INPUT_DATA!$CN:$CN,INPUT_DATA!DH:DH))</f>
        <v/>
      </c>
      <c r="Y30" s="255" t="str">
        <f>IF($B30=0,"",_xlfn.XLOOKUP($B30,INPUT_DATA!$CN:$CN,INPUT_DATA!DI:DI))</f>
        <v/>
      </c>
      <c r="Z30" s="1255" t="str">
        <f>IF($B30=0,"",_xlfn.XLOOKUP($B30,INPUT_DATA!$CN:$CN,INPUT_DATA!DJ:DJ))</f>
        <v/>
      </c>
      <c r="AA30" s="255" t="str">
        <f>IF($B30=0,"",_xlfn.XLOOKUP($B30,INPUT_DATA!$CN:$CN,INPUT_DATA!DK:DK))</f>
        <v/>
      </c>
      <c r="AB30" s="1255" t="str">
        <f>IF($B30=0,"",_xlfn.XLOOKUP($B30,INPUT_DATA!$CN:$CN,INPUT_DATA!DL:DL))</f>
        <v/>
      </c>
      <c r="AC30" s="255" t="str">
        <f>IF($B30=0,"",_xlfn.XLOOKUP($B30,INPUT_DATA!$CN:$CN,INPUT_DATA!DM:DM))</f>
        <v/>
      </c>
      <c r="AD30" s="1255" t="str">
        <f>IF($B30=0,"",_xlfn.XLOOKUP($B30,INPUT_DATA!$CN:$CN,INPUT_DATA!DN:DN))</f>
        <v/>
      </c>
    </row>
    <row r="31" spans="2:30">
      <c r="B31" s="1202">
        <f>'02 - Monthly Asset Follow up'!B35</f>
        <v>0</v>
      </c>
      <c r="C31" s="255" t="str">
        <f t="shared" si="2"/>
        <v/>
      </c>
      <c r="D31" s="1255" t="str">
        <f t="shared" si="1"/>
        <v/>
      </c>
      <c r="E31" s="255" t="str">
        <f>IF($B31=0,"",_xlfn.XLOOKUP($B31,INPUT_DATA!$CN:$CN,INPUT_DATA!CO:CO))</f>
        <v/>
      </c>
      <c r="F31" s="1255" t="str">
        <f>IF($B31=0,"",_xlfn.XLOOKUP($B31,INPUT_DATA!$CN:$CN,INPUT_DATA!CP:CP))</f>
        <v/>
      </c>
      <c r="G31" s="255" t="str">
        <f>IF($B31=0,"",_xlfn.XLOOKUP($B31,INPUT_DATA!$CN:$CN,INPUT_DATA!CQ:CQ))</f>
        <v/>
      </c>
      <c r="H31" s="1255" t="str">
        <f>IF($B31=0,"",_xlfn.XLOOKUP($B31,INPUT_DATA!$CN:$CN,INPUT_DATA!CR:CR))</f>
        <v/>
      </c>
      <c r="I31" s="255" t="str">
        <f>IF($B31=0,"",_xlfn.XLOOKUP($B31,INPUT_DATA!$CN:$CN,INPUT_DATA!CS:CS))</f>
        <v/>
      </c>
      <c r="J31" s="1255" t="str">
        <f>IF($B31=0,"",_xlfn.XLOOKUP($B31,INPUT_DATA!$CN:$CN,INPUT_DATA!CT:CT))</f>
        <v/>
      </c>
      <c r="K31" s="255" t="str">
        <f>IF($B31=0,"",_xlfn.XLOOKUP($B31,INPUT_DATA!$CN:$CN,INPUT_DATA!CU:CU))</f>
        <v/>
      </c>
      <c r="L31" s="1255" t="str">
        <f>IF($B31=0,"",_xlfn.XLOOKUP($B31,INPUT_DATA!$CN:$CN,INPUT_DATA!CV:CV))</f>
        <v/>
      </c>
      <c r="M31" s="255" t="str">
        <f>IF($B31=0,"",_xlfn.XLOOKUP($B31,INPUT_DATA!$CN:$CN,INPUT_DATA!CW:CW))</f>
        <v/>
      </c>
      <c r="N31" s="1255" t="str">
        <f>IF($B31=0,"",_xlfn.XLOOKUP($B31,INPUT_DATA!$CN:$CN,INPUT_DATA!CX:CX))</f>
        <v/>
      </c>
      <c r="O31" s="255" t="str">
        <f>IF($B31=0,"",_xlfn.XLOOKUP($B31,INPUT_DATA!$CN:$CN,INPUT_DATA!CY:CY))</f>
        <v/>
      </c>
      <c r="P31" s="1255" t="str">
        <f>IF($B31=0,"",_xlfn.XLOOKUP($B31,INPUT_DATA!$CN:$CN,INPUT_DATA!CZ:CZ))</f>
        <v/>
      </c>
      <c r="Q31" s="255" t="str">
        <f>IF($B31=0,"",_xlfn.XLOOKUP($B31,INPUT_DATA!$CN:$CN,INPUT_DATA!DA:DA))</f>
        <v/>
      </c>
      <c r="R31" s="1255" t="str">
        <f>IF($B31=0,"",_xlfn.XLOOKUP($B31,INPUT_DATA!$CN:$CN,INPUT_DATA!DB:DB))</f>
        <v/>
      </c>
      <c r="S31" s="255" t="str">
        <f>IF($B31=0,"",_xlfn.XLOOKUP($B31,INPUT_DATA!$CN:$CN,INPUT_DATA!DC:DC))</f>
        <v/>
      </c>
      <c r="T31" s="1255" t="str">
        <f>IF($B31=0,"",_xlfn.XLOOKUP($B31,INPUT_DATA!$CN:$CN,INPUT_DATA!DD:DD))</f>
        <v/>
      </c>
      <c r="U31" s="255" t="str">
        <f>IF($B31=0,"",_xlfn.XLOOKUP($B31,INPUT_DATA!$CN:$CN,INPUT_DATA!DE:DE))</f>
        <v/>
      </c>
      <c r="V31" s="1255" t="str">
        <f>IF($B31=0,"",_xlfn.XLOOKUP($B31,INPUT_DATA!$CN:$CN,INPUT_DATA!DF:DF))</f>
        <v/>
      </c>
      <c r="W31" s="255" t="str">
        <f>IF($B31=0,"",_xlfn.XLOOKUP($B31,INPUT_DATA!$CN:$CN,INPUT_DATA!DG:DG))</f>
        <v/>
      </c>
      <c r="X31" s="1255" t="str">
        <f>IF($B31=0,"",_xlfn.XLOOKUP($B31,INPUT_DATA!$CN:$CN,INPUT_DATA!DH:DH))</f>
        <v/>
      </c>
      <c r="Y31" s="255" t="str">
        <f>IF($B31=0,"",_xlfn.XLOOKUP($B31,INPUT_DATA!$CN:$CN,INPUT_DATA!DI:DI))</f>
        <v/>
      </c>
      <c r="Z31" s="1255" t="str">
        <f>IF($B31=0,"",_xlfn.XLOOKUP($B31,INPUT_DATA!$CN:$CN,INPUT_DATA!DJ:DJ))</f>
        <v/>
      </c>
      <c r="AA31" s="255" t="str">
        <f>IF($B31=0,"",_xlfn.XLOOKUP($B31,INPUT_DATA!$CN:$CN,INPUT_DATA!DK:DK))</f>
        <v/>
      </c>
      <c r="AB31" s="1255" t="str">
        <f>IF($B31=0,"",_xlfn.XLOOKUP($B31,INPUT_DATA!$CN:$CN,INPUT_DATA!DL:DL))</f>
        <v/>
      </c>
      <c r="AC31" s="255" t="str">
        <f>IF($B31=0,"",_xlfn.XLOOKUP($B31,INPUT_DATA!$CN:$CN,INPUT_DATA!DM:DM))</f>
        <v/>
      </c>
      <c r="AD31" s="1255" t="str">
        <f>IF($B31=0,"",_xlfn.XLOOKUP($B31,INPUT_DATA!$CN:$CN,INPUT_DATA!DN:DN))</f>
        <v/>
      </c>
    </row>
    <row r="32" spans="2:30">
      <c r="B32" s="1202">
        <f>'02 - Monthly Asset Follow up'!B36</f>
        <v>0</v>
      </c>
      <c r="C32" s="255" t="str">
        <f t="shared" si="2"/>
        <v/>
      </c>
      <c r="D32" s="1255" t="str">
        <f t="shared" si="1"/>
        <v/>
      </c>
      <c r="E32" s="255" t="str">
        <f>IF($B32=0,"",_xlfn.XLOOKUP($B32,INPUT_DATA!$CN:$CN,INPUT_DATA!CO:CO))</f>
        <v/>
      </c>
      <c r="F32" s="1255" t="str">
        <f>IF($B32=0,"",_xlfn.XLOOKUP($B32,INPUT_DATA!$CN:$CN,INPUT_DATA!CP:CP))</f>
        <v/>
      </c>
      <c r="G32" s="255" t="str">
        <f>IF($B32=0,"",_xlfn.XLOOKUP($B32,INPUT_DATA!$CN:$CN,INPUT_DATA!CQ:CQ))</f>
        <v/>
      </c>
      <c r="H32" s="1255" t="str">
        <f>IF($B32=0,"",_xlfn.XLOOKUP($B32,INPUT_DATA!$CN:$CN,INPUT_DATA!CR:CR))</f>
        <v/>
      </c>
      <c r="I32" s="255" t="str">
        <f>IF($B32=0,"",_xlfn.XLOOKUP($B32,INPUT_DATA!$CN:$CN,INPUT_DATA!CS:CS))</f>
        <v/>
      </c>
      <c r="J32" s="1255" t="str">
        <f>IF($B32=0,"",_xlfn.XLOOKUP($B32,INPUT_DATA!$CN:$CN,INPUT_DATA!CT:CT))</f>
        <v/>
      </c>
      <c r="K32" s="255" t="str">
        <f>IF($B32=0,"",_xlfn.XLOOKUP($B32,INPUT_DATA!$CN:$CN,INPUT_DATA!CU:CU))</f>
        <v/>
      </c>
      <c r="L32" s="1255" t="str">
        <f>IF($B32=0,"",_xlfn.XLOOKUP($B32,INPUT_DATA!$CN:$CN,INPUT_DATA!CV:CV))</f>
        <v/>
      </c>
      <c r="M32" s="255" t="str">
        <f>IF($B32=0,"",_xlfn.XLOOKUP($B32,INPUT_DATA!$CN:$CN,INPUT_DATA!CW:CW))</f>
        <v/>
      </c>
      <c r="N32" s="1255" t="str">
        <f>IF($B32=0,"",_xlfn.XLOOKUP($B32,INPUT_DATA!$CN:$CN,INPUT_DATA!CX:CX))</f>
        <v/>
      </c>
      <c r="O32" s="255" t="str">
        <f>IF($B32=0,"",_xlfn.XLOOKUP($B32,INPUT_DATA!$CN:$CN,INPUT_DATA!CY:CY))</f>
        <v/>
      </c>
      <c r="P32" s="1255" t="str">
        <f>IF($B32=0,"",_xlfn.XLOOKUP($B32,INPUT_DATA!$CN:$CN,INPUT_DATA!CZ:CZ))</f>
        <v/>
      </c>
      <c r="Q32" s="255" t="str">
        <f>IF($B32=0,"",_xlfn.XLOOKUP($B32,INPUT_DATA!$CN:$CN,INPUT_DATA!DA:DA))</f>
        <v/>
      </c>
      <c r="R32" s="1255" t="str">
        <f>IF($B32=0,"",_xlfn.XLOOKUP($B32,INPUT_DATA!$CN:$CN,INPUT_DATA!DB:DB))</f>
        <v/>
      </c>
      <c r="S32" s="255" t="str">
        <f>IF($B32=0,"",_xlfn.XLOOKUP($B32,INPUT_DATA!$CN:$CN,INPUT_DATA!DC:DC))</f>
        <v/>
      </c>
      <c r="T32" s="1255" t="str">
        <f>IF($B32=0,"",_xlfn.XLOOKUP($B32,INPUT_DATA!$CN:$CN,INPUT_DATA!DD:DD))</f>
        <v/>
      </c>
      <c r="U32" s="255" t="str">
        <f>IF($B32=0,"",_xlfn.XLOOKUP($B32,INPUT_DATA!$CN:$CN,INPUT_DATA!DE:DE))</f>
        <v/>
      </c>
      <c r="V32" s="1255" t="str">
        <f>IF($B32=0,"",_xlfn.XLOOKUP($B32,INPUT_DATA!$CN:$CN,INPUT_DATA!DF:DF))</f>
        <v/>
      </c>
      <c r="W32" s="255" t="str">
        <f>IF($B32=0,"",_xlfn.XLOOKUP($B32,INPUT_DATA!$CN:$CN,INPUT_DATA!DG:DG))</f>
        <v/>
      </c>
      <c r="X32" s="1255" t="str">
        <f>IF($B32=0,"",_xlfn.XLOOKUP($B32,INPUT_DATA!$CN:$CN,INPUT_DATA!DH:DH))</f>
        <v/>
      </c>
      <c r="Y32" s="255" t="str">
        <f>IF($B32=0,"",_xlfn.XLOOKUP($B32,INPUT_DATA!$CN:$CN,INPUT_DATA!DI:DI))</f>
        <v/>
      </c>
      <c r="Z32" s="1255" t="str">
        <f>IF($B32=0,"",_xlfn.XLOOKUP($B32,INPUT_DATA!$CN:$CN,INPUT_DATA!DJ:DJ))</f>
        <v/>
      </c>
      <c r="AA32" s="255" t="str">
        <f>IF($B32=0,"",_xlfn.XLOOKUP($B32,INPUT_DATA!$CN:$CN,INPUT_DATA!DK:DK))</f>
        <v/>
      </c>
      <c r="AB32" s="1255" t="str">
        <f>IF($B32=0,"",_xlfn.XLOOKUP($B32,INPUT_DATA!$CN:$CN,INPUT_DATA!DL:DL))</f>
        <v/>
      </c>
      <c r="AC32" s="255" t="str">
        <f>IF($B32=0,"",_xlfn.XLOOKUP($B32,INPUT_DATA!$CN:$CN,INPUT_DATA!DM:DM))</f>
        <v/>
      </c>
      <c r="AD32" s="1255" t="str">
        <f>IF($B32=0,"",_xlfn.XLOOKUP($B32,INPUT_DATA!$CN:$CN,INPUT_DATA!DN:DN))</f>
        <v/>
      </c>
    </row>
    <row r="33" spans="2:30">
      <c r="B33" s="1202">
        <f>'02 - Monthly Asset Follow up'!B37</f>
        <v>0</v>
      </c>
      <c r="C33" s="255" t="str">
        <f t="shared" si="2"/>
        <v/>
      </c>
      <c r="D33" s="1255" t="str">
        <f t="shared" si="1"/>
        <v/>
      </c>
      <c r="E33" s="255" t="str">
        <f>IF($B33=0,"",_xlfn.XLOOKUP($B33,INPUT_DATA!$CN:$CN,INPUT_DATA!CO:CO))</f>
        <v/>
      </c>
      <c r="F33" s="1255" t="str">
        <f>IF($B33=0,"",_xlfn.XLOOKUP($B33,INPUT_DATA!$CN:$CN,INPUT_DATA!CP:CP))</f>
        <v/>
      </c>
      <c r="G33" s="255" t="str">
        <f>IF($B33=0,"",_xlfn.XLOOKUP($B33,INPUT_DATA!$CN:$CN,INPUT_DATA!CQ:CQ))</f>
        <v/>
      </c>
      <c r="H33" s="1255" t="str">
        <f>IF($B33=0,"",_xlfn.XLOOKUP($B33,INPUT_DATA!$CN:$CN,INPUT_DATA!CR:CR))</f>
        <v/>
      </c>
      <c r="I33" s="255" t="str">
        <f>IF($B33=0,"",_xlfn.XLOOKUP($B33,INPUT_DATA!$CN:$CN,INPUT_DATA!CS:CS))</f>
        <v/>
      </c>
      <c r="J33" s="1255" t="str">
        <f>IF($B33=0,"",_xlfn.XLOOKUP($B33,INPUT_DATA!$CN:$CN,INPUT_DATA!CT:CT))</f>
        <v/>
      </c>
      <c r="K33" s="255" t="str">
        <f>IF($B33=0,"",_xlfn.XLOOKUP($B33,INPUT_DATA!$CN:$CN,INPUT_DATA!CU:CU))</f>
        <v/>
      </c>
      <c r="L33" s="1255" t="str">
        <f>IF($B33=0,"",_xlfn.XLOOKUP($B33,INPUT_DATA!$CN:$CN,INPUT_DATA!CV:CV))</f>
        <v/>
      </c>
      <c r="M33" s="255" t="str">
        <f>IF($B33=0,"",_xlfn.XLOOKUP($B33,INPUT_DATA!$CN:$CN,INPUT_DATA!CW:CW))</f>
        <v/>
      </c>
      <c r="N33" s="1255" t="str">
        <f>IF($B33=0,"",_xlfn.XLOOKUP($B33,INPUT_DATA!$CN:$CN,INPUT_DATA!CX:CX))</f>
        <v/>
      </c>
      <c r="O33" s="255" t="str">
        <f>IF($B33=0,"",_xlfn.XLOOKUP($B33,INPUT_DATA!$CN:$CN,INPUT_DATA!CY:CY))</f>
        <v/>
      </c>
      <c r="P33" s="1255" t="str">
        <f>IF($B33=0,"",_xlfn.XLOOKUP($B33,INPUT_DATA!$CN:$CN,INPUT_DATA!CZ:CZ))</f>
        <v/>
      </c>
      <c r="Q33" s="255" t="str">
        <f>IF($B33=0,"",_xlfn.XLOOKUP($B33,INPUT_DATA!$CN:$CN,INPUT_DATA!DA:DA))</f>
        <v/>
      </c>
      <c r="R33" s="1255" t="str">
        <f>IF($B33=0,"",_xlfn.XLOOKUP($B33,INPUT_DATA!$CN:$CN,INPUT_DATA!DB:DB))</f>
        <v/>
      </c>
      <c r="S33" s="255" t="str">
        <f>IF($B33=0,"",_xlfn.XLOOKUP($B33,INPUT_DATA!$CN:$CN,INPUT_DATA!DC:DC))</f>
        <v/>
      </c>
      <c r="T33" s="1255" t="str">
        <f>IF($B33=0,"",_xlfn.XLOOKUP($B33,INPUT_DATA!$CN:$CN,INPUT_DATA!DD:DD))</f>
        <v/>
      </c>
      <c r="U33" s="255" t="str">
        <f>IF($B33=0,"",_xlfn.XLOOKUP($B33,INPUT_DATA!$CN:$CN,INPUT_DATA!DE:DE))</f>
        <v/>
      </c>
      <c r="V33" s="1255" t="str">
        <f>IF($B33=0,"",_xlfn.XLOOKUP($B33,INPUT_DATA!$CN:$CN,INPUT_DATA!DF:DF))</f>
        <v/>
      </c>
      <c r="W33" s="255" t="str">
        <f>IF($B33=0,"",_xlfn.XLOOKUP($B33,INPUT_DATA!$CN:$CN,INPUT_DATA!DG:DG))</f>
        <v/>
      </c>
      <c r="X33" s="1255" t="str">
        <f>IF($B33=0,"",_xlfn.XLOOKUP($B33,INPUT_DATA!$CN:$CN,INPUT_DATA!DH:DH))</f>
        <v/>
      </c>
      <c r="Y33" s="255" t="str">
        <f>IF($B33=0,"",_xlfn.XLOOKUP($B33,INPUT_DATA!$CN:$CN,INPUT_DATA!DI:DI))</f>
        <v/>
      </c>
      <c r="Z33" s="1255" t="str">
        <f>IF($B33=0,"",_xlfn.XLOOKUP($B33,INPUT_DATA!$CN:$CN,INPUT_DATA!DJ:DJ))</f>
        <v/>
      </c>
      <c r="AA33" s="255" t="str">
        <f>IF($B33=0,"",_xlfn.XLOOKUP($B33,INPUT_DATA!$CN:$CN,INPUT_DATA!DK:DK))</f>
        <v/>
      </c>
      <c r="AB33" s="1255" t="str">
        <f>IF($B33=0,"",_xlfn.XLOOKUP($B33,INPUT_DATA!$CN:$CN,INPUT_DATA!DL:DL))</f>
        <v/>
      </c>
      <c r="AC33" s="255" t="str">
        <f>IF($B33=0,"",_xlfn.XLOOKUP($B33,INPUT_DATA!$CN:$CN,INPUT_DATA!DM:DM))</f>
        <v/>
      </c>
      <c r="AD33" s="1255" t="str">
        <f>IF($B33=0,"",_xlfn.XLOOKUP($B33,INPUT_DATA!$CN:$CN,INPUT_DATA!DN:DN))</f>
        <v/>
      </c>
    </row>
    <row r="34" spans="2:30">
      <c r="B34" s="1202">
        <f>'02 - Monthly Asset Follow up'!B38</f>
        <v>0</v>
      </c>
      <c r="C34" s="255" t="str">
        <f t="shared" si="2"/>
        <v/>
      </c>
      <c r="D34" s="1255" t="str">
        <f t="shared" si="1"/>
        <v/>
      </c>
      <c r="E34" s="255" t="str">
        <f>IF($B34=0,"",_xlfn.XLOOKUP($B34,INPUT_DATA!$CN:$CN,INPUT_DATA!CO:CO))</f>
        <v/>
      </c>
      <c r="F34" s="1255" t="str">
        <f>IF($B34=0,"",_xlfn.XLOOKUP($B34,INPUT_DATA!$CN:$CN,INPUT_DATA!CP:CP))</f>
        <v/>
      </c>
      <c r="G34" s="255" t="str">
        <f>IF($B34=0,"",_xlfn.XLOOKUP($B34,INPUT_DATA!$CN:$CN,INPUT_DATA!CQ:CQ))</f>
        <v/>
      </c>
      <c r="H34" s="1255" t="str">
        <f>IF($B34=0,"",_xlfn.XLOOKUP($B34,INPUT_DATA!$CN:$CN,INPUT_DATA!CR:CR))</f>
        <v/>
      </c>
      <c r="I34" s="255" t="str">
        <f>IF($B34=0,"",_xlfn.XLOOKUP($B34,INPUT_DATA!$CN:$CN,INPUT_DATA!CS:CS))</f>
        <v/>
      </c>
      <c r="J34" s="1255" t="str">
        <f>IF($B34=0,"",_xlfn.XLOOKUP($B34,INPUT_DATA!$CN:$CN,INPUT_DATA!CT:CT))</f>
        <v/>
      </c>
      <c r="K34" s="255" t="str">
        <f>IF($B34=0,"",_xlfn.XLOOKUP($B34,INPUT_DATA!$CN:$CN,INPUT_DATA!CU:CU))</f>
        <v/>
      </c>
      <c r="L34" s="1255" t="str">
        <f>IF($B34=0,"",_xlfn.XLOOKUP($B34,INPUT_DATA!$CN:$CN,INPUT_DATA!CV:CV))</f>
        <v/>
      </c>
      <c r="M34" s="255" t="str">
        <f>IF($B34=0,"",_xlfn.XLOOKUP($B34,INPUT_DATA!$CN:$CN,INPUT_DATA!CW:CW))</f>
        <v/>
      </c>
      <c r="N34" s="1255" t="str">
        <f>IF($B34=0,"",_xlfn.XLOOKUP($B34,INPUT_DATA!$CN:$CN,INPUT_DATA!CX:CX))</f>
        <v/>
      </c>
      <c r="O34" s="255" t="str">
        <f>IF($B34=0,"",_xlfn.XLOOKUP($B34,INPUT_DATA!$CN:$CN,INPUT_DATA!CY:CY))</f>
        <v/>
      </c>
      <c r="P34" s="1255" t="str">
        <f>IF($B34=0,"",_xlfn.XLOOKUP($B34,INPUT_DATA!$CN:$CN,INPUT_DATA!CZ:CZ))</f>
        <v/>
      </c>
      <c r="Q34" s="255" t="str">
        <f>IF($B34=0,"",_xlfn.XLOOKUP($B34,INPUT_DATA!$CN:$CN,INPUT_DATA!DA:DA))</f>
        <v/>
      </c>
      <c r="R34" s="1255" t="str">
        <f>IF($B34=0,"",_xlfn.XLOOKUP($B34,INPUT_DATA!$CN:$CN,INPUT_DATA!DB:DB))</f>
        <v/>
      </c>
      <c r="S34" s="255" t="str">
        <f>IF($B34=0,"",_xlfn.XLOOKUP($B34,INPUT_DATA!$CN:$CN,INPUT_DATA!DC:DC))</f>
        <v/>
      </c>
      <c r="T34" s="1255" t="str">
        <f>IF($B34=0,"",_xlfn.XLOOKUP($B34,INPUT_DATA!$CN:$CN,INPUT_DATA!DD:DD))</f>
        <v/>
      </c>
      <c r="U34" s="255" t="str">
        <f>IF($B34=0,"",_xlfn.XLOOKUP($B34,INPUT_DATA!$CN:$CN,INPUT_DATA!DE:DE))</f>
        <v/>
      </c>
      <c r="V34" s="1255" t="str">
        <f>IF($B34=0,"",_xlfn.XLOOKUP($B34,INPUT_DATA!$CN:$CN,INPUT_DATA!DF:DF))</f>
        <v/>
      </c>
      <c r="W34" s="255" t="str">
        <f>IF($B34=0,"",_xlfn.XLOOKUP($B34,INPUT_DATA!$CN:$CN,INPUT_DATA!DG:DG))</f>
        <v/>
      </c>
      <c r="X34" s="1255" t="str">
        <f>IF($B34=0,"",_xlfn.XLOOKUP($B34,INPUT_DATA!$CN:$CN,INPUT_DATA!DH:DH))</f>
        <v/>
      </c>
      <c r="Y34" s="255" t="str">
        <f>IF($B34=0,"",_xlfn.XLOOKUP($B34,INPUT_DATA!$CN:$CN,INPUT_DATA!DI:DI))</f>
        <v/>
      </c>
      <c r="Z34" s="1255" t="str">
        <f>IF($B34=0,"",_xlfn.XLOOKUP($B34,INPUT_DATA!$CN:$CN,INPUT_DATA!DJ:DJ))</f>
        <v/>
      </c>
      <c r="AA34" s="255" t="str">
        <f>IF($B34=0,"",_xlfn.XLOOKUP($B34,INPUT_DATA!$CN:$CN,INPUT_DATA!DK:DK))</f>
        <v/>
      </c>
      <c r="AB34" s="1255" t="str">
        <f>IF($B34=0,"",_xlfn.XLOOKUP($B34,INPUT_DATA!$CN:$CN,INPUT_DATA!DL:DL))</f>
        <v/>
      </c>
      <c r="AC34" s="255" t="str">
        <f>IF($B34=0,"",_xlfn.XLOOKUP($B34,INPUT_DATA!$CN:$CN,INPUT_DATA!DM:DM))</f>
        <v/>
      </c>
      <c r="AD34" s="1255" t="str">
        <f>IF($B34=0,"",_xlfn.XLOOKUP($B34,INPUT_DATA!$CN:$CN,INPUT_DATA!DN:DN))</f>
        <v/>
      </c>
    </row>
    <row r="35" spans="2:30">
      <c r="B35" s="1202">
        <f>'02 - Monthly Asset Follow up'!B39</f>
        <v>0</v>
      </c>
      <c r="C35" s="255" t="str">
        <f t="shared" si="2"/>
        <v/>
      </c>
      <c r="D35" s="1255" t="str">
        <f t="shared" si="1"/>
        <v/>
      </c>
      <c r="E35" s="255" t="str">
        <f>IF($B35=0,"",_xlfn.XLOOKUP($B35,INPUT_DATA!$CN:$CN,INPUT_DATA!CO:CO))</f>
        <v/>
      </c>
      <c r="F35" s="1255" t="str">
        <f>IF($B35=0,"",_xlfn.XLOOKUP($B35,INPUT_DATA!$CN:$CN,INPUT_DATA!CP:CP))</f>
        <v/>
      </c>
      <c r="G35" s="255" t="str">
        <f>IF($B35=0,"",_xlfn.XLOOKUP($B35,INPUT_DATA!$CN:$CN,INPUT_DATA!CQ:CQ))</f>
        <v/>
      </c>
      <c r="H35" s="1255" t="str">
        <f>IF($B35=0,"",_xlfn.XLOOKUP($B35,INPUT_DATA!$CN:$CN,INPUT_DATA!CR:CR))</f>
        <v/>
      </c>
      <c r="I35" s="255" t="str">
        <f>IF($B35=0,"",_xlfn.XLOOKUP($B35,INPUT_DATA!$CN:$CN,INPUT_DATA!CS:CS))</f>
        <v/>
      </c>
      <c r="J35" s="1255" t="str">
        <f>IF($B35=0,"",_xlfn.XLOOKUP($B35,INPUT_DATA!$CN:$CN,INPUT_DATA!CT:CT))</f>
        <v/>
      </c>
      <c r="K35" s="255" t="str">
        <f>IF($B35=0,"",_xlfn.XLOOKUP($B35,INPUT_DATA!$CN:$CN,INPUT_DATA!CU:CU))</f>
        <v/>
      </c>
      <c r="L35" s="1255" t="str">
        <f>IF($B35=0,"",_xlfn.XLOOKUP($B35,INPUT_DATA!$CN:$CN,INPUT_DATA!CV:CV))</f>
        <v/>
      </c>
      <c r="M35" s="255" t="str">
        <f>IF($B35=0,"",_xlfn.XLOOKUP($B35,INPUT_DATA!$CN:$CN,INPUT_DATA!CW:CW))</f>
        <v/>
      </c>
      <c r="N35" s="1255" t="str">
        <f>IF($B35=0,"",_xlfn.XLOOKUP($B35,INPUT_DATA!$CN:$CN,INPUT_DATA!CX:CX))</f>
        <v/>
      </c>
      <c r="O35" s="255" t="str">
        <f>IF($B35=0,"",_xlfn.XLOOKUP($B35,INPUT_DATA!$CN:$CN,INPUT_DATA!CY:CY))</f>
        <v/>
      </c>
      <c r="P35" s="1255" t="str">
        <f>IF($B35=0,"",_xlfn.XLOOKUP($B35,INPUT_DATA!$CN:$CN,INPUT_DATA!CZ:CZ))</f>
        <v/>
      </c>
      <c r="Q35" s="255" t="str">
        <f>IF($B35=0,"",_xlfn.XLOOKUP($B35,INPUT_DATA!$CN:$CN,INPUT_DATA!DA:DA))</f>
        <v/>
      </c>
      <c r="R35" s="1255" t="str">
        <f>IF($B35=0,"",_xlfn.XLOOKUP($B35,INPUT_DATA!$CN:$CN,INPUT_DATA!DB:DB))</f>
        <v/>
      </c>
      <c r="S35" s="255" t="str">
        <f>IF($B35=0,"",_xlfn.XLOOKUP($B35,INPUT_DATA!$CN:$CN,INPUT_DATA!DC:DC))</f>
        <v/>
      </c>
      <c r="T35" s="1255" t="str">
        <f>IF($B35=0,"",_xlfn.XLOOKUP($B35,INPUT_DATA!$CN:$CN,INPUT_DATA!DD:DD))</f>
        <v/>
      </c>
      <c r="U35" s="255" t="str">
        <f>IF($B35=0,"",_xlfn.XLOOKUP($B35,INPUT_DATA!$CN:$CN,INPUT_DATA!DE:DE))</f>
        <v/>
      </c>
      <c r="V35" s="1255" t="str">
        <f>IF($B35=0,"",_xlfn.XLOOKUP($B35,INPUT_DATA!$CN:$CN,INPUT_DATA!DF:DF))</f>
        <v/>
      </c>
      <c r="W35" s="255" t="str">
        <f>IF($B35=0,"",_xlfn.XLOOKUP($B35,INPUT_DATA!$CN:$CN,INPUT_DATA!DG:DG))</f>
        <v/>
      </c>
      <c r="X35" s="1255" t="str">
        <f>IF($B35=0,"",_xlfn.XLOOKUP($B35,INPUT_DATA!$CN:$CN,INPUT_DATA!DH:DH))</f>
        <v/>
      </c>
      <c r="Y35" s="255" t="str">
        <f>IF($B35=0,"",_xlfn.XLOOKUP($B35,INPUT_DATA!$CN:$CN,INPUT_DATA!DI:DI))</f>
        <v/>
      </c>
      <c r="Z35" s="1255" t="str">
        <f>IF($B35=0,"",_xlfn.XLOOKUP($B35,INPUT_DATA!$CN:$CN,INPUT_DATA!DJ:DJ))</f>
        <v/>
      </c>
      <c r="AA35" s="255" t="str">
        <f>IF($B35=0,"",_xlfn.XLOOKUP($B35,INPUT_DATA!$CN:$CN,INPUT_DATA!DK:DK))</f>
        <v/>
      </c>
      <c r="AB35" s="1255" t="str">
        <f>IF($B35=0,"",_xlfn.XLOOKUP($B35,INPUT_DATA!$CN:$CN,INPUT_DATA!DL:DL))</f>
        <v/>
      </c>
      <c r="AC35" s="255" t="str">
        <f>IF($B35=0,"",_xlfn.XLOOKUP($B35,INPUT_DATA!$CN:$CN,INPUT_DATA!DM:DM))</f>
        <v/>
      </c>
      <c r="AD35" s="1255" t="str">
        <f>IF($B35=0,"",_xlfn.XLOOKUP($B35,INPUT_DATA!$CN:$CN,INPUT_DATA!DN:DN))</f>
        <v/>
      </c>
    </row>
    <row r="36" spans="2:30">
      <c r="B36" s="1202">
        <f>'02 - Monthly Asset Follow up'!B40</f>
        <v>0</v>
      </c>
      <c r="C36" s="255" t="str">
        <f t="shared" si="2"/>
        <v/>
      </c>
      <c r="D36" s="1255" t="str">
        <f t="shared" si="1"/>
        <v/>
      </c>
      <c r="E36" s="255" t="str">
        <f>IF($B36=0,"",_xlfn.XLOOKUP($B36,INPUT_DATA!$CN:$CN,INPUT_DATA!CO:CO))</f>
        <v/>
      </c>
      <c r="F36" s="1255" t="str">
        <f>IF($B36=0,"",_xlfn.XLOOKUP($B36,INPUT_DATA!$CN:$CN,INPUT_DATA!CP:CP))</f>
        <v/>
      </c>
      <c r="G36" s="255" t="str">
        <f>IF($B36=0,"",_xlfn.XLOOKUP($B36,INPUT_DATA!$CN:$CN,INPUT_DATA!CQ:CQ))</f>
        <v/>
      </c>
      <c r="H36" s="1255" t="str">
        <f>IF($B36=0,"",_xlfn.XLOOKUP($B36,INPUT_DATA!$CN:$CN,INPUT_DATA!CR:CR))</f>
        <v/>
      </c>
      <c r="I36" s="255" t="str">
        <f>IF($B36=0,"",_xlfn.XLOOKUP($B36,INPUT_DATA!$CN:$CN,INPUT_DATA!CS:CS))</f>
        <v/>
      </c>
      <c r="J36" s="1255" t="str">
        <f>IF($B36=0,"",_xlfn.XLOOKUP($B36,INPUT_DATA!$CN:$CN,INPUT_DATA!CT:CT))</f>
        <v/>
      </c>
      <c r="K36" s="255" t="str">
        <f>IF($B36=0,"",_xlfn.XLOOKUP($B36,INPUT_DATA!$CN:$CN,INPUT_DATA!CU:CU))</f>
        <v/>
      </c>
      <c r="L36" s="1255" t="str">
        <f>IF($B36=0,"",_xlfn.XLOOKUP($B36,INPUT_DATA!$CN:$CN,INPUT_DATA!CV:CV))</f>
        <v/>
      </c>
      <c r="M36" s="255" t="str">
        <f>IF($B36=0,"",_xlfn.XLOOKUP($B36,INPUT_DATA!$CN:$CN,INPUT_DATA!CW:CW))</f>
        <v/>
      </c>
      <c r="N36" s="1255" t="str">
        <f>IF($B36=0,"",_xlfn.XLOOKUP($B36,INPUT_DATA!$CN:$CN,INPUT_DATA!CX:CX))</f>
        <v/>
      </c>
      <c r="O36" s="255" t="str">
        <f>IF($B36=0,"",_xlfn.XLOOKUP($B36,INPUT_DATA!$CN:$CN,INPUT_DATA!CY:CY))</f>
        <v/>
      </c>
      <c r="P36" s="1255" t="str">
        <f>IF($B36=0,"",_xlfn.XLOOKUP($B36,INPUT_DATA!$CN:$CN,INPUT_DATA!CZ:CZ))</f>
        <v/>
      </c>
      <c r="Q36" s="255" t="str">
        <f>IF($B36=0,"",_xlfn.XLOOKUP($B36,INPUT_DATA!$CN:$CN,INPUT_DATA!DA:DA))</f>
        <v/>
      </c>
      <c r="R36" s="1255" t="str">
        <f>IF($B36=0,"",_xlfn.XLOOKUP($B36,INPUT_DATA!$CN:$CN,INPUT_DATA!DB:DB))</f>
        <v/>
      </c>
      <c r="S36" s="255" t="str">
        <f>IF($B36=0,"",_xlfn.XLOOKUP($B36,INPUT_DATA!$CN:$CN,INPUT_DATA!DC:DC))</f>
        <v/>
      </c>
      <c r="T36" s="1255" t="str">
        <f>IF($B36=0,"",_xlfn.XLOOKUP($B36,INPUT_DATA!$CN:$CN,INPUT_DATA!DD:DD))</f>
        <v/>
      </c>
      <c r="U36" s="255" t="str">
        <f>IF($B36=0,"",_xlfn.XLOOKUP($B36,INPUT_DATA!$CN:$CN,INPUT_DATA!DE:DE))</f>
        <v/>
      </c>
      <c r="V36" s="1255" t="str">
        <f>IF($B36=0,"",_xlfn.XLOOKUP($B36,INPUT_DATA!$CN:$CN,INPUT_DATA!DF:DF))</f>
        <v/>
      </c>
      <c r="W36" s="255" t="str">
        <f>IF($B36=0,"",_xlfn.XLOOKUP($B36,INPUT_DATA!$CN:$CN,INPUT_DATA!DG:DG))</f>
        <v/>
      </c>
      <c r="X36" s="1255" t="str">
        <f>IF($B36=0,"",_xlfn.XLOOKUP($B36,INPUT_DATA!$CN:$CN,INPUT_DATA!DH:DH))</f>
        <v/>
      </c>
      <c r="Y36" s="255" t="str">
        <f>IF($B36=0,"",_xlfn.XLOOKUP($B36,INPUT_DATA!$CN:$CN,INPUT_DATA!DI:DI))</f>
        <v/>
      </c>
      <c r="Z36" s="1255" t="str">
        <f>IF($B36=0,"",_xlfn.XLOOKUP($B36,INPUT_DATA!$CN:$CN,INPUT_DATA!DJ:DJ))</f>
        <v/>
      </c>
      <c r="AA36" s="255" t="str">
        <f>IF($B36=0,"",_xlfn.XLOOKUP($B36,INPUT_DATA!$CN:$CN,INPUT_DATA!DK:DK))</f>
        <v/>
      </c>
      <c r="AB36" s="1255" t="str">
        <f>IF($B36=0,"",_xlfn.XLOOKUP($B36,INPUT_DATA!$CN:$CN,INPUT_DATA!DL:DL))</f>
        <v/>
      </c>
      <c r="AC36" s="255" t="str">
        <f>IF($B36=0,"",_xlfn.XLOOKUP($B36,INPUT_DATA!$CN:$CN,INPUT_DATA!DM:DM))</f>
        <v/>
      </c>
      <c r="AD36" s="1255" t="str">
        <f>IF($B36=0,"",_xlfn.XLOOKUP($B36,INPUT_DATA!$CN:$CN,INPUT_DATA!DN:DN))</f>
        <v/>
      </c>
    </row>
    <row r="37" spans="2:30">
      <c r="B37" s="1202">
        <f>'02 - Monthly Asset Follow up'!B41</f>
        <v>0</v>
      </c>
      <c r="C37" s="255" t="str">
        <f t="shared" si="2"/>
        <v/>
      </c>
      <c r="D37" s="1255" t="str">
        <f t="shared" si="1"/>
        <v/>
      </c>
      <c r="E37" s="255" t="str">
        <f>IF($B37=0,"",_xlfn.XLOOKUP($B37,INPUT_DATA!$CN:$CN,INPUT_DATA!CO:CO))</f>
        <v/>
      </c>
      <c r="F37" s="1255" t="str">
        <f>IF($B37=0,"",_xlfn.XLOOKUP($B37,INPUT_DATA!$CN:$CN,INPUT_DATA!CP:CP))</f>
        <v/>
      </c>
      <c r="G37" s="255" t="str">
        <f>IF($B37=0,"",_xlfn.XLOOKUP($B37,INPUT_DATA!$CN:$CN,INPUT_DATA!CQ:CQ))</f>
        <v/>
      </c>
      <c r="H37" s="1255" t="str">
        <f>IF($B37=0,"",_xlfn.XLOOKUP($B37,INPUT_DATA!$CN:$CN,INPUT_DATA!CR:CR))</f>
        <v/>
      </c>
      <c r="I37" s="255" t="str">
        <f>IF($B37=0,"",_xlfn.XLOOKUP($B37,INPUT_DATA!$CN:$CN,INPUT_DATA!CS:CS))</f>
        <v/>
      </c>
      <c r="J37" s="1255" t="str">
        <f>IF($B37=0,"",_xlfn.XLOOKUP($B37,INPUT_DATA!$CN:$CN,INPUT_DATA!CT:CT))</f>
        <v/>
      </c>
      <c r="K37" s="255" t="str">
        <f>IF($B37=0,"",_xlfn.XLOOKUP($B37,INPUT_DATA!$CN:$CN,INPUT_DATA!CU:CU))</f>
        <v/>
      </c>
      <c r="L37" s="1255" t="str">
        <f>IF($B37=0,"",_xlfn.XLOOKUP($B37,INPUT_DATA!$CN:$CN,INPUT_DATA!CV:CV))</f>
        <v/>
      </c>
      <c r="M37" s="255" t="str">
        <f>IF($B37=0,"",_xlfn.XLOOKUP($B37,INPUT_DATA!$CN:$CN,INPUT_DATA!CW:CW))</f>
        <v/>
      </c>
      <c r="N37" s="1255" t="str">
        <f>IF($B37=0,"",_xlfn.XLOOKUP($B37,INPUT_DATA!$CN:$CN,INPUT_DATA!CX:CX))</f>
        <v/>
      </c>
      <c r="O37" s="255" t="str">
        <f>IF($B37=0,"",_xlfn.XLOOKUP($B37,INPUT_DATA!$CN:$CN,INPUT_DATA!CY:CY))</f>
        <v/>
      </c>
      <c r="P37" s="1255" t="str">
        <f>IF($B37=0,"",_xlfn.XLOOKUP($B37,INPUT_DATA!$CN:$CN,INPUT_DATA!CZ:CZ))</f>
        <v/>
      </c>
      <c r="Q37" s="255" t="str">
        <f>IF($B37=0,"",_xlfn.XLOOKUP($B37,INPUT_DATA!$CN:$CN,INPUT_DATA!DA:DA))</f>
        <v/>
      </c>
      <c r="R37" s="1255" t="str">
        <f>IF($B37=0,"",_xlfn.XLOOKUP($B37,INPUT_DATA!$CN:$CN,INPUT_DATA!DB:DB))</f>
        <v/>
      </c>
      <c r="S37" s="255" t="str">
        <f>IF($B37=0,"",_xlfn.XLOOKUP($B37,INPUT_DATA!$CN:$CN,INPUT_DATA!DC:DC))</f>
        <v/>
      </c>
      <c r="T37" s="1255" t="str">
        <f>IF($B37=0,"",_xlfn.XLOOKUP($B37,INPUT_DATA!$CN:$CN,INPUT_DATA!DD:DD))</f>
        <v/>
      </c>
      <c r="U37" s="255" t="str">
        <f>IF($B37=0,"",_xlfn.XLOOKUP($B37,INPUT_DATA!$CN:$CN,INPUT_DATA!DE:DE))</f>
        <v/>
      </c>
      <c r="V37" s="1255" t="str">
        <f>IF($B37=0,"",_xlfn.XLOOKUP($B37,INPUT_DATA!$CN:$CN,INPUT_DATA!DF:DF))</f>
        <v/>
      </c>
      <c r="W37" s="255" t="str">
        <f>IF($B37=0,"",_xlfn.XLOOKUP($B37,INPUT_DATA!$CN:$CN,INPUT_DATA!DG:DG))</f>
        <v/>
      </c>
      <c r="X37" s="1255" t="str">
        <f>IF($B37=0,"",_xlfn.XLOOKUP($B37,INPUT_DATA!$CN:$CN,INPUT_DATA!DH:DH))</f>
        <v/>
      </c>
      <c r="Y37" s="255" t="str">
        <f>IF($B37=0,"",_xlfn.XLOOKUP($B37,INPUT_DATA!$CN:$CN,INPUT_DATA!DI:DI))</f>
        <v/>
      </c>
      <c r="Z37" s="1255" t="str">
        <f>IF($B37=0,"",_xlfn.XLOOKUP($B37,INPUT_DATA!$CN:$CN,INPUT_DATA!DJ:DJ))</f>
        <v/>
      </c>
      <c r="AA37" s="255" t="str">
        <f>IF($B37=0,"",_xlfn.XLOOKUP($B37,INPUT_DATA!$CN:$CN,INPUT_DATA!DK:DK))</f>
        <v/>
      </c>
      <c r="AB37" s="1255" t="str">
        <f>IF($B37=0,"",_xlfn.XLOOKUP($B37,INPUT_DATA!$CN:$CN,INPUT_DATA!DL:DL))</f>
        <v/>
      </c>
      <c r="AC37" s="255" t="str">
        <f>IF($B37=0,"",_xlfn.XLOOKUP($B37,INPUT_DATA!$CN:$CN,INPUT_DATA!DM:DM))</f>
        <v/>
      </c>
      <c r="AD37" s="1255" t="str">
        <f>IF($B37=0,"",_xlfn.XLOOKUP($B37,INPUT_DATA!$CN:$CN,INPUT_DATA!DN:DN))</f>
        <v/>
      </c>
    </row>
    <row r="38" spans="2:30">
      <c r="B38" s="1202">
        <f>'02 - Monthly Asset Follow up'!B42</f>
        <v>0</v>
      </c>
      <c r="C38" s="255" t="str">
        <f t="shared" si="2"/>
        <v/>
      </c>
      <c r="D38" s="1255" t="str">
        <f t="shared" si="1"/>
        <v/>
      </c>
      <c r="E38" s="255" t="str">
        <f>IF($B38=0,"",_xlfn.XLOOKUP($B38,INPUT_DATA!$CN:$CN,INPUT_DATA!CO:CO))</f>
        <v/>
      </c>
      <c r="F38" s="1255" t="str">
        <f>IF($B38=0,"",_xlfn.XLOOKUP($B38,INPUT_DATA!$CN:$CN,INPUT_DATA!CP:CP))</f>
        <v/>
      </c>
      <c r="G38" s="255" t="str">
        <f>IF($B38=0,"",_xlfn.XLOOKUP($B38,INPUT_DATA!$CN:$CN,INPUT_DATA!CQ:CQ))</f>
        <v/>
      </c>
      <c r="H38" s="1255" t="str">
        <f>IF($B38=0,"",_xlfn.XLOOKUP($B38,INPUT_DATA!$CN:$CN,INPUT_DATA!CR:CR))</f>
        <v/>
      </c>
      <c r="I38" s="255" t="str">
        <f>IF($B38=0,"",_xlfn.XLOOKUP($B38,INPUT_DATA!$CN:$CN,INPUT_DATA!CS:CS))</f>
        <v/>
      </c>
      <c r="J38" s="1255" t="str">
        <f>IF($B38=0,"",_xlfn.XLOOKUP($B38,INPUT_DATA!$CN:$CN,INPUT_DATA!CT:CT))</f>
        <v/>
      </c>
      <c r="K38" s="255" t="str">
        <f>IF($B38=0,"",_xlfn.XLOOKUP($B38,INPUT_DATA!$CN:$CN,INPUT_DATA!CU:CU))</f>
        <v/>
      </c>
      <c r="L38" s="1255" t="str">
        <f>IF($B38=0,"",_xlfn.XLOOKUP($B38,INPUT_DATA!$CN:$CN,INPUT_DATA!CV:CV))</f>
        <v/>
      </c>
      <c r="M38" s="255" t="str">
        <f>IF($B38=0,"",_xlfn.XLOOKUP($B38,INPUT_DATA!$CN:$CN,INPUT_DATA!CW:CW))</f>
        <v/>
      </c>
      <c r="N38" s="1255" t="str">
        <f>IF($B38=0,"",_xlfn.XLOOKUP($B38,INPUT_DATA!$CN:$CN,INPUT_DATA!CX:CX))</f>
        <v/>
      </c>
      <c r="O38" s="255" t="str">
        <f>IF($B38=0,"",_xlfn.XLOOKUP($B38,INPUT_DATA!$CN:$CN,INPUT_DATA!CY:CY))</f>
        <v/>
      </c>
      <c r="P38" s="1255" t="str">
        <f>IF($B38=0,"",_xlfn.XLOOKUP($B38,INPUT_DATA!$CN:$CN,INPUT_DATA!CZ:CZ))</f>
        <v/>
      </c>
      <c r="Q38" s="255" t="str">
        <f>IF($B38=0,"",_xlfn.XLOOKUP($B38,INPUT_DATA!$CN:$CN,INPUT_DATA!DA:DA))</f>
        <v/>
      </c>
      <c r="R38" s="1255" t="str">
        <f>IF($B38=0,"",_xlfn.XLOOKUP($B38,INPUT_DATA!$CN:$CN,INPUT_DATA!DB:DB))</f>
        <v/>
      </c>
      <c r="S38" s="255" t="str">
        <f>IF($B38=0,"",_xlfn.XLOOKUP($B38,INPUT_DATA!$CN:$CN,INPUT_DATA!DC:DC))</f>
        <v/>
      </c>
      <c r="T38" s="1255" t="str">
        <f>IF($B38=0,"",_xlfn.XLOOKUP($B38,INPUT_DATA!$CN:$CN,INPUT_DATA!DD:DD))</f>
        <v/>
      </c>
      <c r="U38" s="255" t="str">
        <f>IF($B38=0,"",_xlfn.XLOOKUP($B38,INPUT_DATA!$CN:$CN,INPUT_DATA!DE:DE))</f>
        <v/>
      </c>
      <c r="V38" s="1255" t="str">
        <f>IF($B38=0,"",_xlfn.XLOOKUP($B38,INPUT_DATA!$CN:$CN,INPUT_DATA!DF:DF))</f>
        <v/>
      </c>
      <c r="W38" s="255" t="str">
        <f>IF($B38=0,"",_xlfn.XLOOKUP($B38,INPUT_DATA!$CN:$CN,INPUT_DATA!DG:DG))</f>
        <v/>
      </c>
      <c r="X38" s="1255" t="str">
        <f>IF($B38=0,"",_xlfn.XLOOKUP($B38,INPUT_DATA!$CN:$CN,INPUT_DATA!DH:DH))</f>
        <v/>
      </c>
      <c r="Y38" s="255" t="str">
        <f>IF($B38=0,"",_xlfn.XLOOKUP($B38,INPUT_DATA!$CN:$CN,INPUT_DATA!DI:DI))</f>
        <v/>
      </c>
      <c r="Z38" s="1255" t="str">
        <f>IF($B38=0,"",_xlfn.XLOOKUP($B38,INPUT_DATA!$CN:$CN,INPUT_DATA!DJ:DJ))</f>
        <v/>
      </c>
      <c r="AA38" s="255" t="str">
        <f>IF($B38=0,"",_xlfn.XLOOKUP($B38,INPUT_DATA!$CN:$CN,INPUT_DATA!DK:DK))</f>
        <v/>
      </c>
      <c r="AB38" s="1255" t="str">
        <f>IF($B38=0,"",_xlfn.XLOOKUP($B38,INPUT_DATA!$CN:$CN,INPUT_DATA!DL:DL))</f>
        <v/>
      </c>
      <c r="AC38" s="255" t="str">
        <f>IF($B38=0,"",_xlfn.XLOOKUP($B38,INPUT_DATA!$CN:$CN,INPUT_DATA!DM:DM))</f>
        <v/>
      </c>
      <c r="AD38" s="1255" t="str">
        <f>IF($B38=0,"",_xlfn.XLOOKUP($B38,INPUT_DATA!$CN:$CN,INPUT_DATA!DN:DN))</f>
        <v/>
      </c>
    </row>
    <row r="39" spans="2:30">
      <c r="B39" s="1202">
        <f>'02 - Monthly Asset Follow up'!B43</f>
        <v>0</v>
      </c>
      <c r="C39" s="255" t="str">
        <f t="shared" si="2"/>
        <v/>
      </c>
      <c r="D39" s="1255" t="str">
        <f t="shared" si="1"/>
        <v/>
      </c>
      <c r="E39" s="255" t="str">
        <f>IF($B39=0,"",_xlfn.XLOOKUP($B39,INPUT_DATA!$CN:$CN,INPUT_DATA!CO:CO))</f>
        <v/>
      </c>
      <c r="F39" s="1255" t="str">
        <f>IF($B39=0,"",_xlfn.XLOOKUP($B39,INPUT_DATA!$CN:$CN,INPUT_DATA!CP:CP))</f>
        <v/>
      </c>
      <c r="G39" s="255" t="str">
        <f>IF($B39=0,"",_xlfn.XLOOKUP($B39,INPUT_DATA!$CN:$CN,INPUT_DATA!CQ:CQ))</f>
        <v/>
      </c>
      <c r="H39" s="1255" t="str">
        <f>IF($B39=0,"",_xlfn.XLOOKUP($B39,INPUT_DATA!$CN:$CN,INPUT_DATA!CR:CR))</f>
        <v/>
      </c>
      <c r="I39" s="255" t="str">
        <f>IF($B39=0,"",_xlfn.XLOOKUP($B39,INPUT_DATA!$CN:$CN,INPUT_DATA!CS:CS))</f>
        <v/>
      </c>
      <c r="J39" s="1255" t="str">
        <f>IF($B39=0,"",_xlfn.XLOOKUP($B39,INPUT_DATA!$CN:$CN,INPUT_DATA!CT:CT))</f>
        <v/>
      </c>
      <c r="K39" s="255" t="str">
        <f>IF($B39=0,"",_xlfn.XLOOKUP($B39,INPUT_DATA!$CN:$CN,INPUT_DATA!CU:CU))</f>
        <v/>
      </c>
      <c r="L39" s="1255" t="str">
        <f>IF($B39=0,"",_xlfn.XLOOKUP($B39,INPUT_DATA!$CN:$CN,INPUT_DATA!CV:CV))</f>
        <v/>
      </c>
      <c r="M39" s="255" t="str">
        <f>IF($B39=0,"",_xlfn.XLOOKUP($B39,INPUT_DATA!$CN:$CN,INPUT_DATA!CW:CW))</f>
        <v/>
      </c>
      <c r="N39" s="1255" t="str">
        <f>IF($B39=0,"",_xlfn.XLOOKUP($B39,INPUT_DATA!$CN:$CN,INPUT_DATA!CX:CX))</f>
        <v/>
      </c>
      <c r="O39" s="255" t="str">
        <f>IF($B39=0,"",_xlfn.XLOOKUP($B39,INPUT_DATA!$CN:$CN,INPUT_DATA!CY:CY))</f>
        <v/>
      </c>
      <c r="P39" s="1255" t="str">
        <f>IF($B39=0,"",_xlfn.XLOOKUP($B39,INPUT_DATA!$CN:$CN,INPUT_DATA!CZ:CZ))</f>
        <v/>
      </c>
      <c r="Q39" s="255" t="str">
        <f>IF($B39=0,"",_xlfn.XLOOKUP($B39,INPUT_DATA!$CN:$CN,INPUT_DATA!DA:DA))</f>
        <v/>
      </c>
      <c r="R39" s="1255" t="str">
        <f>IF($B39=0,"",_xlfn.XLOOKUP($B39,INPUT_DATA!$CN:$CN,INPUT_DATA!DB:DB))</f>
        <v/>
      </c>
      <c r="S39" s="255" t="str">
        <f>IF($B39=0,"",_xlfn.XLOOKUP($B39,INPUT_DATA!$CN:$CN,INPUT_DATA!DC:DC))</f>
        <v/>
      </c>
      <c r="T39" s="1255" t="str">
        <f>IF($B39=0,"",_xlfn.XLOOKUP($B39,INPUT_DATA!$CN:$CN,INPUT_DATA!DD:DD))</f>
        <v/>
      </c>
      <c r="U39" s="255" t="str">
        <f>IF($B39=0,"",_xlfn.XLOOKUP($B39,INPUT_DATA!$CN:$CN,INPUT_DATA!DE:DE))</f>
        <v/>
      </c>
      <c r="V39" s="1255" t="str">
        <f>IF($B39=0,"",_xlfn.XLOOKUP($B39,INPUT_DATA!$CN:$CN,INPUT_DATA!DF:DF))</f>
        <v/>
      </c>
      <c r="W39" s="255" t="str">
        <f>IF($B39=0,"",_xlfn.XLOOKUP($B39,INPUT_DATA!$CN:$CN,INPUT_DATA!DG:DG))</f>
        <v/>
      </c>
      <c r="X39" s="1255" t="str">
        <f>IF($B39=0,"",_xlfn.XLOOKUP($B39,INPUT_DATA!$CN:$CN,INPUT_DATA!DH:DH))</f>
        <v/>
      </c>
      <c r="Y39" s="255" t="str">
        <f>IF($B39=0,"",_xlfn.XLOOKUP($B39,INPUT_DATA!$CN:$CN,INPUT_DATA!DI:DI))</f>
        <v/>
      </c>
      <c r="Z39" s="1255" t="str">
        <f>IF($B39=0,"",_xlfn.XLOOKUP($B39,INPUT_DATA!$CN:$CN,INPUT_DATA!DJ:DJ))</f>
        <v/>
      </c>
      <c r="AA39" s="255" t="str">
        <f>IF($B39=0,"",_xlfn.XLOOKUP($B39,INPUT_DATA!$CN:$CN,INPUT_DATA!DK:DK))</f>
        <v/>
      </c>
      <c r="AB39" s="1255" t="str">
        <f>IF($B39=0,"",_xlfn.XLOOKUP($B39,INPUT_DATA!$CN:$CN,INPUT_DATA!DL:DL))</f>
        <v/>
      </c>
      <c r="AC39" s="255" t="str">
        <f>IF($B39=0,"",_xlfn.XLOOKUP($B39,INPUT_DATA!$CN:$CN,INPUT_DATA!DM:DM))</f>
        <v/>
      </c>
      <c r="AD39" s="1255" t="str">
        <f>IF($B39=0,"",_xlfn.XLOOKUP($B39,INPUT_DATA!$CN:$CN,INPUT_DATA!DN:DN))</f>
        <v/>
      </c>
    </row>
    <row r="40" spans="2:30">
      <c r="B40" s="1202">
        <f>'02 - Monthly Asset Follow up'!B44</f>
        <v>0</v>
      </c>
      <c r="C40" s="255" t="str">
        <f t="shared" si="2"/>
        <v/>
      </c>
      <c r="D40" s="1255" t="str">
        <f t="shared" si="1"/>
        <v/>
      </c>
      <c r="E40" s="255" t="str">
        <f>IF($B40=0,"",_xlfn.XLOOKUP($B40,INPUT_DATA!$CN:$CN,INPUT_DATA!CO:CO))</f>
        <v/>
      </c>
      <c r="F40" s="1255" t="str">
        <f>IF($B40=0,"",_xlfn.XLOOKUP($B40,INPUT_DATA!$CN:$CN,INPUT_DATA!CP:CP))</f>
        <v/>
      </c>
      <c r="G40" s="255" t="str">
        <f>IF($B40=0,"",_xlfn.XLOOKUP($B40,INPUT_DATA!$CN:$CN,INPUT_DATA!CQ:CQ))</f>
        <v/>
      </c>
      <c r="H40" s="1255" t="str">
        <f>IF($B40=0,"",_xlfn.XLOOKUP($B40,INPUT_DATA!$CN:$CN,INPUT_DATA!CR:CR))</f>
        <v/>
      </c>
      <c r="I40" s="255" t="str">
        <f>IF($B40=0,"",_xlfn.XLOOKUP($B40,INPUT_DATA!$CN:$CN,INPUT_DATA!CS:CS))</f>
        <v/>
      </c>
      <c r="J40" s="1255" t="str">
        <f>IF($B40=0,"",_xlfn.XLOOKUP($B40,INPUT_DATA!$CN:$CN,INPUT_DATA!CT:CT))</f>
        <v/>
      </c>
      <c r="K40" s="255" t="str">
        <f>IF($B40=0,"",_xlfn.XLOOKUP($B40,INPUT_DATA!$CN:$CN,INPUT_DATA!CU:CU))</f>
        <v/>
      </c>
      <c r="L40" s="1255" t="str">
        <f>IF($B40=0,"",_xlfn.XLOOKUP($B40,INPUT_DATA!$CN:$CN,INPUT_DATA!CV:CV))</f>
        <v/>
      </c>
      <c r="M40" s="255" t="str">
        <f>IF($B40=0,"",_xlfn.XLOOKUP($B40,INPUT_DATA!$CN:$CN,INPUT_DATA!CW:CW))</f>
        <v/>
      </c>
      <c r="N40" s="1255" t="str">
        <f>IF($B40=0,"",_xlfn.XLOOKUP($B40,INPUT_DATA!$CN:$CN,INPUT_DATA!CX:CX))</f>
        <v/>
      </c>
      <c r="O40" s="255" t="str">
        <f>IF($B40=0,"",_xlfn.XLOOKUP($B40,INPUT_DATA!$CN:$CN,INPUT_DATA!CY:CY))</f>
        <v/>
      </c>
      <c r="P40" s="1255" t="str">
        <f>IF($B40=0,"",_xlfn.XLOOKUP($B40,INPUT_DATA!$CN:$CN,INPUT_DATA!CZ:CZ))</f>
        <v/>
      </c>
      <c r="Q40" s="255" t="str">
        <f>IF($B40=0,"",_xlfn.XLOOKUP($B40,INPUT_DATA!$CN:$CN,INPUT_DATA!DA:DA))</f>
        <v/>
      </c>
      <c r="R40" s="1255" t="str">
        <f>IF($B40=0,"",_xlfn.XLOOKUP($B40,INPUT_DATA!$CN:$CN,INPUT_DATA!DB:DB))</f>
        <v/>
      </c>
      <c r="S40" s="255" t="str">
        <f>IF($B40=0,"",_xlfn.XLOOKUP($B40,INPUT_DATA!$CN:$CN,INPUT_DATA!DC:DC))</f>
        <v/>
      </c>
      <c r="T40" s="1255" t="str">
        <f>IF($B40=0,"",_xlfn.XLOOKUP($B40,INPUT_DATA!$CN:$CN,INPUT_DATA!DD:DD))</f>
        <v/>
      </c>
      <c r="U40" s="255" t="str">
        <f>IF($B40=0,"",_xlfn.XLOOKUP($B40,INPUT_DATA!$CN:$CN,INPUT_DATA!DE:DE))</f>
        <v/>
      </c>
      <c r="V40" s="1255" t="str">
        <f>IF($B40=0,"",_xlfn.XLOOKUP($B40,INPUT_DATA!$CN:$CN,INPUT_DATA!DF:DF))</f>
        <v/>
      </c>
      <c r="W40" s="255" t="str">
        <f>IF($B40=0,"",_xlfn.XLOOKUP($B40,INPUT_DATA!$CN:$CN,INPUT_DATA!DG:DG))</f>
        <v/>
      </c>
      <c r="X40" s="1255" t="str">
        <f>IF($B40=0,"",_xlfn.XLOOKUP($B40,INPUT_DATA!$CN:$CN,INPUT_DATA!DH:DH))</f>
        <v/>
      </c>
      <c r="Y40" s="255" t="str">
        <f>IF($B40=0,"",_xlfn.XLOOKUP($B40,INPUT_DATA!$CN:$CN,INPUT_DATA!DI:DI))</f>
        <v/>
      </c>
      <c r="Z40" s="1255" t="str">
        <f>IF($B40=0,"",_xlfn.XLOOKUP($B40,INPUT_DATA!$CN:$CN,INPUT_DATA!DJ:DJ))</f>
        <v/>
      </c>
      <c r="AA40" s="255" t="str">
        <f>IF($B40=0,"",_xlfn.XLOOKUP($B40,INPUT_DATA!$CN:$CN,INPUT_DATA!DK:DK))</f>
        <v/>
      </c>
      <c r="AB40" s="1255" t="str">
        <f>IF($B40=0,"",_xlfn.XLOOKUP($B40,INPUT_DATA!$CN:$CN,INPUT_DATA!DL:DL))</f>
        <v/>
      </c>
      <c r="AC40" s="255" t="str">
        <f>IF($B40=0,"",_xlfn.XLOOKUP($B40,INPUT_DATA!$CN:$CN,INPUT_DATA!DM:DM))</f>
        <v/>
      </c>
      <c r="AD40" s="1255" t="str">
        <f>IF($B40=0,"",_xlfn.XLOOKUP($B40,INPUT_DATA!$CN:$CN,INPUT_DATA!DN:DN))</f>
        <v/>
      </c>
    </row>
    <row r="41" spans="2:30">
      <c r="B41" s="1202">
        <f>'02 - Monthly Asset Follow up'!B45</f>
        <v>0</v>
      </c>
      <c r="C41" s="255" t="str">
        <f t="shared" si="2"/>
        <v/>
      </c>
      <c r="D41" s="1255" t="str">
        <f t="shared" si="1"/>
        <v/>
      </c>
      <c r="E41" s="255" t="str">
        <f>IF($B41=0,"",_xlfn.XLOOKUP($B41,INPUT_DATA!$CN:$CN,INPUT_DATA!CO:CO))</f>
        <v/>
      </c>
      <c r="F41" s="1255" t="str">
        <f>IF($B41=0,"",_xlfn.XLOOKUP($B41,INPUT_DATA!$CN:$CN,INPUT_DATA!CP:CP))</f>
        <v/>
      </c>
      <c r="G41" s="255" t="str">
        <f>IF($B41=0,"",_xlfn.XLOOKUP($B41,INPUT_DATA!$CN:$CN,INPUT_DATA!CQ:CQ))</f>
        <v/>
      </c>
      <c r="H41" s="1255" t="str">
        <f>IF($B41=0,"",_xlfn.XLOOKUP($B41,INPUT_DATA!$CN:$CN,INPUT_DATA!CR:CR))</f>
        <v/>
      </c>
      <c r="I41" s="255" t="str">
        <f>IF($B41=0,"",_xlfn.XLOOKUP($B41,INPUT_DATA!$CN:$CN,INPUT_DATA!CS:CS))</f>
        <v/>
      </c>
      <c r="J41" s="1255" t="str">
        <f>IF($B41=0,"",_xlfn.XLOOKUP($B41,INPUT_DATA!$CN:$CN,INPUT_DATA!CT:CT))</f>
        <v/>
      </c>
      <c r="K41" s="255" t="str">
        <f>IF($B41=0,"",_xlfn.XLOOKUP($B41,INPUT_DATA!$CN:$CN,INPUT_DATA!CU:CU))</f>
        <v/>
      </c>
      <c r="L41" s="1255" t="str">
        <f>IF($B41=0,"",_xlfn.XLOOKUP($B41,INPUT_DATA!$CN:$CN,INPUT_DATA!CV:CV))</f>
        <v/>
      </c>
      <c r="M41" s="255" t="str">
        <f>IF($B41=0,"",_xlfn.XLOOKUP($B41,INPUT_DATA!$CN:$CN,INPUT_DATA!CW:CW))</f>
        <v/>
      </c>
      <c r="N41" s="1255" t="str">
        <f>IF($B41=0,"",_xlfn.XLOOKUP($B41,INPUT_DATA!$CN:$CN,INPUT_DATA!CX:CX))</f>
        <v/>
      </c>
      <c r="O41" s="255" t="str">
        <f>IF($B41=0,"",_xlfn.XLOOKUP($B41,INPUT_DATA!$CN:$CN,INPUT_DATA!CY:CY))</f>
        <v/>
      </c>
      <c r="P41" s="1255" t="str">
        <f>IF($B41=0,"",_xlfn.XLOOKUP($B41,INPUT_DATA!$CN:$CN,INPUT_DATA!CZ:CZ))</f>
        <v/>
      </c>
      <c r="Q41" s="255" t="str">
        <f>IF($B41=0,"",_xlfn.XLOOKUP($B41,INPUT_DATA!$CN:$CN,INPUT_DATA!DA:DA))</f>
        <v/>
      </c>
      <c r="R41" s="1255" t="str">
        <f>IF($B41=0,"",_xlfn.XLOOKUP($B41,INPUT_DATA!$CN:$CN,INPUT_DATA!DB:DB))</f>
        <v/>
      </c>
      <c r="S41" s="255" t="str">
        <f>IF($B41=0,"",_xlfn.XLOOKUP($B41,INPUT_DATA!$CN:$CN,INPUT_DATA!DC:DC))</f>
        <v/>
      </c>
      <c r="T41" s="1255" t="str">
        <f>IF($B41=0,"",_xlfn.XLOOKUP($B41,INPUT_DATA!$CN:$CN,INPUT_DATA!DD:DD))</f>
        <v/>
      </c>
      <c r="U41" s="255" t="str">
        <f>IF($B41=0,"",_xlfn.XLOOKUP($B41,INPUT_DATA!$CN:$CN,INPUT_DATA!DE:DE))</f>
        <v/>
      </c>
      <c r="V41" s="1255" t="str">
        <f>IF($B41=0,"",_xlfn.XLOOKUP($B41,INPUT_DATA!$CN:$CN,INPUT_DATA!DF:DF))</f>
        <v/>
      </c>
      <c r="W41" s="255" t="str">
        <f>IF($B41=0,"",_xlfn.XLOOKUP($B41,INPUT_DATA!$CN:$CN,INPUT_DATA!DG:DG))</f>
        <v/>
      </c>
      <c r="X41" s="1255" t="str">
        <f>IF($B41=0,"",_xlfn.XLOOKUP($B41,INPUT_DATA!$CN:$CN,INPUT_DATA!DH:DH))</f>
        <v/>
      </c>
      <c r="Y41" s="255" t="str">
        <f>IF($B41=0,"",_xlfn.XLOOKUP($B41,INPUT_DATA!$CN:$CN,INPUT_DATA!DI:DI))</f>
        <v/>
      </c>
      <c r="Z41" s="1255" t="str">
        <f>IF($B41=0,"",_xlfn.XLOOKUP($B41,INPUT_DATA!$CN:$CN,INPUT_DATA!DJ:DJ))</f>
        <v/>
      </c>
      <c r="AA41" s="255" t="str">
        <f>IF($B41=0,"",_xlfn.XLOOKUP($B41,INPUT_DATA!$CN:$CN,INPUT_DATA!DK:DK))</f>
        <v/>
      </c>
      <c r="AB41" s="1255" t="str">
        <f>IF($B41=0,"",_xlfn.XLOOKUP($B41,INPUT_DATA!$CN:$CN,INPUT_DATA!DL:DL))</f>
        <v/>
      </c>
      <c r="AC41" s="255" t="str">
        <f>IF($B41=0,"",_xlfn.XLOOKUP($B41,INPUT_DATA!$CN:$CN,INPUT_DATA!DM:DM))</f>
        <v/>
      </c>
      <c r="AD41" s="1255" t="str">
        <f>IF($B41=0,"",_xlfn.XLOOKUP($B41,INPUT_DATA!$CN:$CN,INPUT_DATA!DN:DN))</f>
        <v/>
      </c>
    </row>
    <row r="42" spans="2:30">
      <c r="B42" s="1202">
        <f>'02 - Monthly Asset Follow up'!B46</f>
        <v>0</v>
      </c>
      <c r="C42" s="255" t="str">
        <f t="shared" si="2"/>
        <v/>
      </c>
      <c r="D42" s="1255" t="str">
        <f t="shared" si="1"/>
        <v/>
      </c>
      <c r="E42" s="255" t="str">
        <f>IF($B42=0,"",_xlfn.XLOOKUP($B42,INPUT_DATA!$CN:$CN,INPUT_DATA!CO:CO))</f>
        <v/>
      </c>
      <c r="F42" s="1255" t="str">
        <f>IF($B42=0,"",_xlfn.XLOOKUP($B42,INPUT_DATA!$CN:$CN,INPUT_DATA!CP:CP))</f>
        <v/>
      </c>
      <c r="G42" s="255" t="str">
        <f>IF($B42=0,"",_xlfn.XLOOKUP($B42,INPUT_DATA!$CN:$CN,INPUT_DATA!CQ:CQ))</f>
        <v/>
      </c>
      <c r="H42" s="1255" t="str">
        <f>IF($B42=0,"",_xlfn.XLOOKUP($B42,INPUT_DATA!$CN:$CN,INPUT_DATA!CR:CR))</f>
        <v/>
      </c>
      <c r="I42" s="255" t="str">
        <f>IF($B42=0,"",_xlfn.XLOOKUP($B42,INPUT_DATA!$CN:$CN,INPUT_DATA!CS:CS))</f>
        <v/>
      </c>
      <c r="J42" s="1255" t="str">
        <f>IF($B42=0,"",_xlfn.XLOOKUP($B42,INPUT_DATA!$CN:$CN,INPUT_DATA!CT:CT))</f>
        <v/>
      </c>
      <c r="K42" s="255" t="str">
        <f>IF($B42=0,"",_xlfn.XLOOKUP($B42,INPUT_DATA!$CN:$CN,INPUT_DATA!CU:CU))</f>
        <v/>
      </c>
      <c r="L42" s="1255" t="str">
        <f>IF($B42=0,"",_xlfn.XLOOKUP($B42,INPUT_DATA!$CN:$CN,INPUT_DATA!CV:CV))</f>
        <v/>
      </c>
      <c r="M42" s="255" t="str">
        <f>IF($B42=0,"",_xlfn.XLOOKUP($B42,INPUT_DATA!$CN:$CN,INPUT_DATA!CW:CW))</f>
        <v/>
      </c>
      <c r="N42" s="1255" t="str">
        <f>IF($B42=0,"",_xlfn.XLOOKUP($B42,INPUT_DATA!$CN:$CN,INPUT_DATA!CX:CX))</f>
        <v/>
      </c>
      <c r="O42" s="255" t="str">
        <f>IF($B42=0,"",_xlfn.XLOOKUP($B42,INPUT_DATA!$CN:$CN,INPUT_DATA!CY:CY))</f>
        <v/>
      </c>
      <c r="P42" s="1255" t="str">
        <f>IF($B42=0,"",_xlfn.XLOOKUP($B42,INPUT_DATA!$CN:$CN,INPUT_DATA!CZ:CZ))</f>
        <v/>
      </c>
      <c r="Q42" s="255" t="str">
        <f>IF($B42=0,"",_xlfn.XLOOKUP($B42,INPUT_DATA!$CN:$CN,INPUT_DATA!DA:DA))</f>
        <v/>
      </c>
      <c r="R42" s="1255" t="str">
        <f>IF($B42=0,"",_xlfn.XLOOKUP($B42,INPUT_DATA!$CN:$CN,INPUT_DATA!DB:DB))</f>
        <v/>
      </c>
      <c r="S42" s="255" t="str">
        <f>IF($B42=0,"",_xlfn.XLOOKUP($B42,INPUT_DATA!$CN:$CN,INPUT_DATA!DC:DC))</f>
        <v/>
      </c>
      <c r="T42" s="1255" t="str">
        <f>IF($B42=0,"",_xlfn.XLOOKUP($B42,INPUT_DATA!$CN:$CN,INPUT_DATA!DD:DD))</f>
        <v/>
      </c>
      <c r="U42" s="255" t="str">
        <f>IF($B42=0,"",_xlfn.XLOOKUP($B42,INPUT_DATA!$CN:$CN,INPUT_DATA!DE:DE))</f>
        <v/>
      </c>
      <c r="V42" s="1255" t="str">
        <f>IF($B42=0,"",_xlfn.XLOOKUP($B42,INPUT_DATA!$CN:$CN,INPUT_DATA!DF:DF))</f>
        <v/>
      </c>
      <c r="W42" s="255" t="str">
        <f>IF($B42=0,"",_xlfn.XLOOKUP($B42,INPUT_DATA!$CN:$CN,INPUT_DATA!DG:DG))</f>
        <v/>
      </c>
      <c r="X42" s="1255" t="str">
        <f>IF($B42=0,"",_xlfn.XLOOKUP($B42,INPUT_DATA!$CN:$CN,INPUT_DATA!DH:DH))</f>
        <v/>
      </c>
      <c r="Y42" s="255" t="str">
        <f>IF($B42=0,"",_xlfn.XLOOKUP($B42,INPUT_DATA!$CN:$CN,INPUT_DATA!DI:DI))</f>
        <v/>
      </c>
      <c r="Z42" s="1255" t="str">
        <f>IF($B42=0,"",_xlfn.XLOOKUP($B42,INPUT_DATA!$CN:$CN,INPUT_DATA!DJ:DJ))</f>
        <v/>
      </c>
      <c r="AA42" s="255" t="str">
        <f>IF($B42=0,"",_xlfn.XLOOKUP($B42,INPUT_DATA!$CN:$CN,INPUT_DATA!DK:DK))</f>
        <v/>
      </c>
      <c r="AB42" s="1255" t="str">
        <f>IF($B42=0,"",_xlfn.XLOOKUP($B42,INPUT_DATA!$CN:$CN,INPUT_DATA!DL:DL))</f>
        <v/>
      </c>
      <c r="AC42" s="255" t="str">
        <f>IF($B42=0,"",_xlfn.XLOOKUP($B42,INPUT_DATA!$CN:$CN,INPUT_DATA!DM:DM))</f>
        <v/>
      </c>
      <c r="AD42" s="1255" t="str">
        <f>IF($B42=0,"",_xlfn.XLOOKUP($B42,INPUT_DATA!$CN:$CN,INPUT_DATA!DN:DN))</f>
        <v/>
      </c>
    </row>
    <row r="43" spans="2:30">
      <c r="B43" s="1202">
        <f>'02 - Monthly Asset Follow up'!B47</f>
        <v>0</v>
      </c>
      <c r="C43" s="255" t="str">
        <f t="shared" si="2"/>
        <v/>
      </c>
      <c r="D43" s="1255" t="str">
        <f t="shared" si="1"/>
        <v/>
      </c>
      <c r="E43" s="255" t="str">
        <f>IF($B43=0,"",_xlfn.XLOOKUP($B43,INPUT_DATA!$CN:$CN,INPUT_DATA!CO:CO))</f>
        <v/>
      </c>
      <c r="F43" s="1255" t="str">
        <f>IF($B43=0,"",_xlfn.XLOOKUP($B43,INPUT_DATA!$CN:$CN,INPUT_DATA!CP:CP))</f>
        <v/>
      </c>
      <c r="G43" s="255" t="str">
        <f>IF($B43=0,"",_xlfn.XLOOKUP($B43,INPUT_DATA!$CN:$CN,INPUT_DATA!CQ:CQ))</f>
        <v/>
      </c>
      <c r="H43" s="1255" t="str">
        <f>IF($B43=0,"",_xlfn.XLOOKUP($B43,INPUT_DATA!$CN:$CN,INPUT_DATA!CR:CR))</f>
        <v/>
      </c>
      <c r="I43" s="255" t="str">
        <f>IF($B43=0,"",_xlfn.XLOOKUP($B43,INPUT_DATA!$CN:$CN,INPUT_DATA!CS:CS))</f>
        <v/>
      </c>
      <c r="J43" s="1255" t="str">
        <f>IF($B43=0,"",_xlfn.XLOOKUP($B43,INPUT_DATA!$CN:$CN,INPUT_DATA!CT:CT))</f>
        <v/>
      </c>
      <c r="K43" s="255" t="str">
        <f>IF($B43=0,"",_xlfn.XLOOKUP($B43,INPUT_DATA!$CN:$CN,INPUT_DATA!CU:CU))</f>
        <v/>
      </c>
      <c r="L43" s="1255" t="str">
        <f>IF($B43=0,"",_xlfn.XLOOKUP($B43,INPUT_DATA!$CN:$CN,INPUT_DATA!CV:CV))</f>
        <v/>
      </c>
      <c r="M43" s="255" t="str">
        <f>IF($B43=0,"",_xlfn.XLOOKUP($B43,INPUT_DATA!$CN:$CN,INPUT_DATA!CW:CW))</f>
        <v/>
      </c>
      <c r="N43" s="1255" t="str">
        <f>IF($B43=0,"",_xlfn.XLOOKUP($B43,INPUT_DATA!$CN:$CN,INPUT_DATA!CX:CX))</f>
        <v/>
      </c>
      <c r="O43" s="255" t="str">
        <f>IF($B43=0,"",_xlfn.XLOOKUP($B43,INPUT_DATA!$CN:$CN,INPUT_DATA!CY:CY))</f>
        <v/>
      </c>
      <c r="P43" s="1255" t="str">
        <f>IF($B43=0,"",_xlfn.XLOOKUP($B43,INPUT_DATA!$CN:$CN,INPUT_DATA!CZ:CZ))</f>
        <v/>
      </c>
      <c r="Q43" s="255" t="str">
        <f>IF($B43=0,"",_xlfn.XLOOKUP($B43,INPUT_DATA!$CN:$CN,INPUT_DATA!DA:DA))</f>
        <v/>
      </c>
      <c r="R43" s="1255" t="str">
        <f>IF($B43=0,"",_xlfn.XLOOKUP($B43,INPUT_DATA!$CN:$CN,INPUT_DATA!DB:DB))</f>
        <v/>
      </c>
      <c r="S43" s="255" t="str">
        <f>IF($B43=0,"",_xlfn.XLOOKUP($B43,INPUT_DATA!$CN:$CN,INPUT_DATA!DC:DC))</f>
        <v/>
      </c>
      <c r="T43" s="1255" t="str">
        <f>IF($B43=0,"",_xlfn.XLOOKUP($B43,INPUT_DATA!$CN:$CN,INPUT_DATA!DD:DD))</f>
        <v/>
      </c>
      <c r="U43" s="255" t="str">
        <f>IF($B43=0,"",_xlfn.XLOOKUP($B43,INPUT_DATA!$CN:$CN,INPUT_DATA!DE:DE))</f>
        <v/>
      </c>
      <c r="V43" s="1255" t="str">
        <f>IF($B43=0,"",_xlfn.XLOOKUP($B43,INPUT_DATA!$CN:$CN,INPUT_DATA!DF:DF))</f>
        <v/>
      </c>
      <c r="W43" s="255" t="str">
        <f>IF($B43=0,"",_xlfn.XLOOKUP($B43,INPUT_DATA!$CN:$CN,INPUT_DATA!DG:DG))</f>
        <v/>
      </c>
      <c r="X43" s="1255" t="str">
        <f>IF($B43=0,"",_xlfn.XLOOKUP($B43,INPUT_DATA!$CN:$CN,INPUT_DATA!DH:DH))</f>
        <v/>
      </c>
      <c r="Y43" s="255" t="str">
        <f>IF($B43=0,"",_xlfn.XLOOKUP($B43,INPUT_DATA!$CN:$CN,INPUT_DATA!DI:DI))</f>
        <v/>
      </c>
      <c r="Z43" s="1255" t="str">
        <f>IF($B43=0,"",_xlfn.XLOOKUP($B43,INPUT_DATA!$CN:$CN,INPUT_DATA!DJ:DJ))</f>
        <v/>
      </c>
      <c r="AA43" s="255" t="str">
        <f>IF($B43=0,"",_xlfn.XLOOKUP($B43,INPUT_DATA!$CN:$CN,INPUT_DATA!DK:DK))</f>
        <v/>
      </c>
      <c r="AB43" s="1255" t="str">
        <f>IF($B43=0,"",_xlfn.XLOOKUP($B43,INPUT_DATA!$CN:$CN,INPUT_DATA!DL:DL))</f>
        <v/>
      </c>
      <c r="AC43" s="255" t="str">
        <f>IF($B43=0,"",_xlfn.XLOOKUP($B43,INPUT_DATA!$CN:$CN,INPUT_DATA!DM:DM))</f>
        <v/>
      </c>
      <c r="AD43" s="1255" t="str">
        <f>IF($B43=0,"",_xlfn.XLOOKUP($B43,INPUT_DATA!$CN:$CN,INPUT_DATA!DN:DN))</f>
        <v/>
      </c>
    </row>
    <row r="44" spans="2:30">
      <c r="B44" s="1202">
        <f>'02 - Monthly Asset Follow up'!B48</f>
        <v>0</v>
      </c>
      <c r="C44" s="255" t="str">
        <f t="shared" si="2"/>
        <v/>
      </c>
      <c r="D44" s="1255" t="str">
        <f t="shared" si="1"/>
        <v/>
      </c>
      <c r="E44" s="255" t="str">
        <f>IF($B44=0,"",_xlfn.XLOOKUP($B44,INPUT_DATA!$CN:$CN,INPUT_DATA!CO:CO))</f>
        <v/>
      </c>
      <c r="F44" s="1255" t="str">
        <f>IF($B44=0,"",_xlfn.XLOOKUP($B44,INPUT_DATA!$CN:$CN,INPUT_DATA!CP:CP))</f>
        <v/>
      </c>
      <c r="G44" s="255" t="str">
        <f>IF($B44=0,"",_xlfn.XLOOKUP($B44,INPUT_DATA!$CN:$CN,INPUT_DATA!CQ:CQ))</f>
        <v/>
      </c>
      <c r="H44" s="1255" t="str">
        <f>IF($B44=0,"",_xlfn.XLOOKUP($B44,INPUT_DATA!$CN:$CN,INPUT_DATA!CR:CR))</f>
        <v/>
      </c>
      <c r="I44" s="255" t="str">
        <f>IF($B44=0,"",_xlfn.XLOOKUP($B44,INPUT_DATA!$CN:$CN,INPUT_DATA!CS:CS))</f>
        <v/>
      </c>
      <c r="J44" s="1255" t="str">
        <f>IF($B44=0,"",_xlfn.XLOOKUP($B44,INPUT_DATA!$CN:$CN,INPUT_DATA!CT:CT))</f>
        <v/>
      </c>
      <c r="K44" s="255" t="str">
        <f>IF($B44=0,"",_xlfn.XLOOKUP($B44,INPUT_DATA!$CN:$CN,INPUT_DATA!CU:CU))</f>
        <v/>
      </c>
      <c r="L44" s="1255" t="str">
        <f>IF($B44=0,"",_xlfn.XLOOKUP($B44,INPUT_DATA!$CN:$CN,INPUT_DATA!CV:CV))</f>
        <v/>
      </c>
      <c r="M44" s="255" t="str">
        <f>IF($B44=0,"",_xlfn.XLOOKUP($B44,INPUT_DATA!$CN:$CN,INPUT_DATA!CW:CW))</f>
        <v/>
      </c>
      <c r="N44" s="1255" t="str">
        <f>IF($B44=0,"",_xlfn.XLOOKUP($B44,INPUT_DATA!$CN:$CN,INPUT_DATA!CX:CX))</f>
        <v/>
      </c>
      <c r="O44" s="255" t="str">
        <f>IF($B44=0,"",_xlfn.XLOOKUP($B44,INPUT_DATA!$CN:$CN,INPUT_DATA!CY:CY))</f>
        <v/>
      </c>
      <c r="P44" s="1255" t="str">
        <f>IF($B44=0,"",_xlfn.XLOOKUP($B44,INPUT_DATA!$CN:$CN,INPUT_DATA!CZ:CZ))</f>
        <v/>
      </c>
      <c r="Q44" s="255" t="str">
        <f>IF($B44=0,"",_xlfn.XLOOKUP($B44,INPUT_DATA!$CN:$CN,INPUT_DATA!DA:DA))</f>
        <v/>
      </c>
      <c r="R44" s="1255" t="str">
        <f>IF($B44=0,"",_xlfn.XLOOKUP($B44,INPUT_DATA!$CN:$CN,INPUT_DATA!DB:DB))</f>
        <v/>
      </c>
      <c r="S44" s="255" t="str">
        <f>IF($B44=0,"",_xlfn.XLOOKUP($B44,INPUT_DATA!$CN:$CN,INPUT_DATA!DC:DC))</f>
        <v/>
      </c>
      <c r="T44" s="1255" t="str">
        <f>IF($B44=0,"",_xlfn.XLOOKUP($B44,INPUT_DATA!$CN:$CN,INPUT_DATA!DD:DD))</f>
        <v/>
      </c>
      <c r="U44" s="255" t="str">
        <f>IF($B44=0,"",_xlfn.XLOOKUP($B44,INPUT_DATA!$CN:$CN,INPUT_DATA!DE:DE))</f>
        <v/>
      </c>
      <c r="V44" s="1255" t="str">
        <f>IF($B44=0,"",_xlfn.XLOOKUP($B44,INPUT_DATA!$CN:$CN,INPUT_DATA!DF:DF))</f>
        <v/>
      </c>
      <c r="W44" s="255" t="str">
        <f>IF($B44=0,"",_xlfn.XLOOKUP($B44,INPUT_DATA!$CN:$CN,INPUT_DATA!DG:DG))</f>
        <v/>
      </c>
      <c r="X44" s="1255" t="str">
        <f>IF($B44=0,"",_xlfn.XLOOKUP($B44,INPUT_DATA!$CN:$CN,INPUT_DATA!DH:DH))</f>
        <v/>
      </c>
      <c r="Y44" s="255" t="str">
        <f>IF($B44=0,"",_xlfn.XLOOKUP($B44,INPUT_DATA!$CN:$CN,INPUT_DATA!DI:DI))</f>
        <v/>
      </c>
      <c r="Z44" s="1255" t="str">
        <f>IF($B44=0,"",_xlfn.XLOOKUP($B44,INPUT_DATA!$CN:$CN,INPUT_DATA!DJ:DJ))</f>
        <v/>
      </c>
      <c r="AA44" s="255" t="str">
        <f>IF($B44=0,"",_xlfn.XLOOKUP($B44,INPUT_DATA!$CN:$CN,INPUT_DATA!DK:DK))</f>
        <v/>
      </c>
      <c r="AB44" s="1255" t="str">
        <f>IF($B44=0,"",_xlfn.XLOOKUP($B44,INPUT_DATA!$CN:$CN,INPUT_DATA!DL:DL))</f>
        <v/>
      </c>
      <c r="AC44" s="255" t="str">
        <f>IF($B44=0,"",_xlfn.XLOOKUP($B44,INPUT_DATA!$CN:$CN,INPUT_DATA!DM:DM))</f>
        <v/>
      </c>
      <c r="AD44" s="1255" t="str">
        <f>IF($B44=0,"",_xlfn.XLOOKUP($B44,INPUT_DATA!$CN:$CN,INPUT_DATA!DN:DN))</f>
        <v/>
      </c>
    </row>
    <row r="45" spans="2:30">
      <c r="B45" s="1202">
        <f>'02 - Monthly Asset Follow up'!B49</f>
        <v>0</v>
      </c>
      <c r="C45" s="255" t="str">
        <f t="shared" si="2"/>
        <v/>
      </c>
      <c r="D45" s="1255" t="str">
        <f t="shared" si="1"/>
        <v/>
      </c>
      <c r="E45" s="255" t="str">
        <f>IF($B45=0,"",_xlfn.XLOOKUP($B45,INPUT_DATA!$CN:$CN,INPUT_DATA!CO:CO))</f>
        <v/>
      </c>
      <c r="F45" s="1255" t="str">
        <f>IF($B45=0,"",_xlfn.XLOOKUP($B45,INPUT_DATA!$CN:$CN,INPUT_DATA!CP:CP))</f>
        <v/>
      </c>
      <c r="G45" s="255" t="str">
        <f>IF($B45=0,"",_xlfn.XLOOKUP($B45,INPUT_DATA!$CN:$CN,INPUT_DATA!CQ:CQ))</f>
        <v/>
      </c>
      <c r="H45" s="1255" t="str">
        <f>IF($B45=0,"",_xlfn.XLOOKUP($B45,INPUT_DATA!$CN:$CN,INPUT_DATA!CR:CR))</f>
        <v/>
      </c>
      <c r="I45" s="255" t="str">
        <f>IF($B45=0,"",_xlfn.XLOOKUP($B45,INPUT_DATA!$CN:$CN,INPUT_DATA!CS:CS))</f>
        <v/>
      </c>
      <c r="J45" s="1255" t="str">
        <f>IF($B45=0,"",_xlfn.XLOOKUP($B45,INPUT_DATA!$CN:$CN,INPUT_DATA!CT:CT))</f>
        <v/>
      </c>
      <c r="K45" s="255" t="str">
        <f>IF($B45=0,"",_xlfn.XLOOKUP($B45,INPUT_DATA!$CN:$CN,INPUT_DATA!CU:CU))</f>
        <v/>
      </c>
      <c r="L45" s="1255" t="str">
        <f>IF($B45=0,"",_xlfn.XLOOKUP($B45,INPUT_DATA!$CN:$CN,INPUT_DATA!CV:CV))</f>
        <v/>
      </c>
      <c r="M45" s="255" t="str">
        <f>IF($B45=0,"",_xlfn.XLOOKUP($B45,INPUT_DATA!$CN:$CN,INPUT_DATA!CW:CW))</f>
        <v/>
      </c>
      <c r="N45" s="1255" t="str">
        <f>IF($B45=0,"",_xlfn.XLOOKUP($B45,INPUT_DATA!$CN:$CN,INPUT_DATA!CX:CX))</f>
        <v/>
      </c>
      <c r="O45" s="255" t="str">
        <f>IF($B45=0,"",_xlfn.XLOOKUP($B45,INPUT_DATA!$CN:$CN,INPUT_DATA!CY:CY))</f>
        <v/>
      </c>
      <c r="P45" s="1255" t="str">
        <f>IF($B45=0,"",_xlfn.XLOOKUP($B45,INPUT_DATA!$CN:$CN,INPUT_DATA!CZ:CZ))</f>
        <v/>
      </c>
      <c r="Q45" s="255" t="str">
        <f>IF($B45=0,"",_xlfn.XLOOKUP($B45,INPUT_DATA!$CN:$CN,INPUT_DATA!DA:DA))</f>
        <v/>
      </c>
      <c r="R45" s="1255" t="str">
        <f>IF($B45=0,"",_xlfn.XLOOKUP($B45,INPUT_DATA!$CN:$CN,INPUT_DATA!DB:DB))</f>
        <v/>
      </c>
      <c r="S45" s="255" t="str">
        <f>IF($B45=0,"",_xlfn.XLOOKUP($B45,INPUT_DATA!$CN:$CN,INPUT_DATA!DC:DC))</f>
        <v/>
      </c>
      <c r="T45" s="1255" t="str">
        <f>IF($B45=0,"",_xlfn.XLOOKUP($B45,INPUT_DATA!$CN:$CN,INPUT_DATA!DD:DD))</f>
        <v/>
      </c>
      <c r="U45" s="255" t="str">
        <f>IF($B45=0,"",_xlfn.XLOOKUP($B45,INPUT_DATA!$CN:$CN,INPUT_DATA!DE:DE))</f>
        <v/>
      </c>
      <c r="V45" s="1255" t="str">
        <f>IF($B45=0,"",_xlfn.XLOOKUP($B45,INPUT_DATA!$CN:$CN,INPUT_DATA!DF:DF))</f>
        <v/>
      </c>
      <c r="W45" s="255" t="str">
        <f>IF($B45=0,"",_xlfn.XLOOKUP($B45,INPUT_DATA!$CN:$CN,INPUT_DATA!DG:DG))</f>
        <v/>
      </c>
      <c r="X45" s="1255" t="str">
        <f>IF($B45=0,"",_xlfn.XLOOKUP($B45,INPUT_DATA!$CN:$CN,INPUT_DATA!DH:DH))</f>
        <v/>
      </c>
      <c r="Y45" s="255" t="str">
        <f>IF($B45=0,"",_xlfn.XLOOKUP($B45,INPUT_DATA!$CN:$CN,INPUT_DATA!DI:DI))</f>
        <v/>
      </c>
      <c r="Z45" s="1255" t="str">
        <f>IF($B45=0,"",_xlfn.XLOOKUP($B45,INPUT_DATA!$CN:$CN,INPUT_DATA!DJ:DJ))</f>
        <v/>
      </c>
      <c r="AA45" s="255" t="str">
        <f>IF($B45=0,"",_xlfn.XLOOKUP($B45,INPUT_DATA!$CN:$CN,INPUT_DATA!DK:DK))</f>
        <v/>
      </c>
      <c r="AB45" s="1255" t="str">
        <f>IF($B45=0,"",_xlfn.XLOOKUP($B45,INPUT_DATA!$CN:$CN,INPUT_DATA!DL:DL))</f>
        <v/>
      </c>
      <c r="AC45" s="255" t="str">
        <f>IF($B45=0,"",_xlfn.XLOOKUP($B45,INPUT_DATA!$CN:$CN,INPUT_DATA!DM:DM))</f>
        <v/>
      </c>
      <c r="AD45" s="1255" t="str">
        <f>IF($B45=0,"",_xlfn.XLOOKUP($B45,INPUT_DATA!$CN:$CN,INPUT_DATA!DN:DN))</f>
        <v/>
      </c>
    </row>
    <row r="46" spans="2:30">
      <c r="B46" s="1202">
        <f>'02 - Monthly Asset Follow up'!B50</f>
        <v>0</v>
      </c>
      <c r="C46" s="255" t="str">
        <f t="shared" si="2"/>
        <v/>
      </c>
      <c r="D46" s="1255" t="str">
        <f t="shared" si="1"/>
        <v/>
      </c>
      <c r="E46" s="255" t="str">
        <f>IF($B46=0,"",_xlfn.XLOOKUP($B46,INPUT_DATA!$CN:$CN,INPUT_DATA!CO:CO))</f>
        <v/>
      </c>
      <c r="F46" s="1255" t="str">
        <f>IF($B46=0,"",_xlfn.XLOOKUP($B46,INPUT_DATA!$CN:$CN,INPUT_DATA!CP:CP))</f>
        <v/>
      </c>
      <c r="G46" s="255" t="str">
        <f>IF($B46=0,"",_xlfn.XLOOKUP($B46,INPUT_DATA!$CN:$CN,INPUT_DATA!CQ:CQ))</f>
        <v/>
      </c>
      <c r="H46" s="1255" t="str">
        <f>IF($B46=0,"",_xlfn.XLOOKUP($B46,INPUT_DATA!$CN:$CN,INPUT_DATA!CR:CR))</f>
        <v/>
      </c>
      <c r="I46" s="255" t="str">
        <f>IF($B46=0,"",_xlfn.XLOOKUP($B46,INPUT_DATA!$CN:$CN,INPUT_DATA!CS:CS))</f>
        <v/>
      </c>
      <c r="J46" s="1255" t="str">
        <f>IF($B46=0,"",_xlfn.XLOOKUP($B46,INPUT_DATA!$CN:$CN,INPUT_DATA!CT:CT))</f>
        <v/>
      </c>
      <c r="K46" s="255" t="str">
        <f>IF($B46=0,"",_xlfn.XLOOKUP($B46,INPUT_DATA!$CN:$CN,INPUT_DATA!CU:CU))</f>
        <v/>
      </c>
      <c r="L46" s="1255" t="str">
        <f>IF($B46=0,"",_xlfn.XLOOKUP($B46,INPUT_DATA!$CN:$CN,INPUT_DATA!CV:CV))</f>
        <v/>
      </c>
      <c r="M46" s="255" t="str">
        <f>IF($B46=0,"",_xlfn.XLOOKUP($B46,INPUT_DATA!$CN:$CN,INPUT_DATA!CW:CW))</f>
        <v/>
      </c>
      <c r="N46" s="1255" t="str">
        <f>IF($B46=0,"",_xlfn.XLOOKUP($B46,INPUT_DATA!$CN:$CN,INPUT_DATA!CX:CX))</f>
        <v/>
      </c>
      <c r="O46" s="255" t="str">
        <f>IF($B46=0,"",_xlfn.XLOOKUP($B46,INPUT_DATA!$CN:$CN,INPUT_DATA!CY:CY))</f>
        <v/>
      </c>
      <c r="P46" s="1255" t="str">
        <f>IF($B46=0,"",_xlfn.XLOOKUP($B46,INPUT_DATA!$CN:$CN,INPUT_DATA!CZ:CZ))</f>
        <v/>
      </c>
      <c r="Q46" s="255" t="str">
        <f>IF($B46=0,"",_xlfn.XLOOKUP($B46,INPUT_DATA!$CN:$CN,INPUT_DATA!DA:DA))</f>
        <v/>
      </c>
      <c r="R46" s="1255" t="str">
        <f>IF($B46=0,"",_xlfn.XLOOKUP($B46,INPUT_DATA!$CN:$CN,INPUT_DATA!DB:DB))</f>
        <v/>
      </c>
      <c r="S46" s="255" t="str">
        <f>IF($B46=0,"",_xlfn.XLOOKUP($B46,INPUT_DATA!$CN:$CN,INPUT_DATA!DC:DC))</f>
        <v/>
      </c>
      <c r="T46" s="1255" t="str">
        <f>IF($B46=0,"",_xlfn.XLOOKUP($B46,INPUT_DATA!$CN:$CN,INPUT_DATA!DD:DD))</f>
        <v/>
      </c>
      <c r="U46" s="255" t="str">
        <f>IF($B46=0,"",_xlfn.XLOOKUP($B46,INPUT_DATA!$CN:$CN,INPUT_DATA!DE:DE))</f>
        <v/>
      </c>
      <c r="V46" s="1255" t="str">
        <f>IF($B46=0,"",_xlfn.XLOOKUP($B46,INPUT_DATA!$CN:$CN,INPUT_DATA!DF:DF))</f>
        <v/>
      </c>
      <c r="W46" s="255" t="str">
        <f>IF($B46=0,"",_xlfn.XLOOKUP($B46,INPUT_DATA!$CN:$CN,INPUT_DATA!DG:DG))</f>
        <v/>
      </c>
      <c r="X46" s="1255" t="str">
        <f>IF($B46=0,"",_xlfn.XLOOKUP($B46,INPUT_DATA!$CN:$CN,INPUT_DATA!DH:DH))</f>
        <v/>
      </c>
      <c r="Y46" s="255" t="str">
        <f>IF($B46=0,"",_xlfn.XLOOKUP($B46,INPUT_DATA!$CN:$CN,INPUT_DATA!DI:DI))</f>
        <v/>
      </c>
      <c r="Z46" s="1255" t="str">
        <f>IF($B46=0,"",_xlfn.XLOOKUP($B46,INPUT_DATA!$CN:$CN,INPUT_DATA!DJ:DJ))</f>
        <v/>
      </c>
      <c r="AA46" s="255" t="str">
        <f>IF($B46=0,"",_xlfn.XLOOKUP($B46,INPUT_DATA!$CN:$CN,INPUT_DATA!DK:DK))</f>
        <v/>
      </c>
      <c r="AB46" s="1255" t="str">
        <f>IF($B46=0,"",_xlfn.XLOOKUP($B46,INPUT_DATA!$CN:$CN,INPUT_DATA!DL:DL))</f>
        <v/>
      </c>
      <c r="AC46" s="255" t="str">
        <f>IF($B46=0,"",_xlfn.XLOOKUP($B46,INPUT_DATA!$CN:$CN,INPUT_DATA!DM:DM))</f>
        <v/>
      </c>
      <c r="AD46" s="1255" t="str">
        <f>IF($B46=0,"",_xlfn.XLOOKUP($B46,INPUT_DATA!$CN:$CN,INPUT_DATA!DN:DN))</f>
        <v/>
      </c>
    </row>
    <row r="47" spans="2:30">
      <c r="B47" s="1202">
        <f>'02 - Monthly Asset Follow up'!B51</f>
        <v>0</v>
      </c>
      <c r="C47" s="255" t="str">
        <f t="shared" si="2"/>
        <v/>
      </c>
      <c r="D47" s="1255" t="str">
        <f t="shared" si="1"/>
        <v/>
      </c>
      <c r="E47" s="255" t="str">
        <f>IF($B47=0,"",_xlfn.XLOOKUP($B47,INPUT_DATA!$CN:$CN,INPUT_DATA!CO:CO))</f>
        <v/>
      </c>
      <c r="F47" s="1255" t="str">
        <f>IF($B47=0,"",_xlfn.XLOOKUP($B47,INPUT_DATA!$CN:$CN,INPUT_DATA!CP:CP))</f>
        <v/>
      </c>
      <c r="G47" s="255" t="str">
        <f>IF($B47=0,"",_xlfn.XLOOKUP($B47,INPUT_DATA!$CN:$CN,INPUT_DATA!CQ:CQ))</f>
        <v/>
      </c>
      <c r="H47" s="1255" t="str">
        <f>IF($B47=0,"",_xlfn.XLOOKUP($B47,INPUT_DATA!$CN:$CN,INPUT_DATA!CR:CR))</f>
        <v/>
      </c>
      <c r="I47" s="255" t="str">
        <f>IF($B47=0,"",_xlfn.XLOOKUP($B47,INPUT_DATA!$CN:$CN,INPUT_DATA!CS:CS))</f>
        <v/>
      </c>
      <c r="J47" s="1255" t="str">
        <f>IF($B47=0,"",_xlfn.XLOOKUP($B47,INPUT_DATA!$CN:$CN,INPUT_DATA!CT:CT))</f>
        <v/>
      </c>
      <c r="K47" s="255" t="str">
        <f>IF($B47=0,"",_xlfn.XLOOKUP($B47,INPUT_DATA!$CN:$CN,INPUT_DATA!CU:CU))</f>
        <v/>
      </c>
      <c r="L47" s="1255" t="str">
        <f>IF($B47=0,"",_xlfn.XLOOKUP($B47,INPUT_DATA!$CN:$CN,INPUT_DATA!CV:CV))</f>
        <v/>
      </c>
      <c r="M47" s="255" t="str">
        <f>IF($B47=0,"",_xlfn.XLOOKUP($B47,INPUT_DATA!$CN:$CN,INPUT_DATA!CW:CW))</f>
        <v/>
      </c>
      <c r="N47" s="1255" t="str">
        <f>IF($B47=0,"",_xlfn.XLOOKUP($B47,INPUT_DATA!$CN:$CN,INPUT_DATA!CX:CX))</f>
        <v/>
      </c>
      <c r="O47" s="255" t="str">
        <f>IF($B47=0,"",_xlfn.XLOOKUP($B47,INPUT_DATA!$CN:$CN,INPUT_DATA!CY:CY))</f>
        <v/>
      </c>
      <c r="P47" s="1255" t="str">
        <f>IF($B47=0,"",_xlfn.XLOOKUP($B47,INPUT_DATA!$CN:$CN,INPUT_DATA!CZ:CZ))</f>
        <v/>
      </c>
      <c r="Q47" s="255" t="str">
        <f>IF($B47=0,"",_xlfn.XLOOKUP($B47,INPUT_DATA!$CN:$CN,INPUT_DATA!DA:DA))</f>
        <v/>
      </c>
      <c r="R47" s="1255" t="str">
        <f>IF($B47=0,"",_xlfn.XLOOKUP($B47,INPUT_DATA!$CN:$CN,INPUT_DATA!DB:DB))</f>
        <v/>
      </c>
      <c r="S47" s="255" t="str">
        <f>IF($B47=0,"",_xlfn.XLOOKUP($B47,INPUT_DATA!$CN:$CN,INPUT_DATA!DC:DC))</f>
        <v/>
      </c>
      <c r="T47" s="1255" t="str">
        <f>IF($B47=0,"",_xlfn.XLOOKUP($B47,INPUT_DATA!$CN:$CN,INPUT_DATA!DD:DD))</f>
        <v/>
      </c>
      <c r="U47" s="255" t="str">
        <f>IF($B47=0,"",_xlfn.XLOOKUP($B47,INPUT_DATA!$CN:$CN,INPUT_DATA!DE:DE))</f>
        <v/>
      </c>
      <c r="V47" s="1255" t="str">
        <f>IF($B47=0,"",_xlfn.XLOOKUP($B47,INPUT_DATA!$CN:$CN,INPUT_DATA!DF:DF))</f>
        <v/>
      </c>
      <c r="W47" s="255" t="str">
        <f>IF($B47=0,"",_xlfn.XLOOKUP($B47,INPUT_DATA!$CN:$CN,INPUT_DATA!DG:DG))</f>
        <v/>
      </c>
      <c r="X47" s="1255" t="str">
        <f>IF($B47=0,"",_xlfn.XLOOKUP($B47,INPUT_DATA!$CN:$CN,INPUT_DATA!DH:DH))</f>
        <v/>
      </c>
      <c r="Y47" s="255" t="str">
        <f>IF($B47=0,"",_xlfn.XLOOKUP($B47,INPUT_DATA!$CN:$CN,INPUT_DATA!DI:DI))</f>
        <v/>
      </c>
      <c r="Z47" s="1255" t="str">
        <f>IF($B47=0,"",_xlfn.XLOOKUP($B47,INPUT_DATA!$CN:$CN,INPUT_DATA!DJ:DJ))</f>
        <v/>
      </c>
      <c r="AA47" s="255" t="str">
        <f>IF($B47=0,"",_xlfn.XLOOKUP($B47,INPUT_DATA!$CN:$CN,INPUT_DATA!DK:DK))</f>
        <v/>
      </c>
      <c r="AB47" s="1255" t="str">
        <f>IF($B47=0,"",_xlfn.XLOOKUP($B47,INPUT_DATA!$CN:$CN,INPUT_DATA!DL:DL))</f>
        <v/>
      </c>
      <c r="AC47" s="255" t="str">
        <f>IF($B47=0,"",_xlfn.XLOOKUP($B47,INPUT_DATA!$CN:$CN,INPUT_DATA!DM:DM))</f>
        <v/>
      </c>
      <c r="AD47" s="1255" t="str">
        <f>IF($B47=0,"",_xlfn.XLOOKUP($B47,INPUT_DATA!$CN:$CN,INPUT_DATA!DN:DN))</f>
        <v/>
      </c>
    </row>
    <row r="48" spans="2:30">
      <c r="B48" s="1202">
        <f>'02 - Monthly Asset Follow up'!B52</f>
        <v>0</v>
      </c>
      <c r="C48" s="255" t="str">
        <f t="shared" si="2"/>
        <v/>
      </c>
      <c r="D48" s="1255" t="str">
        <f t="shared" si="1"/>
        <v/>
      </c>
      <c r="E48" s="255" t="str">
        <f>IF($B48=0,"",_xlfn.XLOOKUP($B48,INPUT_DATA!$CN:$CN,INPUT_DATA!CO:CO))</f>
        <v/>
      </c>
      <c r="F48" s="1255" t="str">
        <f>IF($B48=0,"",_xlfn.XLOOKUP($B48,INPUT_DATA!$CN:$CN,INPUT_DATA!CP:CP))</f>
        <v/>
      </c>
      <c r="G48" s="255" t="str">
        <f>IF($B48=0,"",_xlfn.XLOOKUP($B48,INPUT_DATA!$CN:$CN,INPUT_DATA!CQ:CQ))</f>
        <v/>
      </c>
      <c r="H48" s="1255" t="str">
        <f>IF($B48=0,"",_xlfn.XLOOKUP($B48,INPUT_DATA!$CN:$CN,INPUT_DATA!CR:CR))</f>
        <v/>
      </c>
      <c r="I48" s="255" t="str">
        <f>IF($B48=0,"",_xlfn.XLOOKUP($B48,INPUT_DATA!$CN:$CN,INPUT_DATA!CS:CS))</f>
        <v/>
      </c>
      <c r="J48" s="1255" t="str">
        <f>IF($B48=0,"",_xlfn.XLOOKUP($B48,INPUT_DATA!$CN:$CN,INPUT_DATA!CT:CT))</f>
        <v/>
      </c>
      <c r="K48" s="255" t="str">
        <f>IF($B48=0,"",_xlfn.XLOOKUP($B48,INPUT_DATA!$CN:$CN,INPUT_DATA!CU:CU))</f>
        <v/>
      </c>
      <c r="L48" s="1255" t="str">
        <f>IF($B48=0,"",_xlfn.XLOOKUP($B48,INPUT_DATA!$CN:$CN,INPUT_DATA!CV:CV))</f>
        <v/>
      </c>
      <c r="M48" s="255" t="str">
        <f>IF($B48=0,"",_xlfn.XLOOKUP($B48,INPUT_DATA!$CN:$CN,INPUT_DATA!CW:CW))</f>
        <v/>
      </c>
      <c r="N48" s="1255" t="str">
        <f>IF($B48=0,"",_xlfn.XLOOKUP($B48,INPUT_DATA!$CN:$CN,INPUT_DATA!CX:CX))</f>
        <v/>
      </c>
      <c r="O48" s="255" t="str">
        <f>IF($B48=0,"",_xlfn.XLOOKUP($B48,INPUT_DATA!$CN:$CN,INPUT_DATA!CY:CY))</f>
        <v/>
      </c>
      <c r="P48" s="1255" t="str">
        <f>IF($B48=0,"",_xlfn.XLOOKUP($B48,INPUT_DATA!$CN:$CN,INPUT_DATA!CZ:CZ))</f>
        <v/>
      </c>
      <c r="Q48" s="255" t="str">
        <f>IF($B48=0,"",_xlfn.XLOOKUP($B48,INPUT_DATA!$CN:$CN,INPUT_DATA!DA:DA))</f>
        <v/>
      </c>
      <c r="R48" s="1255" t="str">
        <f>IF($B48=0,"",_xlfn.XLOOKUP($B48,INPUT_DATA!$CN:$CN,INPUT_DATA!DB:DB))</f>
        <v/>
      </c>
      <c r="S48" s="255" t="str">
        <f>IF($B48=0,"",_xlfn.XLOOKUP($B48,INPUT_DATA!$CN:$CN,INPUT_DATA!DC:DC))</f>
        <v/>
      </c>
      <c r="T48" s="1255" t="str">
        <f>IF($B48=0,"",_xlfn.XLOOKUP($B48,INPUT_DATA!$CN:$CN,INPUT_DATA!DD:DD))</f>
        <v/>
      </c>
      <c r="U48" s="255" t="str">
        <f>IF($B48=0,"",_xlfn.XLOOKUP($B48,INPUT_DATA!$CN:$CN,INPUT_DATA!DE:DE))</f>
        <v/>
      </c>
      <c r="V48" s="1255" t="str">
        <f>IF($B48=0,"",_xlfn.XLOOKUP($B48,INPUT_DATA!$CN:$CN,INPUT_DATA!DF:DF))</f>
        <v/>
      </c>
      <c r="W48" s="255" t="str">
        <f>IF($B48=0,"",_xlfn.XLOOKUP($B48,INPUT_DATA!$CN:$CN,INPUT_DATA!DG:DG))</f>
        <v/>
      </c>
      <c r="X48" s="1255" t="str">
        <f>IF($B48=0,"",_xlfn.XLOOKUP($B48,INPUT_DATA!$CN:$CN,INPUT_DATA!DH:DH))</f>
        <v/>
      </c>
      <c r="Y48" s="255" t="str">
        <f>IF($B48=0,"",_xlfn.XLOOKUP($B48,INPUT_DATA!$CN:$CN,INPUT_DATA!DI:DI))</f>
        <v/>
      </c>
      <c r="Z48" s="1255" t="str">
        <f>IF($B48=0,"",_xlfn.XLOOKUP($B48,INPUT_DATA!$CN:$CN,INPUT_DATA!DJ:DJ))</f>
        <v/>
      </c>
      <c r="AA48" s="255" t="str">
        <f>IF($B48=0,"",_xlfn.XLOOKUP($B48,INPUT_DATA!$CN:$CN,INPUT_DATA!DK:DK))</f>
        <v/>
      </c>
      <c r="AB48" s="1255" t="str">
        <f>IF($B48=0,"",_xlfn.XLOOKUP($B48,INPUT_DATA!$CN:$CN,INPUT_DATA!DL:DL))</f>
        <v/>
      </c>
      <c r="AC48" s="255" t="str">
        <f>IF($B48=0,"",_xlfn.XLOOKUP($B48,INPUT_DATA!$CN:$CN,INPUT_DATA!DM:DM))</f>
        <v/>
      </c>
      <c r="AD48" s="1255" t="str">
        <f>IF($B48=0,"",_xlfn.XLOOKUP($B48,INPUT_DATA!$CN:$CN,INPUT_DATA!DN:DN))</f>
        <v/>
      </c>
    </row>
    <row r="49" spans="2:30">
      <c r="B49" s="1202">
        <f>'02 - Monthly Asset Follow up'!B53</f>
        <v>0</v>
      </c>
      <c r="C49" s="255" t="str">
        <f t="shared" si="2"/>
        <v/>
      </c>
      <c r="D49" s="1255" t="str">
        <f t="shared" si="1"/>
        <v/>
      </c>
      <c r="E49" s="255" t="str">
        <f>IF($B49=0,"",_xlfn.XLOOKUP($B49,INPUT_DATA!$CN:$CN,INPUT_DATA!CO:CO))</f>
        <v/>
      </c>
      <c r="F49" s="1255" t="str">
        <f>IF($B49=0,"",_xlfn.XLOOKUP($B49,INPUT_DATA!$CN:$CN,INPUT_DATA!CP:CP))</f>
        <v/>
      </c>
      <c r="G49" s="255" t="str">
        <f>IF($B49=0,"",_xlfn.XLOOKUP($B49,INPUT_DATA!$CN:$CN,INPUT_DATA!CQ:CQ))</f>
        <v/>
      </c>
      <c r="H49" s="1255" t="str">
        <f>IF($B49=0,"",_xlfn.XLOOKUP($B49,INPUT_DATA!$CN:$CN,INPUT_DATA!CR:CR))</f>
        <v/>
      </c>
      <c r="I49" s="255" t="str">
        <f>IF($B49=0,"",_xlfn.XLOOKUP($B49,INPUT_DATA!$CN:$CN,INPUT_DATA!CS:CS))</f>
        <v/>
      </c>
      <c r="J49" s="1255" t="str">
        <f>IF($B49=0,"",_xlfn.XLOOKUP($B49,INPUT_DATA!$CN:$CN,INPUT_DATA!CT:CT))</f>
        <v/>
      </c>
      <c r="K49" s="255" t="str">
        <f>IF($B49=0,"",_xlfn.XLOOKUP($B49,INPUT_DATA!$CN:$CN,INPUT_DATA!CU:CU))</f>
        <v/>
      </c>
      <c r="L49" s="1255" t="str">
        <f>IF($B49=0,"",_xlfn.XLOOKUP($B49,INPUT_DATA!$CN:$CN,INPUT_DATA!CV:CV))</f>
        <v/>
      </c>
      <c r="M49" s="255" t="str">
        <f>IF($B49=0,"",_xlfn.XLOOKUP($B49,INPUT_DATA!$CN:$CN,INPUT_DATA!CW:CW))</f>
        <v/>
      </c>
      <c r="N49" s="1255" t="str">
        <f>IF($B49=0,"",_xlfn.XLOOKUP($B49,INPUT_DATA!$CN:$CN,INPUT_DATA!CX:CX))</f>
        <v/>
      </c>
      <c r="O49" s="255" t="str">
        <f>IF($B49=0,"",_xlfn.XLOOKUP($B49,INPUT_DATA!$CN:$CN,INPUT_DATA!CY:CY))</f>
        <v/>
      </c>
      <c r="P49" s="1255" t="str">
        <f>IF($B49=0,"",_xlfn.XLOOKUP($B49,INPUT_DATA!$CN:$CN,INPUT_DATA!CZ:CZ))</f>
        <v/>
      </c>
      <c r="Q49" s="255" t="str">
        <f>IF($B49=0,"",_xlfn.XLOOKUP($B49,INPUT_DATA!$CN:$CN,INPUT_DATA!DA:DA))</f>
        <v/>
      </c>
      <c r="R49" s="1255" t="str">
        <f>IF($B49=0,"",_xlfn.XLOOKUP($B49,INPUT_DATA!$CN:$CN,INPUT_DATA!DB:DB))</f>
        <v/>
      </c>
      <c r="S49" s="255" t="str">
        <f>IF($B49=0,"",_xlfn.XLOOKUP($B49,INPUT_DATA!$CN:$CN,INPUT_DATA!DC:DC))</f>
        <v/>
      </c>
      <c r="T49" s="1255" t="str">
        <f>IF($B49=0,"",_xlfn.XLOOKUP($B49,INPUT_DATA!$CN:$CN,INPUT_DATA!DD:DD))</f>
        <v/>
      </c>
      <c r="U49" s="255" t="str">
        <f>IF($B49=0,"",_xlfn.XLOOKUP($B49,INPUT_DATA!$CN:$CN,INPUT_DATA!DE:DE))</f>
        <v/>
      </c>
      <c r="V49" s="1255" t="str">
        <f>IF($B49=0,"",_xlfn.XLOOKUP($B49,INPUT_DATA!$CN:$CN,INPUT_DATA!DF:DF))</f>
        <v/>
      </c>
      <c r="W49" s="255" t="str">
        <f>IF($B49=0,"",_xlfn.XLOOKUP($B49,INPUT_DATA!$CN:$CN,INPUT_DATA!DG:DG))</f>
        <v/>
      </c>
      <c r="X49" s="1255" t="str">
        <f>IF($B49=0,"",_xlfn.XLOOKUP($B49,INPUT_DATA!$CN:$CN,INPUT_DATA!DH:DH))</f>
        <v/>
      </c>
      <c r="Y49" s="255" t="str">
        <f>IF($B49=0,"",_xlfn.XLOOKUP($B49,INPUT_DATA!$CN:$CN,INPUT_DATA!DI:DI))</f>
        <v/>
      </c>
      <c r="Z49" s="1255" t="str">
        <f>IF($B49=0,"",_xlfn.XLOOKUP($B49,INPUT_DATA!$CN:$CN,INPUT_DATA!DJ:DJ))</f>
        <v/>
      </c>
      <c r="AA49" s="255" t="str">
        <f>IF($B49=0,"",_xlfn.XLOOKUP($B49,INPUT_DATA!$CN:$CN,INPUT_DATA!DK:DK))</f>
        <v/>
      </c>
      <c r="AB49" s="1255" t="str">
        <f>IF($B49=0,"",_xlfn.XLOOKUP($B49,INPUT_DATA!$CN:$CN,INPUT_DATA!DL:DL))</f>
        <v/>
      </c>
      <c r="AC49" s="255" t="str">
        <f>IF($B49=0,"",_xlfn.XLOOKUP($B49,INPUT_DATA!$CN:$CN,INPUT_DATA!DM:DM))</f>
        <v/>
      </c>
      <c r="AD49" s="1255" t="str">
        <f>IF($B49=0,"",_xlfn.XLOOKUP($B49,INPUT_DATA!$CN:$CN,INPUT_DATA!DN:DN))</f>
        <v/>
      </c>
    </row>
    <row r="50" spans="2:30">
      <c r="B50" s="1202">
        <f>'02 - Monthly Asset Follow up'!B54</f>
        <v>0</v>
      </c>
      <c r="C50" s="255" t="str">
        <f t="shared" si="2"/>
        <v/>
      </c>
      <c r="D50" s="1255" t="str">
        <f t="shared" si="1"/>
        <v/>
      </c>
      <c r="E50" s="255" t="str">
        <f>IF($B50=0,"",_xlfn.XLOOKUP($B50,INPUT_DATA!$CN:$CN,INPUT_DATA!CO:CO))</f>
        <v/>
      </c>
      <c r="F50" s="1255" t="str">
        <f>IF($B50=0,"",_xlfn.XLOOKUP($B50,INPUT_DATA!$CN:$CN,INPUT_DATA!CP:CP))</f>
        <v/>
      </c>
      <c r="G50" s="255" t="str">
        <f>IF($B50=0,"",_xlfn.XLOOKUP($B50,INPUT_DATA!$CN:$CN,INPUT_DATA!CQ:CQ))</f>
        <v/>
      </c>
      <c r="H50" s="1255" t="str">
        <f>IF($B50=0,"",_xlfn.XLOOKUP($B50,INPUT_DATA!$CN:$CN,INPUT_DATA!CR:CR))</f>
        <v/>
      </c>
      <c r="I50" s="255" t="str">
        <f>IF($B50=0,"",_xlfn.XLOOKUP($B50,INPUT_DATA!$CN:$CN,INPUT_DATA!CS:CS))</f>
        <v/>
      </c>
      <c r="J50" s="1255" t="str">
        <f>IF($B50=0,"",_xlfn.XLOOKUP($B50,INPUT_DATA!$CN:$CN,INPUT_DATA!CT:CT))</f>
        <v/>
      </c>
      <c r="K50" s="255" t="str">
        <f>IF($B50=0,"",_xlfn.XLOOKUP($B50,INPUT_DATA!$CN:$CN,INPUT_DATA!CU:CU))</f>
        <v/>
      </c>
      <c r="L50" s="1255" t="str">
        <f>IF($B50=0,"",_xlfn.XLOOKUP($B50,INPUT_DATA!$CN:$CN,INPUT_DATA!CV:CV))</f>
        <v/>
      </c>
      <c r="M50" s="255" t="str">
        <f>IF($B50=0,"",_xlfn.XLOOKUP($B50,INPUT_DATA!$CN:$CN,INPUT_DATA!CW:CW))</f>
        <v/>
      </c>
      <c r="N50" s="1255" t="str">
        <f>IF($B50=0,"",_xlfn.XLOOKUP($B50,INPUT_DATA!$CN:$CN,INPUT_DATA!CX:CX))</f>
        <v/>
      </c>
      <c r="O50" s="255" t="str">
        <f>IF($B50=0,"",_xlfn.XLOOKUP($B50,INPUT_DATA!$CN:$CN,INPUT_DATA!CY:CY))</f>
        <v/>
      </c>
      <c r="P50" s="1255" t="str">
        <f>IF($B50=0,"",_xlfn.XLOOKUP($B50,INPUT_DATA!$CN:$CN,INPUT_DATA!CZ:CZ))</f>
        <v/>
      </c>
      <c r="Q50" s="255" t="str">
        <f>IF($B50=0,"",_xlfn.XLOOKUP($B50,INPUT_DATA!$CN:$CN,INPUT_DATA!DA:DA))</f>
        <v/>
      </c>
      <c r="R50" s="1255" t="str">
        <f>IF($B50=0,"",_xlfn.XLOOKUP($B50,INPUT_DATA!$CN:$CN,INPUT_DATA!DB:DB))</f>
        <v/>
      </c>
      <c r="S50" s="255" t="str">
        <f>IF($B50=0,"",_xlfn.XLOOKUP($B50,INPUT_DATA!$CN:$CN,INPUT_DATA!DC:DC))</f>
        <v/>
      </c>
      <c r="T50" s="1255" t="str">
        <f>IF($B50=0,"",_xlfn.XLOOKUP($B50,INPUT_DATA!$CN:$CN,INPUT_DATA!DD:DD))</f>
        <v/>
      </c>
      <c r="U50" s="255" t="str">
        <f>IF($B50=0,"",_xlfn.XLOOKUP($B50,INPUT_DATA!$CN:$CN,INPUT_DATA!DE:DE))</f>
        <v/>
      </c>
      <c r="V50" s="1255" t="str">
        <f>IF($B50=0,"",_xlfn.XLOOKUP($B50,INPUT_DATA!$CN:$CN,INPUT_DATA!DF:DF))</f>
        <v/>
      </c>
      <c r="W50" s="255" t="str">
        <f>IF($B50=0,"",_xlfn.XLOOKUP($B50,INPUT_DATA!$CN:$CN,INPUT_DATA!DG:DG))</f>
        <v/>
      </c>
      <c r="X50" s="1255" t="str">
        <f>IF($B50=0,"",_xlfn.XLOOKUP($B50,INPUT_DATA!$CN:$CN,INPUT_DATA!DH:DH))</f>
        <v/>
      </c>
      <c r="Y50" s="255" t="str">
        <f>IF($B50=0,"",_xlfn.XLOOKUP($B50,INPUT_DATA!$CN:$CN,INPUT_DATA!DI:DI))</f>
        <v/>
      </c>
      <c r="Z50" s="1255" t="str">
        <f>IF($B50=0,"",_xlfn.XLOOKUP($B50,INPUT_DATA!$CN:$CN,INPUT_DATA!DJ:DJ))</f>
        <v/>
      </c>
      <c r="AA50" s="255" t="str">
        <f>IF($B50=0,"",_xlfn.XLOOKUP($B50,INPUT_DATA!$CN:$CN,INPUT_DATA!DK:DK))</f>
        <v/>
      </c>
      <c r="AB50" s="1255" t="str">
        <f>IF($B50=0,"",_xlfn.XLOOKUP($B50,INPUT_DATA!$CN:$CN,INPUT_DATA!DL:DL))</f>
        <v/>
      </c>
      <c r="AC50" s="255" t="str">
        <f>IF($B50=0,"",_xlfn.XLOOKUP($B50,INPUT_DATA!$CN:$CN,INPUT_DATA!DM:DM))</f>
        <v/>
      </c>
      <c r="AD50" s="1255" t="str">
        <f>IF($B50=0,"",_xlfn.XLOOKUP($B50,INPUT_DATA!$CN:$CN,INPUT_DATA!DN:DN))</f>
        <v/>
      </c>
    </row>
    <row r="51" spans="2:30">
      <c r="B51" s="1202">
        <f>'02 - Monthly Asset Follow up'!B55</f>
        <v>0</v>
      </c>
      <c r="C51" s="255" t="str">
        <f t="shared" si="2"/>
        <v/>
      </c>
      <c r="D51" s="1255" t="str">
        <f t="shared" si="1"/>
        <v/>
      </c>
      <c r="E51" s="255" t="str">
        <f>IF($B51=0,"",_xlfn.XLOOKUP($B51,INPUT_DATA!$CN:$CN,INPUT_DATA!CO:CO))</f>
        <v/>
      </c>
      <c r="F51" s="1255" t="str">
        <f>IF($B51=0,"",_xlfn.XLOOKUP($B51,INPUT_DATA!$CN:$CN,INPUT_DATA!CP:CP))</f>
        <v/>
      </c>
      <c r="G51" s="255" t="str">
        <f>IF($B51=0,"",_xlfn.XLOOKUP($B51,INPUT_DATA!$CN:$CN,INPUT_DATA!CQ:CQ))</f>
        <v/>
      </c>
      <c r="H51" s="1255" t="str">
        <f>IF($B51=0,"",_xlfn.XLOOKUP($B51,INPUT_DATA!$CN:$CN,INPUT_DATA!CR:CR))</f>
        <v/>
      </c>
      <c r="I51" s="255" t="str">
        <f>IF($B51=0,"",_xlfn.XLOOKUP($B51,INPUT_DATA!$CN:$CN,INPUT_DATA!CS:CS))</f>
        <v/>
      </c>
      <c r="J51" s="1255" t="str">
        <f>IF($B51=0,"",_xlfn.XLOOKUP($B51,INPUT_DATA!$CN:$CN,INPUT_DATA!CT:CT))</f>
        <v/>
      </c>
      <c r="K51" s="255" t="str">
        <f>IF($B51=0,"",_xlfn.XLOOKUP($B51,INPUT_DATA!$CN:$CN,INPUT_DATA!CU:CU))</f>
        <v/>
      </c>
      <c r="L51" s="1255" t="str">
        <f>IF($B51=0,"",_xlfn.XLOOKUP($B51,INPUT_DATA!$CN:$CN,INPUT_DATA!CV:CV))</f>
        <v/>
      </c>
      <c r="M51" s="255" t="str">
        <f>IF($B51=0,"",_xlfn.XLOOKUP($B51,INPUT_DATA!$CN:$CN,INPUT_DATA!CW:CW))</f>
        <v/>
      </c>
      <c r="N51" s="1255" t="str">
        <f>IF($B51=0,"",_xlfn.XLOOKUP($B51,INPUT_DATA!$CN:$CN,INPUT_DATA!CX:CX))</f>
        <v/>
      </c>
      <c r="O51" s="255" t="str">
        <f>IF($B51=0,"",_xlfn.XLOOKUP($B51,INPUT_DATA!$CN:$CN,INPUT_DATA!CY:CY))</f>
        <v/>
      </c>
      <c r="P51" s="1255" t="str">
        <f>IF($B51=0,"",_xlfn.XLOOKUP($B51,INPUT_DATA!$CN:$CN,INPUT_DATA!CZ:CZ))</f>
        <v/>
      </c>
      <c r="Q51" s="255" t="str">
        <f>IF($B51=0,"",_xlfn.XLOOKUP($B51,INPUT_DATA!$CN:$CN,INPUT_DATA!DA:DA))</f>
        <v/>
      </c>
      <c r="R51" s="1255" t="str">
        <f>IF($B51=0,"",_xlfn.XLOOKUP($B51,INPUT_DATA!$CN:$CN,INPUT_DATA!DB:DB))</f>
        <v/>
      </c>
      <c r="S51" s="255" t="str">
        <f>IF($B51=0,"",_xlfn.XLOOKUP($B51,INPUT_DATA!$CN:$CN,INPUT_DATA!DC:DC))</f>
        <v/>
      </c>
      <c r="T51" s="1255" t="str">
        <f>IF($B51=0,"",_xlfn.XLOOKUP($B51,INPUT_DATA!$CN:$CN,INPUT_DATA!DD:DD))</f>
        <v/>
      </c>
      <c r="U51" s="255" t="str">
        <f>IF($B51=0,"",_xlfn.XLOOKUP($B51,INPUT_DATA!$CN:$CN,INPUT_DATA!DE:DE))</f>
        <v/>
      </c>
      <c r="V51" s="1255" t="str">
        <f>IF($B51=0,"",_xlfn.XLOOKUP($B51,INPUT_DATA!$CN:$CN,INPUT_DATA!DF:DF))</f>
        <v/>
      </c>
      <c r="W51" s="255" t="str">
        <f>IF($B51=0,"",_xlfn.XLOOKUP($B51,INPUT_DATA!$CN:$CN,INPUT_DATA!DG:DG))</f>
        <v/>
      </c>
      <c r="X51" s="1255" t="str">
        <f>IF($B51=0,"",_xlfn.XLOOKUP($B51,INPUT_DATA!$CN:$CN,INPUT_DATA!DH:DH))</f>
        <v/>
      </c>
      <c r="Y51" s="255" t="str">
        <f>IF($B51=0,"",_xlfn.XLOOKUP($B51,INPUT_DATA!$CN:$CN,INPUT_DATA!DI:DI))</f>
        <v/>
      </c>
      <c r="Z51" s="1255" t="str">
        <f>IF($B51=0,"",_xlfn.XLOOKUP($B51,INPUT_DATA!$CN:$CN,INPUT_DATA!DJ:DJ))</f>
        <v/>
      </c>
      <c r="AA51" s="255" t="str">
        <f>IF($B51=0,"",_xlfn.XLOOKUP($B51,INPUT_DATA!$CN:$CN,INPUT_DATA!DK:DK))</f>
        <v/>
      </c>
      <c r="AB51" s="1255" t="str">
        <f>IF($B51=0,"",_xlfn.XLOOKUP($B51,INPUT_DATA!$CN:$CN,INPUT_DATA!DL:DL))</f>
        <v/>
      </c>
      <c r="AC51" s="255" t="str">
        <f>IF($B51=0,"",_xlfn.XLOOKUP($B51,INPUT_DATA!$CN:$CN,INPUT_DATA!DM:DM))</f>
        <v/>
      </c>
      <c r="AD51" s="1255" t="str">
        <f>IF($B51=0,"",_xlfn.XLOOKUP($B51,INPUT_DATA!$CN:$CN,INPUT_DATA!DN:DN))</f>
        <v/>
      </c>
    </row>
    <row r="52" spans="2:30">
      <c r="B52" s="1202">
        <f>'02 - Monthly Asset Follow up'!B56</f>
        <v>0</v>
      </c>
      <c r="C52" s="255" t="str">
        <f t="shared" si="2"/>
        <v/>
      </c>
      <c r="D52" s="1255" t="str">
        <f t="shared" si="1"/>
        <v/>
      </c>
      <c r="E52" s="255" t="str">
        <f>IF($B52=0,"",_xlfn.XLOOKUP($B52,INPUT_DATA!$CN:$CN,INPUT_DATA!CO:CO))</f>
        <v/>
      </c>
      <c r="F52" s="1255" t="str">
        <f>IF($B52=0,"",_xlfn.XLOOKUP($B52,INPUT_DATA!$CN:$CN,INPUT_DATA!CP:CP))</f>
        <v/>
      </c>
      <c r="G52" s="255" t="str">
        <f>IF($B52=0,"",_xlfn.XLOOKUP($B52,INPUT_DATA!$CN:$CN,INPUT_DATA!CQ:CQ))</f>
        <v/>
      </c>
      <c r="H52" s="1255" t="str">
        <f>IF($B52=0,"",_xlfn.XLOOKUP($B52,INPUT_DATA!$CN:$CN,INPUT_DATA!CR:CR))</f>
        <v/>
      </c>
      <c r="I52" s="255" t="str">
        <f>IF($B52=0,"",_xlfn.XLOOKUP($B52,INPUT_DATA!$CN:$CN,INPUT_DATA!CS:CS))</f>
        <v/>
      </c>
      <c r="J52" s="1255" t="str">
        <f>IF($B52=0,"",_xlfn.XLOOKUP($B52,INPUT_DATA!$CN:$CN,INPUT_DATA!CT:CT))</f>
        <v/>
      </c>
      <c r="K52" s="255" t="str">
        <f>IF($B52=0,"",_xlfn.XLOOKUP($B52,INPUT_DATA!$CN:$CN,INPUT_DATA!CU:CU))</f>
        <v/>
      </c>
      <c r="L52" s="1255" t="str">
        <f>IF($B52=0,"",_xlfn.XLOOKUP($B52,INPUT_DATA!$CN:$CN,INPUT_DATA!CV:CV))</f>
        <v/>
      </c>
      <c r="M52" s="255" t="str">
        <f>IF($B52=0,"",_xlfn.XLOOKUP($B52,INPUT_DATA!$CN:$CN,INPUT_DATA!CW:CW))</f>
        <v/>
      </c>
      <c r="N52" s="1255" t="str">
        <f>IF($B52=0,"",_xlfn.XLOOKUP($B52,INPUT_DATA!$CN:$CN,INPUT_DATA!CX:CX))</f>
        <v/>
      </c>
      <c r="O52" s="255" t="str">
        <f>IF($B52=0,"",_xlfn.XLOOKUP($B52,INPUT_DATA!$CN:$CN,INPUT_DATA!CY:CY))</f>
        <v/>
      </c>
      <c r="P52" s="1255" t="str">
        <f>IF($B52=0,"",_xlfn.XLOOKUP($B52,INPUT_DATA!$CN:$CN,INPUT_DATA!CZ:CZ))</f>
        <v/>
      </c>
      <c r="Q52" s="255" t="str">
        <f>IF($B52=0,"",_xlfn.XLOOKUP($B52,INPUT_DATA!$CN:$CN,INPUT_DATA!DA:DA))</f>
        <v/>
      </c>
      <c r="R52" s="1255" t="str">
        <f>IF($B52=0,"",_xlfn.XLOOKUP($B52,INPUT_DATA!$CN:$CN,INPUT_DATA!DB:DB))</f>
        <v/>
      </c>
      <c r="S52" s="255" t="str">
        <f>IF($B52=0,"",_xlfn.XLOOKUP($B52,INPUT_DATA!$CN:$CN,INPUT_DATA!DC:DC))</f>
        <v/>
      </c>
      <c r="T52" s="1255" t="str">
        <f>IF($B52=0,"",_xlfn.XLOOKUP($B52,INPUT_DATA!$CN:$CN,INPUT_DATA!DD:DD))</f>
        <v/>
      </c>
      <c r="U52" s="255" t="str">
        <f>IF($B52=0,"",_xlfn.XLOOKUP($B52,INPUT_DATA!$CN:$CN,INPUT_DATA!DE:DE))</f>
        <v/>
      </c>
      <c r="V52" s="1255" t="str">
        <f>IF($B52=0,"",_xlfn.XLOOKUP($B52,INPUT_DATA!$CN:$CN,INPUT_DATA!DF:DF))</f>
        <v/>
      </c>
      <c r="W52" s="255" t="str">
        <f>IF($B52=0,"",_xlfn.XLOOKUP($B52,INPUT_DATA!$CN:$CN,INPUT_DATA!DG:DG))</f>
        <v/>
      </c>
      <c r="X52" s="1255" t="str">
        <f>IF($B52=0,"",_xlfn.XLOOKUP($B52,INPUT_DATA!$CN:$CN,INPUT_DATA!DH:DH))</f>
        <v/>
      </c>
      <c r="Y52" s="255" t="str">
        <f>IF($B52=0,"",_xlfn.XLOOKUP($B52,INPUT_DATA!$CN:$CN,INPUT_DATA!DI:DI))</f>
        <v/>
      </c>
      <c r="Z52" s="1255" t="str">
        <f>IF($B52=0,"",_xlfn.XLOOKUP($B52,INPUT_DATA!$CN:$CN,INPUT_DATA!DJ:DJ))</f>
        <v/>
      </c>
      <c r="AA52" s="255" t="str">
        <f>IF($B52=0,"",_xlfn.XLOOKUP($B52,INPUT_DATA!$CN:$CN,INPUT_DATA!DK:DK))</f>
        <v/>
      </c>
      <c r="AB52" s="1255" t="str">
        <f>IF($B52=0,"",_xlfn.XLOOKUP($B52,INPUT_DATA!$CN:$CN,INPUT_DATA!DL:DL))</f>
        <v/>
      </c>
      <c r="AC52" s="255" t="str">
        <f>IF($B52=0,"",_xlfn.XLOOKUP($B52,INPUT_DATA!$CN:$CN,INPUT_DATA!DM:DM))</f>
        <v/>
      </c>
      <c r="AD52" s="1255" t="str">
        <f>IF($B52=0,"",_xlfn.XLOOKUP($B52,INPUT_DATA!$CN:$CN,INPUT_DATA!DN:DN))</f>
        <v/>
      </c>
    </row>
    <row r="53" spans="2:30">
      <c r="B53" s="1202">
        <f>'02 - Monthly Asset Follow up'!B57</f>
        <v>0</v>
      </c>
      <c r="C53" s="255" t="str">
        <f t="shared" si="2"/>
        <v/>
      </c>
      <c r="D53" s="1255" t="str">
        <f t="shared" si="1"/>
        <v/>
      </c>
      <c r="E53" s="255" t="str">
        <f>IF($B53=0,"",_xlfn.XLOOKUP($B53,INPUT_DATA!$CN:$CN,INPUT_DATA!CO:CO))</f>
        <v/>
      </c>
      <c r="F53" s="1255" t="str">
        <f>IF($B53=0,"",_xlfn.XLOOKUP($B53,INPUT_DATA!$CN:$CN,INPUT_DATA!CP:CP))</f>
        <v/>
      </c>
      <c r="G53" s="255" t="str">
        <f>IF($B53=0,"",_xlfn.XLOOKUP($B53,INPUT_DATA!$CN:$CN,INPUT_DATA!CQ:CQ))</f>
        <v/>
      </c>
      <c r="H53" s="1255" t="str">
        <f>IF($B53=0,"",_xlfn.XLOOKUP($B53,INPUT_DATA!$CN:$CN,INPUT_DATA!CR:CR))</f>
        <v/>
      </c>
      <c r="I53" s="255" t="str">
        <f>IF($B53=0,"",_xlfn.XLOOKUP($B53,INPUT_DATA!$CN:$CN,INPUT_DATA!CS:CS))</f>
        <v/>
      </c>
      <c r="J53" s="1255" t="str">
        <f>IF($B53=0,"",_xlfn.XLOOKUP($B53,INPUT_DATA!$CN:$CN,INPUT_DATA!CT:CT))</f>
        <v/>
      </c>
      <c r="K53" s="255" t="str">
        <f>IF($B53=0,"",_xlfn.XLOOKUP($B53,INPUT_DATA!$CN:$CN,INPUT_DATA!CU:CU))</f>
        <v/>
      </c>
      <c r="L53" s="1255" t="str">
        <f>IF($B53=0,"",_xlfn.XLOOKUP($B53,INPUT_DATA!$CN:$CN,INPUT_DATA!CV:CV))</f>
        <v/>
      </c>
      <c r="M53" s="255" t="str">
        <f>IF($B53=0,"",_xlfn.XLOOKUP($B53,INPUT_DATA!$CN:$CN,INPUT_DATA!CW:CW))</f>
        <v/>
      </c>
      <c r="N53" s="1255" t="str">
        <f>IF($B53=0,"",_xlfn.XLOOKUP($B53,INPUT_DATA!$CN:$CN,INPUT_DATA!CX:CX))</f>
        <v/>
      </c>
      <c r="O53" s="255" t="str">
        <f>IF($B53=0,"",_xlfn.XLOOKUP($B53,INPUT_DATA!$CN:$CN,INPUT_DATA!CY:CY))</f>
        <v/>
      </c>
      <c r="P53" s="1255" t="str">
        <f>IF($B53=0,"",_xlfn.XLOOKUP($B53,INPUT_DATA!$CN:$CN,INPUT_DATA!CZ:CZ))</f>
        <v/>
      </c>
      <c r="Q53" s="255" t="str">
        <f>IF($B53=0,"",_xlfn.XLOOKUP($B53,INPUT_DATA!$CN:$CN,INPUT_DATA!DA:DA))</f>
        <v/>
      </c>
      <c r="R53" s="1255" t="str">
        <f>IF($B53=0,"",_xlfn.XLOOKUP($B53,INPUT_DATA!$CN:$CN,INPUT_DATA!DB:DB))</f>
        <v/>
      </c>
      <c r="S53" s="255" t="str">
        <f>IF($B53=0,"",_xlfn.XLOOKUP($B53,INPUT_DATA!$CN:$CN,INPUT_DATA!DC:DC))</f>
        <v/>
      </c>
      <c r="T53" s="1255" t="str">
        <f>IF($B53=0,"",_xlfn.XLOOKUP($B53,INPUT_DATA!$CN:$CN,INPUT_DATA!DD:DD))</f>
        <v/>
      </c>
      <c r="U53" s="255" t="str">
        <f>IF($B53=0,"",_xlfn.XLOOKUP($B53,INPUT_DATA!$CN:$CN,INPUT_DATA!DE:DE))</f>
        <v/>
      </c>
      <c r="V53" s="1255" t="str">
        <f>IF($B53=0,"",_xlfn.XLOOKUP($B53,INPUT_DATA!$CN:$CN,INPUT_DATA!DF:DF))</f>
        <v/>
      </c>
      <c r="W53" s="255" t="str">
        <f>IF($B53=0,"",_xlfn.XLOOKUP($B53,INPUT_DATA!$CN:$CN,INPUT_DATA!DG:DG))</f>
        <v/>
      </c>
      <c r="X53" s="1255" t="str">
        <f>IF($B53=0,"",_xlfn.XLOOKUP($B53,INPUT_DATA!$CN:$CN,INPUT_DATA!DH:DH))</f>
        <v/>
      </c>
      <c r="Y53" s="255" t="str">
        <f>IF($B53=0,"",_xlfn.XLOOKUP($B53,INPUT_DATA!$CN:$CN,INPUT_DATA!DI:DI))</f>
        <v/>
      </c>
      <c r="Z53" s="1255" t="str">
        <f>IF($B53=0,"",_xlfn.XLOOKUP($B53,INPUT_DATA!$CN:$CN,INPUT_DATA!DJ:DJ))</f>
        <v/>
      </c>
      <c r="AA53" s="255" t="str">
        <f>IF($B53=0,"",_xlfn.XLOOKUP($B53,INPUT_DATA!$CN:$CN,INPUT_DATA!DK:DK))</f>
        <v/>
      </c>
      <c r="AB53" s="1255" t="str">
        <f>IF($B53=0,"",_xlfn.XLOOKUP($B53,INPUT_DATA!$CN:$CN,INPUT_DATA!DL:DL))</f>
        <v/>
      </c>
      <c r="AC53" s="255" t="str">
        <f>IF($B53=0,"",_xlfn.XLOOKUP($B53,INPUT_DATA!$CN:$CN,INPUT_DATA!DM:DM))</f>
        <v/>
      </c>
      <c r="AD53" s="1255" t="str">
        <f>IF($B53=0,"",_xlfn.XLOOKUP($B53,INPUT_DATA!$CN:$CN,INPUT_DATA!DN:DN))</f>
        <v/>
      </c>
    </row>
    <row r="54" spans="2:30">
      <c r="B54" s="1202">
        <f>'02 - Monthly Asset Follow up'!B58</f>
        <v>0</v>
      </c>
      <c r="C54" s="255" t="str">
        <f t="shared" si="2"/>
        <v/>
      </c>
      <c r="D54" s="1255" t="str">
        <f t="shared" si="1"/>
        <v/>
      </c>
      <c r="E54" s="255" t="str">
        <f>IF($B54=0,"",_xlfn.XLOOKUP($B54,INPUT_DATA!$CN:$CN,INPUT_DATA!CO:CO))</f>
        <v/>
      </c>
      <c r="F54" s="1255" t="str">
        <f>IF($B54=0,"",_xlfn.XLOOKUP($B54,INPUT_DATA!$CN:$CN,INPUT_DATA!CP:CP))</f>
        <v/>
      </c>
      <c r="G54" s="255" t="str">
        <f>IF($B54=0,"",_xlfn.XLOOKUP($B54,INPUT_DATA!$CN:$CN,INPUT_DATA!CQ:CQ))</f>
        <v/>
      </c>
      <c r="H54" s="1255" t="str">
        <f>IF($B54=0,"",_xlfn.XLOOKUP($B54,INPUT_DATA!$CN:$CN,INPUT_DATA!CR:CR))</f>
        <v/>
      </c>
      <c r="I54" s="255" t="str">
        <f>IF($B54=0,"",_xlfn.XLOOKUP($B54,INPUT_DATA!$CN:$CN,INPUT_DATA!CS:CS))</f>
        <v/>
      </c>
      <c r="J54" s="1255" t="str">
        <f>IF($B54=0,"",_xlfn.XLOOKUP($B54,INPUT_DATA!$CN:$CN,INPUT_DATA!CT:CT))</f>
        <v/>
      </c>
      <c r="K54" s="255" t="str">
        <f>IF($B54=0,"",_xlfn.XLOOKUP($B54,INPUT_DATA!$CN:$CN,INPUT_DATA!CU:CU))</f>
        <v/>
      </c>
      <c r="L54" s="1255" t="str">
        <f>IF($B54=0,"",_xlfn.XLOOKUP($B54,INPUT_DATA!$CN:$CN,INPUT_DATA!CV:CV))</f>
        <v/>
      </c>
      <c r="M54" s="255" t="str">
        <f>IF($B54=0,"",_xlfn.XLOOKUP($B54,INPUT_DATA!$CN:$CN,INPUT_DATA!CW:CW))</f>
        <v/>
      </c>
      <c r="N54" s="1255" t="str">
        <f>IF($B54=0,"",_xlfn.XLOOKUP($B54,INPUT_DATA!$CN:$CN,INPUT_DATA!CX:CX))</f>
        <v/>
      </c>
      <c r="O54" s="255" t="str">
        <f>IF($B54=0,"",_xlfn.XLOOKUP($B54,INPUT_DATA!$CN:$CN,INPUT_DATA!CY:CY))</f>
        <v/>
      </c>
      <c r="P54" s="1255" t="str">
        <f>IF($B54=0,"",_xlfn.XLOOKUP($B54,INPUT_DATA!$CN:$CN,INPUT_DATA!CZ:CZ))</f>
        <v/>
      </c>
      <c r="Q54" s="255" t="str">
        <f>IF($B54=0,"",_xlfn.XLOOKUP($B54,INPUT_DATA!$CN:$CN,INPUT_DATA!DA:DA))</f>
        <v/>
      </c>
      <c r="R54" s="1255" t="str">
        <f>IF($B54=0,"",_xlfn.XLOOKUP($B54,INPUT_DATA!$CN:$CN,INPUT_DATA!DB:DB))</f>
        <v/>
      </c>
      <c r="S54" s="255" t="str">
        <f>IF($B54=0,"",_xlfn.XLOOKUP($B54,INPUT_DATA!$CN:$CN,INPUT_DATA!DC:DC))</f>
        <v/>
      </c>
      <c r="T54" s="1255" t="str">
        <f>IF($B54=0,"",_xlfn.XLOOKUP($B54,INPUT_DATA!$CN:$CN,INPUT_DATA!DD:DD))</f>
        <v/>
      </c>
      <c r="U54" s="255" t="str">
        <f>IF($B54=0,"",_xlfn.XLOOKUP($B54,INPUT_DATA!$CN:$CN,INPUT_DATA!DE:DE))</f>
        <v/>
      </c>
      <c r="V54" s="1255" t="str">
        <f>IF($B54=0,"",_xlfn.XLOOKUP($B54,INPUT_DATA!$CN:$CN,INPUT_DATA!DF:DF))</f>
        <v/>
      </c>
      <c r="W54" s="255" t="str">
        <f>IF($B54=0,"",_xlfn.XLOOKUP($B54,INPUT_DATA!$CN:$CN,INPUT_DATA!DG:DG))</f>
        <v/>
      </c>
      <c r="X54" s="1255" t="str">
        <f>IF($B54=0,"",_xlfn.XLOOKUP($B54,INPUT_DATA!$CN:$CN,INPUT_DATA!DH:DH))</f>
        <v/>
      </c>
      <c r="Y54" s="255" t="str">
        <f>IF($B54=0,"",_xlfn.XLOOKUP($B54,INPUT_DATA!$CN:$CN,INPUT_DATA!DI:DI))</f>
        <v/>
      </c>
      <c r="Z54" s="1255" t="str">
        <f>IF($B54=0,"",_xlfn.XLOOKUP($B54,INPUT_DATA!$CN:$CN,INPUT_DATA!DJ:DJ))</f>
        <v/>
      </c>
      <c r="AA54" s="255" t="str">
        <f>IF($B54=0,"",_xlfn.XLOOKUP($B54,INPUT_DATA!$CN:$CN,INPUT_DATA!DK:DK))</f>
        <v/>
      </c>
      <c r="AB54" s="1255" t="str">
        <f>IF($B54=0,"",_xlfn.XLOOKUP($B54,INPUT_DATA!$CN:$CN,INPUT_DATA!DL:DL))</f>
        <v/>
      </c>
      <c r="AC54" s="255" t="str">
        <f>IF($B54=0,"",_xlfn.XLOOKUP($B54,INPUT_DATA!$CN:$CN,INPUT_DATA!DM:DM))</f>
        <v/>
      </c>
      <c r="AD54" s="1255" t="str">
        <f>IF($B54=0,"",_xlfn.XLOOKUP($B54,INPUT_DATA!$CN:$CN,INPUT_DATA!DN:DN))</f>
        <v/>
      </c>
    </row>
    <row r="55" spans="2:30">
      <c r="B55" s="1202">
        <f>'02 - Monthly Asset Follow up'!B59</f>
        <v>0</v>
      </c>
      <c r="C55" s="255" t="str">
        <f t="shared" si="2"/>
        <v/>
      </c>
      <c r="D55" s="1255" t="str">
        <f t="shared" si="1"/>
        <v/>
      </c>
      <c r="E55" s="255" t="str">
        <f>IF($B55=0,"",_xlfn.XLOOKUP($B55,INPUT_DATA!$CN:$CN,INPUT_DATA!CO:CO))</f>
        <v/>
      </c>
      <c r="F55" s="1255" t="str">
        <f>IF($B55=0,"",_xlfn.XLOOKUP($B55,INPUT_DATA!$CN:$CN,INPUT_DATA!CP:CP))</f>
        <v/>
      </c>
      <c r="G55" s="255" t="str">
        <f>IF($B55=0,"",_xlfn.XLOOKUP($B55,INPUT_DATA!$CN:$CN,INPUT_DATA!CQ:CQ))</f>
        <v/>
      </c>
      <c r="H55" s="1255" t="str">
        <f>IF($B55=0,"",_xlfn.XLOOKUP($B55,INPUT_DATA!$CN:$CN,INPUT_DATA!CR:CR))</f>
        <v/>
      </c>
      <c r="I55" s="255" t="str">
        <f>IF($B55=0,"",_xlfn.XLOOKUP($B55,INPUT_DATA!$CN:$CN,INPUT_DATA!CS:CS))</f>
        <v/>
      </c>
      <c r="J55" s="1255" t="str">
        <f>IF($B55=0,"",_xlfn.XLOOKUP($B55,INPUT_DATA!$CN:$CN,INPUT_DATA!CT:CT))</f>
        <v/>
      </c>
      <c r="K55" s="255" t="str">
        <f>IF($B55=0,"",_xlfn.XLOOKUP($B55,INPUT_DATA!$CN:$CN,INPUT_DATA!CU:CU))</f>
        <v/>
      </c>
      <c r="L55" s="1255" t="str">
        <f>IF($B55=0,"",_xlfn.XLOOKUP($B55,INPUT_DATA!$CN:$CN,INPUT_DATA!CV:CV))</f>
        <v/>
      </c>
      <c r="M55" s="255" t="str">
        <f>IF($B55=0,"",_xlfn.XLOOKUP($B55,INPUT_DATA!$CN:$CN,INPUT_DATA!CW:CW))</f>
        <v/>
      </c>
      <c r="N55" s="1255" t="str">
        <f>IF($B55=0,"",_xlfn.XLOOKUP($B55,INPUT_DATA!$CN:$CN,INPUT_DATA!CX:CX))</f>
        <v/>
      </c>
      <c r="O55" s="255" t="str">
        <f>IF($B55=0,"",_xlfn.XLOOKUP($B55,INPUT_DATA!$CN:$CN,INPUT_DATA!CY:CY))</f>
        <v/>
      </c>
      <c r="P55" s="1255" t="str">
        <f>IF($B55=0,"",_xlfn.XLOOKUP($B55,INPUT_DATA!$CN:$CN,INPUT_DATA!CZ:CZ))</f>
        <v/>
      </c>
      <c r="Q55" s="255" t="str">
        <f>IF($B55=0,"",_xlfn.XLOOKUP($B55,INPUT_DATA!$CN:$CN,INPUT_DATA!DA:DA))</f>
        <v/>
      </c>
      <c r="R55" s="1255" t="str">
        <f>IF($B55=0,"",_xlfn.XLOOKUP($B55,INPUT_DATA!$CN:$CN,INPUT_DATA!DB:DB))</f>
        <v/>
      </c>
      <c r="S55" s="255" t="str">
        <f>IF($B55=0,"",_xlfn.XLOOKUP($B55,INPUT_DATA!$CN:$CN,INPUT_DATA!DC:DC))</f>
        <v/>
      </c>
      <c r="T55" s="1255" t="str">
        <f>IF($B55=0,"",_xlfn.XLOOKUP($B55,INPUT_DATA!$CN:$CN,INPUT_DATA!DD:DD))</f>
        <v/>
      </c>
      <c r="U55" s="255" t="str">
        <f>IF($B55=0,"",_xlfn.XLOOKUP($B55,INPUT_DATA!$CN:$CN,INPUT_DATA!DE:DE))</f>
        <v/>
      </c>
      <c r="V55" s="1255" t="str">
        <f>IF($B55=0,"",_xlfn.XLOOKUP($B55,INPUT_DATA!$CN:$CN,INPUT_DATA!DF:DF))</f>
        <v/>
      </c>
      <c r="W55" s="255" t="str">
        <f>IF($B55=0,"",_xlfn.XLOOKUP($B55,INPUT_DATA!$CN:$CN,INPUT_DATA!DG:DG))</f>
        <v/>
      </c>
      <c r="X55" s="1255" t="str">
        <f>IF($B55=0,"",_xlfn.XLOOKUP($B55,INPUT_DATA!$CN:$CN,INPUT_DATA!DH:DH))</f>
        <v/>
      </c>
      <c r="Y55" s="255" t="str">
        <f>IF($B55=0,"",_xlfn.XLOOKUP($B55,INPUT_DATA!$CN:$CN,INPUT_DATA!DI:DI))</f>
        <v/>
      </c>
      <c r="Z55" s="1255" t="str">
        <f>IF($B55=0,"",_xlfn.XLOOKUP($B55,INPUT_DATA!$CN:$CN,INPUT_DATA!DJ:DJ))</f>
        <v/>
      </c>
      <c r="AA55" s="255" t="str">
        <f>IF($B55=0,"",_xlfn.XLOOKUP($B55,INPUT_DATA!$CN:$CN,INPUT_DATA!DK:DK))</f>
        <v/>
      </c>
      <c r="AB55" s="1255" t="str">
        <f>IF($B55=0,"",_xlfn.XLOOKUP($B55,INPUT_DATA!$CN:$CN,INPUT_DATA!DL:DL))</f>
        <v/>
      </c>
      <c r="AC55" s="255" t="str">
        <f>IF($B55=0,"",_xlfn.XLOOKUP($B55,INPUT_DATA!$CN:$CN,INPUT_DATA!DM:DM))</f>
        <v/>
      </c>
      <c r="AD55" s="1255" t="str">
        <f>IF($B55=0,"",_xlfn.XLOOKUP($B55,INPUT_DATA!$CN:$CN,INPUT_DATA!DN:DN))</f>
        <v/>
      </c>
    </row>
    <row r="56" spans="2:30">
      <c r="B56" s="1202">
        <f>'02 - Monthly Asset Follow up'!B60</f>
        <v>0</v>
      </c>
      <c r="C56" s="255" t="str">
        <f t="shared" si="2"/>
        <v/>
      </c>
      <c r="D56" s="1255" t="str">
        <f t="shared" si="1"/>
        <v/>
      </c>
      <c r="E56" s="255" t="str">
        <f>IF($B56=0,"",_xlfn.XLOOKUP($B56,INPUT_DATA!$CN:$CN,INPUT_DATA!CO:CO))</f>
        <v/>
      </c>
      <c r="F56" s="1255" t="str">
        <f>IF($B56=0,"",_xlfn.XLOOKUP($B56,INPUT_DATA!$CN:$CN,INPUT_DATA!CP:CP))</f>
        <v/>
      </c>
      <c r="G56" s="255" t="str">
        <f>IF($B56=0,"",_xlfn.XLOOKUP($B56,INPUT_DATA!$CN:$CN,INPUT_DATA!CQ:CQ))</f>
        <v/>
      </c>
      <c r="H56" s="1255" t="str">
        <f>IF($B56=0,"",_xlfn.XLOOKUP($B56,INPUT_DATA!$CN:$CN,INPUT_DATA!CR:CR))</f>
        <v/>
      </c>
      <c r="I56" s="255" t="str">
        <f>IF($B56=0,"",_xlfn.XLOOKUP($B56,INPUT_DATA!$CN:$CN,INPUT_DATA!CS:CS))</f>
        <v/>
      </c>
      <c r="J56" s="1255" t="str">
        <f>IF($B56=0,"",_xlfn.XLOOKUP($B56,INPUT_DATA!$CN:$CN,INPUT_DATA!CT:CT))</f>
        <v/>
      </c>
      <c r="K56" s="255" t="str">
        <f>IF($B56=0,"",_xlfn.XLOOKUP($B56,INPUT_DATA!$CN:$CN,INPUT_DATA!CU:CU))</f>
        <v/>
      </c>
      <c r="L56" s="1255" t="str">
        <f>IF($B56=0,"",_xlfn.XLOOKUP($B56,INPUT_DATA!$CN:$CN,INPUT_DATA!CV:CV))</f>
        <v/>
      </c>
      <c r="M56" s="255" t="str">
        <f>IF($B56=0,"",_xlfn.XLOOKUP($B56,INPUT_DATA!$CN:$CN,INPUT_DATA!CW:CW))</f>
        <v/>
      </c>
      <c r="N56" s="1255" t="str">
        <f>IF($B56=0,"",_xlfn.XLOOKUP($B56,INPUT_DATA!$CN:$CN,INPUT_DATA!CX:CX))</f>
        <v/>
      </c>
      <c r="O56" s="255" t="str">
        <f>IF($B56=0,"",_xlfn.XLOOKUP($B56,INPUT_DATA!$CN:$CN,INPUT_DATA!CY:CY))</f>
        <v/>
      </c>
      <c r="P56" s="1255" t="str">
        <f>IF($B56=0,"",_xlfn.XLOOKUP($B56,INPUT_DATA!$CN:$CN,INPUT_DATA!CZ:CZ))</f>
        <v/>
      </c>
      <c r="Q56" s="255" t="str">
        <f>IF($B56=0,"",_xlfn.XLOOKUP($B56,INPUT_DATA!$CN:$CN,INPUT_DATA!DA:DA))</f>
        <v/>
      </c>
      <c r="R56" s="1255" t="str">
        <f>IF($B56=0,"",_xlfn.XLOOKUP($B56,INPUT_DATA!$CN:$CN,INPUT_DATA!DB:DB))</f>
        <v/>
      </c>
      <c r="S56" s="255" t="str">
        <f>IF($B56=0,"",_xlfn.XLOOKUP($B56,INPUT_DATA!$CN:$CN,INPUT_DATA!DC:DC))</f>
        <v/>
      </c>
      <c r="T56" s="1255" t="str">
        <f>IF($B56=0,"",_xlfn.XLOOKUP($B56,INPUT_DATA!$CN:$CN,INPUT_DATA!DD:DD))</f>
        <v/>
      </c>
      <c r="U56" s="255" t="str">
        <f>IF($B56=0,"",_xlfn.XLOOKUP($B56,INPUT_DATA!$CN:$CN,INPUT_DATA!DE:DE))</f>
        <v/>
      </c>
      <c r="V56" s="1255" t="str">
        <f>IF($B56=0,"",_xlfn.XLOOKUP($B56,INPUT_DATA!$CN:$CN,INPUT_DATA!DF:DF))</f>
        <v/>
      </c>
      <c r="W56" s="255" t="str">
        <f>IF($B56=0,"",_xlfn.XLOOKUP($B56,INPUT_DATA!$CN:$CN,INPUT_DATA!DG:DG))</f>
        <v/>
      </c>
      <c r="X56" s="1255" t="str">
        <f>IF($B56=0,"",_xlfn.XLOOKUP($B56,INPUT_DATA!$CN:$CN,INPUT_DATA!DH:DH))</f>
        <v/>
      </c>
      <c r="Y56" s="255" t="str">
        <f>IF($B56=0,"",_xlfn.XLOOKUP($B56,INPUT_DATA!$CN:$CN,INPUT_DATA!DI:DI))</f>
        <v/>
      </c>
      <c r="Z56" s="1255" t="str">
        <f>IF($B56=0,"",_xlfn.XLOOKUP($B56,INPUT_DATA!$CN:$CN,INPUT_DATA!DJ:DJ))</f>
        <v/>
      </c>
      <c r="AA56" s="255" t="str">
        <f>IF($B56=0,"",_xlfn.XLOOKUP($B56,INPUT_DATA!$CN:$CN,INPUT_DATA!DK:DK))</f>
        <v/>
      </c>
      <c r="AB56" s="1255" t="str">
        <f>IF($B56=0,"",_xlfn.XLOOKUP($B56,INPUT_DATA!$CN:$CN,INPUT_DATA!DL:DL))</f>
        <v/>
      </c>
      <c r="AC56" s="255" t="str">
        <f>IF($B56=0,"",_xlfn.XLOOKUP($B56,INPUT_DATA!$CN:$CN,INPUT_DATA!DM:DM))</f>
        <v/>
      </c>
      <c r="AD56" s="1255" t="str">
        <f>IF($B56=0,"",_xlfn.XLOOKUP($B56,INPUT_DATA!$CN:$CN,INPUT_DATA!DN:DN))</f>
        <v/>
      </c>
    </row>
    <row r="57" spans="2:30">
      <c r="B57" s="1202">
        <f>'02 - Monthly Asset Follow up'!B61</f>
        <v>0</v>
      </c>
      <c r="C57" s="255" t="str">
        <f t="shared" si="2"/>
        <v/>
      </c>
      <c r="D57" s="1255" t="str">
        <f t="shared" si="1"/>
        <v/>
      </c>
      <c r="E57" s="255" t="str">
        <f>IF($B57=0,"",_xlfn.XLOOKUP($B57,INPUT_DATA!$CN:$CN,INPUT_DATA!CO:CO))</f>
        <v/>
      </c>
      <c r="F57" s="1255" t="str">
        <f>IF($B57=0,"",_xlfn.XLOOKUP($B57,INPUT_DATA!$CN:$CN,INPUT_DATA!CP:CP))</f>
        <v/>
      </c>
      <c r="G57" s="255" t="str">
        <f>IF($B57=0,"",_xlfn.XLOOKUP($B57,INPUT_DATA!$CN:$CN,INPUT_DATA!CQ:CQ))</f>
        <v/>
      </c>
      <c r="H57" s="1255" t="str">
        <f>IF($B57=0,"",_xlfn.XLOOKUP($B57,INPUT_DATA!$CN:$CN,INPUT_DATA!CR:CR))</f>
        <v/>
      </c>
      <c r="I57" s="255" t="str">
        <f>IF($B57=0,"",_xlfn.XLOOKUP($B57,INPUT_DATA!$CN:$CN,INPUT_DATA!CS:CS))</f>
        <v/>
      </c>
      <c r="J57" s="1255" t="str">
        <f>IF($B57=0,"",_xlfn.XLOOKUP($B57,INPUT_DATA!$CN:$CN,INPUT_DATA!CT:CT))</f>
        <v/>
      </c>
      <c r="K57" s="255" t="str">
        <f>IF($B57=0,"",_xlfn.XLOOKUP($B57,INPUT_DATA!$CN:$CN,INPUT_DATA!CU:CU))</f>
        <v/>
      </c>
      <c r="L57" s="1255" t="str">
        <f>IF($B57=0,"",_xlfn.XLOOKUP($B57,INPUT_DATA!$CN:$CN,INPUT_DATA!CV:CV))</f>
        <v/>
      </c>
      <c r="M57" s="255" t="str">
        <f>IF($B57=0,"",_xlfn.XLOOKUP($B57,INPUT_DATA!$CN:$CN,INPUT_DATA!CW:CW))</f>
        <v/>
      </c>
      <c r="N57" s="1255" t="str">
        <f>IF($B57=0,"",_xlfn.XLOOKUP($B57,INPUT_DATA!$CN:$CN,INPUT_DATA!CX:CX))</f>
        <v/>
      </c>
      <c r="O57" s="255" t="str">
        <f>IF($B57=0,"",_xlfn.XLOOKUP($B57,INPUT_DATA!$CN:$CN,INPUT_DATA!CY:CY))</f>
        <v/>
      </c>
      <c r="P57" s="1255" t="str">
        <f>IF($B57=0,"",_xlfn.XLOOKUP($B57,INPUT_DATA!$CN:$CN,INPUT_DATA!CZ:CZ))</f>
        <v/>
      </c>
      <c r="Q57" s="255" t="str">
        <f>IF($B57=0,"",_xlfn.XLOOKUP($B57,INPUT_DATA!$CN:$CN,INPUT_DATA!DA:DA))</f>
        <v/>
      </c>
      <c r="R57" s="1255" t="str">
        <f>IF($B57=0,"",_xlfn.XLOOKUP($B57,INPUT_DATA!$CN:$CN,INPUT_DATA!DB:DB))</f>
        <v/>
      </c>
      <c r="S57" s="255" t="str">
        <f>IF($B57=0,"",_xlfn.XLOOKUP($B57,INPUT_DATA!$CN:$CN,INPUT_DATA!DC:DC))</f>
        <v/>
      </c>
      <c r="T57" s="1255" t="str">
        <f>IF($B57=0,"",_xlfn.XLOOKUP($B57,INPUT_DATA!$CN:$CN,INPUT_DATA!DD:DD))</f>
        <v/>
      </c>
      <c r="U57" s="255" t="str">
        <f>IF($B57=0,"",_xlfn.XLOOKUP($B57,INPUT_DATA!$CN:$CN,INPUT_DATA!DE:DE))</f>
        <v/>
      </c>
      <c r="V57" s="1255" t="str">
        <f>IF($B57=0,"",_xlfn.XLOOKUP($B57,INPUT_DATA!$CN:$CN,INPUT_DATA!DF:DF))</f>
        <v/>
      </c>
      <c r="W57" s="255" t="str">
        <f>IF($B57=0,"",_xlfn.XLOOKUP($B57,INPUT_DATA!$CN:$CN,INPUT_DATA!DG:DG))</f>
        <v/>
      </c>
      <c r="X57" s="1255" t="str">
        <f>IF($B57=0,"",_xlfn.XLOOKUP($B57,INPUT_DATA!$CN:$CN,INPUT_DATA!DH:DH))</f>
        <v/>
      </c>
      <c r="Y57" s="255" t="str">
        <f>IF($B57=0,"",_xlfn.XLOOKUP($B57,INPUT_DATA!$CN:$CN,INPUT_DATA!DI:DI))</f>
        <v/>
      </c>
      <c r="Z57" s="1255" t="str">
        <f>IF($B57=0,"",_xlfn.XLOOKUP($B57,INPUT_DATA!$CN:$CN,INPUT_DATA!DJ:DJ))</f>
        <v/>
      </c>
      <c r="AA57" s="255" t="str">
        <f>IF($B57=0,"",_xlfn.XLOOKUP($B57,INPUT_DATA!$CN:$CN,INPUT_DATA!DK:DK))</f>
        <v/>
      </c>
      <c r="AB57" s="1255" t="str">
        <f>IF($B57=0,"",_xlfn.XLOOKUP($B57,INPUT_DATA!$CN:$CN,INPUT_DATA!DL:DL))</f>
        <v/>
      </c>
      <c r="AC57" s="255" t="str">
        <f>IF($B57=0,"",_xlfn.XLOOKUP($B57,INPUT_DATA!$CN:$CN,INPUT_DATA!DM:DM))</f>
        <v/>
      </c>
      <c r="AD57" s="1255" t="str">
        <f>IF($B57=0,"",_xlfn.XLOOKUP($B57,INPUT_DATA!$CN:$CN,INPUT_DATA!DN:DN))</f>
        <v/>
      </c>
    </row>
    <row r="58" spans="2:30">
      <c r="B58" s="1202">
        <f>'02 - Monthly Asset Follow up'!B62</f>
        <v>0</v>
      </c>
      <c r="C58" s="255" t="str">
        <f t="shared" si="2"/>
        <v/>
      </c>
      <c r="D58" s="1255" t="str">
        <f t="shared" si="1"/>
        <v/>
      </c>
      <c r="E58" s="255" t="str">
        <f>IF($B58=0,"",_xlfn.XLOOKUP($B58,INPUT_DATA!$CN:$CN,INPUT_DATA!CO:CO))</f>
        <v/>
      </c>
      <c r="F58" s="1255" t="str">
        <f>IF($B58=0,"",_xlfn.XLOOKUP($B58,INPUT_DATA!$CN:$CN,INPUT_DATA!CP:CP))</f>
        <v/>
      </c>
      <c r="G58" s="255" t="str">
        <f>IF($B58=0,"",_xlfn.XLOOKUP($B58,INPUT_DATA!$CN:$CN,INPUT_DATA!CQ:CQ))</f>
        <v/>
      </c>
      <c r="H58" s="1255" t="str">
        <f>IF($B58=0,"",_xlfn.XLOOKUP($B58,INPUT_DATA!$CN:$CN,INPUT_DATA!CR:CR))</f>
        <v/>
      </c>
      <c r="I58" s="255" t="str">
        <f>IF($B58=0,"",_xlfn.XLOOKUP($B58,INPUT_DATA!$CN:$CN,INPUT_DATA!CS:CS))</f>
        <v/>
      </c>
      <c r="J58" s="1255" t="str">
        <f>IF($B58=0,"",_xlfn.XLOOKUP($B58,INPUT_DATA!$CN:$CN,INPUT_DATA!CT:CT))</f>
        <v/>
      </c>
      <c r="K58" s="255" t="str">
        <f>IF($B58=0,"",_xlfn.XLOOKUP($B58,INPUT_DATA!$CN:$CN,INPUT_DATA!CU:CU))</f>
        <v/>
      </c>
      <c r="L58" s="1255" t="str">
        <f>IF($B58=0,"",_xlfn.XLOOKUP($B58,INPUT_DATA!$CN:$CN,INPUT_DATA!CV:CV))</f>
        <v/>
      </c>
      <c r="M58" s="255" t="str">
        <f>IF($B58=0,"",_xlfn.XLOOKUP($B58,INPUT_DATA!$CN:$CN,INPUT_DATA!CW:CW))</f>
        <v/>
      </c>
      <c r="N58" s="1255" t="str">
        <f>IF($B58=0,"",_xlfn.XLOOKUP($B58,INPUT_DATA!$CN:$CN,INPUT_DATA!CX:CX))</f>
        <v/>
      </c>
      <c r="O58" s="255" t="str">
        <f>IF($B58=0,"",_xlfn.XLOOKUP($B58,INPUT_DATA!$CN:$CN,INPUT_DATA!CY:CY))</f>
        <v/>
      </c>
      <c r="P58" s="1255" t="str">
        <f>IF($B58=0,"",_xlfn.XLOOKUP($B58,INPUT_DATA!$CN:$CN,INPUT_DATA!CZ:CZ))</f>
        <v/>
      </c>
      <c r="Q58" s="255" t="str">
        <f>IF($B58=0,"",_xlfn.XLOOKUP($B58,INPUT_DATA!$CN:$CN,INPUT_DATA!DA:DA))</f>
        <v/>
      </c>
      <c r="R58" s="1255" t="str">
        <f>IF($B58=0,"",_xlfn.XLOOKUP($B58,INPUT_DATA!$CN:$CN,INPUT_DATA!DB:DB))</f>
        <v/>
      </c>
      <c r="S58" s="255" t="str">
        <f>IF($B58=0,"",_xlfn.XLOOKUP($B58,INPUT_DATA!$CN:$CN,INPUT_DATA!DC:DC))</f>
        <v/>
      </c>
      <c r="T58" s="1255" t="str">
        <f>IF($B58=0,"",_xlfn.XLOOKUP($B58,INPUT_DATA!$CN:$CN,INPUT_DATA!DD:DD))</f>
        <v/>
      </c>
      <c r="U58" s="255" t="str">
        <f>IF($B58=0,"",_xlfn.XLOOKUP($B58,INPUT_DATA!$CN:$CN,INPUT_DATA!DE:DE))</f>
        <v/>
      </c>
      <c r="V58" s="1255" t="str">
        <f>IF($B58=0,"",_xlfn.XLOOKUP($B58,INPUT_DATA!$CN:$CN,INPUT_DATA!DF:DF))</f>
        <v/>
      </c>
      <c r="W58" s="255" t="str">
        <f>IF($B58=0,"",_xlfn.XLOOKUP($B58,INPUT_DATA!$CN:$CN,INPUT_DATA!DG:DG))</f>
        <v/>
      </c>
      <c r="X58" s="1255" t="str">
        <f>IF($B58=0,"",_xlfn.XLOOKUP($B58,INPUT_DATA!$CN:$CN,INPUT_DATA!DH:DH))</f>
        <v/>
      </c>
      <c r="Y58" s="255" t="str">
        <f>IF($B58=0,"",_xlfn.XLOOKUP($B58,INPUT_DATA!$CN:$CN,INPUT_DATA!DI:DI))</f>
        <v/>
      </c>
      <c r="Z58" s="1255" t="str">
        <f>IF($B58=0,"",_xlfn.XLOOKUP($B58,INPUT_DATA!$CN:$CN,INPUT_DATA!DJ:DJ))</f>
        <v/>
      </c>
      <c r="AA58" s="255" t="str">
        <f>IF($B58=0,"",_xlfn.XLOOKUP($B58,INPUT_DATA!$CN:$CN,INPUT_DATA!DK:DK))</f>
        <v/>
      </c>
      <c r="AB58" s="1255" t="str">
        <f>IF($B58=0,"",_xlfn.XLOOKUP($B58,INPUT_DATA!$CN:$CN,INPUT_DATA!DL:DL))</f>
        <v/>
      </c>
      <c r="AC58" s="255" t="str">
        <f>IF($B58=0,"",_xlfn.XLOOKUP($B58,INPUT_DATA!$CN:$CN,INPUT_DATA!DM:DM))</f>
        <v/>
      </c>
      <c r="AD58" s="1255" t="str">
        <f>IF($B58=0,"",_xlfn.XLOOKUP($B58,INPUT_DATA!$CN:$CN,INPUT_DATA!DN:DN))</f>
        <v/>
      </c>
    </row>
    <row r="59" spans="2:30">
      <c r="B59" s="1202">
        <f>'02 - Monthly Asset Follow up'!B63</f>
        <v>0</v>
      </c>
      <c r="C59" s="255" t="str">
        <f t="shared" si="2"/>
        <v/>
      </c>
      <c r="D59" s="1255" t="str">
        <f t="shared" si="1"/>
        <v/>
      </c>
      <c r="E59" s="255" t="str">
        <f>IF($B59=0,"",_xlfn.XLOOKUP($B59,INPUT_DATA!$CN:$CN,INPUT_DATA!CO:CO))</f>
        <v/>
      </c>
      <c r="F59" s="1255" t="str">
        <f>IF($B59=0,"",_xlfn.XLOOKUP($B59,INPUT_DATA!$CN:$CN,INPUT_DATA!CP:CP))</f>
        <v/>
      </c>
      <c r="G59" s="255" t="str">
        <f>IF($B59=0,"",_xlfn.XLOOKUP($B59,INPUT_DATA!$CN:$CN,INPUT_DATA!CQ:CQ))</f>
        <v/>
      </c>
      <c r="H59" s="1255" t="str">
        <f>IF($B59=0,"",_xlfn.XLOOKUP($B59,INPUT_DATA!$CN:$CN,INPUT_DATA!CR:CR))</f>
        <v/>
      </c>
      <c r="I59" s="255" t="str">
        <f>IF($B59=0,"",_xlfn.XLOOKUP($B59,INPUT_DATA!$CN:$CN,INPUT_DATA!CS:CS))</f>
        <v/>
      </c>
      <c r="J59" s="1255" t="str">
        <f>IF($B59=0,"",_xlfn.XLOOKUP($B59,INPUT_DATA!$CN:$CN,INPUT_DATA!CT:CT))</f>
        <v/>
      </c>
      <c r="K59" s="255" t="str">
        <f>IF($B59=0,"",_xlfn.XLOOKUP($B59,INPUT_DATA!$CN:$CN,INPUT_DATA!CU:CU))</f>
        <v/>
      </c>
      <c r="L59" s="1255" t="str">
        <f>IF($B59=0,"",_xlfn.XLOOKUP($B59,INPUT_DATA!$CN:$CN,INPUT_DATA!CV:CV))</f>
        <v/>
      </c>
      <c r="M59" s="255" t="str">
        <f>IF($B59=0,"",_xlfn.XLOOKUP($B59,INPUT_DATA!$CN:$CN,INPUT_DATA!CW:CW))</f>
        <v/>
      </c>
      <c r="N59" s="1255" t="str">
        <f>IF($B59=0,"",_xlfn.XLOOKUP($B59,INPUT_DATA!$CN:$CN,INPUT_DATA!CX:CX))</f>
        <v/>
      </c>
      <c r="O59" s="255" t="str">
        <f>IF($B59=0,"",_xlfn.XLOOKUP($B59,INPUT_DATA!$CN:$CN,INPUT_DATA!CY:CY))</f>
        <v/>
      </c>
      <c r="P59" s="1255" t="str">
        <f>IF($B59=0,"",_xlfn.XLOOKUP($B59,INPUT_DATA!$CN:$CN,INPUT_DATA!CZ:CZ))</f>
        <v/>
      </c>
      <c r="Q59" s="255" t="str">
        <f>IF($B59=0,"",_xlfn.XLOOKUP($B59,INPUT_DATA!$CN:$CN,INPUT_DATA!DA:DA))</f>
        <v/>
      </c>
      <c r="R59" s="1255" t="str">
        <f>IF($B59=0,"",_xlfn.XLOOKUP($B59,INPUT_DATA!$CN:$CN,INPUT_DATA!DB:DB))</f>
        <v/>
      </c>
      <c r="S59" s="255" t="str">
        <f>IF($B59=0,"",_xlfn.XLOOKUP($B59,INPUT_DATA!$CN:$CN,INPUT_DATA!DC:DC))</f>
        <v/>
      </c>
      <c r="T59" s="1255" t="str">
        <f>IF($B59=0,"",_xlfn.XLOOKUP($B59,INPUT_DATA!$CN:$CN,INPUT_DATA!DD:DD))</f>
        <v/>
      </c>
      <c r="U59" s="255" t="str">
        <f>IF($B59=0,"",_xlfn.XLOOKUP($B59,INPUT_DATA!$CN:$CN,INPUT_DATA!DE:DE))</f>
        <v/>
      </c>
      <c r="V59" s="1255" t="str">
        <f>IF($B59=0,"",_xlfn.XLOOKUP($B59,INPUT_DATA!$CN:$CN,INPUT_DATA!DF:DF))</f>
        <v/>
      </c>
      <c r="W59" s="255" t="str">
        <f>IF($B59=0,"",_xlfn.XLOOKUP($B59,INPUT_DATA!$CN:$CN,INPUT_DATA!DG:DG))</f>
        <v/>
      </c>
      <c r="X59" s="1255" t="str">
        <f>IF($B59=0,"",_xlfn.XLOOKUP($B59,INPUT_DATA!$CN:$CN,INPUT_DATA!DH:DH))</f>
        <v/>
      </c>
      <c r="Y59" s="255" t="str">
        <f>IF($B59=0,"",_xlfn.XLOOKUP($B59,INPUT_DATA!$CN:$CN,INPUT_DATA!DI:DI))</f>
        <v/>
      </c>
      <c r="Z59" s="1255" t="str">
        <f>IF($B59=0,"",_xlfn.XLOOKUP($B59,INPUT_DATA!$CN:$CN,INPUT_DATA!DJ:DJ))</f>
        <v/>
      </c>
      <c r="AA59" s="255" t="str">
        <f>IF($B59=0,"",_xlfn.XLOOKUP($B59,INPUT_DATA!$CN:$CN,INPUT_DATA!DK:DK))</f>
        <v/>
      </c>
      <c r="AB59" s="1255" t="str">
        <f>IF($B59=0,"",_xlfn.XLOOKUP($B59,INPUT_DATA!$CN:$CN,INPUT_DATA!DL:DL))</f>
        <v/>
      </c>
      <c r="AC59" s="255" t="str">
        <f>IF($B59=0,"",_xlfn.XLOOKUP($B59,INPUT_DATA!$CN:$CN,INPUT_DATA!DM:DM))</f>
        <v/>
      </c>
      <c r="AD59" s="1255" t="str">
        <f>IF($B59=0,"",_xlfn.XLOOKUP($B59,INPUT_DATA!$CN:$CN,INPUT_DATA!DN:DN))</f>
        <v/>
      </c>
    </row>
    <row r="60" spans="2:30">
      <c r="B60" s="1202">
        <f>'02 - Monthly Asset Follow up'!B64</f>
        <v>0</v>
      </c>
      <c r="C60" s="255" t="str">
        <f t="shared" si="2"/>
        <v/>
      </c>
      <c r="D60" s="1255" t="str">
        <f t="shared" si="1"/>
        <v/>
      </c>
      <c r="E60" s="255" t="str">
        <f>IF($B60=0,"",_xlfn.XLOOKUP($B60,INPUT_DATA!$CN:$CN,INPUT_DATA!CO:CO))</f>
        <v/>
      </c>
      <c r="F60" s="1255" t="str">
        <f>IF($B60=0,"",_xlfn.XLOOKUP($B60,INPUT_DATA!$CN:$CN,INPUT_DATA!CP:CP))</f>
        <v/>
      </c>
      <c r="G60" s="255" t="str">
        <f>IF($B60=0,"",_xlfn.XLOOKUP($B60,INPUT_DATA!$CN:$CN,INPUT_DATA!CQ:CQ))</f>
        <v/>
      </c>
      <c r="H60" s="1255" t="str">
        <f>IF($B60=0,"",_xlfn.XLOOKUP($B60,INPUT_DATA!$CN:$CN,INPUT_DATA!CR:CR))</f>
        <v/>
      </c>
      <c r="I60" s="255" t="str">
        <f>IF($B60=0,"",_xlfn.XLOOKUP($B60,INPUT_DATA!$CN:$CN,INPUT_DATA!CS:CS))</f>
        <v/>
      </c>
      <c r="J60" s="1255" t="str">
        <f>IF($B60=0,"",_xlfn.XLOOKUP($B60,INPUT_DATA!$CN:$CN,INPUT_DATA!CT:CT))</f>
        <v/>
      </c>
      <c r="K60" s="255" t="str">
        <f>IF($B60=0,"",_xlfn.XLOOKUP($B60,INPUT_DATA!$CN:$CN,INPUT_DATA!CU:CU))</f>
        <v/>
      </c>
      <c r="L60" s="1255" t="str">
        <f>IF($B60=0,"",_xlfn.XLOOKUP($B60,INPUT_DATA!$CN:$CN,INPUT_DATA!CV:CV))</f>
        <v/>
      </c>
      <c r="M60" s="255" t="str">
        <f>IF($B60=0,"",_xlfn.XLOOKUP($B60,INPUT_DATA!$CN:$CN,INPUT_DATA!CW:CW))</f>
        <v/>
      </c>
      <c r="N60" s="1255" t="str">
        <f>IF($B60=0,"",_xlfn.XLOOKUP($B60,INPUT_DATA!$CN:$CN,INPUT_DATA!CX:CX))</f>
        <v/>
      </c>
      <c r="O60" s="255" t="str">
        <f>IF($B60=0,"",_xlfn.XLOOKUP($B60,INPUT_DATA!$CN:$CN,INPUT_DATA!CY:CY))</f>
        <v/>
      </c>
      <c r="P60" s="1255" t="str">
        <f>IF($B60=0,"",_xlfn.XLOOKUP($B60,INPUT_DATA!$CN:$CN,INPUT_DATA!CZ:CZ))</f>
        <v/>
      </c>
      <c r="Q60" s="255" t="str">
        <f>IF($B60=0,"",_xlfn.XLOOKUP($B60,INPUT_DATA!$CN:$CN,INPUT_DATA!DA:DA))</f>
        <v/>
      </c>
      <c r="R60" s="1255" t="str">
        <f>IF($B60=0,"",_xlfn.XLOOKUP($B60,INPUT_DATA!$CN:$CN,INPUT_DATA!DB:DB))</f>
        <v/>
      </c>
      <c r="S60" s="255" t="str">
        <f>IF($B60=0,"",_xlfn.XLOOKUP($B60,INPUT_DATA!$CN:$CN,INPUT_DATA!DC:DC))</f>
        <v/>
      </c>
      <c r="T60" s="1255" t="str">
        <f>IF($B60=0,"",_xlfn.XLOOKUP($B60,INPUT_DATA!$CN:$CN,INPUT_DATA!DD:DD))</f>
        <v/>
      </c>
      <c r="U60" s="255" t="str">
        <f>IF($B60=0,"",_xlfn.XLOOKUP($B60,INPUT_DATA!$CN:$CN,INPUT_DATA!DE:DE))</f>
        <v/>
      </c>
      <c r="V60" s="1255" t="str">
        <f>IF($B60=0,"",_xlfn.XLOOKUP($B60,INPUT_DATA!$CN:$CN,INPUT_DATA!DF:DF))</f>
        <v/>
      </c>
      <c r="W60" s="255" t="str">
        <f>IF($B60=0,"",_xlfn.XLOOKUP($B60,INPUT_DATA!$CN:$CN,INPUT_DATA!DG:DG))</f>
        <v/>
      </c>
      <c r="X60" s="1255" t="str">
        <f>IF($B60=0,"",_xlfn.XLOOKUP($B60,INPUT_DATA!$CN:$CN,INPUT_DATA!DH:DH))</f>
        <v/>
      </c>
      <c r="Y60" s="255" t="str">
        <f>IF($B60=0,"",_xlfn.XLOOKUP($B60,INPUT_DATA!$CN:$CN,INPUT_DATA!DI:DI))</f>
        <v/>
      </c>
      <c r="Z60" s="1255" t="str">
        <f>IF($B60=0,"",_xlfn.XLOOKUP($B60,INPUT_DATA!$CN:$CN,INPUT_DATA!DJ:DJ))</f>
        <v/>
      </c>
      <c r="AA60" s="255" t="str">
        <f>IF($B60=0,"",_xlfn.XLOOKUP($B60,INPUT_DATA!$CN:$CN,INPUT_DATA!DK:DK))</f>
        <v/>
      </c>
      <c r="AB60" s="1255" t="str">
        <f>IF($B60=0,"",_xlfn.XLOOKUP($B60,INPUT_DATA!$CN:$CN,INPUT_DATA!DL:DL))</f>
        <v/>
      </c>
      <c r="AC60" s="255" t="str">
        <f>IF($B60=0,"",_xlfn.XLOOKUP($B60,INPUT_DATA!$CN:$CN,INPUT_DATA!DM:DM))</f>
        <v/>
      </c>
      <c r="AD60" s="1255" t="str">
        <f>IF($B60=0,"",_xlfn.XLOOKUP($B60,INPUT_DATA!$CN:$CN,INPUT_DATA!DN:DN))</f>
        <v/>
      </c>
    </row>
    <row r="61" spans="2:30">
      <c r="B61" s="1202">
        <f>'02 - Monthly Asset Follow up'!B65</f>
        <v>0</v>
      </c>
      <c r="C61" s="255" t="str">
        <f t="shared" si="2"/>
        <v/>
      </c>
      <c r="D61" s="1255" t="str">
        <f t="shared" si="1"/>
        <v/>
      </c>
      <c r="E61" s="255" t="str">
        <f>IF($B61=0,"",_xlfn.XLOOKUP($B61,INPUT_DATA!$CN:$CN,INPUT_DATA!CO:CO))</f>
        <v/>
      </c>
      <c r="F61" s="1255" t="str">
        <f>IF($B61=0,"",_xlfn.XLOOKUP($B61,INPUT_DATA!$CN:$CN,INPUT_DATA!CP:CP))</f>
        <v/>
      </c>
      <c r="G61" s="255" t="str">
        <f>IF($B61=0,"",_xlfn.XLOOKUP($B61,INPUT_DATA!$CN:$CN,INPUT_DATA!CQ:CQ))</f>
        <v/>
      </c>
      <c r="H61" s="1255" t="str">
        <f>IF($B61=0,"",_xlfn.XLOOKUP($B61,INPUT_DATA!$CN:$CN,INPUT_DATA!CR:CR))</f>
        <v/>
      </c>
      <c r="I61" s="255" t="str">
        <f>IF($B61=0,"",_xlfn.XLOOKUP($B61,INPUT_DATA!$CN:$CN,INPUT_DATA!CS:CS))</f>
        <v/>
      </c>
      <c r="J61" s="1255" t="str">
        <f>IF($B61=0,"",_xlfn.XLOOKUP($B61,INPUT_DATA!$CN:$CN,INPUT_DATA!CT:CT))</f>
        <v/>
      </c>
      <c r="K61" s="255" t="str">
        <f>IF($B61=0,"",_xlfn.XLOOKUP($B61,INPUT_DATA!$CN:$CN,INPUT_DATA!CU:CU))</f>
        <v/>
      </c>
      <c r="L61" s="1255" t="str">
        <f>IF($B61=0,"",_xlfn.XLOOKUP($B61,INPUT_DATA!$CN:$CN,INPUT_DATA!CV:CV))</f>
        <v/>
      </c>
      <c r="M61" s="255" t="str">
        <f>IF($B61=0,"",_xlfn.XLOOKUP($B61,INPUT_DATA!$CN:$CN,INPUT_DATA!CW:CW))</f>
        <v/>
      </c>
      <c r="N61" s="1255" t="str">
        <f>IF($B61=0,"",_xlfn.XLOOKUP($B61,INPUT_DATA!$CN:$CN,INPUT_DATA!CX:CX))</f>
        <v/>
      </c>
      <c r="O61" s="255" t="str">
        <f>IF($B61=0,"",_xlfn.XLOOKUP($B61,INPUT_DATA!$CN:$CN,INPUT_DATA!CY:CY))</f>
        <v/>
      </c>
      <c r="P61" s="1255" t="str">
        <f>IF($B61=0,"",_xlfn.XLOOKUP($B61,INPUT_DATA!$CN:$CN,INPUT_DATA!CZ:CZ))</f>
        <v/>
      </c>
      <c r="Q61" s="255" t="str">
        <f>IF($B61=0,"",_xlfn.XLOOKUP($B61,INPUT_DATA!$CN:$CN,INPUT_DATA!DA:DA))</f>
        <v/>
      </c>
      <c r="R61" s="1255" t="str">
        <f>IF($B61=0,"",_xlfn.XLOOKUP($B61,INPUT_DATA!$CN:$CN,INPUT_DATA!DB:DB))</f>
        <v/>
      </c>
      <c r="S61" s="255" t="str">
        <f>IF($B61=0,"",_xlfn.XLOOKUP($B61,INPUT_DATA!$CN:$CN,INPUT_DATA!DC:DC))</f>
        <v/>
      </c>
      <c r="T61" s="1255" t="str">
        <f>IF($B61=0,"",_xlfn.XLOOKUP($B61,INPUT_DATA!$CN:$CN,INPUT_DATA!DD:DD))</f>
        <v/>
      </c>
      <c r="U61" s="255" t="str">
        <f>IF($B61=0,"",_xlfn.XLOOKUP($B61,INPUT_DATA!$CN:$CN,INPUT_DATA!DE:DE))</f>
        <v/>
      </c>
      <c r="V61" s="1255" t="str">
        <f>IF($B61=0,"",_xlfn.XLOOKUP($B61,INPUT_DATA!$CN:$CN,INPUT_DATA!DF:DF))</f>
        <v/>
      </c>
      <c r="W61" s="255" t="str">
        <f>IF($B61=0,"",_xlfn.XLOOKUP($B61,INPUT_DATA!$CN:$CN,INPUT_DATA!DG:DG))</f>
        <v/>
      </c>
      <c r="X61" s="1255" t="str">
        <f>IF($B61=0,"",_xlfn.XLOOKUP($B61,INPUT_DATA!$CN:$CN,INPUT_DATA!DH:DH))</f>
        <v/>
      </c>
      <c r="Y61" s="255" t="str">
        <f>IF($B61=0,"",_xlfn.XLOOKUP($B61,INPUT_DATA!$CN:$CN,INPUT_DATA!DI:DI))</f>
        <v/>
      </c>
      <c r="Z61" s="1255" t="str">
        <f>IF($B61=0,"",_xlfn.XLOOKUP($B61,INPUT_DATA!$CN:$CN,INPUT_DATA!DJ:DJ))</f>
        <v/>
      </c>
      <c r="AA61" s="255" t="str">
        <f>IF($B61=0,"",_xlfn.XLOOKUP($B61,INPUT_DATA!$CN:$CN,INPUT_DATA!DK:DK))</f>
        <v/>
      </c>
      <c r="AB61" s="1255" t="str">
        <f>IF($B61=0,"",_xlfn.XLOOKUP($B61,INPUT_DATA!$CN:$CN,INPUT_DATA!DL:DL))</f>
        <v/>
      </c>
      <c r="AC61" s="255" t="str">
        <f>IF($B61=0,"",_xlfn.XLOOKUP($B61,INPUT_DATA!$CN:$CN,INPUT_DATA!DM:DM))</f>
        <v/>
      </c>
      <c r="AD61" s="1255" t="str">
        <f>IF($B61=0,"",_xlfn.XLOOKUP($B61,INPUT_DATA!$CN:$CN,INPUT_DATA!DN:DN))</f>
        <v/>
      </c>
    </row>
    <row r="62" spans="2:30">
      <c r="B62" s="1202">
        <f>'02 - Monthly Asset Follow up'!B66</f>
        <v>0</v>
      </c>
      <c r="C62" s="255" t="str">
        <f t="shared" si="2"/>
        <v/>
      </c>
      <c r="D62" s="1255" t="str">
        <f t="shared" si="1"/>
        <v/>
      </c>
      <c r="E62" s="255" t="str">
        <f>IF($B62=0,"",_xlfn.XLOOKUP($B62,INPUT_DATA!$CN:$CN,INPUT_DATA!CO:CO))</f>
        <v/>
      </c>
      <c r="F62" s="1255" t="str">
        <f>IF($B62=0,"",_xlfn.XLOOKUP($B62,INPUT_DATA!$CN:$CN,INPUT_DATA!CP:CP))</f>
        <v/>
      </c>
      <c r="G62" s="255" t="str">
        <f>IF($B62=0,"",_xlfn.XLOOKUP($B62,INPUT_DATA!$CN:$CN,INPUT_DATA!CQ:CQ))</f>
        <v/>
      </c>
      <c r="H62" s="1255" t="str">
        <f>IF($B62=0,"",_xlfn.XLOOKUP($B62,INPUT_DATA!$CN:$CN,INPUT_DATA!CR:CR))</f>
        <v/>
      </c>
      <c r="I62" s="255" t="str">
        <f>IF($B62=0,"",_xlfn.XLOOKUP($B62,INPUT_DATA!$CN:$CN,INPUT_DATA!CS:CS))</f>
        <v/>
      </c>
      <c r="J62" s="1255" t="str">
        <f>IF($B62=0,"",_xlfn.XLOOKUP($B62,INPUT_DATA!$CN:$CN,INPUT_DATA!CT:CT))</f>
        <v/>
      </c>
      <c r="K62" s="255" t="str">
        <f>IF($B62=0,"",_xlfn.XLOOKUP($B62,INPUT_DATA!$CN:$CN,INPUT_DATA!CU:CU))</f>
        <v/>
      </c>
      <c r="L62" s="1255" t="str">
        <f>IF($B62=0,"",_xlfn.XLOOKUP($B62,INPUT_DATA!$CN:$CN,INPUT_DATA!CV:CV))</f>
        <v/>
      </c>
      <c r="M62" s="255" t="str">
        <f>IF($B62=0,"",_xlfn.XLOOKUP($B62,INPUT_DATA!$CN:$CN,INPUT_DATA!CW:CW))</f>
        <v/>
      </c>
      <c r="N62" s="1255" t="str">
        <f>IF($B62=0,"",_xlfn.XLOOKUP($B62,INPUT_DATA!$CN:$CN,INPUT_DATA!CX:CX))</f>
        <v/>
      </c>
      <c r="O62" s="255" t="str">
        <f>IF($B62=0,"",_xlfn.XLOOKUP($B62,INPUT_DATA!$CN:$CN,INPUT_DATA!CY:CY))</f>
        <v/>
      </c>
      <c r="P62" s="1255" t="str">
        <f>IF($B62=0,"",_xlfn.XLOOKUP($B62,INPUT_DATA!$CN:$CN,INPUT_DATA!CZ:CZ))</f>
        <v/>
      </c>
      <c r="Q62" s="255" t="str">
        <f>IF($B62=0,"",_xlfn.XLOOKUP($B62,INPUT_DATA!$CN:$CN,INPUT_DATA!DA:DA))</f>
        <v/>
      </c>
      <c r="R62" s="1255" t="str">
        <f>IF($B62=0,"",_xlfn.XLOOKUP($B62,INPUT_DATA!$CN:$CN,INPUT_DATA!DB:DB))</f>
        <v/>
      </c>
      <c r="S62" s="255" t="str">
        <f>IF($B62=0,"",_xlfn.XLOOKUP($B62,INPUT_DATA!$CN:$CN,INPUT_DATA!DC:DC))</f>
        <v/>
      </c>
      <c r="T62" s="1255" t="str">
        <f>IF($B62=0,"",_xlfn.XLOOKUP($B62,INPUT_DATA!$CN:$CN,INPUT_DATA!DD:DD))</f>
        <v/>
      </c>
      <c r="U62" s="255" t="str">
        <f>IF($B62=0,"",_xlfn.XLOOKUP($B62,INPUT_DATA!$CN:$CN,INPUT_DATA!DE:DE))</f>
        <v/>
      </c>
      <c r="V62" s="1255" t="str">
        <f>IF($B62=0,"",_xlfn.XLOOKUP($B62,INPUT_DATA!$CN:$CN,INPUT_DATA!DF:DF))</f>
        <v/>
      </c>
      <c r="W62" s="255" t="str">
        <f>IF($B62=0,"",_xlfn.XLOOKUP($B62,INPUT_DATA!$CN:$CN,INPUT_DATA!DG:DG))</f>
        <v/>
      </c>
      <c r="X62" s="1255" t="str">
        <f>IF($B62=0,"",_xlfn.XLOOKUP($B62,INPUT_DATA!$CN:$CN,INPUT_DATA!DH:DH))</f>
        <v/>
      </c>
      <c r="Y62" s="255" t="str">
        <f>IF($B62=0,"",_xlfn.XLOOKUP($B62,INPUT_DATA!$CN:$CN,INPUT_DATA!DI:DI))</f>
        <v/>
      </c>
      <c r="Z62" s="1255" t="str">
        <f>IF($B62=0,"",_xlfn.XLOOKUP($B62,INPUT_DATA!$CN:$CN,INPUT_DATA!DJ:DJ))</f>
        <v/>
      </c>
      <c r="AA62" s="255" t="str">
        <f>IF($B62=0,"",_xlfn.XLOOKUP($B62,INPUT_DATA!$CN:$CN,INPUT_DATA!DK:DK))</f>
        <v/>
      </c>
      <c r="AB62" s="1255" t="str">
        <f>IF($B62=0,"",_xlfn.XLOOKUP($B62,INPUT_DATA!$CN:$CN,INPUT_DATA!DL:DL))</f>
        <v/>
      </c>
      <c r="AC62" s="255" t="str">
        <f>IF($B62=0,"",_xlfn.XLOOKUP($B62,INPUT_DATA!$CN:$CN,INPUT_DATA!DM:DM))</f>
        <v/>
      </c>
      <c r="AD62" s="1255" t="str">
        <f>IF($B62=0,"",_xlfn.XLOOKUP($B62,INPUT_DATA!$CN:$CN,INPUT_DATA!DN:DN))</f>
        <v/>
      </c>
    </row>
    <row r="63" spans="2:30">
      <c r="B63" s="1202">
        <f>'02 - Monthly Asset Follow up'!B67</f>
        <v>0</v>
      </c>
      <c r="C63" s="255" t="str">
        <f t="shared" si="2"/>
        <v/>
      </c>
      <c r="D63" s="1255" t="str">
        <f t="shared" si="1"/>
        <v/>
      </c>
      <c r="E63" s="255" t="str">
        <f>IF($B63=0,"",_xlfn.XLOOKUP($B63,INPUT_DATA!$CN:$CN,INPUT_DATA!CO:CO))</f>
        <v/>
      </c>
      <c r="F63" s="1255" t="str">
        <f>IF($B63=0,"",_xlfn.XLOOKUP($B63,INPUT_DATA!$CN:$CN,INPUT_DATA!CP:CP))</f>
        <v/>
      </c>
      <c r="G63" s="255" t="str">
        <f>IF($B63=0,"",_xlfn.XLOOKUP($B63,INPUT_DATA!$CN:$CN,INPUT_DATA!CQ:CQ))</f>
        <v/>
      </c>
      <c r="H63" s="1255" t="str">
        <f>IF($B63=0,"",_xlfn.XLOOKUP($B63,INPUT_DATA!$CN:$CN,INPUT_DATA!CR:CR))</f>
        <v/>
      </c>
      <c r="I63" s="255" t="str">
        <f>IF($B63=0,"",_xlfn.XLOOKUP($B63,INPUT_DATA!$CN:$CN,INPUT_DATA!CS:CS))</f>
        <v/>
      </c>
      <c r="J63" s="1255" t="str">
        <f>IF($B63=0,"",_xlfn.XLOOKUP($B63,INPUT_DATA!$CN:$CN,INPUT_DATA!CT:CT))</f>
        <v/>
      </c>
      <c r="K63" s="255" t="str">
        <f>IF($B63=0,"",_xlfn.XLOOKUP($B63,INPUT_DATA!$CN:$CN,INPUT_DATA!CU:CU))</f>
        <v/>
      </c>
      <c r="L63" s="1255" t="str">
        <f>IF($B63=0,"",_xlfn.XLOOKUP($B63,INPUT_DATA!$CN:$CN,INPUT_DATA!CV:CV))</f>
        <v/>
      </c>
      <c r="M63" s="255" t="str">
        <f>IF($B63=0,"",_xlfn.XLOOKUP($B63,INPUT_DATA!$CN:$CN,INPUT_DATA!CW:CW))</f>
        <v/>
      </c>
      <c r="N63" s="1255" t="str">
        <f>IF($B63=0,"",_xlfn.XLOOKUP($B63,INPUT_DATA!$CN:$CN,INPUT_DATA!CX:CX))</f>
        <v/>
      </c>
      <c r="O63" s="255" t="str">
        <f>IF($B63=0,"",_xlfn.XLOOKUP($B63,INPUT_DATA!$CN:$CN,INPUT_DATA!CY:CY))</f>
        <v/>
      </c>
      <c r="P63" s="1255" t="str">
        <f>IF($B63=0,"",_xlfn.XLOOKUP($B63,INPUT_DATA!$CN:$CN,INPUT_DATA!CZ:CZ))</f>
        <v/>
      </c>
      <c r="Q63" s="255" t="str">
        <f>IF($B63=0,"",_xlfn.XLOOKUP($B63,INPUT_DATA!$CN:$CN,INPUT_DATA!DA:DA))</f>
        <v/>
      </c>
      <c r="R63" s="1255" t="str">
        <f>IF($B63=0,"",_xlfn.XLOOKUP($B63,INPUT_DATA!$CN:$CN,INPUT_DATA!DB:DB))</f>
        <v/>
      </c>
      <c r="S63" s="255" t="str">
        <f>IF($B63=0,"",_xlfn.XLOOKUP($B63,INPUT_DATA!$CN:$CN,INPUT_DATA!DC:DC))</f>
        <v/>
      </c>
      <c r="T63" s="1255" t="str">
        <f>IF($B63=0,"",_xlfn.XLOOKUP($B63,INPUT_DATA!$CN:$CN,INPUT_DATA!DD:DD))</f>
        <v/>
      </c>
      <c r="U63" s="255" t="str">
        <f>IF($B63=0,"",_xlfn.XLOOKUP($B63,INPUT_DATA!$CN:$CN,INPUT_DATA!DE:DE))</f>
        <v/>
      </c>
      <c r="V63" s="1255" t="str">
        <f>IF($B63=0,"",_xlfn.XLOOKUP($B63,INPUT_DATA!$CN:$CN,INPUT_DATA!DF:DF))</f>
        <v/>
      </c>
      <c r="W63" s="255" t="str">
        <f>IF($B63=0,"",_xlfn.XLOOKUP($B63,INPUT_DATA!$CN:$CN,INPUT_DATA!DG:DG))</f>
        <v/>
      </c>
      <c r="X63" s="1255" t="str">
        <f>IF($B63=0,"",_xlfn.XLOOKUP($B63,INPUT_DATA!$CN:$CN,INPUT_DATA!DH:DH))</f>
        <v/>
      </c>
      <c r="Y63" s="255" t="str">
        <f>IF($B63=0,"",_xlfn.XLOOKUP($B63,INPUT_DATA!$CN:$CN,INPUT_DATA!DI:DI))</f>
        <v/>
      </c>
      <c r="Z63" s="1255" t="str">
        <f>IF($B63=0,"",_xlfn.XLOOKUP($B63,INPUT_DATA!$CN:$CN,INPUT_DATA!DJ:DJ))</f>
        <v/>
      </c>
      <c r="AA63" s="255" t="str">
        <f>IF($B63=0,"",_xlfn.XLOOKUP($B63,INPUT_DATA!$CN:$CN,INPUT_DATA!DK:DK))</f>
        <v/>
      </c>
      <c r="AB63" s="1255" t="str">
        <f>IF($B63=0,"",_xlfn.XLOOKUP($B63,INPUT_DATA!$CN:$CN,INPUT_DATA!DL:DL))</f>
        <v/>
      </c>
      <c r="AC63" s="255" t="str">
        <f>IF($B63=0,"",_xlfn.XLOOKUP($B63,INPUT_DATA!$CN:$CN,INPUT_DATA!DM:DM))</f>
        <v/>
      </c>
      <c r="AD63" s="1255" t="str">
        <f>IF($B63=0,"",_xlfn.XLOOKUP($B63,INPUT_DATA!$CN:$CN,INPUT_DATA!DN:DN))</f>
        <v/>
      </c>
    </row>
    <row r="64" spans="2:30">
      <c r="B64" s="1202">
        <f>'02 - Monthly Asset Follow up'!B68</f>
        <v>0</v>
      </c>
      <c r="C64" s="255" t="str">
        <f t="shared" si="2"/>
        <v/>
      </c>
      <c r="D64" s="1255" t="str">
        <f t="shared" si="1"/>
        <v/>
      </c>
      <c r="E64" s="255" t="str">
        <f>IF($B64=0,"",_xlfn.XLOOKUP($B64,INPUT_DATA!$CN:$CN,INPUT_DATA!CO:CO))</f>
        <v/>
      </c>
      <c r="F64" s="1255" t="str">
        <f>IF($B64=0,"",_xlfn.XLOOKUP($B64,INPUT_DATA!$CN:$CN,INPUT_DATA!CP:CP))</f>
        <v/>
      </c>
      <c r="G64" s="255" t="str">
        <f>IF($B64=0,"",_xlfn.XLOOKUP($B64,INPUT_DATA!$CN:$CN,INPUT_DATA!CQ:CQ))</f>
        <v/>
      </c>
      <c r="H64" s="1255" t="str">
        <f>IF($B64=0,"",_xlfn.XLOOKUP($B64,INPUT_DATA!$CN:$CN,INPUT_DATA!CR:CR))</f>
        <v/>
      </c>
      <c r="I64" s="255" t="str">
        <f>IF($B64=0,"",_xlfn.XLOOKUP($B64,INPUT_DATA!$CN:$CN,INPUT_DATA!CS:CS))</f>
        <v/>
      </c>
      <c r="J64" s="1255" t="str">
        <f>IF($B64=0,"",_xlfn.XLOOKUP($B64,INPUT_DATA!$CN:$CN,INPUT_DATA!CT:CT))</f>
        <v/>
      </c>
      <c r="K64" s="255" t="str">
        <f>IF($B64=0,"",_xlfn.XLOOKUP($B64,INPUT_DATA!$CN:$CN,INPUT_DATA!CU:CU))</f>
        <v/>
      </c>
      <c r="L64" s="1255" t="str">
        <f>IF($B64=0,"",_xlfn.XLOOKUP($B64,INPUT_DATA!$CN:$CN,INPUT_DATA!CV:CV))</f>
        <v/>
      </c>
      <c r="M64" s="255" t="str">
        <f>IF($B64=0,"",_xlfn.XLOOKUP($B64,INPUT_DATA!$CN:$CN,INPUT_DATA!CW:CW))</f>
        <v/>
      </c>
      <c r="N64" s="1255" t="str">
        <f>IF($B64=0,"",_xlfn.XLOOKUP($B64,INPUT_DATA!$CN:$CN,INPUT_DATA!CX:CX))</f>
        <v/>
      </c>
      <c r="O64" s="255" t="str">
        <f>IF($B64=0,"",_xlfn.XLOOKUP($B64,INPUT_DATA!$CN:$CN,INPUT_DATA!CY:CY))</f>
        <v/>
      </c>
      <c r="P64" s="1255" t="str">
        <f>IF($B64=0,"",_xlfn.XLOOKUP($B64,INPUT_DATA!$CN:$CN,INPUT_DATA!CZ:CZ))</f>
        <v/>
      </c>
      <c r="Q64" s="255" t="str">
        <f>IF($B64=0,"",_xlfn.XLOOKUP($B64,INPUT_DATA!$CN:$CN,INPUT_DATA!DA:DA))</f>
        <v/>
      </c>
      <c r="R64" s="1255" t="str">
        <f>IF($B64=0,"",_xlfn.XLOOKUP($B64,INPUT_DATA!$CN:$CN,INPUT_DATA!DB:DB))</f>
        <v/>
      </c>
      <c r="S64" s="255" t="str">
        <f>IF($B64=0,"",_xlfn.XLOOKUP($B64,INPUT_DATA!$CN:$CN,INPUT_DATA!DC:DC))</f>
        <v/>
      </c>
      <c r="T64" s="1255" t="str">
        <f>IF($B64=0,"",_xlfn.XLOOKUP($B64,INPUT_DATA!$CN:$CN,INPUT_DATA!DD:DD))</f>
        <v/>
      </c>
      <c r="U64" s="255" t="str">
        <f>IF($B64=0,"",_xlfn.XLOOKUP($B64,INPUT_DATA!$CN:$CN,INPUT_DATA!DE:DE))</f>
        <v/>
      </c>
      <c r="V64" s="1255" t="str">
        <f>IF($B64=0,"",_xlfn.XLOOKUP($B64,INPUT_DATA!$CN:$CN,INPUT_DATA!DF:DF))</f>
        <v/>
      </c>
      <c r="W64" s="255" t="str">
        <f>IF($B64=0,"",_xlfn.XLOOKUP($B64,INPUT_DATA!$CN:$CN,INPUT_DATA!DG:DG))</f>
        <v/>
      </c>
      <c r="X64" s="1255" t="str">
        <f>IF($B64=0,"",_xlfn.XLOOKUP($B64,INPUT_DATA!$CN:$CN,INPUT_DATA!DH:DH))</f>
        <v/>
      </c>
      <c r="Y64" s="255" t="str">
        <f>IF($B64=0,"",_xlfn.XLOOKUP($B64,INPUT_DATA!$CN:$CN,INPUT_DATA!DI:DI))</f>
        <v/>
      </c>
      <c r="Z64" s="1255" t="str">
        <f>IF($B64=0,"",_xlfn.XLOOKUP($B64,INPUT_DATA!$CN:$CN,INPUT_DATA!DJ:DJ))</f>
        <v/>
      </c>
      <c r="AA64" s="255" t="str">
        <f>IF($B64=0,"",_xlfn.XLOOKUP($B64,INPUT_DATA!$CN:$CN,INPUT_DATA!DK:DK))</f>
        <v/>
      </c>
      <c r="AB64" s="1255" t="str">
        <f>IF($B64=0,"",_xlfn.XLOOKUP($B64,INPUT_DATA!$CN:$CN,INPUT_DATA!DL:DL))</f>
        <v/>
      </c>
      <c r="AC64" s="255" t="str">
        <f>IF($B64=0,"",_xlfn.XLOOKUP($B64,INPUT_DATA!$CN:$CN,INPUT_DATA!DM:DM))</f>
        <v/>
      </c>
      <c r="AD64" s="1255" t="str">
        <f>IF($B64=0,"",_xlfn.XLOOKUP($B64,INPUT_DATA!$CN:$CN,INPUT_DATA!DN:DN))</f>
        <v/>
      </c>
    </row>
    <row r="65" spans="2:30">
      <c r="B65" s="1202">
        <f>'02 - Monthly Asset Follow up'!B69</f>
        <v>0</v>
      </c>
      <c r="C65" s="255" t="str">
        <f t="shared" si="2"/>
        <v/>
      </c>
      <c r="D65" s="1255" t="str">
        <f t="shared" si="1"/>
        <v/>
      </c>
      <c r="E65" s="255" t="str">
        <f>IF($B65=0,"",_xlfn.XLOOKUP($B65,INPUT_DATA!$CN:$CN,INPUT_DATA!CO:CO))</f>
        <v/>
      </c>
      <c r="F65" s="1255" t="str">
        <f>IF($B65=0,"",_xlfn.XLOOKUP($B65,INPUT_DATA!$CN:$CN,INPUT_DATA!CP:CP))</f>
        <v/>
      </c>
      <c r="G65" s="255" t="str">
        <f>IF($B65=0,"",_xlfn.XLOOKUP($B65,INPUT_DATA!$CN:$CN,INPUT_DATA!CQ:CQ))</f>
        <v/>
      </c>
      <c r="H65" s="1255" t="str">
        <f>IF($B65=0,"",_xlfn.XLOOKUP($B65,INPUT_DATA!$CN:$CN,INPUT_DATA!CR:CR))</f>
        <v/>
      </c>
      <c r="I65" s="255" t="str">
        <f>IF($B65=0,"",_xlfn.XLOOKUP($B65,INPUT_DATA!$CN:$CN,INPUT_DATA!CS:CS))</f>
        <v/>
      </c>
      <c r="J65" s="1255" t="str">
        <f>IF($B65=0,"",_xlfn.XLOOKUP($B65,INPUT_DATA!$CN:$CN,INPUT_DATA!CT:CT))</f>
        <v/>
      </c>
      <c r="K65" s="255" t="str">
        <f>IF($B65=0,"",_xlfn.XLOOKUP($B65,INPUT_DATA!$CN:$CN,INPUT_DATA!CU:CU))</f>
        <v/>
      </c>
      <c r="L65" s="1255" t="str">
        <f>IF($B65=0,"",_xlfn.XLOOKUP($B65,INPUT_DATA!$CN:$CN,INPUT_DATA!CV:CV))</f>
        <v/>
      </c>
      <c r="M65" s="255" t="str">
        <f>IF($B65=0,"",_xlfn.XLOOKUP($B65,INPUT_DATA!$CN:$CN,INPUT_DATA!CW:CW))</f>
        <v/>
      </c>
      <c r="N65" s="1255" t="str">
        <f>IF($B65=0,"",_xlfn.XLOOKUP($B65,INPUT_DATA!$CN:$CN,INPUT_DATA!CX:CX))</f>
        <v/>
      </c>
      <c r="O65" s="255" t="str">
        <f>IF($B65=0,"",_xlfn.XLOOKUP($B65,INPUT_DATA!$CN:$CN,INPUT_DATA!CY:CY))</f>
        <v/>
      </c>
      <c r="P65" s="1255" t="str">
        <f>IF($B65=0,"",_xlfn.XLOOKUP($B65,INPUT_DATA!$CN:$CN,INPUT_DATA!CZ:CZ))</f>
        <v/>
      </c>
      <c r="Q65" s="255" t="str">
        <f>IF($B65=0,"",_xlfn.XLOOKUP($B65,INPUT_DATA!$CN:$CN,INPUT_DATA!DA:DA))</f>
        <v/>
      </c>
      <c r="R65" s="1255" t="str">
        <f>IF($B65=0,"",_xlfn.XLOOKUP($B65,INPUT_DATA!$CN:$CN,INPUT_DATA!DB:DB))</f>
        <v/>
      </c>
      <c r="S65" s="255" t="str">
        <f>IF($B65=0,"",_xlfn.XLOOKUP($B65,INPUT_DATA!$CN:$CN,INPUT_DATA!DC:DC))</f>
        <v/>
      </c>
      <c r="T65" s="1255" t="str">
        <f>IF($B65=0,"",_xlfn.XLOOKUP($B65,INPUT_DATA!$CN:$CN,INPUT_DATA!DD:DD))</f>
        <v/>
      </c>
      <c r="U65" s="255" t="str">
        <f>IF($B65=0,"",_xlfn.XLOOKUP($B65,INPUT_DATA!$CN:$CN,INPUT_DATA!DE:DE))</f>
        <v/>
      </c>
      <c r="V65" s="1255" t="str">
        <f>IF($B65=0,"",_xlfn.XLOOKUP($B65,INPUT_DATA!$CN:$CN,INPUT_DATA!DF:DF))</f>
        <v/>
      </c>
      <c r="W65" s="255" t="str">
        <f>IF($B65=0,"",_xlfn.XLOOKUP($B65,INPUT_DATA!$CN:$CN,INPUT_DATA!DG:DG))</f>
        <v/>
      </c>
      <c r="X65" s="1255" t="str">
        <f>IF($B65=0,"",_xlfn.XLOOKUP($B65,INPUT_DATA!$CN:$CN,INPUT_DATA!DH:DH))</f>
        <v/>
      </c>
      <c r="Y65" s="255" t="str">
        <f>IF($B65=0,"",_xlfn.XLOOKUP($B65,INPUT_DATA!$CN:$CN,INPUT_DATA!DI:DI))</f>
        <v/>
      </c>
      <c r="Z65" s="1255" t="str">
        <f>IF($B65=0,"",_xlfn.XLOOKUP($B65,INPUT_DATA!$CN:$CN,INPUT_DATA!DJ:DJ))</f>
        <v/>
      </c>
      <c r="AA65" s="255" t="str">
        <f>IF($B65=0,"",_xlfn.XLOOKUP($B65,INPUT_DATA!$CN:$CN,INPUT_DATA!DK:DK))</f>
        <v/>
      </c>
      <c r="AB65" s="1255" t="str">
        <f>IF($B65=0,"",_xlfn.XLOOKUP($B65,INPUT_DATA!$CN:$CN,INPUT_DATA!DL:DL))</f>
        <v/>
      </c>
      <c r="AC65" s="255" t="str">
        <f>IF($B65=0,"",_xlfn.XLOOKUP($B65,INPUT_DATA!$CN:$CN,INPUT_DATA!DM:DM))</f>
        <v/>
      </c>
      <c r="AD65" s="1255" t="str">
        <f>IF($B65=0,"",_xlfn.XLOOKUP($B65,INPUT_DATA!$CN:$CN,INPUT_DATA!DN:DN))</f>
        <v/>
      </c>
    </row>
    <row r="66" spans="2:30">
      <c r="B66" s="1202">
        <f>'02 - Monthly Asset Follow up'!B70</f>
        <v>0</v>
      </c>
      <c r="C66" s="255" t="str">
        <f t="shared" si="2"/>
        <v/>
      </c>
      <c r="D66" s="1255" t="str">
        <f t="shared" si="1"/>
        <v/>
      </c>
      <c r="E66" s="255" t="str">
        <f>IF($B66=0,"",_xlfn.XLOOKUP($B66,INPUT_DATA!$CN:$CN,INPUT_DATA!CO:CO))</f>
        <v/>
      </c>
      <c r="F66" s="1255" t="str">
        <f>IF($B66=0,"",_xlfn.XLOOKUP($B66,INPUT_DATA!$CN:$CN,INPUT_DATA!CP:CP))</f>
        <v/>
      </c>
      <c r="G66" s="255" t="str">
        <f>IF($B66=0,"",_xlfn.XLOOKUP($B66,INPUT_DATA!$CN:$CN,INPUT_DATA!CQ:CQ))</f>
        <v/>
      </c>
      <c r="H66" s="1255" t="str">
        <f>IF($B66=0,"",_xlfn.XLOOKUP($B66,INPUT_DATA!$CN:$CN,INPUT_DATA!CR:CR))</f>
        <v/>
      </c>
      <c r="I66" s="255" t="str">
        <f>IF($B66=0,"",_xlfn.XLOOKUP($B66,INPUT_DATA!$CN:$CN,INPUT_DATA!CS:CS))</f>
        <v/>
      </c>
      <c r="J66" s="1255" t="str">
        <f>IF($B66=0,"",_xlfn.XLOOKUP($B66,INPUT_DATA!$CN:$CN,INPUT_DATA!CT:CT))</f>
        <v/>
      </c>
      <c r="K66" s="255" t="str">
        <f>IF($B66=0,"",_xlfn.XLOOKUP($B66,INPUT_DATA!$CN:$CN,INPUT_DATA!CU:CU))</f>
        <v/>
      </c>
      <c r="L66" s="1255" t="str">
        <f>IF($B66=0,"",_xlfn.XLOOKUP($B66,INPUT_DATA!$CN:$CN,INPUT_DATA!CV:CV))</f>
        <v/>
      </c>
      <c r="M66" s="255" t="str">
        <f>IF($B66=0,"",_xlfn.XLOOKUP($B66,INPUT_DATA!$CN:$CN,INPUT_DATA!CW:CW))</f>
        <v/>
      </c>
      <c r="N66" s="1255" t="str">
        <f>IF($B66=0,"",_xlfn.XLOOKUP($B66,INPUT_DATA!$CN:$CN,INPUT_DATA!CX:CX))</f>
        <v/>
      </c>
      <c r="O66" s="255" t="str">
        <f>IF($B66=0,"",_xlfn.XLOOKUP($B66,INPUT_DATA!$CN:$CN,INPUT_DATA!CY:CY))</f>
        <v/>
      </c>
      <c r="P66" s="1255" t="str">
        <f>IF($B66=0,"",_xlfn.XLOOKUP($B66,INPUT_DATA!$CN:$CN,INPUT_DATA!CZ:CZ))</f>
        <v/>
      </c>
      <c r="Q66" s="255" t="str">
        <f>IF($B66=0,"",_xlfn.XLOOKUP($B66,INPUT_DATA!$CN:$CN,INPUT_DATA!DA:DA))</f>
        <v/>
      </c>
      <c r="R66" s="1255" t="str">
        <f>IF($B66=0,"",_xlfn.XLOOKUP($B66,INPUT_DATA!$CN:$CN,INPUT_DATA!DB:DB))</f>
        <v/>
      </c>
      <c r="S66" s="255" t="str">
        <f>IF($B66=0,"",_xlfn.XLOOKUP($B66,INPUT_DATA!$CN:$CN,INPUT_DATA!DC:DC))</f>
        <v/>
      </c>
      <c r="T66" s="1255" t="str">
        <f>IF($B66=0,"",_xlfn.XLOOKUP($B66,INPUT_DATA!$CN:$CN,INPUT_DATA!DD:DD))</f>
        <v/>
      </c>
      <c r="U66" s="255" t="str">
        <f>IF($B66=0,"",_xlfn.XLOOKUP($B66,INPUT_DATA!$CN:$CN,INPUT_DATA!DE:DE))</f>
        <v/>
      </c>
      <c r="V66" s="1255" t="str">
        <f>IF($B66=0,"",_xlfn.XLOOKUP($B66,INPUT_DATA!$CN:$CN,INPUT_DATA!DF:DF))</f>
        <v/>
      </c>
      <c r="W66" s="255" t="str">
        <f>IF($B66=0,"",_xlfn.XLOOKUP($B66,INPUT_DATA!$CN:$CN,INPUT_DATA!DG:DG))</f>
        <v/>
      </c>
      <c r="X66" s="1255" t="str">
        <f>IF($B66=0,"",_xlfn.XLOOKUP($B66,INPUT_DATA!$CN:$CN,INPUT_DATA!DH:DH))</f>
        <v/>
      </c>
      <c r="Y66" s="255" t="str">
        <f>IF($B66=0,"",_xlfn.XLOOKUP($B66,INPUT_DATA!$CN:$CN,INPUT_DATA!DI:DI))</f>
        <v/>
      </c>
      <c r="Z66" s="1255" t="str">
        <f>IF($B66=0,"",_xlfn.XLOOKUP($B66,INPUT_DATA!$CN:$CN,INPUT_DATA!DJ:DJ))</f>
        <v/>
      </c>
      <c r="AA66" s="255" t="str">
        <f>IF($B66=0,"",_xlfn.XLOOKUP($B66,INPUT_DATA!$CN:$CN,INPUT_DATA!DK:DK))</f>
        <v/>
      </c>
      <c r="AB66" s="1255" t="str">
        <f>IF($B66=0,"",_xlfn.XLOOKUP($B66,INPUT_DATA!$CN:$CN,INPUT_DATA!DL:DL))</f>
        <v/>
      </c>
      <c r="AC66" s="255" t="str">
        <f>IF($B66=0,"",_xlfn.XLOOKUP($B66,INPUT_DATA!$CN:$CN,INPUT_DATA!DM:DM))</f>
        <v/>
      </c>
      <c r="AD66" s="1255" t="str">
        <f>IF($B66=0,"",_xlfn.XLOOKUP($B66,INPUT_DATA!$CN:$CN,INPUT_DATA!DN:DN))</f>
        <v/>
      </c>
    </row>
    <row r="67" spans="2:30">
      <c r="B67" s="1202">
        <f>'02 - Monthly Asset Follow up'!B71</f>
        <v>0</v>
      </c>
      <c r="C67" s="255" t="str">
        <f t="shared" si="2"/>
        <v/>
      </c>
      <c r="D67" s="1255" t="str">
        <f t="shared" si="1"/>
        <v/>
      </c>
      <c r="E67" s="255" t="str">
        <f>IF($B67=0,"",_xlfn.XLOOKUP($B67,INPUT_DATA!$CN:$CN,INPUT_DATA!CO:CO))</f>
        <v/>
      </c>
      <c r="F67" s="1255" t="str">
        <f>IF($B67=0,"",_xlfn.XLOOKUP($B67,INPUT_DATA!$CN:$CN,INPUT_DATA!CP:CP))</f>
        <v/>
      </c>
      <c r="G67" s="255" t="str">
        <f>IF($B67=0,"",_xlfn.XLOOKUP($B67,INPUT_DATA!$CN:$CN,INPUT_DATA!CQ:CQ))</f>
        <v/>
      </c>
      <c r="H67" s="1255" t="str">
        <f>IF($B67=0,"",_xlfn.XLOOKUP($B67,INPUT_DATA!$CN:$CN,INPUT_DATA!CR:CR))</f>
        <v/>
      </c>
      <c r="I67" s="255" t="str">
        <f>IF($B67=0,"",_xlfn.XLOOKUP($B67,INPUT_DATA!$CN:$CN,INPUT_DATA!CS:CS))</f>
        <v/>
      </c>
      <c r="J67" s="1255" t="str">
        <f>IF($B67=0,"",_xlfn.XLOOKUP($B67,INPUT_DATA!$CN:$CN,INPUT_DATA!CT:CT))</f>
        <v/>
      </c>
      <c r="K67" s="255" t="str">
        <f>IF($B67=0,"",_xlfn.XLOOKUP($B67,INPUT_DATA!$CN:$CN,INPUT_DATA!CU:CU))</f>
        <v/>
      </c>
      <c r="L67" s="1255" t="str">
        <f>IF($B67=0,"",_xlfn.XLOOKUP($B67,INPUT_DATA!$CN:$CN,INPUT_DATA!CV:CV))</f>
        <v/>
      </c>
      <c r="M67" s="255" t="str">
        <f>IF($B67=0,"",_xlfn.XLOOKUP($B67,INPUT_DATA!$CN:$CN,INPUT_DATA!CW:CW))</f>
        <v/>
      </c>
      <c r="N67" s="1255" t="str">
        <f>IF($B67=0,"",_xlfn.XLOOKUP($B67,INPUT_DATA!$CN:$CN,INPUT_DATA!CX:CX))</f>
        <v/>
      </c>
      <c r="O67" s="255" t="str">
        <f>IF($B67=0,"",_xlfn.XLOOKUP($B67,INPUT_DATA!$CN:$CN,INPUT_DATA!CY:CY))</f>
        <v/>
      </c>
      <c r="P67" s="1255" t="str">
        <f>IF($B67=0,"",_xlfn.XLOOKUP($B67,INPUT_DATA!$CN:$CN,INPUT_DATA!CZ:CZ))</f>
        <v/>
      </c>
      <c r="Q67" s="255" t="str">
        <f>IF($B67=0,"",_xlfn.XLOOKUP($B67,INPUT_DATA!$CN:$CN,INPUT_DATA!DA:DA))</f>
        <v/>
      </c>
      <c r="R67" s="1255" t="str">
        <f>IF($B67=0,"",_xlfn.XLOOKUP($B67,INPUT_DATA!$CN:$CN,INPUT_DATA!DB:DB))</f>
        <v/>
      </c>
      <c r="S67" s="255" t="str">
        <f>IF($B67=0,"",_xlfn.XLOOKUP($B67,INPUT_DATA!$CN:$CN,INPUT_DATA!DC:DC))</f>
        <v/>
      </c>
      <c r="T67" s="1255" t="str">
        <f>IF($B67=0,"",_xlfn.XLOOKUP($B67,INPUT_DATA!$CN:$CN,INPUT_DATA!DD:DD))</f>
        <v/>
      </c>
      <c r="U67" s="255" t="str">
        <f>IF($B67=0,"",_xlfn.XLOOKUP($B67,INPUT_DATA!$CN:$CN,INPUT_DATA!DE:DE))</f>
        <v/>
      </c>
      <c r="V67" s="1255" t="str">
        <f>IF($B67=0,"",_xlfn.XLOOKUP($B67,INPUT_DATA!$CN:$CN,INPUT_DATA!DF:DF))</f>
        <v/>
      </c>
      <c r="W67" s="255" t="str">
        <f>IF($B67=0,"",_xlfn.XLOOKUP($B67,INPUT_DATA!$CN:$CN,INPUT_DATA!DG:DG))</f>
        <v/>
      </c>
      <c r="X67" s="1255" t="str">
        <f>IF($B67=0,"",_xlfn.XLOOKUP($B67,INPUT_DATA!$CN:$CN,INPUT_DATA!DH:DH))</f>
        <v/>
      </c>
      <c r="Y67" s="255" t="str">
        <f>IF($B67=0,"",_xlfn.XLOOKUP($B67,INPUT_DATA!$CN:$CN,INPUT_DATA!DI:DI))</f>
        <v/>
      </c>
      <c r="Z67" s="1255" t="str">
        <f>IF($B67=0,"",_xlfn.XLOOKUP($B67,INPUT_DATA!$CN:$CN,INPUT_DATA!DJ:DJ))</f>
        <v/>
      </c>
      <c r="AA67" s="255" t="str">
        <f>IF($B67=0,"",_xlfn.XLOOKUP($B67,INPUT_DATA!$CN:$CN,INPUT_DATA!DK:DK))</f>
        <v/>
      </c>
      <c r="AB67" s="1255" t="str">
        <f>IF($B67=0,"",_xlfn.XLOOKUP($B67,INPUT_DATA!$CN:$CN,INPUT_DATA!DL:DL))</f>
        <v/>
      </c>
      <c r="AC67" s="255" t="str">
        <f>IF($B67=0,"",_xlfn.XLOOKUP($B67,INPUT_DATA!$CN:$CN,INPUT_DATA!DM:DM))</f>
        <v/>
      </c>
      <c r="AD67" s="1255" t="str">
        <f>IF($B67=0,"",_xlfn.XLOOKUP($B67,INPUT_DATA!$CN:$CN,INPUT_DATA!DN:DN))</f>
        <v/>
      </c>
    </row>
    <row r="68" spans="2:30">
      <c r="B68" s="1202">
        <f>'02 - Monthly Asset Follow up'!B72</f>
        <v>0</v>
      </c>
      <c r="C68" s="255" t="str">
        <f t="shared" si="2"/>
        <v/>
      </c>
      <c r="D68" s="1255" t="str">
        <f t="shared" si="1"/>
        <v/>
      </c>
      <c r="E68" s="255" t="str">
        <f>IF($B68=0,"",_xlfn.XLOOKUP($B68,INPUT_DATA!$CN:$CN,INPUT_DATA!CO:CO))</f>
        <v/>
      </c>
      <c r="F68" s="1255" t="str">
        <f>IF($B68=0,"",_xlfn.XLOOKUP($B68,INPUT_DATA!$CN:$CN,INPUT_DATA!CP:CP))</f>
        <v/>
      </c>
      <c r="G68" s="255" t="str">
        <f>IF($B68=0,"",_xlfn.XLOOKUP($B68,INPUT_DATA!$CN:$CN,INPUT_DATA!CQ:CQ))</f>
        <v/>
      </c>
      <c r="H68" s="1255" t="str">
        <f>IF($B68=0,"",_xlfn.XLOOKUP($B68,INPUT_DATA!$CN:$CN,INPUT_DATA!CR:CR))</f>
        <v/>
      </c>
      <c r="I68" s="255" t="str">
        <f>IF($B68=0,"",_xlfn.XLOOKUP($B68,INPUT_DATA!$CN:$CN,INPUT_DATA!CS:CS))</f>
        <v/>
      </c>
      <c r="J68" s="1255" t="str">
        <f>IF($B68=0,"",_xlfn.XLOOKUP($B68,INPUT_DATA!$CN:$CN,INPUT_DATA!CT:CT))</f>
        <v/>
      </c>
      <c r="K68" s="255" t="str">
        <f>IF($B68=0,"",_xlfn.XLOOKUP($B68,INPUT_DATA!$CN:$CN,INPUT_DATA!CU:CU))</f>
        <v/>
      </c>
      <c r="L68" s="1255" t="str">
        <f>IF($B68=0,"",_xlfn.XLOOKUP($B68,INPUT_DATA!$CN:$CN,INPUT_DATA!CV:CV))</f>
        <v/>
      </c>
      <c r="M68" s="255" t="str">
        <f>IF($B68=0,"",_xlfn.XLOOKUP($B68,INPUT_DATA!$CN:$CN,INPUT_DATA!CW:CW))</f>
        <v/>
      </c>
      <c r="N68" s="1255" t="str">
        <f>IF($B68=0,"",_xlfn.XLOOKUP($B68,INPUT_DATA!$CN:$CN,INPUT_DATA!CX:CX))</f>
        <v/>
      </c>
      <c r="O68" s="255" t="str">
        <f>IF($B68=0,"",_xlfn.XLOOKUP($B68,INPUT_DATA!$CN:$CN,INPUT_DATA!CY:CY))</f>
        <v/>
      </c>
      <c r="P68" s="1255" t="str">
        <f>IF($B68=0,"",_xlfn.XLOOKUP($B68,INPUT_DATA!$CN:$CN,INPUT_DATA!CZ:CZ))</f>
        <v/>
      </c>
      <c r="Q68" s="255" t="str">
        <f>IF($B68=0,"",_xlfn.XLOOKUP($B68,INPUT_DATA!$CN:$CN,INPUT_DATA!DA:DA))</f>
        <v/>
      </c>
      <c r="R68" s="1255" t="str">
        <f>IF($B68=0,"",_xlfn.XLOOKUP($B68,INPUT_DATA!$CN:$CN,INPUT_DATA!DB:DB))</f>
        <v/>
      </c>
      <c r="S68" s="255" t="str">
        <f>IF($B68=0,"",_xlfn.XLOOKUP($B68,INPUT_DATA!$CN:$CN,INPUT_DATA!DC:DC))</f>
        <v/>
      </c>
      <c r="T68" s="1255" t="str">
        <f>IF($B68=0,"",_xlfn.XLOOKUP($B68,INPUT_DATA!$CN:$CN,INPUT_DATA!DD:DD))</f>
        <v/>
      </c>
      <c r="U68" s="255" t="str">
        <f>IF($B68=0,"",_xlfn.XLOOKUP($B68,INPUT_DATA!$CN:$CN,INPUT_DATA!DE:DE))</f>
        <v/>
      </c>
      <c r="V68" s="1255" t="str">
        <f>IF($B68=0,"",_xlfn.XLOOKUP($B68,INPUT_DATA!$CN:$CN,INPUT_DATA!DF:DF))</f>
        <v/>
      </c>
      <c r="W68" s="255" t="str">
        <f>IF($B68=0,"",_xlfn.XLOOKUP($B68,INPUT_DATA!$CN:$CN,INPUT_DATA!DG:DG))</f>
        <v/>
      </c>
      <c r="X68" s="1255" t="str">
        <f>IF($B68=0,"",_xlfn.XLOOKUP($B68,INPUT_DATA!$CN:$CN,INPUT_DATA!DH:DH))</f>
        <v/>
      </c>
      <c r="Y68" s="255" t="str">
        <f>IF($B68=0,"",_xlfn.XLOOKUP($B68,INPUT_DATA!$CN:$CN,INPUT_DATA!DI:DI))</f>
        <v/>
      </c>
      <c r="Z68" s="1255" t="str">
        <f>IF($B68=0,"",_xlfn.XLOOKUP($B68,INPUT_DATA!$CN:$CN,INPUT_DATA!DJ:DJ))</f>
        <v/>
      </c>
      <c r="AA68" s="255" t="str">
        <f>IF($B68=0,"",_xlfn.XLOOKUP($B68,INPUT_DATA!$CN:$CN,INPUT_DATA!DK:DK))</f>
        <v/>
      </c>
      <c r="AB68" s="1255" t="str">
        <f>IF($B68=0,"",_xlfn.XLOOKUP($B68,INPUT_DATA!$CN:$CN,INPUT_DATA!DL:DL))</f>
        <v/>
      </c>
      <c r="AC68" s="255" t="str">
        <f>IF($B68=0,"",_xlfn.XLOOKUP($B68,INPUT_DATA!$CN:$CN,INPUT_DATA!DM:DM))</f>
        <v/>
      </c>
      <c r="AD68" s="1255" t="str">
        <f>IF($B68=0,"",_xlfn.XLOOKUP($B68,INPUT_DATA!$CN:$CN,INPUT_DATA!DN:DN))</f>
        <v/>
      </c>
    </row>
    <row r="69" spans="2:30">
      <c r="B69" s="1202">
        <f>'02 - Monthly Asset Follow up'!B73</f>
        <v>0</v>
      </c>
      <c r="C69" s="255" t="str">
        <f t="shared" si="2"/>
        <v/>
      </c>
      <c r="D69" s="1255" t="str">
        <f t="shared" si="1"/>
        <v/>
      </c>
      <c r="E69" s="255" t="str">
        <f>IF($B69=0,"",_xlfn.XLOOKUP($B69,INPUT_DATA!$CN:$CN,INPUT_DATA!CO:CO))</f>
        <v/>
      </c>
      <c r="F69" s="1255" t="str">
        <f>IF($B69=0,"",_xlfn.XLOOKUP($B69,INPUT_DATA!$CN:$CN,INPUT_DATA!CP:CP))</f>
        <v/>
      </c>
      <c r="G69" s="255" t="str">
        <f>IF($B69=0,"",_xlfn.XLOOKUP($B69,INPUT_DATA!$CN:$CN,INPUT_DATA!CQ:CQ))</f>
        <v/>
      </c>
      <c r="H69" s="1255" t="str">
        <f>IF($B69=0,"",_xlfn.XLOOKUP($B69,INPUT_DATA!$CN:$CN,INPUT_DATA!CR:CR))</f>
        <v/>
      </c>
      <c r="I69" s="255" t="str">
        <f>IF($B69=0,"",_xlfn.XLOOKUP($B69,INPUT_DATA!$CN:$CN,INPUT_DATA!CS:CS))</f>
        <v/>
      </c>
      <c r="J69" s="1255" t="str">
        <f>IF($B69=0,"",_xlfn.XLOOKUP($B69,INPUT_DATA!$CN:$CN,INPUT_DATA!CT:CT))</f>
        <v/>
      </c>
      <c r="K69" s="255" t="str">
        <f>IF($B69=0,"",_xlfn.XLOOKUP($B69,INPUT_DATA!$CN:$CN,INPUT_DATA!CU:CU))</f>
        <v/>
      </c>
      <c r="L69" s="1255" t="str">
        <f>IF($B69=0,"",_xlfn.XLOOKUP($B69,INPUT_DATA!$CN:$CN,INPUT_DATA!CV:CV))</f>
        <v/>
      </c>
      <c r="M69" s="255" t="str">
        <f>IF($B69=0,"",_xlfn.XLOOKUP($B69,INPUT_DATA!$CN:$CN,INPUT_DATA!CW:CW))</f>
        <v/>
      </c>
      <c r="N69" s="1255" t="str">
        <f>IF($B69=0,"",_xlfn.XLOOKUP($B69,INPUT_DATA!$CN:$CN,INPUT_DATA!CX:CX))</f>
        <v/>
      </c>
      <c r="O69" s="255" t="str">
        <f>IF($B69=0,"",_xlfn.XLOOKUP($B69,INPUT_DATA!$CN:$CN,INPUT_DATA!CY:CY))</f>
        <v/>
      </c>
      <c r="P69" s="1255" t="str">
        <f>IF($B69=0,"",_xlfn.XLOOKUP($B69,INPUT_DATA!$CN:$CN,INPUT_DATA!CZ:CZ))</f>
        <v/>
      </c>
      <c r="Q69" s="255" t="str">
        <f>IF($B69=0,"",_xlfn.XLOOKUP($B69,INPUT_DATA!$CN:$CN,INPUT_DATA!DA:DA))</f>
        <v/>
      </c>
      <c r="R69" s="1255" t="str">
        <f>IF($B69=0,"",_xlfn.XLOOKUP($B69,INPUT_DATA!$CN:$CN,INPUT_DATA!DB:DB))</f>
        <v/>
      </c>
      <c r="S69" s="255" t="str">
        <f>IF($B69=0,"",_xlfn.XLOOKUP($B69,INPUT_DATA!$CN:$CN,INPUT_DATA!DC:DC))</f>
        <v/>
      </c>
      <c r="T69" s="1255" t="str">
        <f>IF($B69=0,"",_xlfn.XLOOKUP($B69,INPUT_DATA!$CN:$CN,INPUT_DATA!DD:DD))</f>
        <v/>
      </c>
      <c r="U69" s="255" t="str">
        <f>IF($B69=0,"",_xlfn.XLOOKUP($B69,INPUT_DATA!$CN:$CN,INPUT_DATA!DE:DE))</f>
        <v/>
      </c>
      <c r="V69" s="1255" t="str">
        <f>IF($B69=0,"",_xlfn.XLOOKUP($B69,INPUT_DATA!$CN:$CN,INPUT_DATA!DF:DF))</f>
        <v/>
      </c>
      <c r="W69" s="255" t="str">
        <f>IF($B69=0,"",_xlfn.XLOOKUP($B69,INPUT_DATA!$CN:$CN,INPUT_DATA!DG:DG))</f>
        <v/>
      </c>
      <c r="X69" s="1255" t="str">
        <f>IF($B69=0,"",_xlfn.XLOOKUP($B69,INPUT_DATA!$CN:$CN,INPUT_DATA!DH:DH))</f>
        <v/>
      </c>
      <c r="Y69" s="255" t="str">
        <f>IF($B69=0,"",_xlfn.XLOOKUP($B69,INPUT_DATA!$CN:$CN,INPUT_DATA!DI:DI))</f>
        <v/>
      </c>
      <c r="Z69" s="1255" t="str">
        <f>IF($B69=0,"",_xlfn.XLOOKUP($B69,INPUT_DATA!$CN:$CN,INPUT_DATA!DJ:DJ))</f>
        <v/>
      </c>
      <c r="AA69" s="255" t="str">
        <f>IF($B69=0,"",_xlfn.XLOOKUP($B69,INPUT_DATA!$CN:$CN,INPUT_DATA!DK:DK))</f>
        <v/>
      </c>
      <c r="AB69" s="1255" t="str">
        <f>IF($B69=0,"",_xlfn.XLOOKUP($B69,INPUT_DATA!$CN:$CN,INPUT_DATA!DL:DL))</f>
        <v/>
      </c>
      <c r="AC69" s="255" t="str">
        <f>IF($B69=0,"",_xlfn.XLOOKUP($B69,INPUT_DATA!$CN:$CN,INPUT_DATA!DM:DM))</f>
        <v/>
      </c>
      <c r="AD69" s="1255" t="str">
        <f>IF($B69=0,"",_xlfn.XLOOKUP($B69,INPUT_DATA!$CN:$CN,INPUT_DATA!DN:DN))</f>
        <v/>
      </c>
    </row>
    <row r="70" spans="2:30">
      <c r="B70" s="1202">
        <f>'02 - Monthly Asset Follow up'!B74</f>
        <v>0</v>
      </c>
      <c r="C70" s="255" t="str">
        <f t="shared" si="2"/>
        <v/>
      </c>
      <c r="D70" s="1255" t="str">
        <f t="shared" si="1"/>
        <v/>
      </c>
      <c r="E70" s="255" t="str">
        <f>IF($B70=0,"",_xlfn.XLOOKUP($B70,INPUT_DATA!$CN:$CN,INPUT_DATA!CO:CO))</f>
        <v/>
      </c>
      <c r="F70" s="1255" t="str">
        <f>IF($B70=0,"",_xlfn.XLOOKUP($B70,INPUT_DATA!$CN:$CN,INPUT_DATA!CP:CP))</f>
        <v/>
      </c>
      <c r="G70" s="255" t="str">
        <f>IF($B70=0,"",_xlfn.XLOOKUP($B70,INPUT_DATA!$CN:$CN,INPUT_DATA!CQ:CQ))</f>
        <v/>
      </c>
      <c r="H70" s="1255" t="str">
        <f>IF($B70=0,"",_xlfn.XLOOKUP($B70,INPUT_DATA!$CN:$CN,INPUT_DATA!CR:CR))</f>
        <v/>
      </c>
      <c r="I70" s="255" t="str">
        <f>IF($B70=0,"",_xlfn.XLOOKUP($B70,INPUT_DATA!$CN:$CN,INPUT_DATA!CS:CS))</f>
        <v/>
      </c>
      <c r="J70" s="1255" t="str">
        <f>IF($B70=0,"",_xlfn.XLOOKUP($B70,INPUT_DATA!$CN:$CN,INPUT_DATA!CT:CT))</f>
        <v/>
      </c>
      <c r="K70" s="255" t="str">
        <f>IF($B70=0,"",_xlfn.XLOOKUP($B70,INPUT_DATA!$CN:$CN,INPUT_DATA!CU:CU))</f>
        <v/>
      </c>
      <c r="L70" s="1255" t="str">
        <f>IF($B70=0,"",_xlfn.XLOOKUP($B70,INPUT_DATA!$CN:$CN,INPUT_DATA!CV:CV))</f>
        <v/>
      </c>
      <c r="M70" s="255" t="str">
        <f>IF($B70=0,"",_xlfn.XLOOKUP($B70,INPUT_DATA!$CN:$CN,INPUT_DATA!CW:CW))</f>
        <v/>
      </c>
      <c r="N70" s="1255" t="str">
        <f>IF($B70=0,"",_xlfn.XLOOKUP($B70,INPUT_DATA!$CN:$CN,INPUT_DATA!CX:CX))</f>
        <v/>
      </c>
      <c r="O70" s="255" t="str">
        <f>IF($B70=0,"",_xlfn.XLOOKUP($B70,INPUT_DATA!$CN:$CN,INPUT_DATA!CY:CY))</f>
        <v/>
      </c>
      <c r="P70" s="1255" t="str">
        <f>IF($B70=0,"",_xlfn.XLOOKUP($B70,INPUT_DATA!$CN:$CN,INPUT_DATA!CZ:CZ))</f>
        <v/>
      </c>
      <c r="Q70" s="255" t="str">
        <f>IF($B70=0,"",_xlfn.XLOOKUP($B70,INPUT_DATA!$CN:$CN,INPUT_DATA!DA:DA))</f>
        <v/>
      </c>
      <c r="R70" s="1255" t="str">
        <f>IF($B70=0,"",_xlfn.XLOOKUP($B70,INPUT_DATA!$CN:$CN,INPUT_DATA!DB:DB))</f>
        <v/>
      </c>
      <c r="S70" s="255" t="str">
        <f>IF($B70=0,"",_xlfn.XLOOKUP($B70,INPUT_DATA!$CN:$CN,INPUT_DATA!DC:DC))</f>
        <v/>
      </c>
      <c r="T70" s="1255" t="str">
        <f>IF($B70=0,"",_xlfn.XLOOKUP($B70,INPUT_DATA!$CN:$CN,INPUT_DATA!DD:DD))</f>
        <v/>
      </c>
      <c r="U70" s="255" t="str">
        <f>IF($B70=0,"",_xlfn.XLOOKUP($B70,INPUT_DATA!$CN:$CN,INPUT_DATA!DE:DE))</f>
        <v/>
      </c>
      <c r="V70" s="1255" t="str">
        <f>IF($B70=0,"",_xlfn.XLOOKUP($B70,INPUT_DATA!$CN:$CN,INPUT_DATA!DF:DF))</f>
        <v/>
      </c>
      <c r="W70" s="255" t="str">
        <f>IF($B70=0,"",_xlfn.XLOOKUP($B70,INPUT_DATA!$CN:$CN,INPUT_DATA!DG:DG))</f>
        <v/>
      </c>
      <c r="X70" s="1255" t="str">
        <f>IF($B70=0,"",_xlfn.XLOOKUP($B70,INPUT_DATA!$CN:$CN,INPUT_DATA!DH:DH))</f>
        <v/>
      </c>
      <c r="Y70" s="255" t="str">
        <f>IF($B70=0,"",_xlfn.XLOOKUP($B70,INPUT_DATA!$CN:$CN,INPUT_DATA!DI:DI))</f>
        <v/>
      </c>
      <c r="Z70" s="1255" t="str">
        <f>IF($B70=0,"",_xlfn.XLOOKUP($B70,INPUT_DATA!$CN:$CN,INPUT_DATA!DJ:DJ))</f>
        <v/>
      </c>
      <c r="AA70" s="255" t="str">
        <f>IF($B70=0,"",_xlfn.XLOOKUP($B70,INPUT_DATA!$CN:$CN,INPUT_DATA!DK:DK))</f>
        <v/>
      </c>
      <c r="AB70" s="1255" t="str">
        <f>IF($B70=0,"",_xlfn.XLOOKUP($B70,INPUT_DATA!$CN:$CN,INPUT_DATA!DL:DL))</f>
        <v/>
      </c>
      <c r="AC70" s="255" t="str">
        <f>IF($B70=0,"",_xlfn.XLOOKUP($B70,INPUT_DATA!$CN:$CN,INPUT_DATA!DM:DM))</f>
        <v/>
      </c>
      <c r="AD70" s="1255" t="str">
        <f>IF($B70=0,"",_xlfn.XLOOKUP($B70,INPUT_DATA!$CN:$CN,INPUT_DATA!DN:DN))</f>
        <v/>
      </c>
    </row>
    <row r="71" spans="2:30">
      <c r="B71" s="1202">
        <f>'02 - Monthly Asset Follow up'!B75</f>
        <v>0</v>
      </c>
      <c r="C71" s="255" t="str">
        <f t="shared" si="2"/>
        <v/>
      </c>
      <c r="D71" s="1255" t="str">
        <f t="shared" si="1"/>
        <v/>
      </c>
      <c r="E71" s="255" t="str">
        <f>IF($B71=0,"",_xlfn.XLOOKUP($B71,INPUT_DATA!$CN:$CN,INPUT_DATA!CO:CO))</f>
        <v/>
      </c>
      <c r="F71" s="1255" t="str">
        <f>IF($B71=0,"",_xlfn.XLOOKUP($B71,INPUT_DATA!$CN:$CN,INPUT_DATA!CP:CP))</f>
        <v/>
      </c>
      <c r="G71" s="255" t="str">
        <f>IF($B71=0,"",_xlfn.XLOOKUP($B71,INPUT_DATA!$CN:$CN,INPUT_DATA!CQ:CQ))</f>
        <v/>
      </c>
      <c r="H71" s="1255" t="str">
        <f>IF($B71=0,"",_xlfn.XLOOKUP($B71,INPUT_DATA!$CN:$CN,INPUT_DATA!CR:CR))</f>
        <v/>
      </c>
      <c r="I71" s="255" t="str">
        <f>IF($B71=0,"",_xlfn.XLOOKUP($B71,INPUT_DATA!$CN:$CN,INPUT_DATA!CS:CS))</f>
        <v/>
      </c>
      <c r="J71" s="1255" t="str">
        <f>IF($B71=0,"",_xlfn.XLOOKUP($B71,INPUT_DATA!$CN:$CN,INPUT_DATA!CT:CT))</f>
        <v/>
      </c>
      <c r="K71" s="255" t="str">
        <f>IF($B71=0,"",_xlfn.XLOOKUP($B71,INPUT_DATA!$CN:$CN,INPUT_DATA!CU:CU))</f>
        <v/>
      </c>
      <c r="L71" s="1255" t="str">
        <f>IF($B71=0,"",_xlfn.XLOOKUP($B71,INPUT_DATA!$CN:$CN,INPUT_DATA!CV:CV))</f>
        <v/>
      </c>
      <c r="M71" s="255" t="str">
        <f>IF($B71=0,"",_xlfn.XLOOKUP($B71,INPUT_DATA!$CN:$CN,INPUT_DATA!CW:CW))</f>
        <v/>
      </c>
      <c r="N71" s="1255" t="str">
        <f>IF($B71=0,"",_xlfn.XLOOKUP($B71,INPUT_DATA!$CN:$CN,INPUT_DATA!CX:CX))</f>
        <v/>
      </c>
      <c r="O71" s="255" t="str">
        <f>IF($B71=0,"",_xlfn.XLOOKUP($B71,INPUT_DATA!$CN:$CN,INPUT_DATA!CY:CY))</f>
        <v/>
      </c>
      <c r="P71" s="1255" t="str">
        <f>IF($B71=0,"",_xlfn.XLOOKUP($B71,INPUT_DATA!$CN:$CN,INPUT_DATA!CZ:CZ))</f>
        <v/>
      </c>
      <c r="Q71" s="255" t="str">
        <f>IF($B71=0,"",_xlfn.XLOOKUP($B71,INPUT_DATA!$CN:$CN,INPUT_DATA!DA:DA))</f>
        <v/>
      </c>
      <c r="R71" s="1255" t="str">
        <f>IF($B71=0,"",_xlfn.XLOOKUP($B71,INPUT_DATA!$CN:$CN,INPUT_DATA!DB:DB))</f>
        <v/>
      </c>
      <c r="S71" s="255" t="str">
        <f>IF($B71=0,"",_xlfn.XLOOKUP($B71,INPUT_DATA!$CN:$CN,INPUT_DATA!DC:DC))</f>
        <v/>
      </c>
      <c r="T71" s="1255" t="str">
        <f>IF($B71=0,"",_xlfn.XLOOKUP($B71,INPUT_DATA!$CN:$CN,INPUT_DATA!DD:DD))</f>
        <v/>
      </c>
      <c r="U71" s="255" t="str">
        <f>IF($B71=0,"",_xlfn.XLOOKUP($B71,INPUT_DATA!$CN:$CN,INPUT_DATA!DE:DE))</f>
        <v/>
      </c>
      <c r="V71" s="1255" t="str">
        <f>IF($B71=0,"",_xlfn.XLOOKUP($B71,INPUT_DATA!$CN:$CN,INPUT_DATA!DF:DF))</f>
        <v/>
      </c>
      <c r="W71" s="255" t="str">
        <f>IF($B71=0,"",_xlfn.XLOOKUP($B71,INPUT_DATA!$CN:$CN,INPUT_DATA!DG:DG))</f>
        <v/>
      </c>
      <c r="X71" s="1255" t="str">
        <f>IF($B71=0,"",_xlfn.XLOOKUP($B71,INPUT_DATA!$CN:$CN,INPUT_DATA!DH:DH))</f>
        <v/>
      </c>
      <c r="Y71" s="255" t="str">
        <f>IF($B71=0,"",_xlfn.XLOOKUP($B71,INPUT_DATA!$CN:$CN,INPUT_DATA!DI:DI))</f>
        <v/>
      </c>
      <c r="Z71" s="1255" t="str">
        <f>IF($B71=0,"",_xlfn.XLOOKUP($B71,INPUT_DATA!$CN:$CN,INPUT_DATA!DJ:DJ))</f>
        <v/>
      </c>
      <c r="AA71" s="255" t="str">
        <f>IF($B71=0,"",_xlfn.XLOOKUP($B71,INPUT_DATA!$CN:$CN,INPUT_DATA!DK:DK))</f>
        <v/>
      </c>
      <c r="AB71" s="1255" t="str">
        <f>IF($B71=0,"",_xlfn.XLOOKUP($B71,INPUT_DATA!$CN:$CN,INPUT_DATA!DL:DL))</f>
        <v/>
      </c>
      <c r="AC71" s="255" t="str">
        <f>IF($B71=0,"",_xlfn.XLOOKUP($B71,INPUT_DATA!$CN:$CN,INPUT_DATA!DM:DM))</f>
        <v/>
      </c>
      <c r="AD71" s="1255" t="str">
        <f>IF($B71=0,"",_xlfn.XLOOKUP($B71,INPUT_DATA!$CN:$CN,INPUT_DATA!DN:DN))</f>
        <v/>
      </c>
    </row>
    <row r="72" spans="2:30">
      <c r="B72" s="1257">
        <f>'02 - Monthly Asset Follow up'!B76</f>
        <v>0</v>
      </c>
      <c r="C72" s="255" t="str">
        <f t="shared" si="2"/>
        <v/>
      </c>
      <c r="D72" s="1256" t="str">
        <f t="shared" si="1"/>
        <v/>
      </c>
      <c r="E72" s="1203" t="str">
        <f>IF($B72=0,"",_xlfn.XLOOKUP($B72,INPUT_DATA!$CN:$CN,INPUT_DATA!CO:CO))</f>
        <v/>
      </c>
      <c r="F72" s="1256" t="str">
        <f>IF($B72=0,"",_xlfn.XLOOKUP($B72,INPUT_DATA!$CN:$CN,INPUT_DATA!CP:CP))</f>
        <v/>
      </c>
      <c r="G72" s="1203" t="str">
        <f>IF($B72=0,"",_xlfn.XLOOKUP($B72,INPUT_DATA!$CN:$CN,INPUT_DATA!CQ:CQ))</f>
        <v/>
      </c>
      <c r="H72" s="1256" t="str">
        <f>IF($B72=0,"",_xlfn.XLOOKUP($B72,INPUT_DATA!$CN:$CN,INPUT_DATA!CR:CR))</f>
        <v/>
      </c>
      <c r="I72" s="1203" t="str">
        <f>IF($B72=0,"",_xlfn.XLOOKUP($B72,INPUT_DATA!$CN:$CN,INPUT_DATA!CS:CS))</f>
        <v/>
      </c>
      <c r="J72" s="1256" t="str">
        <f>IF($B72=0,"",_xlfn.XLOOKUP($B72,INPUT_DATA!$CN:$CN,INPUT_DATA!CT:CT))</f>
        <v/>
      </c>
      <c r="K72" s="1203" t="str">
        <f>IF($B72=0,"",_xlfn.XLOOKUP($B72,INPUT_DATA!$CN:$CN,INPUT_DATA!CU:CU))</f>
        <v/>
      </c>
      <c r="L72" s="1256" t="str">
        <f>IF($B72=0,"",_xlfn.XLOOKUP($B72,INPUT_DATA!$CN:$CN,INPUT_DATA!CV:CV))</f>
        <v/>
      </c>
      <c r="M72" s="1203" t="str">
        <f>IF($B72=0,"",_xlfn.XLOOKUP($B72,INPUT_DATA!$CN:$CN,INPUT_DATA!CW:CW))</f>
        <v/>
      </c>
      <c r="N72" s="1256" t="str">
        <f>IF($B72=0,"",_xlfn.XLOOKUP($B72,INPUT_DATA!$CN:$CN,INPUT_DATA!CX:CX))</f>
        <v/>
      </c>
      <c r="O72" s="1203" t="str">
        <f>IF($B72=0,"",_xlfn.XLOOKUP($B72,INPUT_DATA!$CN:$CN,INPUT_DATA!CY:CY))</f>
        <v/>
      </c>
      <c r="P72" s="1256" t="str">
        <f>IF($B72=0,"",_xlfn.XLOOKUP($B72,INPUT_DATA!$CN:$CN,INPUT_DATA!CZ:CZ))</f>
        <v/>
      </c>
      <c r="Q72" s="1203" t="str">
        <f>IF($B72=0,"",_xlfn.XLOOKUP($B72,INPUT_DATA!$CN:$CN,INPUT_DATA!DA:DA))</f>
        <v/>
      </c>
      <c r="R72" s="1256" t="str">
        <f>IF($B72=0,"",_xlfn.XLOOKUP($B72,INPUT_DATA!$CN:$CN,INPUT_DATA!DB:DB))</f>
        <v/>
      </c>
      <c r="S72" s="1203" t="str">
        <f>IF($B72=0,"",_xlfn.XLOOKUP($B72,INPUT_DATA!$CN:$CN,INPUT_DATA!DC:DC))</f>
        <v/>
      </c>
      <c r="T72" s="1256" t="str">
        <f>IF($B72=0,"",_xlfn.XLOOKUP($B72,INPUT_DATA!$CN:$CN,INPUT_DATA!DD:DD))</f>
        <v/>
      </c>
      <c r="U72" s="1203" t="str">
        <f>IF($B72=0,"",_xlfn.XLOOKUP($B72,INPUT_DATA!$CN:$CN,INPUT_DATA!DE:DE))</f>
        <v/>
      </c>
      <c r="V72" s="1256" t="str">
        <f>IF($B72=0,"",_xlfn.XLOOKUP($B72,INPUT_DATA!$CN:$CN,INPUT_DATA!DF:DF))</f>
        <v/>
      </c>
      <c r="W72" s="1203" t="str">
        <f>IF($B72=0,"",_xlfn.XLOOKUP($B72,INPUT_DATA!$CN:$CN,INPUT_DATA!DG:DG))</f>
        <v/>
      </c>
      <c r="X72" s="1256" t="str">
        <f>IF($B72=0,"",_xlfn.XLOOKUP($B72,INPUT_DATA!$CN:$CN,INPUT_DATA!DH:DH))</f>
        <v/>
      </c>
      <c r="Y72" s="1203" t="str">
        <f>IF($B72=0,"",_xlfn.XLOOKUP($B72,INPUT_DATA!$CN:$CN,INPUT_DATA!DI:DI))</f>
        <v/>
      </c>
      <c r="Z72" s="1256" t="str">
        <f>IF($B72=0,"",_xlfn.XLOOKUP($B72,INPUT_DATA!$CN:$CN,INPUT_DATA!DJ:DJ))</f>
        <v/>
      </c>
      <c r="AA72" s="1203" t="str">
        <f>IF($B72=0,"",_xlfn.XLOOKUP($B72,INPUT_DATA!$CN:$CN,INPUT_DATA!DK:DK))</f>
        <v/>
      </c>
      <c r="AB72" s="1256" t="str">
        <f>IF($B72=0,"",_xlfn.XLOOKUP($B72,INPUT_DATA!$CN:$CN,INPUT_DATA!DL:DL))</f>
        <v/>
      </c>
      <c r="AC72" s="1203" t="str">
        <f>IF($B72=0,"",_xlfn.XLOOKUP($B72,INPUT_DATA!$CN:$CN,INPUT_DATA!DM:DM))</f>
        <v/>
      </c>
      <c r="AD72" s="1256" t="str">
        <f>IF($B72=0,"",_xlfn.XLOOKUP($B72,INPUT_DATA!$CN:$CN,INPUT_DATA!DN:DN))</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2025-11-27T07:44:20Z</cp:lastPrinted>
  <dcterms:created xsi:type="dcterms:W3CDTF">2015-06-05T18:17:20Z</dcterms:created>
  <dcterms:modified xsi:type="dcterms:W3CDTF">2026-01-28T13:31:26Z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